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drawings/drawing1.xml" ContentType="application/vnd.openxmlformats-officedocument.drawing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480" yWindow="75" windowWidth="20730" windowHeight="1176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calcPr calcId="125725"/>
</workbook>
</file>

<file path=xl/calcChain.xml><?xml version="1.0" encoding="utf-8"?>
<calcChain xmlns="http://schemas.openxmlformats.org/spreadsheetml/2006/main">
  <c r="Q120" i="1"/>
  <c r="Q121" s="1"/>
  <c r="P120"/>
  <c r="P121" s="1"/>
  <c r="O120"/>
  <c r="O121" s="1"/>
  <c r="O82" s="1"/>
  <c r="M120"/>
  <c r="M121" s="1"/>
  <c r="M82" s="1"/>
  <c r="N82" s="1"/>
  <c r="L120"/>
  <c r="L121" s="1"/>
  <c r="L82" s="1"/>
  <c r="K120"/>
  <c r="I120"/>
  <c r="I121" s="1"/>
  <c r="I82" s="1"/>
  <c r="G120"/>
  <c r="G121" s="1"/>
  <c r="G82" s="1"/>
  <c r="F120"/>
  <c r="F121" s="1"/>
  <c r="E120"/>
  <c r="E121" s="1"/>
  <c r="D120"/>
  <c r="D121" s="1"/>
  <c r="N119"/>
  <c r="J119"/>
  <c r="J118"/>
  <c r="N117"/>
  <c r="H117"/>
  <c r="J117" s="1"/>
  <c r="N113"/>
  <c r="N120" s="1"/>
  <c r="N121" s="1"/>
  <c r="J113"/>
  <c r="J112"/>
  <c r="J111"/>
  <c r="J110"/>
  <c r="J109"/>
  <c r="K82"/>
  <c r="Q80"/>
  <c r="J80"/>
  <c r="Q79"/>
  <c r="J79"/>
  <c r="Q78"/>
  <c r="J78"/>
  <c r="Q77"/>
  <c r="J77"/>
  <c r="H77"/>
  <c r="Q76"/>
  <c r="J76"/>
  <c r="P75"/>
  <c r="Q75" s="1"/>
  <c r="O75"/>
  <c r="J75"/>
  <c r="J74" s="1"/>
  <c r="G75"/>
  <c r="P74"/>
  <c r="Q74" s="1"/>
  <c r="O74"/>
  <c r="N74"/>
  <c r="M74"/>
  <c r="L74"/>
  <c r="K74"/>
  <c r="I74"/>
  <c r="H74"/>
  <c r="G74"/>
  <c r="F74"/>
  <c r="E74"/>
  <c r="D74"/>
  <c r="Q73"/>
  <c r="N73"/>
  <c r="J73"/>
  <c r="Q72"/>
  <c r="N72"/>
  <c r="J72"/>
  <c r="Q71"/>
  <c r="N71"/>
  <c r="J71"/>
  <c r="Q70"/>
  <c r="N70"/>
  <c r="J70"/>
  <c r="Q69"/>
  <c r="N69"/>
  <c r="G69"/>
  <c r="J69" s="1"/>
  <c r="F69"/>
  <c r="D69"/>
  <c r="Q68"/>
  <c r="N68"/>
  <c r="J68"/>
  <c r="Q67"/>
  <c r="M67"/>
  <c r="N67" s="1"/>
  <c r="J67"/>
  <c r="G67"/>
  <c r="Q66"/>
  <c r="N66"/>
  <c r="J66"/>
  <c r="Q65"/>
  <c r="N65"/>
  <c r="J65"/>
  <c r="F65"/>
  <c r="E65"/>
  <c r="D65"/>
  <c r="Q64"/>
  <c r="N64"/>
  <c r="J64"/>
  <c r="Q63"/>
  <c r="N63"/>
  <c r="J63"/>
  <c r="Q62"/>
  <c r="N62"/>
  <c r="J62"/>
  <c r="Q61"/>
  <c r="N61"/>
  <c r="J61"/>
  <c r="Q60"/>
  <c r="N60"/>
  <c r="G60"/>
  <c r="J60" s="1"/>
  <c r="Q59"/>
  <c r="N59"/>
  <c r="Q58"/>
  <c r="N58"/>
  <c r="L58"/>
  <c r="J58"/>
  <c r="G58"/>
  <c r="Q57"/>
  <c r="N57"/>
  <c r="J57"/>
  <c r="G57"/>
  <c r="Q56"/>
  <c r="N56"/>
  <c r="K56"/>
  <c r="K43" s="1"/>
  <c r="J56"/>
  <c r="Q55"/>
  <c r="N55"/>
  <c r="J55"/>
  <c r="Q54"/>
  <c r="N54"/>
  <c r="J54"/>
  <c r="Q53"/>
  <c r="N53"/>
  <c r="Q52"/>
  <c r="N52"/>
  <c r="J52"/>
  <c r="Q51"/>
  <c r="N51"/>
  <c r="J51"/>
  <c r="Q50"/>
  <c r="N50"/>
  <c r="J50"/>
  <c r="P49"/>
  <c r="Q49" s="1"/>
  <c r="N49"/>
  <c r="J49"/>
  <c r="Q48"/>
  <c r="N48"/>
  <c r="J48"/>
  <c r="Q47"/>
  <c r="N47"/>
  <c r="J47"/>
  <c r="Q46"/>
  <c r="N46"/>
  <c r="Q45"/>
  <c r="N45"/>
  <c r="J45"/>
  <c r="Q44"/>
  <c r="N44"/>
  <c r="J44"/>
  <c r="O43"/>
  <c r="M43"/>
  <c r="L43"/>
  <c r="I43"/>
  <c r="H43"/>
  <c r="F43"/>
  <c r="E43"/>
  <c r="Q42"/>
  <c r="O42"/>
  <c r="N42"/>
  <c r="H42"/>
  <c r="G42"/>
  <c r="J42" s="1"/>
  <c r="E42"/>
  <c r="Q41"/>
  <c r="O41"/>
  <c r="N41"/>
  <c r="J41"/>
  <c r="H41"/>
  <c r="Q40"/>
  <c r="O40"/>
  <c r="N40"/>
  <c r="J40"/>
  <c r="H40"/>
  <c r="Q39"/>
  <c r="O39"/>
  <c r="N39"/>
  <c r="L39"/>
  <c r="J39"/>
  <c r="H39"/>
  <c r="Q38"/>
  <c r="O38"/>
  <c r="N38"/>
  <c r="J38"/>
  <c r="H38"/>
  <c r="Q37"/>
  <c r="O37"/>
  <c r="N37"/>
  <c r="J37"/>
  <c r="H37"/>
  <c r="Q36"/>
  <c r="O36"/>
  <c r="N36"/>
  <c r="J36"/>
  <c r="H36"/>
  <c r="Q35"/>
  <c r="O35"/>
  <c r="N35"/>
  <c r="L35"/>
  <c r="J35"/>
  <c r="H35"/>
  <c r="Q34"/>
  <c r="O34"/>
  <c r="N34"/>
  <c r="L34"/>
  <c r="J34"/>
  <c r="H34"/>
  <c r="Q33"/>
  <c r="Q32" s="1"/>
  <c r="O33"/>
  <c r="N33"/>
  <c r="L33"/>
  <c r="L32" s="1"/>
  <c r="J33"/>
  <c r="H33"/>
  <c r="F33"/>
  <c r="F32" s="1"/>
  <c r="E33"/>
  <c r="E32" s="1"/>
  <c r="D33"/>
  <c r="D32" s="1"/>
  <c r="P32"/>
  <c r="M32"/>
  <c r="K32"/>
  <c r="I32"/>
  <c r="L31"/>
  <c r="N30"/>
  <c r="G30"/>
  <c r="J30" s="1"/>
  <c r="N29"/>
  <c r="H29"/>
  <c r="G29"/>
  <c r="J29" s="1"/>
  <c r="N28"/>
  <c r="M28"/>
  <c r="M81" s="1"/>
  <c r="L28"/>
  <c r="K28"/>
  <c r="K84" s="1"/>
  <c r="I28"/>
  <c r="I84" s="1"/>
  <c r="H28"/>
  <c r="G28"/>
  <c r="F28"/>
  <c r="E28"/>
  <c r="E84" s="1"/>
  <c r="D28"/>
  <c r="L27"/>
  <c r="L26"/>
  <c r="L24"/>
  <c r="P23"/>
  <c r="P25" s="1"/>
  <c r="O23"/>
  <c r="O25" s="1"/>
  <c r="K23"/>
  <c r="K25" s="1"/>
  <c r="I23"/>
  <c r="I25" s="1"/>
  <c r="I86" s="1"/>
  <c r="D23"/>
  <c r="D25" s="1"/>
  <c r="N22"/>
  <c r="G22"/>
  <c r="J22" s="1"/>
  <c r="Q21"/>
  <c r="M21"/>
  <c r="N21" s="1"/>
  <c r="L21"/>
  <c r="J21"/>
  <c r="F21"/>
  <c r="F23" s="1"/>
  <c r="F25" s="1"/>
  <c r="E21"/>
  <c r="E23" s="1"/>
  <c r="E25" s="1"/>
  <c r="Q20"/>
  <c r="N20"/>
  <c r="J20"/>
  <c r="Q19"/>
  <c r="N19"/>
  <c r="M19"/>
  <c r="Q18"/>
  <c r="N18"/>
  <c r="H18"/>
  <c r="G18"/>
  <c r="J18" s="1"/>
  <c r="Q17"/>
  <c r="M17"/>
  <c r="M23" s="1"/>
  <c r="N23" s="1"/>
  <c r="N25" s="1"/>
  <c r="L17"/>
  <c r="H17"/>
  <c r="H23" s="1"/>
  <c r="H25" s="1"/>
  <c r="G17"/>
  <c r="J17" s="1"/>
  <c r="Q23" l="1"/>
  <c r="Q25" s="1"/>
  <c r="L23"/>
  <c r="D43"/>
  <c r="J43"/>
  <c r="J120"/>
  <c r="J121" s="1"/>
  <c r="J82" s="1"/>
  <c r="N17"/>
  <c r="F81"/>
  <c r="K86"/>
  <c r="M84"/>
  <c r="E81"/>
  <c r="L81"/>
  <c r="N32"/>
  <c r="N81" s="1"/>
  <c r="Q43"/>
  <c r="G43"/>
  <c r="N43"/>
  <c r="I81"/>
  <c r="O32"/>
  <c r="O84" s="1"/>
  <c r="O86" s="1"/>
  <c r="H32"/>
  <c r="H81" s="1"/>
  <c r="J32"/>
  <c r="J81" s="1"/>
  <c r="J28"/>
  <c r="G32"/>
  <c r="G84" s="1"/>
  <c r="Q84"/>
  <c r="Q81"/>
  <c r="E86"/>
  <c r="D84"/>
  <c r="D86" s="1"/>
  <c r="D81"/>
  <c r="J23"/>
  <c r="J25" s="1"/>
  <c r="Q86"/>
  <c r="L25"/>
  <c r="L84"/>
  <c r="F84"/>
  <c r="F86" s="1"/>
  <c r="G23"/>
  <c r="G25" s="1"/>
  <c r="P43"/>
  <c r="P81" s="1"/>
  <c r="G81"/>
  <c r="K81"/>
  <c r="O81"/>
  <c r="H120"/>
  <c r="H121" s="1"/>
  <c r="H82" s="1"/>
  <c r="H84" s="1"/>
  <c r="H86" s="1"/>
  <c r="N84"/>
  <c r="N86" s="1"/>
  <c r="M25"/>
  <c r="M86" s="1"/>
  <c r="J84" l="1"/>
  <c r="J86" s="1"/>
  <c r="G86"/>
  <c r="P84"/>
  <c r="P86" s="1"/>
  <c r="L86"/>
</calcChain>
</file>

<file path=xl/sharedStrings.xml><?xml version="1.0" encoding="utf-8"?>
<sst xmlns="http://schemas.openxmlformats.org/spreadsheetml/2006/main" count="120" uniqueCount="98">
  <si>
    <t>PROPOSED BUDGET 2014/2015 FINANCIAL YEAR</t>
  </si>
  <si>
    <t>DESCRIPTION</t>
  </si>
  <si>
    <t>2010/2011</t>
  </si>
  <si>
    <t>2011/2012</t>
  </si>
  <si>
    <t>2012/2013</t>
  </si>
  <si>
    <t xml:space="preserve">           Current Year 2013/2014</t>
  </si>
  <si>
    <t>2014/15 Medium Term Revenue &amp; Expenditure Framework</t>
  </si>
  <si>
    <t>Audited Outcome</t>
  </si>
  <si>
    <t>Original Budget</t>
  </si>
  <si>
    <t>Amended Budget 2011/12</t>
  </si>
  <si>
    <t>First Quater Actual</t>
  </si>
  <si>
    <t>2014/15</t>
  </si>
  <si>
    <t>Actual to December 2013</t>
  </si>
  <si>
    <t>Forecast to Dec 2013</t>
  </si>
  <si>
    <t>Adjusted Budget</t>
  </si>
  <si>
    <t>Full Year Forecast</t>
  </si>
  <si>
    <t>2015/16</t>
  </si>
  <si>
    <t>2016/17</t>
  </si>
  <si>
    <t>INCOME</t>
  </si>
  <si>
    <t>Rental Income</t>
  </si>
  <si>
    <t>Admin Fee</t>
  </si>
  <si>
    <t>Grant- Municipality</t>
  </si>
  <si>
    <t>Fair Value adjustment of property</t>
  </si>
  <si>
    <t>Interest Received</t>
  </si>
  <si>
    <t>Bad debt reversal</t>
  </si>
  <si>
    <t>TOTAL OPERATIONAL INCOME</t>
  </si>
  <si>
    <t>TOTAL INCOME</t>
  </si>
  <si>
    <t>EXPENDITURE</t>
  </si>
  <si>
    <t>DIRECTORS EMOLUMENTS</t>
  </si>
  <si>
    <t>Directors -Subsistence, accomodation &amp; Travel</t>
  </si>
  <si>
    <t>Directors - Remuneration</t>
  </si>
  <si>
    <t>EMPLOYMENT COST</t>
  </si>
  <si>
    <t>Salaries</t>
  </si>
  <si>
    <t>UIF</t>
  </si>
  <si>
    <t xml:space="preserve">Medical aid </t>
  </si>
  <si>
    <t>Provident fund</t>
  </si>
  <si>
    <t>13 Cheque</t>
  </si>
  <si>
    <t>Workmanns Compensations</t>
  </si>
  <si>
    <t>Skills Development Levy</t>
  </si>
  <si>
    <t>Temporary Staff</t>
  </si>
  <si>
    <t>Overtime</t>
  </si>
  <si>
    <t>Housing</t>
  </si>
  <si>
    <t>GENERAL EXPENSES</t>
  </si>
  <si>
    <t>Advertising, Marketing &amp; Promotion</t>
  </si>
  <si>
    <t>Audit fees</t>
  </si>
  <si>
    <t xml:space="preserve"> Accounting Fees</t>
  </si>
  <si>
    <t>Bank Charges</t>
  </si>
  <si>
    <t>Landscapping and garden services</t>
  </si>
  <si>
    <t>Communications -  Telephone and Cellphone</t>
  </si>
  <si>
    <t>Communications - Internet &amp; Telephone</t>
  </si>
  <si>
    <t>Credit Checks</t>
  </si>
  <si>
    <t>Depreciation,amortisation and Impairments</t>
  </si>
  <si>
    <t>Debt Impairment</t>
  </si>
  <si>
    <t>Motor vehicle expenses - Fuel</t>
  </si>
  <si>
    <t>Motor vehicle expenses - Repairs</t>
  </si>
  <si>
    <t>Institute Membership Fees</t>
  </si>
  <si>
    <t>Insurance</t>
  </si>
  <si>
    <t>NHFC Repayment</t>
  </si>
  <si>
    <t>IT Infrastructure and maintenance</t>
  </si>
  <si>
    <t>Software Licences</t>
  </si>
  <si>
    <t>Postage &amp; Courier</t>
  </si>
  <si>
    <t>Printing and Stationery</t>
  </si>
  <si>
    <t>Professional Fees</t>
  </si>
  <si>
    <t>Rates and taxes(Ga Rena)</t>
  </si>
  <si>
    <t>Office groceries</t>
  </si>
  <si>
    <t>Rental - External Equipment</t>
  </si>
  <si>
    <t xml:space="preserve">Security </t>
  </si>
  <si>
    <t>Subsistence and Travel</t>
  </si>
  <si>
    <t>Seminars and workshops</t>
  </si>
  <si>
    <t>Tenant training</t>
  </si>
  <si>
    <t>Safety clothing</t>
  </si>
  <si>
    <t>Legal expenses</t>
  </si>
  <si>
    <t>Valuation fees</t>
  </si>
  <si>
    <t>REPAIRS AND MAINTENANCE</t>
  </si>
  <si>
    <t>Repairs &amp; Maintenance - Office</t>
  </si>
  <si>
    <t>Repairs &amp; Maintenance - Office Furniture &amp; Equipment</t>
  </si>
  <si>
    <t>Repairs &amp; Renovations - Buildings Garena</t>
  </si>
  <si>
    <t>Maintenance management- Garena</t>
  </si>
  <si>
    <t>Repairs &amp; maintenance - Vehicle</t>
  </si>
  <si>
    <t>Repairs &amp; maintenance - IT and Computer</t>
  </si>
  <si>
    <t>TOTAL OPERATIONAL COST</t>
  </si>
  <si>
    <t>CAPITAL BUDGET</t>
  </si>
  <si>
    <t>TOTAL EXPENSES</t>
  </si>
  <si>
    <t xml:space="preserve">SURPLUS/(DEFICIT) </t>
  </si>
  <si>
    <t xml:space="preserve">Medium Term Revenue </t>
  </si>
  <si>
    <t>Construction Cost - 492 Units</t>
  </si>
  <si>
    <t>Project Management Cost</t>
  </si>
  <si>
    <t>Project costs phase two(492 units)</t>
  </si>
  <si>
    <t>Refurbishment of office premises</t>
  </si>
  <si>
    <t>Furniture and fittings</t>
  </si>
  <si>
    <t>On site Projects (Security Access)</t>
  </si>
  <si>
    <t>Access control system</t>
  </si>
  <si>
    <t>Kithen utensils</t>
  </si>
  <si>
    <t>Computer costs</t>
  </si>
  <si>
    <t>Office equipment</t>
  </si>
  <si>
    <t>Improvement on buildings(building assessment)</t>
  </si>
  <si>
    <t>CAPEX without projet costs</t>
  </si>
  <si>
    <t>TOTAL  CAPITAL EXPENDITURE</t>
  </si>
</sst>
</file>

<file path=xl/styles.xml><?xml version="1.0" encoding="utf-8"?>
<styleSheet xmlns="http://schemas.openxmlformats.org/spreadsheetml/2006/main">
  <numFmts count="3">
    <numFmt numFmtId="41" formatCode="_ * #,##0_ ;_ * \-#,##0_ ;_ * &quot;-&quot;_ ;_ @_ "/>
    <numFmt numFmtId="43" formatCode="_ * #,##0.00_ ;_ * \-#,##0.00_ ;_ * &quot;-&quot;??_ ;_ @_ "/>
    <numFmt numFmtId="164" formatCode="_-* #,##0_-;\-* #,##0_-;_-* &quot;-&quot;_-;_-@_-"/>
  </numFmts>
  <fonts count="6">
    <font>
      <sz val="11"/>
      <color theme="1"/>
      <name val="Calibri"/>
      <family val="2"/>
      <scheme val="minor"/>
    </font>
    <font>
      <b/>
      <sz val="8"/>
      <color theme="1"/>
      <name val="Arial Narrow"/>
      <family val="2"/>
    </font>
    <font>
      <sz val="8"/>
      <color theme="1"/>
      <name val="Arial Narrow"/>
      <family val="2"/>
    </font>
    <font>
      <b/>
      <sz val="8"/>
      <name val="Arial Narrow"/>
      <family val="2"/>
    </font>
    <font>
      <sz val="8"/>
      <color theme="1"/>
      <name val="Calibri"/>
      <family val="2"/>
      <scheme val="minor"/>
    </font>
    <font>
      <sz val="8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</borders>
  <cellStyleXfs count="1">
    <xf numFmtId="0" fontId="0" fillId="0" borderId="0"/>
  </cellStyleXfs>
  <cellXfs count="57">
    <xf numFmtId="0" fontId="0" fillId="0" borderId="0" xfId="0"/>
    <xf numFmtId="0" fontId="1" fillId="0" borderId="0" xfId="0" applyFont="1"/>
    <xf numFmtId="0" fontId="2" fillId="0" borderId="0" xfId="0" applyFont="1" applyBorder="1"/>
    <xf numFmtId="0" fontId="2" fillId="0" borderId="0" xfId="0" applyFont="1"/>
    <xf numFmtId="43" fontId="2" fillId="0" borderId="0" xfId="0" applyNumberFormat="1" applyFont="1"/>
    <xf numFmtId="0" fontId="2" fillId="0" borderId="1" xfId="0" applyFont="1" applyBorder="1"/>
    <xf numFmtId="164" fontId="3" fillId="0" borderId="0" xfId="0" applyNumberFormat="1" applyFont="1" applyFill="1" applyBorder="1" applyAlignment="1">
      <alignment horizontal="center" vertical="justify" wrapText="1"/>
    </xf>
    <xf numFmtId="164" fontId="3" fillId="0" borderId="3" xfId="0" quotePrefix="1" applyNumberFormat="1" applyFont="1" applyFill="1" applyBorder="1" applyAlignment="1">
      <alignment horizontal="center" vertical="justify" wrapText="1"/>
    </xf>
    <xf numFmtId="0" fontId="1" fillId="0" borderId="2" xfId="0" applyFont="1" applyBorder="1" applyAlignment="1">
      <alignment horizontal="center" wrapText="1"/>
    </xf>
    <xf numFmtId="0" fontId="1" fillId="0" borderId="3" xfId="0" applyFont="1" applyBorder="1" applyAlignment="1">
      <alignment horizontal="center" wrapText="1"/>
    </xf>
    <xf numFmtId="0" fontId="1" fillId="0" borderId="4" xfId="0" applyFont="1" applyBorder="1" applyAlignment="1">
      <alignment horizontal="center" wrapText="1"/>
    </xf>
    <xf numFmtId="164" fontId="3" fillId="0" borderId="3" xfId="0" applyNumberFormat="1" applyFont="1" applyFill="1" applyBorder="1" applyAlignment="1">
      <alignment horizontal="center" vertical="justify" wrapText="1"/>
    </xf>
    <xf numFmtId="164" fontId="3" fillId="0" borderId="3" xfId="0" applyNumberFormat="1" applyFont="1" applyFill="1" applyBorder="1" applyAlignment="1">
      <alignment horizontal="center" wrapText="1"/>
    </xf>
    <xf numFmtId="164" fontId="3" fillId="0" borderId="3" xfId="0" quotePrefix="1" applyNumberFormat="1" applyFont="1" applyFill="1" applyBorder="1" applyAlignment="1">
      <alignment horizontal="center" wrapText="1"/>
    </xf>
    <xf numFmtId="43" fontId="1" fillId="0" borderId="3" xfId="0" applyNumberFormat="1" applyFont="1" applyBorder="1" applyAlignment="1">
      <alignment horizontal="center" wrapText="1"/>
    </xf>
    <xf numFmtId="0" fontId="1" fillId="0" borderId="3" xfId="0" applyFont="1" applyBorder="1" applyAlignment="1">
      <alignment wrapText="1"/>
    </xf>
    <xf numFmtId="0" fontId="1" fillId="0" borderId="3" xfId="0" quotePrefix="1" applyFont="1" applyBorder="1" applyAlignment="1">
      <alignment wrapText="1"/>
    </xf>
    <xf numFmtId="164" fontId="3" fillId="0" borderId="7" xfId="0" applyNumberFormat="1" applyFont="1" applyFill="1" applyBorder="1"/>
    <xf numFmtId="0" fontId="2" fillId="0" borderId="2" xfId="0" applyFont="1" applyBorder="1"/>
    <xf numFmtId="0" fontId="2" fillId="0" borderId="8" xfId="0" applyFont="1" applyBorder="1"/>
    <xf numFmtId="164" fontId="5" fillId="0" borderId="7" xfId="0" applyNumberFormat="1" applyFont="1" applyFill="1" applyBorder="1"/>
    <xf numFmtId="41" fontId="2" fillId="0" borderId="8" xfId="0" applyNumberFormat="1" applyFont="1" applyBorder="1"/>
    <xf numFmtId="41" fontId="1" fillId="0" borderId="8" xfId="0" applyNumberFormat="1" applyFont="1" applyBorder="1"/>
    <xf numFmtId="41" fontId="3" fillId="0" borderId="8" xfId="0" applyNumberFormat="1" applyFont="1" applyFill="1" applyBorder="1"/>
    <xf numFmtId="43" fontId="2" fillId="0" borderId="0" xfId="0" applyNumberFormat="1" applyFont="1" applyBorder="1"/>
    <xf numFmtId="41" fontId="2" fillId="0" borderId="0" xfId="0" applyNumberFormat="1" applyFont="1" applyBorder="1"/>
    <xf numFmtId="41" fontId="2" fillId="0" borderId="0" xfId="0" applyNumberFormat="1" applyFont="1" applyFill="1" applyBorder="1"/>
    <xf numFmtId="164" fontId="5" fillId="0" borderId="9" xfId="0" applyNumberFormat="1" applyFont="1" applyFill="1" applyBorder="1"/>
    <xf numFmtId="41" fontId="2" fillId="0" borderId="6" xfId="0" applyNumberFormat="1" applyFont="1" applyBorder="1"/>
    <xf numFmtId="41" fontId="3" fillId="0" borderId="6" xfId="0" applyNumberFormat="1" applyFont="1" applyFill="1" applyBorder="1"/>
    <xf numFmtId="41" fontId="2" fillId="0" borderId="3" xfId="0" applyNumberFormat="1" applyFont="1" applyBorder="1"/>
    <xf numFmtId="41" fontId="2" fillId="0" borderId="4" xfId="0" applyNumberFormat="1" applyFont="1" applyBorder="1"/>
    <xf numFmtId="43" fontId="2" fillId="0" borderId="3" xfId="0" applyNumberFormat="1" applyFont="1" applyBorder="1"/>
    <xf numFmtId="41" fontId="2" fillId="0" borderId="3" xfId="0" applyNumberFormat="1" applyFont="1" applyFill="1" applyBorder="1"/>
    <xf numFmtId="0" fontId="2" fillId="0" borderId="3" xfId="0" applyFont="1" applyBorder="1"/>
    <xf numFmtId="41" fontId="3" fillId="0" borderId="3" xfId="0" applyNumberFormat="1" applyFont="1" applyFill="1" applyBorder="1"/>
    <xf numFmtId="41" fontId="3" fillId="0" borderId="4" xfId="0" applyNumberFormat="1" applyFont="1" applyFill="1" applyBorder="1"/>
    <xf numFmtId="164" fontId="3" fillId="0" borderId="4" xfId="0" applyNumberFormat="1" applyFont="1" applyFill="1" applyBorder="1"/>
    <xf numFmtId="164" fontId="5" fillId="0" borderId="0" xfId="0" applyNumberFormat="1" applyFont="1" applyFill="1" applyBorder="1"/>
    <xf numFmtId="41" fontId="2" fillId="0" borderId="0" xfId="0" applyNumberFormat="1" applyFont="1"/>
    <xf numFmtId="0" fontId="1" fillId="0" borderId="3" xfId="0" applyFont="1" applyBorder="1"/>
    <xf numFmtId="0" fontId="1" fillId="0" borderId="2" xfId="0" applyFont="1" applyBorder="1"/>
    <xf numFmtId="0" fontId="2" fillId="0" borderId="3" xfId="0" quotePrefix="1" applyFont="1" applyBorder="1"/>
    <xf numFmtId="0" fontId="2" fillId="0" borderId="4" xfId="0" applyFont="1" applyBorder="1"/>
    <xf numFmtId="41" fontId="1" fillId="0" borderId="3" xfId="0" applyNumberFormat="1" applyFont="1" applyBorder="1"/>
    <xf numFmtId="41" fontId="1" fillId="0" borderId="4" xfId="0" applyNumberFormat="1" applyFont="1" applyBorder="1"/>
    <xf numFmtId="164" fontId="3" fillId="0" borderId="0" xfId="0" applyNumberFormat="1" applyFont="1" applyFill="1" applyBorder="1" applyAlignment="1">
      <alignment horizontal="center" vertical="justify" wrapText="1"/>
    </xf>
    <xf numFmtId="164" fontId="3" fillId="0" borderId="2" xfId="0" applyNumberFormat="1" applyFont="1" applyFill="1" applyBorder="1" applyAlignment="1">
      <alignment horizontal="left" vertical="center"/>
    </xf>
    <xf numFmtId="164" fontId="2" fillId="0" borderId="6" xfId="0" applyNumberFormat="1" applyFont="1" applyFill="1" applyBorder="1" applyAlignment="1">
      <alignment horizontal="left" vertical="center"/>
    </xf>
    <xf numFmtId="164" fontId="3" fillId="0" borderId="4" xfId="0" applyNumberFormat="1" applyFont="1" applyFill="1" applyBorder="1" applyAlignment="1">
      <alignment horizontal="center" vertical="justify" wrapText="1"/>
    </xf>
    <xf numFmtId="0" fontId="4" fillId="0" borderId="5" xfId="0" applyFont="1" applyBorder="1" applyAlignment="1">
      <alignment horizontal="center" wrapText="1"/>
    </xf>
    <xf numFmtId="0" fontId="4" fillId="0" borderId="1" xfId="0" applyFont="1" applyBorder="1" applyAlignment="1">
      <alignment horizontal="center" wrapText="1"/>
    </xf>
    <xf numFmtId="0" fontId="1" fillId="0" borderId="4" xfId="0" applyFont="1" applyBorder="1" applyAlignment="1">
      <alignment wrapText="1"/>
    </xf>
    <xf numFmtId="0" fontId="4" fillId="0" borderId="5" xfId="0" applyFont="1" applyBorder="1" applyAlignment="1">
      <alignment wrapText="1"/>
    </xf>
    <xf numFmtId="0" fontId="4" fillId="0" borderId="1" xfId="0" applyFont="1" applyBorder="1" applyAlignment="1">
      <alignment wrapText="1"/>
    </xf>
    <xf numFmtId="164" fontId="3" fillId="0" borderId="10" xfId="0" applyNumberFormat="1" applyFont="1" applyFill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1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485775</xdr:colOff>
      <xdr:row>1</xdr:row>
      <xdr:rowOff>47625</xdr:rowOff>
    </xdr:from>
    <xdr:to>
      <xdr:col>2</xdr:col>
      <xdr:colOff>1857375</xdr:colOff>
      <xdr:row>7</xdr:row>
      <xdr:rowOff>104775</xdr:rowOff>
    </xdr:to>
    <xdr:pic>
      <xdr:nvPicPr>
        <xdr:cNvPr id="2" name="Picture 1" descr="diary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771525" y="209550"/>
          <a:ext cx="1371600" cy="1028700"/>
        </a:xfrm>
        <a:prstGeom prst="rect">
          <a:avLst/>
        </a:prstGeom>
        <a:noFill/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wilkenn/AppData/Local/Microsoft/Windows/Temporary%20Internet%20Files/Content.Outlook/Y90KMWLM/draft%20budget%20201415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not applicable"/>
      <sheetName val="not applicable1"/>
      <sheetName val=" budget"/>
      <sheetName val="income"/>
      <sheetName val="staff"/>
      <sheetName val="directors"/>
      <sheetName val="cash flow projection"/>
      <sheetName val="sheet2"/>
      <sheetName val="sheet3"/>
      <sheetName val="sheet4"/>
      <sheetName val="Sheet5"/>
    </sheetNames>
    <sheetDataSet>
      <sheetData sheetId="0"/>
      <sheetData sheetId="1"/>
      <sheetData sheetId="2"/>
      <sheetData sheetId="3">
        <row r="27">
          <cell r="L27">
            <v>12308110.4</v>
          </cell>
        </row>
        <row r="35">
          <cell r="L35">
            <v>57800</v>
          </cell>
        </row>
      </sheetData>
      <sheetData sheetId="4">
        <row r="22">
          <cell r="D22">
            <v>3746259.08085</v>
          </cell>
          <cell r="E22">
            <v>202806.39999999999</v>
          </cell>
          <cell r="F22">
            <v>160868.6973</v>
          </cell>
          <cell r="G22">
            <v>199190.997</v>
          </cell>
          <cell r="H22">
            <v>90000</v>
          </cell>
          <cell r="I22">
            <v>25418.947139999997</v>
          </cell>
          <cell r="J22">
            <v>28310.857110000001</v>
          </cell>
          <cell r="K22">
            <v>675</v>
          </cell>
        </row>
        <row r="26">
          <cell r="D26">
            <v>10000</v>
          </cell>
        </row>
        <row r="27">
          <cell r="D27">
            <v>40000</v>
          </cell>
        </row>
      </sheetData>
      <sheetData sheetId="5">
        <row r="16">
          <cell r="J16">
            <v>227051.44</v>
          </cell>
        </row>
        <row r="29">
          <cell r="J29">
            <v>1122763.8</v>
          </cell>
        </row>
      </sheetData>
      <sheetData sheetId="6"/>
      <sheetData sheetId="7"/>
      <sheetData sheetId="8"/>
      <sheetData sheetId="9"/>
      <sheetData sheetId="10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>
  <dimension ref="C10:T133"/>
  <sheetViews>
    <sheetView tabSelected="1" topLeftCell="B1" workbookViewId="0">
      <selection activeCell="F6" sqref="F6"/>
    </sheetView>
  </sheetViews>
  <sheetFormatPr defaultColWidth="8.85546875" defaultRowHeight="12.75"/>
  <cols>
    <col min="1" max="1" width="0" style="3" hidden="1" customWidth="1"/>
    <col min="2" max="2" width="4.28515625" style="3" customWidth="1"/>
    <col min="3" max="3" width="41.140625" style="3" customWidth="1"/>
    <col min="4" max="4" width="10.140625" style="3" customWidth="1"/>
    <col min="5" max="5" width="11.140625" style="3" customWidth="1"/>
    <col min="6" max="6" width="13.140625" style="3" customWidth="1"/>
    <col min="7" max="7" width="11.85546875" style="3" customWidth="1"/>
    <col min="8" max="8" width="12" style="3" hidden="1" customWidth="1"/>
    <col min="9" max="9" width="10.85546875" style="3" hidden="1" customWidth="1"/>
    <col min="10" max="10" width="20.5703125" style="3" hidden="1" customWidth="1"/>
    <col min="11" max="11" width="14.7109375" style="4" hidden="1" customWidth="1"/>
    <col min="12" max="12" width="12.140625" style="3" hidden="1" customWidth="1"/>
    <col min="13" max="13" width="13.42578125" style="3" bestFit="1" customWidth="1"/>
    <col min="14" max="14" width="13.42578125" style="3" customWidth="1"/>
    <col min="15" max="16" width="11.28515625" style="3" bestFit="1" customWidth="1"/>
    <col min="17" max="17" width="10.85546875" style="3" customWidth="1"/>
    <col min="18" max="18" width="9.7109375" style="3" bestFit="1" customWidth="1"/>
    <col min="19" max="19" width="12.28515625" style="3" bestFit="1" customWidth="1"/>
    <col min="20" max="16384" width="8.85546875" style="3"/>
  </cols>
  <sheetData>
    <row r="10" spans="3:17">
      <c r="C10" s="1" t="s">
        <v>0</v>
      </c>
      <c r="D10" s="2"/>
      <c r="E10" s="2"/>
      <c r="F10" s="2"/>
      <c r="G10" s="2"/>
      <c r="H10" s="2"/>
      <c r="I10" s="2"/>
    </row>
    <row r="11" spans="3:17">
      <c r="D11" s="46"/>
      <c r="E11" s="46"/>
      <c r="F11" s="46"/>
      <c r="G11" s="46"/>
      <c r="H11" s="46"/>
      <c r="I11" s="46"/>
      <c r="J11" s="5"/>
    </row>
    <row r="12" spans="3:17">
      <c r="D12" s="6"/>
      <c r="E12" s="6"/>
      <c r="F12" s="6"/>
      <c r="G12" s="6"/>
      <c r="H12" s="6"/>
      <c r="I12" s="6"/>
    </row>
    <row r="13" spans="3:17">
      <c r="C13" s="47" t="s">
        <v>1</v>
      </c>
      <c r="D13" s="7" t="s">
        <v>2</v>
      </c>
      <c r="E13" s="7" t="s">
        <v>3</v>
      </c>
      <c r="F13" s="7" t="s">
        <v>4</v>
      </c>
      <c r="G13" s="49" t="s">
        <v>5</v>
      </c>
      <c r="H13" s="50"/>
      <c r="I13" s="50"/>
      <c r="J13" s="50"/>
      <c r="K13" s="50"/>
      <c r="L13" s="50"/>
      <c r="M13" s="50"/>
      <c r="N13" s="51"/>
      <c r="O13" s="52" t="s">
        <v>6</v>
      </c>
      <c r="P13" s="53"/>
      <c r="Q13" s="54"/>
    </row>
    <row r="14" spans="3:17" ht="25.5">
      <c r="C14" s="48"/>
      <c r="D14" s="8" t="s">
        <v>7</v>
      </c>
      <c r="E14" s="9" t="s">
        <v>7</v>
      </c>
      <c r="F14" s="10" t="s">
        <v>7</v>
      </c>
      <c r="G14" s="11" t="s">
        <v>8</v>
      </c>
      <c r="H14" s="12" t="s">
        <v>9</v>
      </c>
      <c r="I14" s="12" t="s">
        <v>10</v>
      </c>
      <c r="J14" s="13" t="s">
        <v>11</v>
      </c>
      <c r="K14" s="14" t="s">
        <v>12</v>
      </c>
      <c r="L14" s="8" t="s">
        <v>13</v>
      </c>
      <c r="M14" s="10" t="s">
        <v>14</v>
      </c>
      <c r="N14" s="10" t="s">
        <v>15</v>
      </c>
      <c r="O14" s="15" t="s">
        <v>11</v>
      </c>
      <c r="P14" s="15" t="s">
        <v>16</v>
      </c>
      <c r="Q14" s="16" t="s">
        <v>17</v>
      </c>
    </row>
    <row r="15" spans="3:17">
      <c r="C15" s="17"/>
      <c r="D15" s="18"/>
      <c r="E15" s="18"/>
      <c r="F15" s="18"/>
      <c r="G15" s="18"/>
      <c r="H15" s="18"/>
      <c r="I15" s="18"/>
      <c r="J15" s="18"/>
      <c r="K15" s="18"/>
      <c r="L15" s="18"/>
      <c r="M15" s="18"/>
      <c r="N15" s="18"/>
      <c r="O15" s="18"/>
      <c r="P15" s="18"/>
      <c r="Q15" s="18"/>
    </row>
    <row r="16" spans="3:17">
      <c r="C16" s="17" t="s">
        <v>18</v>
      </c>
      <c r="D16" s="19"/>
      <c r="E16" s="19"/>
      <c r="F16" s="19"/>
      <c r="G16" s="19"/>
      <c r="H16" s="19"/>
      <c r="I16" s="19"/>
      <c r="J16" s="19"/>
      <c r="K16" s="19"/>
      <c r="L16" s="19"/>
      <c r="M16" s="19"/>
      <c r="N16" s="19"/>
      <c r="O16" s="19"/>
      <c r="P16" s="19"/>
      <c r="Q16" s="19"/>
    </row>
    <row r="17" spans="3:20">
      <c r="C17" s="20" t="s">
        <v>19</v>
      </c>
      <c r="D17" s="21">
        <v>10069286</v>
      </c>
      <c r="E17" s="21">
        <v>10343912</v>
      </c>
      <c r="F17" s="21">
        <v>10393100</v>
      </c>
      <c r="G17" s="21">
        <f>[1]income!L27</f>
        <v>12308110.4</v>
      </c>
      <c r="H17" s="21">
        <f>876540*9</f>
        <v>7888860</v>
      </c>
      <c r="I17" s="21">
        <v>2612860</v>
      </c>
      <c r="J17" s="21">
        <f>G17*1.1</f>
        <v>13538921.440000001</v>
      </c>
      <c r="K17" s="21">
        <v>5171273.7300000004</v>
      </c>
      <c r="L17" s="21">
        <f>3434048.73+1721400</f>
        <v>5155448.7300000004</v>
      </c>
      <c r="M17" s="21">
        <f>(876540*12)</f>
        <v>10518480</v>
      </c>
      <c r="N17" s="21">
        <f>M17</f>
        <v>10518480</v>
      </c>
      <c r="O17" s="21">
        <v>12308110</v>
      </c>
      <c r="P17" s="21">
        <v>33345070</v>
      </c>
      <c r="Q17" s="21">
        <f>P17*1.05</f>
        <v>35012323.5</v>
      </c>
    </row>
    <row r="18" spans="3:20">
      <c r="C18" s="20" t="s">
        <v>20</v>
      </c>
      <c r="D18" s="21">
        <v>23300</v>
      </c>
      <c r="E18" s="21">
        <v>16400</v>
      </c>
      <c r="F18" s="21">
        <v>32800</v>
      </c>
      <c r="G18" s="21">
        <f>[1]income!L35</f>
        <v>57800</v>
      </c>
      <c r="H18" s="21">
        <f>16000</f>
        <v>16000</v>
      </c>
      <c r="I18" s="21"/>
      <c r="J18" s="21">
        <f>G18*1.1</f>
        <v>63580.000000000007</v>
      </c>
      <c r="K18" s="21">
        <v>4400</v>
      </c>
      <c r="L18" s="21">
        <v>3600</v>
      </c>
      <c r="M18" s="21">
        <v>48000</v>
      </c>
      <c r="N18" s="21">
        <f t="shared" ref="N18:N22" si="0">M18</f>
        <v>48000</v>
      </c>
      <c r="O18" s="21">
        <v>63580</v>
      </c>
      <c r="P18" s="21">
        <v>69938</v>
      </c>
      <c r="Q18" s="21">
        <f t="shared" ref="Q18:Q21" si="1">P18*1.05</f>
        <v>73434.900000000009</v>
      </c>
    </row>
    <row r="19" spans="3:20">
      <c r="C19" s="20" t="s">
        <v>21</v>
      </c>
      <c r="D19" s="21"/>
      <c r="E19" s="21">
        <v>5881695</v>
      </c>
      <c r="F19" s="21">
        <v>5300000</v>
      </c>
      <c r="G19" s="21">
        <v>4900000</v>
      </c>
      <c r="H19" s="21">
        <v>5881694.5</v>
      </c>
      <c r="I19" s="21"/>
      <c r="J19" s="21">
        <v>3000000</v>
      </c>
      <c r="K19" s="21">
        <v>4900000</v>
      </c>
      <c r="L19" s="21">
        <v>4900000</v>
      </c>
      <c r="M19" s="21">
        <f>4900000+1800000</f>
        <v>6700000</v>
      </c>
      <c r="N19" s="21">
        <f t="shared" si="0"/>
        <v>6700000</v>
      </c>
      <c r="O19" s="21">
        <v>5000000</v>
      </c>
      <c r="P19" s="21">
        <v>2600000</v>
      </c>
      <c r="Q19" s="21">
        <f t="shared" si="1"/>
        <v>2730000</v>
      </c>
    </row>
    <row r="20" spans="3:20">
      <c r="C20" s="20" t="s">
        <v>22</v>
      </c>
      <c r="D20" s="21">
        <v>9270677</v>
      </c>
      <c r="E20" s="21"/>
      <c r="F20" s="21"/>
      <c r="G20" s="21"/>
      <c r="H20" s="21"/>
      <c r="I20" s="21"/>
      <c r="J20" s="21">
        <f>G20*1.1</f>
        <v>0</v>
      </c>
      <c r="K20" s="21"/>
      <c r="L20" s="21"/>
      <c r="M20" s="21"/>
      <c r="N20" s="21">
        <f t="shared" si="0"/>
        <v>0</v>
      </c>
      <c r="O20" s="21"/>
      <c r="P20" s="21"/>
      <c r="Q20" s="21">
        <f t="shared" si="1"/>
        <v>0</v>
      </c>
    </row>
    <row r="21" spans="3:20">
      <c r="C21" s="20" t="s">
        <v>23</v>
      </c>
      <c r="D21" s="21">
        <v>1702</v>
      </c>
      <c r="E21" s="21">
        <f>26076+1848</f>
        <v>27924</v>
      </c>
      <c r="F21" s="21">
        <f>48+1406+1185</f>
        <v>2639</v>
      </c>
      <c r="G21" s="21">
        <v>65000</v>
      </c>
      <c r="H21" s="21">
        <v>5000</v>
      </c>
      <c r="I21" s="21"/>
      <c r="J21" s="21">
        <f>G21*1.1</f>
        <v>71500</v>
      </c>
      <c r="K21" s="21">
        <v>132.34</v>
      </c>
      <c r="L21" s="21">
        <f>79+16</f>
        <v>95</v>
      </c>
      <c r="M21" s="21">
        <f>220</f>
        <v>220</v>
      </c>
      <c r="N21" s="21">
        <f t="shared" si="0"/>
        <v>220</v>
      </c>
      <c r="O21" s="21">
        <v>71500</v>
      </c>
      <c r="P21" s="21">
        <v>78650</v>
      </c>
      <c r="Q21" s="21">
        <f t="shared" si="1"/>
        <v>82582.5</v>
      </c>
    </row>
    <row r="22" spans="3:20">
      <c r="C22" s="20" t="s">
        <v>24</v>
      </c>
      <c r="D22" s="21"/>
      <c r="E22" s="21"/>
      <c r="F22" s="21">
        <v>2365001</v>
      </c>
      <c r="G22" s="21">
        <f>D22*1.1</f>
        <v>0</v>
      </c>
      <c r="H22" s="21">
        <v>750000</v>
      </c>
      <c r="I22" s="21"/>
      <c r="J22" s="21">
        <f>G22*1.1</f>
        <v>0</v>
      </c>
      <c r="K22" s="21"/>
      <c r="L22" s="21"/>
      <c r="M22" s="21"/>
      <c r="N22" s="21">
        <f t="shared" si="0"/>
        <v>0</v>
      </c>
      <c r="O22" s="21"/>
      <c r="P22" s="21"/>
      <c r="Q22" s="21"/>
    </row>
    <row r="23" spans="3:20">
      <c r="C23" s="20" t="s">
        <v>25</v>
      </c>
      <c r="D23" s="22">
        <f t="shared" ref="D23:Q23" si="2">SUM(D17:D22)</f>
        <v>19364965</v>
      </c>
      <c r="E23" s="22">
        <f t="shared" si="2"/>
        <v>16269931</v>
      </c>
      <c r="F23" s="22">
        <f t="shared" si="2"/>
        <v>18093540</v>
      </c>
      <c r="G23" s="22">
        <f t="shared" si="2"/>
        <v>17330910.399999999</v>
      </c>
      <c r="H23" s="22">
        <f t="shared" si="2"/>
        <v>14541554.5</v>
      </c>
      <c r="I23" s="22">
        <f t="shared" si="2"/>
        <v>2612860</v>
      </c>
      <c r="J23" s="22">
        <f t="shared" si="2"/>
        <v>16674001.440000001</v>
      </c>
      <c r="K23" s="22">
        <f t="shared" si="2"/>
        <v>10075806.07</v>
      </c>
      <c r="L23" s="22">
        <f t="shared" si="2"/>
        <v>10059143.73</v>
      </c>
      <c r="M23" s="22">
        <f t="shared" si="2"/>
        <v>17266700</v>
      </c>
      <c r="N23" s="22">
        <f>M23</f>
        <v>17266700</v>
      </c>
      <c r="O23" s="22">
        <f t="shared" si="2"/>
        <v>17443190</v>
      </c>
      <c r="P23" s="22">
        <f t="shared" si="2"/>
        <v>36093658</v>
      </c>
      <c r="Q23" s="22">
        <f t="shared" si="2"/>
        <v>37898340.899999999</v>
      </c>
    </row>
    <row r="24" spans="3:20">
      <c r="C24" s="20"/>
      <c r="D24" s="21"/>
      <c r="E24" s="21"/>
      <c r="F24" s="21"/>
      <c r="G24" s="21"/>
      <c r="H24" s="21"/>
      <c r="I24" s="21"/>
      <c r="J24" s="21"/>
      <c r="K24" s="21"/>
      <c r="L24" s="21">
        <f t="shared" ref="L24:L31" si="3">K24*1.1</f>
        <v>0</v>
      </c>
      <c r="M24" s="21"/>
      <c r="N24" s="21"/>
      <c r="O24" s="21"/>
      <c r="P24" s="21"/>
      <c r="Q24" s="21"/>
    </row>
    <row r="25" spans="3:20">
      <c r="C25" s="17" t="s">
        <v>26</v>
      </c>
      <c r="D25" s="23">
        <f t="shared" ref="D25:Q25" si="4">D24+D23</f>
        <v>19364965</v>
      </c>
      <c r="E25" s="23">
        <f t="shared" si="4"/>
        <v>16269931</v>
      </c>
      <c r="F25" s="23">
        <f t="shared" si="4"/>
        <v>18093540</v>
      </c>
      <c r="G25" s="23">
        <f t="shared" si="4"/>
        <v>17330910.399999999</v>
      </c>
      <c r="H25" s="23">
        <f t="shared" si="4"/>
        <v>14541554.5</v>
      </c>
      <c r="I25" s="23">
        <f t="shared" si="4"/>
        <v>2612860</v>
      </c>
      <c r="J25" s="23">
        <f t="shared" si="4"/>
        <v>16674001.440000001</v>
      </c>
      <c r="K25" s="23">
        <f>K23</f>
        <v>10075806.07</v>
      </c>
      <c r="L25" s="23">
        <f t="shared" si="4"/>
        <v>10059143.73</v>
      </c>
      <c r="M25" s="23">
        <f t="shared" si="4"/>
        <v>17266700</v>
      </c>
      <c r="N25" s="23">
        <f t="shared" si="4"/>
        <v>17266700</v>
      </c>
      <c r="O25" s="23">
        <f t="shared" si="4"/>
        <v>17443190</v>
      </c>
      <c r="P25" s="23">
        <f t="shared" si="4"/>
        <v>36093658</v>
      </c>
      <c r="Q25" s="23">
        <f t="shared" si="4"/>
        <v>37898340.899999999</v>
      </c>
    </row>
    <row r="26" spans="3:20">
      <c r="C26" s="20"/>
      <c r="D26" s="21"/>
      <c r="E26" s="21"/>
      <c r="F26" s="21"/>
      <c r="G26" s="21"/>
      <c r="H26" s="21"/>
      <c r="I26" s="21"/>
      <c r="J26" s="21"/>
      <c r="K26" s="21"/>
      <c r="L26" s="21">
        <f t="shared" si="3"/>
        <v>0</v>
      </c>
      <c r="M26" s="21"/>
      <c r="N26" s="21"/>
      <c r="O26" s="21"/>
      <c r="P26" s="21"/>
      <c r="Q26" s="21"/>
    </row>
    <row r="27" spans="3:20">
      <c r="C27" s="17" t="s">
        <v>27</v>
      </c>
      <c r="D27" s="21"/>
      <c r="E27" s="21"/>
      <c r="F27" s="21"/>
      <c r="G27" s="21"/>
      <c r="H27" s="21"/>
      <c r="I27" s="21"/>
      <c r="J27" s="21"/>
      <c r="K27" s="21"/>
      <c r="L27" s="21">
        <f t="shared" si="3"/>
        <v>0</v>
      </c>
      <c r="M27" s="21"/>
      <c r="N27" s="21"/>
      <c r="O27" s="21"/>
      <c r="P27" s="21"/>
      <c r="Q27" s="21"/>
    </row>
    <row r="28" spans="3:20">
      <c r="C28" s="17" t="s">
        <v>28</v>
      </c>
      <c r="D28" s="23">
        <f t="shared" ref="D28:N28" si="5">SUM(D29:D30)</f>
        <v>16083</v>
      </c>
      <c r="E28" s="23">
        <f t="shared" si="5"/>
        <v>1140629</v>
      </c>
      <c r="F28" s="23">
        <f t="shared" si="5"/>
        <v>1208924</v>
      </c>
      <c r="G28" s="23">
        <f t="shared" si="5"/>
        <v>1349815.24</v>
      </c>
      <c r="H28" s="23">
        <f t="shared" si="5"/>
        <v>1114562</v>
      </c>
      <c r="I28" s="23">
        <f t="shared" si="5"/>
        <v>0</v>
      </c>
      <c r="J28" s="23">
        <f t="shared" si="5"/>
        <v>1484796.7640000002</v>
      </c>
      <c r="K28" s="23">
        <f t="shared" si="5"/>
        <v>461725.14</v>
      </c>
      <c r="L28" s="23">
        <f t="shared" si="5"/>
        <v>469739</v>
      </c>
      <c r="M28" s="23">
        <f t="shared" si="5"/>
        <v>1227100</v>
      </c>
      <c r="N28" s="23">
        <f t="shared" si="5"/>
        <v>1227100</v>
      </c>
      <c r="O28" s="23">
        <v>1349810</v>
      </c>
      <c r="P28" s="23">
        <v>1484791</v>
      </c>
      <c r="Q28" s="23">
        <v>1484791</v>
      </c>
      <c r="R28" s="2"/>
      <c r="S28" s="2"/>
      <c r="T28" s="2"/>
    </row>
    <row r="29" spans="3:20">
      <c r="C29" s="20" t="s">
        <v>29</v>
      </c>
      <c r="D29" s="21"/>
      <c r="E29" s="21">
        <v>114858</v>
      </c>
      <c r="F29" s="21">
        <v>161279</v>
      </c>
      <c r="G29" s="21">
        <f>[1]directors!J16</f>
        <v>227051.44</v>
      </c>
      <c r="H29" s="21">
        <f>120000+940</f>
        <v>120940</v>
      </c>
      <c r="I29" s="21"/>
      <c r="J29" s="21">
        <f>G29*1.1</f>
        <v>249756.58400000003</v>
      </c>
      <c r="K29" s="21">
        <v>54033.65</v>
      </c>
      <c r="L29" s="21">
        <v>59739</v>
      </c>
      <c r="M29" s="21">
        <v>206410</v>
      </c>
      <c r="N29" s="21">
        <f>M29</f>
        <v>206410</v>
      </c>
      <c r="O29" s="21">
        <v>227051.4</v>
      </c>
      <c r="P29" s="21">
        <v>227051</v>
      </c>
      <c r="Q29" s="21">
        <v>227051</v>
      </c>
      <c r="R29" s="2"/>
      <c r="S29" s="2"/>
      <c r="T29" s="2"/>
    </row>
    <row r="30" spans="3:20">
      <c r="C30" s="20" t="s">
        <v>30</v>
      </c>
      <c r="D30" s="21">
        <v>16083</v>
      </c>
      <c r="E30" s="21">
        <v>1025771</v>
      </c>
      <c r="F30" s="21">
        <v>1047645</v>
      </c>
      <c r="G30" s="21">
        <f>[1]directors!J29</f>
        <v>1122763.8</v>
      </c>
      <c r="H30" s="21">
        <v>993622</v>
      </c>
      <c r="I30" s="21"/>
      <c r="J30" s="21">
        <f>G30*1.1</f>
        <v>1235040.1800000002</v>
      </c>
      <c r="K30" s="21">
        <v>407691.49</v>
      </c>
      <c r="L30" s="21">
        <v>410000</v>
      </c>
      <c r="M30" s="21">
        <v>1020690</v>
      </c>
      <c r="N30" s="21">
        <f>M30</f>
        <v>1020690</v>
      </c>
      <c r="O30" s="21">
        <v>1122764</v>
      </c>
      <c r="P30" s="21">
        <v>1122764</v>
      </c>
      <c r="Q30" s="21">
        <v>122764</v>
      </c>
      <c r="R30" s="2"/>
      <c r="S30" s="2"/>
      <c r="T30" s="2"/>
    </row>
    <row r="31" spans="3:20">
      <c r="C31" s="20"/>
      <c r="D31" s="21"/>
      <c r="E31" s="21"/>
      <c r="F31" s="21"/>
      <c r="G31" s="21"/>
      <c r="H31" s="21"/>
      <c r="I31" s="21"/>
      <c r="J31" s="21"/>
      <c r="K31" s="21"/>
      <c r="L31" s="21">
        <f t="shared" si="3"/>
        <v>0</v>
      </c>
      <c r="M31" s="21"/>
      <c r="N31" s="21"/>
      <c r="O31" s="21"/>
      <c r="P31" s="21"/>
      <c r="Q31" s="21"/>
      <c r="R31" s="2"/>
      <c r="S31" s="2"/>
      <c r="T31" s="2"/>
    </row>
    <row r="32" spans="3:20">
      <c r="C32" s="17" t="s">
        <v>31</v>
      </c>
      <c r="D32" s="23">
        <f t="shared" ref="D32:Q32" si="6">SUM(D33:D42)</f>
        <v>3334264.38</v>
      </c>
      <c r="E32" s="23">
        <f t="shared" si="6"/>
        <v>3324544.01</v>
      </c>
      <c r="F32" s="23">
        <f t="shared" si="6"/>
        <v>3003020.44</v>
      </c>
      <c r="G32" s="23">
        <f t="shared" si="6"/>
        <v>3845720</v>
      </c>
      <c r="H32" s="23">
        <f t="shared" si="6"/>
        <v>4503529.9794000005</v>
      </c>
      <c r="I32" s="23">
        <f t="shared" si="6"/>
        <v>605336.67000000004</v>
      </c>
      <c r="J32" s="23">
        <f t="shared" si="6"/>
        <v>4038006</v>
      </c>
      <c r="K32" s="23">
        <f t="shared" si="6"/>
        <v>1531738.4</v>
      </c>
      <c r="L32" s="23">
        <f t="shared" si="6"/>
        <v>1875178.36</v>
      </c>
      <c r="M32" s="23">
        <f t="shared" si="6"/>
        <v>3916443</v>
      </c>
      <c r="N32" s="23">
        <f t="shared" si="6"/>
        <v>3916443</v>
      </c>
      <c r="O32" s="23">
        <f t="shared" si="6"/>
        <v>4503529.9794000005</v>
      </c>
      <c r="P32" s="23">
        <f t="shared" si="6"/>
        <v>6327831</v>
      </c>
      <c r="Q32" s="23">
        <f t="shared" si="6"/>
        <v>6644222.5499999998</v>
      </c>
      <c r="R32" s="2"/>
      <c r="S32" s="24"/>
      <c r="T32" s="2"/>
    </row>
    <row r="33" spans="3:20">
      <c r="C33" s="20" t="s">
        <v>32</v>
      </c>
      <c r="D33" s="21">
        <f>2143671.15+227815.18+260103.21+53044.86+47905</f>
        <v>2732539.4</v>
      </c>
      <c r="E33" s="21">
        <f>2463241.84+65418.85+163244.08+35664.64</f>
        <v>2727569.41</v>
      </c>
      <c r="F33" s="21">
        <f>2190025.09+15000+5000+94613.84+151625.22+1739</f>
        <v>2458003.15</v>
      </c>
      <c r="G33" s="21">
        <v>3165647</v>
      </c>
      <c r="H33" s="21">
        <f>[1]staff!D22</f>
        <v>3746259.08085</v>
      </c>
      <c r="I33" s="21">
        <v>505419.99</v>
      </c>
      <c r="J33" s="21">
        <f>G33*1.05</f>
        <v>3323929.35</v>
      </c>
      <c r="K33" s="21">
        <v>1351599.09</v>
      </c>
      <c r="L33" s="21">
        <f>K33+320000</f>
        <v>1671599.09</v>
      </c>
      <c r="M33" s="21">
        <v>3268676</v>
      </c>
      <c r="N33" s="21">
        <f>M33</f>
        <v>3268676</v>
      </c>
      <c r="O33" s="21">
        <f>[1]staff!D22</f>
        <v>3746259.08085</v>
      </c>
      <c r="P33" s="21">
        <v>5559127</v>
      </c>
      <c r="Q33" s="21">
        <f>P33*1.05</f>
        <v>5837083.3500000006</v>
      </c>
      <c r="R33" s="25"/>
      <c r="S33" s="25"/>
      <c r="T33" s="2"/>
    </row>
    <row r="34" spans="3:20">
      <c r="C34" s="20" t="s">
        <v>33</v>
      </c>
      <c r="D34" s="21">
        <v>15037.12</v>
      </c>
      <c r="E34" s="21">
        <v>15457.28</v>
      </c>
      <c r="F34" s="21">
        <v>14180.77</v>
      </c>
      <c r="G34" s="21">
        <v>21924</v>
      </c>
      <c r="H34" s="21">
        <f>[1]staff!I22</f>
        <v>25418.947139999997</v>
      </c>
      <c r="I34" s="21">
        <v>4085.46</v>
      </c>
      <c r="J34" s="21">
        <f t="shared" ref="J34:J42" si="7">G34*1.05</f>
        <v>23020.2</v>
      </c>
      <c r="K34" s="21">
        <v>8575.5</v>
      </c>
      <c r="L34" s="21">
        <f>5777+1300+1300+1300</f>
        <v>9677</v>
      </c>
      <c r="M34" s="21">
        <v>22395</v>
      </c>
      <c r="N34" s="21">
        <f t="shared" ref="N34:N42" si="8">M34</f>
        <v>22395</v>
      </c>
      <c r="O34" s="21">
        <f>[1]staff!I22</f>
        <v>25418.947139999997</v>
      </c>
      <c r="P34" s="21">
        <v>25217</v>
      </c>
      <c r="Q34" s="21">
        <f t="shared" ref="Q34:Q42" si="9">P34*1.05</f>
        <v>26477.850000000002</v>
      </c>
      <c r="R34" s="2"/>
      <c r="S34" s="25"/>
      <c r="T34" s="2"/>
    </row>
    <row r="35" spans="3:20">
      <c r="C35" s="20" t="s">
        <v>34</v>
      </c>
      <c r="D35" s="21">
        <v>104079</v>
      </c>
      <c r="E35" s="21">
        <v>142320.79999999999</v>
      </c>
      <c r="F35" s="21">
        <v>146500</v>
      </c>
      <c r="G35" s="21">
        <v>190600</v>
      </c>
      <c r="H35" s="21">
        <f>[1]staff!E22</f>
        <v>202806.39999999999</v>
      </c>
      <c r="I35" s="21">
        <v>36714.6</v>
      </c>
      <c r="J35" s="21">
        <f t="shared" si="7"/>
        <v>200130</v>
      </c>
      <c r="K35" s="21">
        <v>72246.320000000007</v>
      </c>
      <c r="L35" s="21">
        <f>K35+27000</f>
        <v>99246.32</v>
      </c>
      <c r="M35" s="21">
        <v>202806</v>
      </c>
      <c r="N35" s="21">
        <f t="shared" si="8"/>
        <v>202806</v>
      </c>
      <c r="O35" s="21">
        <f>[1]staff!E22</f>
        <v>202806.39999999999</v>
      </c>
      <c r="P35" s="21">
        <v>219229</v>
      </c>
      <c r="Q35" s="21">
        <f t="shared" si="9"/>
        <v>230190.45</v>
      </c>
      <c r="R35" s="2"/>
      <c r="S35" s="25"/>
      <c r="T35" s="2"/>
    </row>
    <row r="36" spans="3:20">
      <c r="C36" s="20" t="s">
        <v>35</v>
      </c>
      <c r="D36" s="21">
        <v>133050.84</v>
      </c>
      <c r="E36" s="21">
        <v>181924.98</v>
      </c>
      <c r="F36" s="21">
        <v>172927.27</v>
      </c>
      <c r="G36" s="21">
        <v>136476</v>
      </c>
      <c r="H36" s="21">
        <f>[1]staff!F22</f>
        <v>160868.6973</v>
      </c>
      <c r="I36" s="21">
        <v>25271.02</v>
      </c>
      <c r="J36" s="21">
        <f t="shared" si="7"/>
        <v>143299.80000000002</v>
      </c>
      <c r="K36" s="21">
        <v>52653.14</v>
      </c>
      <c r="L36" s="21">
        <v>45000</v>
      </c>
      <c r="M36" s="21">
        <v>140003</v>
      </c>
      <c r="N36" s="21">
        <f t="shared" si="8"/>
        <v>140003</v>
      </c>
      <c r="O36" s="21">
        <f>[1]staff!F22</f>
        <v>160868.6973</v>
      </c>
      <c r="P36" s="21">
        <v>156975</v>
      </c>
      <c r="Q36" s="21">
        <f t="shared" si="9"/>
        <v>164823.75</v>
      </c>
      <c r="R36" s="26"/>
      <c r="S36" s="25"/>
      <c r="T36" s="2"/>
    </row>
    <row r="37" spans="3:20">
      <c r="C37" s="20" t="s">
        <v>36</v>
      </c>
      <c r="D37" s="21">
        <v>176087.1</v>
      </c>
      <c r="E37" s="21">
        <v>105074.41</v>
      </c>
      <c r="F37" s="21">
        <v>111902.22</v>
      </c>
      <c r="G37" s="21">
        <v>165915</v>
      </c>
      <c r="H37" s="21">
        <f>[1]staff!G22</f>
        <v>199190.997</v>
      </c>
      <c r="I37" s="21"/>
      <c r="J37" s="21">
        <f t="shared" si="7"/>
        <v>174210.75</v>
      </c>
      <c r="K37" s="21">
        <v>0</v>
      </c>
      <c r="L37" s="21"/>
      <c r="M37" s="21">
        <v>165915</v>
      </c>
      <c r="N37" s="21">
        <f t="shared" si="8"/>
        <v>165915</v>
      </c>
      <c r="O37" s="21">
        <f>[1]staff!G22</f>
        <v>199190.997</v>
      </c>
      <c r="P37" s="21">
        <v>190836</v>
      </c>
      <c r="Q37" s="21">
        <f t="shared" si="9"/>
        <v>200377.80000000002</v>
      </c>
      <c r="R37" s="26"/>
      <c r="S37" s="25"/>
      <c r="T37" s="2"/>
    </row>
    <row r="38" spans="3:20">
      <c r="C38" s="20" t="s">
        <v>37</v>
      </c>
      <c r="D38" s="21">
        <v>596.85</v>
      </c>
      <c r="E38" s="21">
        <v>282.89999999999998</v>
      </c>
      <c r="F38" s="21">
        <v>496.8</v>
      </c>
      <c r="G38" s="21">
        <v>675</v>
      </c>
      <c r="H38" s="21">
        <f>[1]staff!K22</f>
        <v>675</v>
      </c>
      <c r="I38" s="21">
        <v>155.25</v>
      </c>
      <c r="J38" s="21">
        <f t="shared" si="7"/>
        <v>708.75</v>
      </c>
      <c r="K38" s="21">
        <v>248.4</v>
      </c>
      <c r="L38" s="21">
        <v>240</v>
      </c>
      <c r="M38" s="21">
        <v>675</v>
      </c>
      <c r="N38" s="21">
        <f t="shared" si="8"/>
        <v>675</v>
      </c>
      <c r="O38" s="21">
        <f>[1]staff!K22</f>
        <v>675</v>
      </c>
      <c r="P38" s="21">
        <v>776</v>
      </c>
      <c r="Q38" s="21">
        <f t="shared" si="9"/>
        <v>814.80000000000007</v>
      </c>
      <c r="R38" s="26"/>
      <c r="S38" s="25"/>
      <c r="T38" s="2"/>
    </row>
    <row r="39" spans="3:20">
      <c r="C39" s="20" t="s">
        <v>38</v>
      </c>
      <c r="D39" s="21">
        <v>29653.15</v>
      </c>
      <c r="E39" s="21">
        <v>27916.86</v>
      </c>
      <c r="F39" s="21">
        <v>27010.23</v>
      </c>
      <c r="G39" s="21">
        <v>24483</v>
      </c>
      <c r="H39" s="21">
        <f>[1]staff!J22</f>
        <v>28310.857110000001</v>
      </c>
      <c r="I39" s="21">
        <v>8141.52</v>
      </c>
      <c r="J39" s="21">
        <f t="shared" si="7"/>
        <v>25707.15</v>
      </c>
      <c r="K39" s="21">
        <v>10415.950000000001</v>
      </c>
      <c r="L39" s="21">
        <f>K39+1500+1500</f>
        <v>13415.95</v>
      </c>
      <c r="M39" s="21">
        <v>24973</v>
      </c>
      <c r="N39" s="21">
        <f t="shared" si="8"/>
        <v>24973</v>
      </c>
      <c r="O39" s="21">
        <f>[1]staff!J22</f>
        <v>28310.857110000001</v>
      </c>
      <c r="P39" s="21">
        <v>28161</v>
      </c>
      <c r="Q39" s="21">
        <f t="shared" si="9"/>
        <v>29569.050000000003</v>
      </c>
      <c r="R39" s="26"/>
      <c r="S39" s="25"/>
      <c r="T39" s="2"/>
    </row>
    <row r="40" spans="3:20">
      <c r="C40" s="20" t="s">
        <v>39</v>
      </c>
      <c r="D40" s="21">
        <v>50252</v>
      </c>
      <c r="E40" s="21">
        <v>5440</v>
      </c>
      <c r="F40" s="21"/>
      <c r="G40" s="21">
        <v>10000</v>
      </c>
      <c r="H40" s="21">
        <f>[1]staff!D26</f>
        <v>10000</v>
      </c>
      <c r="I40" s="21"/>
      <c r="J40" s="21">
        <f t="shared" si="7"/>
        <v>10500</v>
      </c>
      <c r="K40" s="21">
        <v>0</v>
      </c>
      <c r="L40" s="21">
        <v>0</v>
      </c>
      <c r="M40" s="21">
        <v>10000</v>
      </c>
      <c r="N40" s="21">
        <f t="shared" si="8"/>
        <v>10000</v>
      </c>
      <c r="O40" s="21">
        <f>[1]staff!D26</f>
        <v>10000</v>
      </c>
      <c r="P40" s="21">
        <v>11502</v>
      </c>
      <c r="Q40" s="21">
        <f t="shared" si="9"/>
        <v>12077.1</v>
      </c>
      <c r="R40" s="26"/>
      <c r="S40" s="25"/>
      <c r="T40" s="2"/>
    </row>
    <row r="41" spans="3:20">
      <c r="C41" s="20" t="s">
        <v>40</v>
      </c>
      <c r="D41" s="21">
        <v>8468.92</v>
      </c>
      <c r="E41" s="21">
        <v>17892.73</v>
      </c>
      <c r="F41" s="21"/>
      <c r="G41" s="21">
        <v>40000</v>
      </c>
      <c r="H41" s="21">
        <f>[1]staff!D27</f>
        <v>40000</v>
      </c>
      <c r="I41" s="21">
        <v>3048.83</v>
      </c>
      <c r="J41" s="21">
        <f t="shared" si="7"/>
        <v>42000</v>
      </c>
      <c r="K41" s="21">
        <v>0</v>
      </c>
      <c r="L41" s="21">
        <v>0</v>
      </c>
      <c r="M41" s="21">
        <v>0</v>
      </c>
      <c r="N41" s="21">
        <f t="shared" si="8"/>
        <v>0</v>
      </c>
      <c r="O41" s="21">
        <f>[1]staff!D27</f>
        <v>40000</v>
      </c>
      <c r="P41" s="21">
        <v>46008</v>
      </c>
      <c r="Q41" s="21">
        <f t="shared" si="9"/>
        <v>48308.4</v>
      </c>
      <c r="R41" s="26"/>
      <c r="S41" s="25"/>
      <c r="T41" s="2"/>
    </row>
    <row r="42" spans="3:20">
      <c r="C42" s="20" t="s">
        <v>41</v>
      </c>
      <c r="D42" s="21">
        <v>84500</v>
      </c>
      <c r="E42" s="21">
        <f>95813.24+4851.4</f>
        <v>100664.64</v>
      </c>
      <c r="F42" s="21">
        <v>72000</v>
      </c>
      <c r="G42" s="21">
        <f>[1]staff!H22</f>
        <v>90000</v>
      </c>
      <c r="H42" s="21">
        <f>[1]staff!H22</f>
        <v>90000</v>
      </c>
      <c r="I42" s="21">
        <v>22500</v>
      </c>
      <c r="J42" s="21">
        <f t="shared" si="7"/>
        <v>94500</v>
      </c>
      <c r="K42" s="21">
        <v>36000</v>
      </c>
      <c r="L42" s="21">
        <v>36000</v>
      </c>
      <c r="M42" s="21">
        <v>81000</v>
      </c>
      <c r="N42" s="21">
        <f t="shared" si="8"/>
        <v>81000</v>
      </c>
      <c r="O42" s="21">
        <f>[1]staff!H22</f>
        <v>90000</v>
      </c>
      <c r="P42" s="21">
        <v>90000</v>
      </c>
      <c r="Q42" s="21">
        <f t="shared" si="9"/>
        <v>94500</v>
      </c>
      <c r="R42" s="26"/>
      <c r="S42" s="25"/>
      <c r="T42" s="2"/>
    </row>
    <row r="43" spans="3:20">
      <c r="C43" s="17" t="s">
        <v>42</v>
      </c>
      <c r="D43" s="23">
        <f t="shared" ref="D43:N43" si="10">SUM(D44:D73)</f>
        <v>8711999</v>
      </c>
      <c r="E43" s="23">
        <f t="shared" si="10"/>
        <v>14135965</v>
      </c>
      <c r="F43" s="23">
        <f t="shared" si="10"/>
        <v>10136352</v>
      </c>
      <c r="G43" s="23">
        <f t="shared" si="10"/>
        <v>8750231.4800000004</v>
      </c>
      <c r="H43" s="23">
        <f t="shared" si="10"/>
        <v>418</v>
      </c>
      <c r="I43" s="23">
        <f t="shared" si="10"/>
        <v>0</v>
      </c>
      <c r="J43" s="23">
        <f t="shared" si="10"/>
        <v>9012738.4243999999</v>
      </c>
      <c r="K43" s="23">
        <f t="shared" si="10"/>
        <v>2550367.9299999997</v>
      </c>
      <c r="L43" s="23">
        <f t="shared" si="10"/>
        <v>3199141.94</v>
      </c>
      <c r="M43" s="23">
        <f t="shared" si="10"/>
        <v>10348743</v>
      </c>
      <c r="N43" s="23">
        <f t="shared" si="10"/>
        <v>10348743</v>
      </c>
      <c r="O43" s="23">
        <f t="shared" ref="O43:Q43" si="11">SUM(O44:O73)</f>
        <v>10649074.6</v>
      </c>
      <c r="P43" s="23">
        <f t="shared" si="11"/>
        <v>24772180</v>
      </c>
      <c r="Q43" s="23">
        <f t="shared" si="11"/>
        <v>26010788.999999996</v>
      </c>
      <c r="R43" s="2"/>
      <c r="S43" s="2"/>
      <c r="T43" s="2"/>
    </row>
    <row r="44" spans="3:20">
      <c r="C44" s="20" t="s">
        <v>43</v>
      </c>
      <c r="D44" s="21"/>
      <c r="E44" s="21">
        <v>9819</v>
      </c>
      <c r="F44" s="21">
        <v>25047</v>
      </c>
      <c r="G44" s="21">
        <v>100000</v>
      </c>
      <c r="H44" s="21">
        <v>0</v>
      </c>
      <c r="I44" s="21"/>
      <c r="J44" s="21">
        <f>G44*1.03</f>
        <v>103000</v>
      </c>
      <c r="K44" s="21">
        <v>14592</v>
      </c>
      <c r="L44" s="21">
        <v>25000</v>
      </c>
      <c r="M44" s="21">
        <v>75000</v>
      </c>
      <c r="N44" s="21">
        <f>M44</f>
        <v>75000</v>
      </c>
      <c r="O44" s="21">
        <v>110000</v>
      </c>
      <c r="P44" s="21">
        <v>121000</v>
      </c>
      <c r="Q44" s="21">
        <f>P44*1.05</f>
        <v>127050</v>
      </c>
      <c r="R44" s="2"/>
      <c r="S44" s="2"/>
      <c r="T44" s="2"/>
    </row>
    <row r="45" spans="3:20">
      <c r="C45" s="20" t="s">
        <v>44</v>
      </c>
      <c r="D45" s="21">
        <v>200931</v>
      </c>
      <c r="E45" s="21">
        <v>254974</v>
      </c>
      <c r="F45" s="21">
        <v>259227</v>
      </c>
      <c r="G45" s="21">
        <v>450000</v>
      </c>
      <c r="H45" s="21">
        <v>1</v>
      </c>
      <c r="I45" s="21"/>
      <c r="J45" s="21">
        <f>G45*1.03</f>
        <v>463500</v>
      </c>
      <c r="K45" s="21">
        <v>118252.2</v>
      </c>
      <c r="L45" s="21">
        <v>350000</v>
      </c>
      <c r="M45" s="21">
        <v>425000</v>
      </c>
      <c r="N45" s="21">
        <f t="shared" ref="N45:N74" si="12">M45</f>
        <v>425000</v>
      </c>
      <c r="O45" s="21">
        <v>450000</v>
      </c>
      <c r="P45" s="21">
        <v>544500</v>
      </c>
      <c r="Q45" s="21">
        <f t="shared" ref="Q45:Q80" si="13">P45*1.05</f>
        <v>571725</v>
      </c>
    </row>
    <row r="46" spans="3:20">
      <c r="C46" s="20" t="s">
        <v>45</v>
      </c>
      <c r="D46" s="21"/>
      <c r="E46" s="21"/>
      <c r="F46" s="21"/>
      <c r="G46" s="21"/>
      <c r="H46" s="21"/>
      <c r="I46" s="21"/>
      <c r="J46" s="21"/>
      <c r="K46" s="21">
        <v>99985</v>
      </c>
      <c r="L46" s="21">
        <v>29990</v>
      </c>
      <c r="M46" s="21">
        <v>150000</v>
      </c>
      <c r="N46" s="21">
        <f t="shared" si="12"/>
        <v>150000</v>
      </c>
      <c r="O46" s="21">
        <v>100000</v>
      </c>
      <c r="P46" s="21">
        <v>250000</v>
      </c>
      <c r="Q46" s="21">
        <f t="shared" si="13"/>
        <v>262500</v>
      </c>
    </row>
    <row r="47" spans="3:20">
      <c r="C47" s="20" t="s">
        <v>46</v>
      </c>
      <c r="D47" s="21">
        <v>81663</v>
      </c>
      <c r="E47" s="21">
        <v>79767</v>
      </c>
      <c r="F47" s="21">
        <v>76398</v>
      </c>
      <c r="G47" s="21">
        <v>214000</v>
      </c>
      <c r="H47" s="21">
        <v>3</v>
      </c>
      <c r="I47" s="21"/>
      <c r="J47" s="21">
        <f>G47*1.03</f>
        <v>220420</v>
      </c>
      <c r="K47" s="21">
        <v>37794.47</v>
      </c>
      <c r="L47" s="21">
        <v>42000</v>
      </c>
      <c r="M47" s="21">
        <v>150000</v>
      </c>
      <c r="N47" s="21">
        <f t="shared" si="12"/>
        <v>150000</v>
      </c>
      <c r="O47" s="21">
        <v>200000</v>
      </c>
      <c r="P47" s="21">
        <v>258940</v>
      </c>
      <c r="Q47" s="21">
        <f t="shared" si="13"/>
        <v>271887</v>
      </c>
    </row>
    <row r="48" spans="3:20">
      <c r="C48" s="20" t="s">
        <v>47</v>
      </c>
      <c r="D48" s="21">
        <v>12240</v>
      </c>
      <c r="E48" s="21">
        <v>7712</v>
      </c>
      <c r="F48" s="21"/>
      <c r="G48" s="21">
        <v>80000</v>
      </c>
      <c r="H48" s="21">
        <v>4</v>
      </c>
      <c r="I48" s="21"/>
      <c r="J48" s="21">
        <f>G48*1.03</f>
        <v>82400</v>
      </c>
      <c r="K48" s="21">
        <v>0</v>
      </c>
      <c r="L48" s="21">
        <v>10000</v>
      </c>
      <c r="M48" s="21">
        <v>40000</v>
      </c>
      <c r="N48" s="21">
        <f t="shared" si="12"/>
        <v>40000</v>
      </c>
      <c r="O48" s="21">
        <v>40000</v>
      </c>
      <c r="P48" s="21">
        <v>96800</v>
      </c>
      <c r="Q48" s="21">
        <f t="shared" si="13"/>
        <v>101640</v>
      </c>
    </row>
    <row r="49" spans="3:17">
      <c r="C49" s="20" t="s">
        <v>48</v>
      </c>
      <c r="D49" s="21">
        <v>157696</v>
      </c>
      <c r="E49" s="21">
        <v>174981</v>
      </c>
      <c r="F49" s="21">
        <v>174681</v>
      </c>
      <c r="G49" s="21">
        <v>216000</v>
      </c>
      <c r="H49" s="21">
        <v>5</v>
      </c>
      <c r="I49" s="21"/>
      <c r="J49" s="21">
        <f>G49*1.03</f>
        <v>222480</v>
      </c>
      <c r="K49" s="21">
        <v>94899.48</v>
      </c>
      <c r="L49" s="21">
        <v>91000</v>
      </c>
      <c r="M49" s="21">
        <v>216000</v>
      </c>
      <c r="N49" s="21">
        <f t="shared" si="12"/>
        <v>216000</v>
      </c>
      <c r="O49" s="21">
        <v>250000</v>
      </c>
      <c r="P49" s="21">
        <f>116160+145200</f>
        <v>261360</v>
      </c>
      <c r="Q49" s="21">
        <f t="shared" si="13"/>
        <v>274428</v>
      </c>
    </row>
    <row r="50" spans="3:17" hidden="1">
      <c r="C50" s="20" t="s">
        <v>49</v>
      </c>
      <c r="D50" s="21"/>
      <c r="E50" s="21"/>
      <c r="F50" s="21"/>
      <c r="G50" s="21"/>
      <c r="H50" s="21">
        <v>6</v>
      </c>
      <c r="I50" s="21"/>
      <c r="J50" s="21">
        <f t="shared" ref="J50:J73" si="14">G50*1.03</f>
        <v>0</v>
      </c>
      <c r="K50" s="21"/>
      <c r="L50" s="21"/>
      <c r="M50" s="21"/>
      <c r="N50" s="21">
        <f t="shared" si="12"/>
        <v>0</v>
      </c>
      <c r="O50" s="21"/>
      <c r="P50" s="21"/>
      <c r="Q50" s="21">
        <f t="shared" si="13"/>
        <v>0</v>
      </c>
    </row>
    <row r="51" spans="3:17">
      <c r="C51" s="20" t="s">
        <v>50</v>
      </c>
      <c r="D51" s="21"/>
      <c r="E51" s="21">
        <v>2172</v>
      </c>
      <c r="F51" s="21">
        <v>1453</v>
      </c>
      <c r="G51" s="21">
        <v>50000</v>
      </c>
      <c r="H51" s="21">
        <v>7</v>
      </c>
      <c r="I51" s="21"/>
      <c r="J51" s="21">
        <f t="shared" si="14"/>
        <v>51500</v>
      </c>
      <c r="K51" s="21">
        <v>132.22999999999999</v>
      </c>
      <c r="L51" s="21">
        <v>500</v>
      </c>
      <c r="M51" s="21">
        <v>30000</v>
      </c>
      <c r="N51" s="21">
        <f t="shared" si="12"/>
        <v>30000</v>
      </c>
      <c r="O51" s="21">
        <v>30000</v>
      </c>
      <c r="P51" s="21">
        <v>60500</v>
      </c>
      <c r="Q51" s="21">
        <f t="shared" si="13"/>
        <v>63525</v>
      </c>
    </row>
    <row r="52" spans="3:17">
      <c r="C52" s="20" t="s">
        <v>51</v>
      </c>
      <c r="D52" s="21">
        <v>222244</v>
      </c>
      <c r="E52" s="21">
        <v>4281936</v>
      </c>
      <c r="F52" s="21">
        <v>3586263</v>
      </c>
      <c r="G52" s="21">
        <v>60000</v>
      </c>
      <c r="H52" s="21">
        <v>8</v>
      </c>
      <c r="I52" s="21"/>
      <c r="J52" s="21">
        <f t="shared" si="14"/>
        <v>61800</v>
      </c>
      <c r="K52" s="21">
        <v>0</v>
      </c>
      <c r="L52" s="21">
        <v>0</v>
      </c>
      <c r="M52" s="21">
        <v>3500000</v>
      </c>
      <c r="N52" s="21">
        <f t="shared" si="12"/>
        <v>3500000</v>
      </c>
      <c r="O52" s="21">
        <v>3000000</v>
      </c>
      <c r="P52" s="21">
        <v>72600</v>
      </c>
      <c r="Q52" s="21">
        <f t="shared" si="13"/>
        <v>76230</v>
      </c>
    </row>
    <row r="53" spans="3:17">
      <c r="C53" s="20" t="s">
        <v>52</v>
      </c>
      <c r="D53" s="21">
        <v>1736697</v>
      </c>
      <c r="E53" s="21">
        <v>3212511</v>
      </c>
      <c r="F53" s="21">
        <v>0</v>
      </c>
      <c r="G53" s="21"/>
      <c r="H53" s="21"/>
      <c r="I53" s="21"/>
      <c r="J53" s="21"/>
      <c r="K53" s="21"/>
      <c r="L53" s="21"/>
      <c r="M53" s="21"/>
      <c r="N53" s="21">
        <f t="shared" si="12"/>
        <v>0</v>
      </c>
      <c r="O53" s="21"/>
      <c r="P53" s="21"/>
      <c r="Q53" s="21">
        <f t="shared" si="13"/>
        <v>0</v>
      </c>
    </row>
    <row r="54" spans="3:17">
      <c r="C54" s="20" t="s">
        <v>53</v>
      </c>
      <c r="D54" s="21">
        <v>13614</v>
      </c>
      <c r="E54" s="21">
        <v>20387</v>
      </c>
      <c r="F54" s="21">
        <v>18587</v>
      </c>
      <c r="G54" s="21">
        <v>26000</v>
      </c>
      <c r="H54" s="21">
        <v>10</v>
      </c>
      <c r="I54" s="21"/>
      <c r="J54" s="21">
        <f t="shared" si="14"/>
        <v>26780</v>
      </c>
      <c r="K54" s="21">
        <v>6585.8</v>
      </c>
      <c r="L54" s="21">
        <v>10200</v>
      </c>
      <c r="M54" s="21">
        <v>26000</v>
      </c>
      <c r="N54" s="21">
        <f t="shared" si="12"/>
        <v>26000</v>
      </c>
      <c r="O54" s="21">
        <v>28600</v>
      </c>
      <c r="P54" s="21">
        <v>31460</v>
      </c>
      <c r="Q54" s="21">
        <f t="shared" si="13"/>
        <v>33033</v>
      </c>
    </row>
    <row r="55" spans="3:17">
      <c r="C55" s="20" t="s">
        <v>54</v>
      </c>
      <c r="D55" s="21"/>
      <c r="E55" s="21">
        <v>6000</v>
      </c>
      <c r="F55" s="21"/>
      <c r="G55" s="21">
        <v>10000</v>
      </c>
      <c r="H55" s="21">
        <v>11</v>
      </c>
      <c r="I55" s="21"/>
      <c r="J55" s="21">
        <f t="shared" si="14"/>
        <v>10300</v>
      </c>
      <c r="K55" s="21"/>
      <c r="L55" s="21">
        <v>3000</v>
      </c>
      <c r="M55" s="21">
        <v>10000</v>
      </c>
      <c r="N55" s="21">
        <f t="shared" si="12"/>
        <v>10000</v>
      </c>
      <c r="O55" s="21">
        <v>11000</v>
      </c>
      <c r="P55" s="21">
        <v>12100</v>
      </c>
      <c r="Q55" s="21">
        <f t="shared" si="13"/>
        <v>12705</v>
      </c>
    </row>
    <row r="56" spans="3:17">
      <c r="C56" s="20" t="s">
        <v>55</v>
      </c>
      <c r="D56" s="21">
        <v>12638</v>
      </c>
      <c r="E56" s="21">
        <v>15240</v>
      </c>
      <c r="F56" s="21">
        <v>21795</v>
      </c>
      <c r="G56" s="21">
        <v>120000</v>
      </c>
      <c r="H56" s="21">
        <v>12</v>
      </c>
      <c r="I56" s="21"/>
      <c r="J56" s="21">
        <f t="shared" si="14"/>
        <v>123600</v>
      </c>
      <c r="K56" s="21">
        <f>9739.56+2450.65</f>
        <v>12190.21</v>
      </c>
      <c r="L56" s="21">
        <v>10000</v>
      </c>
      <c r="M56" s="21">
        <v>80000</v>
      </c>
      <c r="N56" s="21">
        <f t="shared" si="12"/>
        <v>80000</v>
      </c>
      <c r="O56" s="21">
        <v>132000</v>
      </c>
      <c r="P56" s="21">
        <v>145200</v>
      </c>
      <c r="Q56" s="21">
        <f t="shared" si="13"/>
        <v>152460</v>
      </c>
    </row>
    <row r="57" spans="3:17">
      <c r="C57" s="20" t="s">
        <v>56</v>
      </c>
      <c r="D57" s="21">
        <v>159262</v>
      </c>
      <c r="E57" s="21">
        <v>196010</v>
      </c>
      <c r="F57" s="21">
        <v>218256</v>
      </c>
      <c r="G57" s="21">
        <f>(217579*1.12)+(20000*12)</f>
        <v>483688.48</v>
      </c>
      <c r="H57" s="21">
        <v>13</v>
      </c>
      <c r="I57" s="21"/>
      <c r="J57" s="21">
        <f t="shared" si="14"/>
        <v>498199.13439999998</v>
      </c>
      <c r="K57" s="21">
        <v>122083.5</v>
      </c>
      <c r="L57" s="21">
        <v>131000</v>
      </c>
      <c r="M57" s="21">
        <v>450000</v>
      </c>
      <c r="N57" s="21">
        <f t="shared" si="12"/>
        <v>450000</v>
      </c>
      <c r="O57" s="21">
        <v>532057.30000000005</v>
      </c>
      <c r="P57" s="21">
        <v>585263</v>
      </c>
      <c r="Q57" s="21">
        <f t="shared" si="13"/>
        <v>614526.15</v>
      </c>
    </row>
    <row r="58" spans="3:17">
      <c r="C58" s="27" t="s">
        <v>57</v>
      </c>
      <c r="D58" s="28">
        <v>3835602</v>
      </c>
      <c r="E58" s="28">
        <v>2950159</v>
      </c>
      <c r="F58" s="28">
        <v>3519313</v>
      </c>
      <c r="G58" s="28">
        <f>280000*12</f>
        <v>3360000</v>
      </c>
      <c r="H58" s="28">
        <v>15</v>
      </c>
      <c r="I58" s="28"/>
      <c r="J58" s="28">
        <f t="shared" si="14"/>
        <v>3460800</v>
      </c>
      <c r="K58" s="28">
        <v>1215151.94</v>
      </c>
      <c r="L58" s="28">
        <f>K58+406000</f>
        <v>1621151.94</v>
      </c>
      <c r="M58" s="28">
        <v>2700000</v>
      </c>
      <c r="N58" s="28">
        <f t="shared" si="12"/>
        <v>2700000</v>
      </c>
      <c r="O58" s="28">
        <v>2700000</v>
      </c>
      <c r="P58" s="28">
        <v>18000000</v>
      </c>
      <c r="Q58" s="28">
        <f t="shared" si="13"/>
        <v>18900000</v>
      </c>
    </row>
    <row r="59" spans="3:17">
      <c r="C59" s="20" t="s">
        <v>58</v>
      </c>
      <c r="D59" s="21"/>
      <c r="E59" s="21"/>
      <c r="F59" s="21"/>
      <c r="G59" s="21"/>
      <c r="H59" s="21"/>
      <c r="I59" s="21"/>
      <c r="J59" s="21"/>
      <c r="K59" s="21"/>
      <c r="L59" s="21"/>
      <c r="M59" s="21"/>
      <c r="N59" s="21">
        <f t="shared" si="12"/>
        <v>0</v>
      </c>
      <c r="O59" s="21"/>
      <c r="P59" s="21"/>
      <c r="Q59" s="21">
        <f t="shared" si="13"/>
        <v>0</v>
      </c>
    </row>
    <row r="60" spans="3:17">
      <c r="C60" s="20" t="s">
        <v>59</v>
      </c>
      <c r="D60" s="21"/>
      <c r="E60" s="21"/>
      <c r="F60" s="21"/>
      <c r="G60" s="21">
        <f>31743+45000</f>
        <v>76743</v>
      </c>
      <c r="H60" s="21">
        <v>16</v>
      </c>
      <c r="I60" s="21"/>
      <c r="J60" s="21">
        <f t="shared" si="14"/>
        <v>79045.290000000008</v>
      </c>
      <c r="K60" s="21">
        <v>44632.43</v>
      </c>
      <c r="L60" s="21">
        <v>45000</v>
      </c>
      <c r="M60" s="21">
        <v>76743</v>
      </c>
      <c r="N60" s="21">
        <f t="shared" si="12"/>
        <v>76743</v>
      </c>
      <c r="O60" s="21">
        <v>84417.3</v>
      </c>
      <c r="P60" s="21">
        <v>92859</v>
      </c>
      <c r="Q60" s="21">
        <f t="shared" si="13"/>
        <v>97501.95</v>
      </c>
    </row>
    <row r="61" spans="3:17">
      <c r="C61" s="20" t="s">
        <v>60</v>
      </c>
      <c r="D61" s="21">
        <v>670</v>
      </c>
      <c r="E61" s="21">
        <v>3030</v>
      </c>
      <c r="F61" s="21">
        <v>2090</v>
      </c>
      <c r="G61" s="21">
        <v>4000</v>
      </c>
      <c r="H61" s="21">
        <v>17</v>
      </c>
      <c r="I61" s="21"/>
      <c r="J61" s="21">
        <f t="shared" si="14"/>
        <v>4120</v>
      </c>
      <c r="K61" s="21">
        <v>1710.38</v>
      </c>
      <c r="L61" s="21">
        <v>1700</v>
      </c>
      <c r="M61" s="21">
        <v>4000</v>
      </c>
      <c r="N61" s="21">
        <f t="shared" si="12"/>
        <v>4000</v>
      </c>
      <c r="O61" s="21">
        <v>4400</v>
      </c>
      <c r="P61" s="21">
        <v>4840</v>
      </c>
      <c r="Q61" s="21">
        <f t="shared" si="13"/>
        <v>5082</v>
      </c>
    </row>
    <row r="62" spans="3:17">
      <c r="C62" s="20" t="s">
        <v>61</v>
      </c>
      <c r="D62" s="21">
        <v>13703</v>
      </c>
      <c r="E62" s="21">
        <v>26098</v>
      </c>
      <c r="F62" s="21">
        <v>14663</v>
      </c>
      <c r="G62" s="21">
        <v>93800</v>
      </c>
      <c r="H62" s="21">
        <v>18</v>
      </c>
      <c r="I62" s="21"/>
      <c r="J62" s="21">
        <f t="shared" si="14"/>
        <v>96614</v>
      </c>
      <c r="K62" s="21">
        <v>17733.73</v>
      </c>
      <c r="L62" s="21">
        <v>13000</v>
      </c>
      <c r="M62" s="21">
        <v>60000</v>
      </c>
      <c r="N62" s="21">
        <f t="shared" si="12"/>
        <v>60000</v>
      </c>
      <c r="O62" s="21">
        <v>100000</v>
      </c>
      <c r="P62" s="21">
        <v>113498</v>
      </c>
      <c r="Q62" s="21">
        <f t="shared" si="13"/>
        <v>119172.90000000001</v>
      </c>
    </row>
    <row r="63" spans="3:17">
      <c r="C63" s="20" t="s">
        <v>62</v>
      </c>
      <c r="D63" s="21">
        <v>68900</v>
      </c>
      <c r="E63" s="21">
        <v>52127</v>
      </c>
      <c r="F63" s="21">
        <v>11571</v>
      </c>
      <c r="G63" s="21">
        <v>0</v>
      </c>
      <c r="H63" s="21">
        <v>19</v>
      </c>
      <c r="I63" s="21"/>
      <c r="J63" s="21">
        <f t="shared" si="14"/>
        <v>0</v>
      </c>
      <c r="K63" s="21"/>
      <c r="L63" s="21"/>
      <c r="M63" s="21"/>
      <c r="N63" s="21">
        <f t="shared" si="12"/>
        <v>0</v>
      </c>
      <c r="O63" s="21"/>
      <c r="P63" s="21"/>
      <c r="Q63" s="21">
        <f t="shared" si="13"/>
        <v>0</v>
      </c>
    </row>
    <row r="64" spans="3:17">
      <c r="C64" s="20" t="s">
        <v>63</v>
      </c>
      <c r="D64" s="21">
        <v>0</v>
      </c>
      <c r="E64" s="21">
        <v>785940</v>
      </c>
      <c r="F64" s="21">
        <v>1224182</v>
      </c>
      <c r="G64" s="21">
        <v>1500000</v>
      </c>
      <c r="H64" s="21">
        <v>20</v>
      </c>
      <c r="I64" s="21"/>
      <c r="J64" s="21">
        <f t="shared" si="14"/>
        <v>1545000</v>
      </c>
      <c r="K64" s="21">
        <v>399630.95</v>
      </c>
      <c r="L64" s="21">
        <v>420000</v>
      </c>
      <c r="M64" s="21">
        <v>900000</v>
      </c>
      <c r="N64" s="21">
        <f t="shared" si="12"/>
        <v>900000</v>
      </c>
      <c r="O64" s="21">
        <v>960000</v>
      </c>
      <c r="P64" s="21">
        <v>1815000</v>
      </c>
      <c r="Q64" s="21">
        <f t="shared" si="13"/>
        <v>1905750</v>
      </c>
    </row>
    <row r="65" spans="3:17">
      <c r="C65" s="20" t="s">
        <v>64</v>
      </c>
      <c r="D65" s="21">
        <f>10286</f>
        <v>10286</v>
      </c>
      <c r="E65" s="21">
        <f>3759+11653</f>
        <v>15412</v>
      </c>
      <c r="F65" s="21">
        <f>3225+1846</f>
        <v>5071</v>
      </c>
      <c r="G65" s="21">
        <v>12000</v>
      </c>
      <c r="H65" s="21">
        <v>21</v>
      </c>
      <c r="I65" s="21"/>
      <c r="J65" s="21">
        <f t="shared" si="14"/>
        <v>12360</v>
      </c>
      <c r="K65" s="21">
        <v>2748.04</v>
      </c>
      <c r="L65" s="21">
        <v>3600</v>
      </c>
      <c r="M65" s="21">
        <v>10000</v>
      </c>
      <c r="N65" s="21">
        <f t="shared" si="12"/>
        <v>10000</v>
      </c>
      <c r="O65" s="21">
        <v>13200</v>
      </c>
      <c r="P65" s="21">
        <v>14520</v>
      </c>
      <c r="Q65" s="21">
        <f t="shared" si="13"/>
        <v>15246</v>
      </c>
    </row>
    <row r="66" spans="3:17">
      <c r="C66" s="20" t="s">
        <v>65</v>
      </c>
      <c r="D66" s="21">
        <v>50613</v>
      </c>
      <c r="E66" s="21">
        <v>65811</v>
      </c>
      <c r="F66" s="21">
        <v>48552</v>
      </c>
      <c r="G66" s="21">
        <v>72000</v>
      </c>
      <c r="H66" s="21">
        <v>23</v>
      </c>
      <c r="I66" s="21"/>
      <c r="J66" s="21">
        <f t="shared" si="14"/>
        <v>74160</v>
      </c>
      <c r="K66" s="21">
        <v>33001.07</v>
      </c>
      <c r="L66" s="21">
        <v>4000</v>
      </c>
      <c r="M66" s="21">
        <v>90000</v>
      </c>
      <c r="N66" s="21">
        <f t="shared" si="12"/>
        <v>90000</v>
      </c>
      <c r="O66" s="21">
        <v>79200</v>
      </c>
      <c r="P66" s="21">
        <v>87120</v>
      </c>
      <c r="Q66" s="21">
        <f t="shared" si="13"/>
        <v>91476</v>
      </c>
    </row>
    <row r="67" spans="3:17">
      <c r="C67" s="20" t="s">
        <v>66</v>
      </c>
      <c r="D67" s="21">
        <v>1060706</v>
      </c>
      <c r="E67" s="21">
        <v>1631452</v>
      </c>
      <c r="F67" s="21">
        <v>544725</v>
      </c>
      <c r="G67" s="21">
        <f>(52000*12)+(35000*12)</f>
        <v>1044000</v>
      </c>
      <c r="H67" s="21">
        <v>24</v>
      </c>
      <c r="I67" s="21"/>
      <c r="J67" s="21">
        <f t="shared" si="14"/>
        <v>1075320</v>
      </c>
      <c r="K67" s="21">
        <v>272182.65999999997</v>
      </c>
      <c r="L67" s="21">
        <v>290000</v>
      </c>
      <c r="M67" s="21">
        <f>90000*5+48000+L67</f>
        <v>788000</v>
      </c>
      <c r="N67" s="21">
        <f t="shared" si="12"/>
        <v>788000</v>
      </c>
      <c r="O67" s="21">
        <v>1148400</v>
      </c>
      <c r="P67" s="21">
        <v>1263240</v>
      </c>
      <c r="Q67" s="21">
        <f t="shared" si="13"/>
        <v>1326402</v>
      </c>
    </row>
    <row r="68" spans="3:17">
      <c r="C68" s="20" t="s">
        <v>67</v>
      </c>
      <c r="D68" s="21">
        <v>34419</v>
      </c>
      <c r="E68" s="21">
        <v>29412</v>
      </c>
      <c r="F68" s="21">
        <v>40355</v>
      </c>
      <c r="G68" s="21">
        <v>100000</v>
      </c>
      <c r="H68" s="21">
        <v>25</v>
      </c>
      <c r="I68" s="21"/>
      <c r="J68" s="21">
        <f t="shared" si="14"/>
        <v>103000</v>
      </c>
      <c r="K68" s="21">
        <v>21688.48</v>
      </c>
      <c r="L68" s="21">
        <v>23000</v>
      </c>
      <c r="M68" s="21">
        <v>100000</v>
      </c>
      <c r="N68" s="21">
        <f t="shared" si="12"/>
        <v>100000</v>
      </c>
      <c r="O68" s="21">
        <v>110000</v>
      </c>
      <c r="P68" s="21">
        <v>121000</v>
      </c>
      <c r="Q68" s="21">
        <f t="shared" si="13"/>
        <v>127050</v>
      </c>
    </row>
    <row r="69" spans="3:17">
      <c r="C69" s="20" t="s">
        <v>68</v>
      </c>
      <c r="D69" s="21">
        <f>22224+40877</f>
        <v>63101</v>
      </c>
      <c r="E69" s="21">
        <v>126537</v>
      </c>
      <c r="F69" s="21">
        <f>211345+31820</f>
        <v>243165</v>
      </c>
      <c r="G69" s="21">
        <f>50000+110000+150000</f>
        <v>310000</v>
      </c>
      <c r="H69" s="21">
        <v>26</v>
      </c>
      <c r="I69" s="21"/>
      <c r="J69" s="21">
        <f t="shared" si="14"/>
        <v>319300</v>
      </c>
      <c r="K69" s="21">
        <v>19087.46</v>
      </c>
      <c r="L69" s="21">
        <v>45000</v>
      </c>
      <c r="M69" s="21">
        <v>250000</v>
      </c>
      <c r="N69" s="21">
        <f t="shared" si="12"/>
        <v>250000</v>
      </c>
      <c r="O69" s="21">
        <v>341000</v>
      </c>
      <c r="P69" s="21">
        <v>375100</v>
      </c>
      <c r="Q69" s="21">
        <f t="shared" si="13"/>
        <v>393855</v>
      </c>
    </row>
    <row r="70" spans="3:17">
      <c r="C70" s="20" t="s">
        <v>69</v>
      </c>
      <c r="D70" s="21"/>
      <c r="E70" s="21"/>
      <c r="F70" s="21"/>
      <c r="G70" s="21">
        <v>20000</v>
      </c>
      <c r="H70" s="21">
        <v>27</v>
      </c>
      <c r="I70" s="21"/>
      <c r="J70" s="21">
        <f t="shared" si="14"/>
        <v>20600</v>
      </c>
      <c r="K70" s="21">
        <v>0</v>
      </c>
      <c r="L70" s="21">
        <v>0</v>
      </c>
      <c r="M70" s="21">
        <v>20000</v>
      </c>
      <c r="N70" s="21">
        <f t="shared" si="12"/>
        <v>20000</v>
      </c>
      <c r="O70" s="21">
        <v>22000</v>
      </c>
      <c r="P70" s="21">
        <v>24200</v>
      </c>
      <c r="Q70" s="21">
        <f t="shared" si="13"/>
        <v>25410</v>
      </c>
    </row>
    <row r="71" spans="3:17">
      <c r="C71" s="20" t="s">
        <v>70</v>
      </c>
      <c r="D71" s="21">
        <v>13017</v>
      </c>
      <c r="E71" s="21">
        <v>5434</v>
      </c>
      <c r="F71" s="21">
        <v>7478</v>
      </c>
      <c r="G71" s="21">
        <v>48000</v>
      </c>
      <c r="H71" s="21">
        <v>28</v>
      </c>
      <c r="I71" s="21"/>
      <c r="J71" s="21">
        <f t="shared" si="14"/>
        <v>49440</v>
      </c>
      <c r="K71" s="21">
        <v>14785.9</v>
      </c>
      <c r="L71" s="21">
        <v>30000</v>
      </c>
      <c r="M71" s="21">
        <v>48000</v>
      </c>
      <c r="N71" s="21">
        <f t="shared" si="12"/>
        <v>48000</v>
      </c>
      <c r="O71" s="21">
        <v>52800</v>
      </c>
      <c r="P71" s="21">
        <v>58080</v>
      </c>
      <c r="Q71" s="21">
        <f t="shared" si="13"/>
        <v>60984</v>
      </c>
    </row>
    <row r="72" spans="3:17">
      <c r="C72" s="20" t="s">
        <v>71</v>
      </c>
      <c r="D72" s="21">
        <v>868237</v>
      </c>
      <c r="E72" s="21">
        <v>183044</v>
      </c>
      <c r="F72" s="21">
        <v>0</v>
      </c>
      <c r="G72" s="21">
        <v>150000</v>
      </c>
      <c r="H72" s="21">
        <v>29</v>
      </c>
      <c r="I72" s="21"/>
      <c r="J72" s="21">
        <f t="shared" si="14"/>
        <v>154500</v>
      </c>
      <c r="K72" s="21">
        <v>1500</v>
      </c>
      <c r="L72" s="21">
        <v>0</v>
      </c>
      <c r="M72" s="21">
        <v>50000</v>
      </c>
      <c r="N72" s="21">
        <f t="shared" si="12"/>
        <v>50000</v>
      </c>
      <c r="O72" s="21">
        <v>50000</v>
      </c>
      <c r="P72" s="21">
        <v>181500</v>
      </c>
      <c r="Q72" s="21">
        <f t="shared" si="13"/>
        <v>190575</v>
      </c>
    </row>
    <row r="73" spans="3:17">
      <c r="C73" s="20" t="s">
        <v>72</v>
      </c>
      <c r="D73" s="21">
        <v>95760</v>
      </c>
      <c r="E73" s="21">
        <v>0</v>
      </c>
      <c r="F73" s="21">
        <v>93480</v>
      </c>
      <c r="G73" s="21">
        <v>150000</v>
      </c>
      <c r="H73" s="21">
        <v>30</v>
      </c>
      <c r="I73" s="21"/>
      <c r="J73" s="21">
        <f t="shared" si="14"/>
        <v>154500</v>
      </c>
      <c r="K73" s="21">
        <v>0</v>
      </c>
      <c r="L73" s="21"/>
      <c r="M73" s="21">
        <v>100000</v>
      </c>
      <c r="N73" s="21">
        <f t="shared" si="12"/>
        <v>100000</v>
      </c>
      <c r="O73" s="21">
        <v>100000</v>
      </c>
      <c r="P73" s="21">
        <v>181500</v>
      </c>
      <c r="Q73" s="21">
        <f t="shared" si="13"/>
        <v>190575</v>
      </c>
    </row>
    <row r="74" spans="3:17">
      <c r="C74" s="17" t="s">
        <v>73</v>
      </c>
      <c r="D74" s="29">
        <f>21219+270521</f>
        <v>291740</v>
      </c>
      <c r="E74" s="29">
        <f>314154+28263</f>
        <v>342417</v>
      </c>
      <c r="F74" s="29">
        <f>256387+46342</f>
        <v>302729</v>
      </c>
      <c r="G74" s="29">
        <f t="shared" ref="G74:P74" si="15">G75+G76+G77+G79+G80</f>
        <v>388000</v>
      </c>
      <c r="H74" s="29">
        <f t="shared" si="15"/>
        <v>852000</v>
      </c>
      <c r="I74" s="29">
        <f t="shared" si="15"/>
        <v>0</v>
      </c>
      <c r="J74" s="29">
        <f t="shared" si="15"/>
        <v>399640</v>
      </c>
      <c r="K74" s="29">
        <f t="shared" si="15"/>
        <v>134291.41</v>
      </c>
      <c r="L74" s="29">
        <f t="shared" si="15"/>
        <v>170000</v>
      </c>
      <c r="M74" s="29">
        <f t="shared" si="15"/>
        <v>388000</v>
      </c>
      <c r="N74" s="29">
        <f t="shared" si="12"/>
        <v>388000</v>
      </c>
      <c r="O74" s="29">
        <f>O75+O76+O77+O79+O80+200000</f>
        <v>626800</v>
      </c>
      <c r="P74" s="29">
        <f t="shared" si="15"/>
        <v>1469480</v>
      </c>
      <c r="Q74" s="29">
        <f t="shared" si="13"/>
        <v>1542954</v>
      </c>
    </row>
    <row r="75" spans="3:17">
      <c r="C75" s="20" t="s">
        <v>74</v>
      </c>
      <c r="D75" s="28"/>
      <c r="E75" s="30"/>
      <c r="F75" s="31"/>
      <c r="G75" s="30">
        <f>298000+90000</f>
        <v>388000</v>
      </c>
      <c r="H75" s="30">
        <v>20000</v>
      </c>
      <c r="I75" s="30"/>
      <c r="J75" s="32">
        <f t="shared" ref="J75:J80" si="16">G75*1.03</f>
        <v>399640</v>
      </c>
      <c r="K75" s="30">
        <v>134291.41</v>
      </c>
      <c r="L75" s="30">
        <v>170000</v>
      </c>
      <c r="M75" s="31">
        <v>388000</v>
      </c>
      <c r="N75" s="31"/>
      <c r="O75" s="30">
        <f>99000+27500+5500+264000+30800</f>
        <v>426800</v>
      </c>
      <c r="P75" s="33">
        <f>108900+30250+6050+1290400+33880</f>
        <v>1469480</v>
      </c>
      <c r="Q75" s="30">
        <f t="shared" si="13"/>
        <v>1542954</v>
      </c>
    </row>
    <row r="76" spans="3:17">
      <c r="C76" s="20" t="s">
        <v>75</v>
      </c>
      <c r="D76" s="30"/>
      <c r="E76" s="30"/>
      <c r="F76" s="31"/>
      <c r="G76" s="30"/>
      <c r="H76" s="30">
        <v>5000</v>
      </c>
      <c r="I76" s="30"/>
      <c r="J76" s="32">
        <f t="shared" si="16"/>
        <v>0</v>
      </c>
      <c r="K76" s="30"/>
      <c r="L76" s="30"/>
      <c r="M76" s="31"/>
      <c r="N76" s="31"/>
      <c r="O76" s="30"/>
      <c r="P76" s="34"/>
      <c r="Q76" s="30">
        <f t="shared" si="13"/>
        <v>0</v>
      </c>
    </row>
    <row r="77" spans="3:17">
      <c r="C77" s="20" t="s">
        <v>76</v>
      </c>
      <c r="D77" s="30"/>
      <c r="E77" s="30"/>
      <c r="F77" s="31"/>
      <c r="G77" s="30"/>
      <c r="H77" s="30">
        <f>550000+254000</f>
        <v>804000</v>
      </c>
      <c r="I77" s="30"/>
      <c r="J77" s="32">
        <f t="shared" si="16"/>
        <v>0</v>
      </c>
      <c r="K77" s="30"/>
      <c r="L77" s="30"/>
      <c r="M77" s="31"/>
      <c r="N77" s="31"/>
      <c r="O77" s="30"/>
      <c r="P77" s="34"/>
      <c r="Q77" s="30">
        <f t="shared" si="13"/>
        <v>0</v>
      </c>
    </row>
    <row r="78" spans="3:17">
      <c r="C78" s="20" t="s">
        <v>77</v>
      </c>
      <c r="D78" s="30"/>
      <c r="E78" s="30"/>
      <c r="F78" s="31"/>
      <c r="G78" s="30"/>
      <c r="H78" s="30"/>
      <c r="I78" s="30"/>
      <c r="J78" s="32">
        <f t="shared" si="16"/>
        <v>0</v>
      </c>
      <c r="K78" s="30"/>
      <c r="L78" s="30"/>
      <c r="M78" s="31"/>
      <c r="N78" s="31"/>
      <c r="O78" s="30"/>
      <c r="P78" s="34"/>
      <c r="Q78" s="30">
        <f t="shared" si="13"/>
        <v>0</v>
      </c>
    </row>
    <row r="79" spans="3:17">
      <c r="C79" s="20" t="s">
        <v>78</v>
      </c>
      <c r="D79" s="30"/>
      <c r="E79" s="30"/>
      <c r="F79" s="31"/>
      <c r="G79" s="30"/>
      <c r="H79" s="30">
        <v>15000</v>
      </c>
      <c r="I79" s="30"/>
      <c r="J79" s="32">
        <f t="shared" si="16"/>
        <v>0</v>
      </c>
      <c r="K79" s="30"/>
      <c r="L79" s="30"/>
      <c r="M79" s="31"/>
      <c r="N79" s="31"/>
      <c r="O79" s="30"/>
      <c r="P79" s="34"/>
      <c r="Q79" s="30">
        <f t="shared" si="13"/>
        <v>0</v>
      </c>
    </row>
    <row r="80" spans="3:17">
      <c r="C80" s="20" t="s">
        <v>79</v>
      </c>
      <c r="D80" s="30"/>
      <c r="E80" s="30"/>
      <c r="F80" s="31"/>
      <c r="G80" s="30"/>
      <c r="H80" s="30">
        <v>8000</v>
      </c>
      <c r="I80" s="30"/>
      <c r="J80" s="32">
        <f t="shared" si="16"/>
        <v>0</v>
      </c>
      <c r="K80" s="30"/>
      <c r="L80" s="30"/>
      <c r="M80" s="31"/>
      <c r="N80" s="31"/>
      <c r="O80" s="30"/>
      <c r="P80" s="34"/>
      <c r="Q80" s="30">
        <f t="shared" si="13"/>
        <v>0</v>
      </c>
    </row>
    <row r="81" spans="3:17">
      <c r="C81" s="17" t="s">
        <v>80</v>
      </c>
      <c r="D81" s="35">
        <f t="shared" ref="D81:Q81" si="17">D28+D32+D43+D74</f>
        <v>12354086.379999999</v>
      </c>
      <c r="E81" s="35">
        <f t="shared" si="17"/>
        <v>18943555.009999998</v>
      </c>
      <c r="F81" s="36">
        <f t="shared" si="17"/>
        <v>14651025.439999999</v>
      </c>
      <c r="G81" s="35">
        <f t="shared" si="17"/>
        <v>14333766.720000001</v>
      </c>
      <c r="H81" s="35">
        <f t="shared" si="17"/>
        <v>6470509.9794000005</v>
      </c>
      <c r="I81" s="35">
        <f t="shared" si="17"/>
        <v>605336.67000000004</v>
      </c>
      <c r="J81" s="35">
        <f t="shared" si="17"/>
        <v>14935181.1884</v>
      </c>
      <c r="K81" s="35">
        <f t="shared" si="17"/>
        <v>4678122.88</v>
      </c>
      <c r="L81" s="35">
        <f t="shared" si="17"/>
        <v>5714059.3000000007</v>
      </c>
      <c r="M81" s="36">
        <f t="shared" si="17"/>
        <v>15880286</v>
      </c>
      <c r="N81" s="36">
        <f t="shared" si="17"/>
        <v>15880286</v>
      </c>
      <c r="O81" s="35">
        <f t="shared" si="17"/>
        <v>17129214.579399999</v>
      </c>
      <c r="P81" s="35">
        <f t="shared" si="17"/>
        <v>34054282</v>
      </c>
      <c r="Q81" s="35">
        <f t="shared" si="17"/>
        <v>35682756.549999997</v>
      </c>
    </row>
    <row r="82" spans="3:17">
      <c r="C82" s="17" t="s">
        <v>81</v>
      </c>
      <c r="D82" s="35"/>
      <c r="E82" s="35"/>
      <c r="F82" s="36"/>
      <c r="G82" s="35">
        <f t="shared" ref="G82:M82" si="18">G121</f>
        <v>88000</v>
      </c>
      <c r="H82" s="35" t="e">
        <f t="shared" si="18"/>
        <v>#REF!</v>
      </c>
      <c r="I82" s="35">
        <f t="shared" si="18"/>
        <v>0</v>
      </c>
      <c r="J82" s="35" t="e">
        <f t="shared" si="18"/>
        <v>#REF!</v>
      </c>
      <c r="K82" s="35">
        <f t="shared" si="18"/>
        <v>0</v>
      </c>
      <c r="L82" s="35">
        <f t="shared" si="18"/>
        <v>0</v>
      </c>
      <c r="M82" s="36">
        <f t="shared" si="18"/>
        <v>123000</v>
      </c>
      <c r="N82" s="36">
        <f>M82</f>
        <v>123000</v>
      </c>
      <c r="O82" s="36">
        <f>O121</f>
        <v>240000</v>
      </c>
      <c r="P82" s="34"/>
      <c r="Q82" s="30"/>
    </row>
    <row r="83" spans="3:17">
      <c r="C83" s="20"/>
      <c r="D83" s="30"/>
      <c r="E83" s="30"/>
      <c r="F83" s="31"/>
      <c r="G83" s="30"/>
      <c r="H83" s="30"/>
      <c r="I83" s="30"/>
      <c r="J83" s="32"/>
      <c r="K83" s="30"/>
      <c r="L83" s="30"/>
      <c r="M83" s="31"/>
      <c r="N83" s="31"/>
      <c r="O83" s="30"/>
      <c r="P83" s="34"/>
      <c r="Q83" s="30"/>
    </row>
    <row r="84" spans="3:17">
      <c r="C84" s="37" t="s">
        <v>82</v>
      </c>
      <c r="D84" s="35">
        <f t="shared" ref="D84:Q84" si="19">D28+D32+D43+D74+D82</f>
        <v>12354086.379999999</v>
      </c>
      <c r="E84" s="35">
        <f t="shared" si="19"/>
        <v>18943555.009999998</v>
      </c>
      <c r="F84" s="36">
        <f t="shared" si="19"/>
        <v>14651025.439999999</v>
      </c>
      <c r="G84" s="35">
        <f t="shared" si="19"/>
        <v>14421766.720000001</v>
      </c>
      <c r="H84" s="35" t="e">
        <f t="shared" si="19"/>
        <v>#REF!</v>
      </c>
      <c r="I84" s="35">
        <f t="shared" si="19"/>
        <v>605336.67000000004</v>
      </c>
      <c r="J84" s="35" t="e">
        <f t="shared" si="19"/>
        <v>#REF!</v>
      </c>
      <c r="K84" s="35">
        <f t="shared" si="19"/>
        <v>4678122.88</v>
      </c>
      <c r="L84" s="35">
        <f t="shared" si="19"/>
        <v>5714059.3000000007</v>
      </c>
      <c r="M84" s="36">
        <f t="shared" si="19"/>
        <v>16003286</v>
      </c>
      <c r="N84" s="36">
        <f t="shared" si="19"/>
        <v>16003286</v>
      </c>
      <c r="O84" s="35">
        <f t="shared" si="19"/>
        <v>17369214.579399999</v>
      </c>
      <c r="P84" s="35">
        <f t="shared" si="19"/>
        <v>34054282</v>
      </c>
      <c r="Q84" s="35">
        <f t="shared" si="19"/>
        <v>35682756.549999997</v>
      </c>
    </row>
    <row r="85" spans="3:17">
      <c r="C85" s="17"/>
      <c r="D85" s="30"/>
      <c r="E85" s="30"/>
      <c r="F85" s="31"/>
      <c r="G85" s="30"/>
      <c r="H85" s="30"/>
      <c r="I85" s="30"/>
      <c r="J85" s="32"/>
      <c r="K85" s="30"/>
      <c r="L85" s="30"/>
      <c r="M85" s="31"/>
      <c r="N85" s="31"/>
      <c r="O85" s="30"/>
      <c r="P85" s="34"/>
      <c r="Q85" s="30"/>
    </row>
    <row r="86" spans="3:17">
      <c r="C86" s="37" t="s">
        <v>83</v>
      </c>
      <c r="D86" s="35">
        <f t="shared" ref="D86:Q86" si="20">D25-D84</f>
        <v>7010878.620000001</v>
      </c>
      <c r="E86" s="35">
        <f t="shared" si="20"/>
        <v>-2673624.0099999979</v>
      </c>
      <c r="F86" s="36">
        <f t="shared" si="20"/>
        <v>3442514.5600000005</v>
      </c>
      <c r="G86" s="35">
        <f t="shared" si="20"/>
        <v>2909143.6799999978</v>
      </c>
      <c r="H86" s="35" t="e">
        <f t="shared" si="20"/>
        <v>#REF!</v>
      </c>
      <c r="I86" s="35">
        <f t="shared" si="20"/>
        <v>2007523.33</v>
      </c>
      <c r="J86" s="35" t="e">
        <f t="shared" si="20"/>
        <v>#REF!</v>
      </c>
      <c r="K86" s="35">
        <f t="shared" si="20"/>
        <v>5397683.1900000004</v>
      </c>
      <c r="L86" s="35">
        <f t="shared" si="20"/>
        <v>4345084.43</v>
      </c>
      <c r="M86" s="36">
        <f t="shared" si="20"/>
        <v>1263414</v>
      </c>
      <c r="N86" s="36">
        <f t="shared" si="20"/>
        <v>1263414</v>
      </c>
      <c r="O86" s="35">
        <f t="shared" si="20"/>
        <v>73975.420600000769</v>
      </c>
      <c r="P86" s="35">
        <f t="shared" si="20"/>
        <v>2039376</v>
      </c>
      <c r="Q86" s="35">
        <f t="shared" si="20"/>
        <v>2215584.3500000015</v>
      </c>
    </row>
    <row r="87" spans="3:17">
      <c r="C87" s="38"/>
      <c r="D87" s="39"/>
      <c r="E87" s="39"/>
      <c r="F87" s="39"/>
      <c r="G87" s="25"/>
      <c r="H87" s="25"/>
      <c r="I87" s="25"/>
      <c r="J87" s="24"/>
      <c r="K87" s="25"/>
      <c r="L87" s="25"/>
      <c r="M87" s="25"/>
      <c r="N87" s="25"/>
      <c r="O87" s="25"/>
      <c r="P87" s="2"/>
      <c r="Q87" s="39"/>
    </row>
    <row r="88" spans="3:17">
      <c r="C88" s="38"/>
      <c r="D88" s="39"/>
      <c r="E88" s="39"/>
      <c r="F88" s="39"/>
      <c r="G88" s="25"/>
      <c r="H88" s="25"/>
      <c r="I88" s="25"/>
      <c r="J88" s="24"/>
      <c r="K88" s="25"/>
      <c r="L88" s="25"/>
      <c r="M88" s="25"/>
      <c r="N88" s="25"/>
      <c r="O88" s="25"/>
      <c r="P88" s="2"/>
      <c r="Q88" s="39"/>
    </row>
    <row r="89" spans="3:17">
      <c r="C89" s="38"/>
      <c r="D89" s="39"/>
      <c r="E89" s="39"/>
      <c r="F89" s="39"/>
      <c r="G89" s="25"/>
      <c r="H89" s="25"/>
      <c r="I89" s="25"/>
      <c r="J89" s="24"/>
      <c r="K89" s="25"/>
      <c r="L89" s="25"/>
      <c r="M89" s="25"/>
      <c r="N89" s="25"/>
      <c r="O89" s="25"/>
      <c r="P89" s="2"/>
      <c r="Q89" s="39"/>
    </row>
    <row r="90" spans="3:17">
      <c r="C90" s="38"/>
      <c r="D90" s="39"/>
      <c r="E90" s="39"/>
      <c r="F90" s="39"/>
      <c r="G90" s="25"/>
      <c r="H90" s="25"/>
      <c r="I90" s="25"/>
      <c r="J90" s="24"/>
      <c r="K90" s="25"/>
      <c r="L90" s="25"/>
      <c r="M90" s="25"/>
      <c r="N90" s="25"/>
      <c r="O90" s="25"/>
      <c r="P90" s="2"/>
      <c r="Q90" s="39"/>
    </row>
    <row r="91" spans="3:17">
      <c r="C91" s="38"/>
      <c r="D91" s="39"/>
      <c r="E91" s="39"/>
      <c r="F91" s="39"/>
      <c r="G91" s="25"/>
      <c r="H91" s="25"/>
      <c r="I91" s="25"/>
      <c r="J91" s="24"/>
      <c r="K91" s="25"/>
      <c r="L91" s="25"/>
      <c r="M91" s="25"/>
      <c r="N91" s="25"/>
      <c r="O91" s="25"/>
      <c r="P91" s="2"/>
      <c r="Q91" s="39"/>
    </row>
    <row r="92" spans="3:17">
      <c r="C92" s="38"/>
      <c r="D92" s="39"/>
      <c r="E92" s="39"/>
      <c r="F92" s="39"/>
      <c r="G92" s="25"/>
      <c r="H92" s="25"/>
      <c r="I92" s="25"/>
      <c r="J92" s="24"/>
      <c r="K92" s="25"/>
      <c r="L92" s="25"/>
      <c r="M92" s="25"/>
      <c r="N92" s="25"/>
      <c r="O92" s="25"/>
      <c r="P92" s="2"/>
      <c r="Q92" s="39"/>
    </row>
    <row r="93" spans="3:17">
      <c r="C93" s="38"/>
      <c r="D93" s="39"/>
      <c r="E93" s="39"/>
      <c r="F93" s="39"/>
      <c r="G93" s="25"/>
      <c r="H93" s="25"/>
      <c r="I93" s="25"/>
      <c r="J93" s="24"/>
      <c r="K93" s="25"/>
      <c r="L93" s="25"/>
      <c r="M93" s="25"/>
      <c r="N93" s="25"/>
      <c r="O93" s="25"/>
      <c r="P93" s="2"/>
      <c r="Q93" s="39"/>
    </row>
    <row r="94" spans="3:17">
      <c r="C94" s="38"/>
      <c r="D94" s="39"/>
      <c r="E94" s="39"/>
      <c r="F94" s="39"/>
      <c r="G94" s="25"/>
      <c r="H94" s="25"/>
      <c r="I94" s="25"/>
      <c r="J94" s="24"/>
      <c r="K94" s="25"/>
      <c r="L94" s="25"/>
      <c r="M94" s="25"/>
      <c r="N94" s="25"/>
      <c r="O94" s="25"/>
      <c r="P94" s="2"/>
      <c r="Q94" s="39"/>
    </row>
    <row r="95" spans="3:17">
      <c r="C95" s="38"/>
      <c r="D95" s="39"/>
      <c r="E95" s="39"/>
      <c r="F95" s="39"/>
      <c r="G95" s="25"/>
      <c r="H95" s="25"/>
      <c r="I95" s="25"/>
      <c r="J95" s="24"/>
      <c r="K95" s="25"/>
      <c r="L95" s="25"/>
      <c r="M95" s="25"/>
      <c r="N95" s="25"/>
      <c r="O95" s="25"/>
      <c r="P95" s="2"/>
      <c r="Q95" s="39"/>
    </row>
    <row r="96" spans="3:17">
      <c r="C96" s="38"/>
      <c r="D96" s="39"/>
      <c r="E96" s="39"/>
      <c r="F96" s="39"/>
      <c r="G96" s="25"/>
      <c r="H96" s="25"/>
      <c r="I96" s="25"/>
      <c r="J96" s="24"/>
      <c r="K96" s="25"/>
      <c r="L96" s="25"/>
      <c r="M96" s="25"/>
      <c r="N96" s="25"/>
      <c r="O96" s="25"/>
      <c r="P96" s="2"/>
      <c r="Q96" s="39"/>
    </row>
    <row r="97" spans="3:17">
      <c r="C97" s="38"/>
      <c r="D97" s="39"/>
      <c r="E97" s="39"/>
      <c r="F97" s="39"/>
      <c r="G97" s="25"/>
      <c r="H97" s="25"/>
      <c r="I97" s="25"/>
      <c r="J97" s="24"/>
      <c r="K97" s="25"/>
      <c r="L97" s="25"/>
      <c r="M97" s="25"/>
      <c r="N97" s="25"/>
      <c r="O97" s="25"/>
      <c r="P97" s="2"/>
      <c r="Q97" s="39"/>
    </row>
    <row r="98" spans="3:17">
      <c r="C98" s="38"/>
      <c r="D98" s="39"/>
      <c r="E98" s="39"/>
      <c r="F98" s="39"/>
      <c r="G98" s="25"/>
      <c r="H98" s="25"/>
      <c r="I98" s="25"/>
      <c r="J98" s="24"/>
      <c r="K98" s="25"/>
      <c r="L98" s="25"/>
      <c r="M98" s="25"/>
      <c r="N98" s="25"/>
      <c r="O98" s="25"/>
      <c r="P98" s="2"/>
      <c r="Q98" s="39"/>
    </row>
    <row r="99" spans="3:17">
      <c r="C99" s="38"/>
      <c r="D99" s="39"/>
      <c r="E99" s="39"/>
      <c r="F99" s="39"/>
      <c r="G99" s="25"/>
      <c r="H99" s="25"/>
      <c r="I99" s="25"/>
      <c r="J99" s="24"/>
      <c r="K99" s="25"/>
      <c r="L99" s="25"/>
      <c r="M99" s="25"/>
      <c r="N99" s="25"/>
      <c r="O99" s="25"/>
      <c r="P99" s="2"/>
      <c r="Q99" s="39"/>
    </row>
    <row r="100" spans="3:17">
      <c r="C100" s="38"/>
      <c r="D100" s="39"/>
      <c r="E100" s="39"/>
      <c r="F100" s="39"/>
      <c r="G100" s="25"/>
      <c r="H100" s="25"/>
      <c r="I100" s="25"/>
      <c r="J100" s="24"/>
      <c r="K100" s="25"/>
      <c r="L100" s="25"/>
      <c r="M100" s="25"/>
      <c r="N100" s="25"/>
      <c r="O100" s="25"/>
      <c r="P100" s="2"/>
      <c r="Q100" s="39"/>
    </row>
    <row r="101" spans="3:17">
      <c r="C101" s="38"/>
      <c r="D101" s="39"/>
      <c r="E101" s="39"/>
      <c r="F101" s="39"/>
      <c r="G101" s="25"/>
      <c r="H101" s="25"/>
      <c r="I101" s="25"/>
      <c r="J101" s="24"/>
      <c r="K101" s="25"/>
      <c r="L101" s="25"/>
      <c r="M101" s="25"/>
      <c r="N101" s="25"/>
      <c r="O101" s="25"/>
      <c r="P101" s="2"/>
      <c r="Q101" s="39"/>
    </row>
    <row r="102" spans="3:17">
      <c r="C102" s="38"/>
      <c r="D102" s="39"/>
      <c r="E102" s="39"/>
      <c r="F102" s="39"/>
      <c r="G102" s="25"/>
      <c r="H102" s="25"/>
      <c r="I102" s="25"/>
      <c r="J102" s="24"/>
      <c r="K102" s="25"/>
      <c r="L102" s="25"/>
      <c r="M102" s="25"/>
      <c r="N102" s="25"/>
      <c r="O102" s="25"/>
      <c r="P102" s="2"/>
      <c r="Q102" s="39"/>
    </row>
    <row r="103" spans="3:17">
      <c r="C103" s="38"/>
      <c r="D103" s="39"/>
      <c r="E103" s="39"/>
      <c r="F103" s="39"/>
      <c r="G103" s="25"/>
      <c r="H103" s="25"/>
      <c r="I103" s="25"/>
      <c r="J103" s="24"/>
      <c r="K103" s="25"/>
      <c r="L103" s="25"/>
      <c r="M103" s="25"/>
      <c r="N103" s="25"/>
      <c r="O103" s="25"/>
      <c r="P103" s="2"/>
      <c r="Q103" s="39"/>
    </row>
    <row r="104" spans="3:17">
      <c r="C104" s="38"/>
      <c r="D104" s="39"/>
      <c r="E104" s="39"/>
      <c r="F104" s="39"/>
      <c r="G104" s="25"/>
      <c r="H104" s="25"/>
      <c r="I104" s="25"/>
      <c r="J104" s="24"/>
      <c r="K104" s="25"/>
      <c r="L104" s="25"/>
      <c r="M104" s="25"/>
      <c r="N104" s="25"/>
      <c r="O104" s="25"/>
      <c r="P104" s="2"/>
      <c r="Q104" s="39"/>
    </row>
    <row r="105" spans="3:17">
      <c r="C105" s="38"/>
      <c r="D105" s="39"/>
      <c r="E105" s="39"/>
      <c r="F105" s="39"/>
      <c r="G105" s="25"/>
      <c r="H105" s="25"/>
      <c r="I105" s="25"/>
      <c r="J105" s="24"/>
      <c r="K105" s="25"/>
      <c r="L105" s="25"/>
      <c r="M105" s="25"/>
      <c r="N105" s="25"/>
      <c r="O105" s="25"/>
      <c r="P105" s="2"/>
      <c r="Q105" s="39"/>
    </row>
    <row r="106" spans="3:17">
      <c r="C106" s="38"/>
      <c r="D106" s="39"/>
      <c r="E106" s="39"/>
      <c r="F106" s="39"/>
      <c r="G106" s="25"/>
      <c r="H106" s="25"/>
      <c r="I106" s="25"/>
      <c r="J106" s="24"/>
      <c r="K106" s="25"/>
      <c r="L106" s="25"/>
      <c r="M106" s="25"/>
      <c r="N106" s="25"/>
      <c r="O106" s="25"/>
      <c r="P106" s="2"/>
      <c r="Q106" s="39"/>
    </row>
    <row r="107" spans="3:17" ht="25.5">
      <c r="C107" s="55" t="s">
        <v>81</v>
      </c>
      <c r="D107" s="7" t="s">
        <v>2</v>
      </c>
      <c r="E107" s="7" t="s">
        <v>3</v>
      </c>
      <c r="F107" s="7" t="s">
        <v>4</v>
      </c>
      <c r="G107" s="11" t="s">
        <v>5</v>
      </c>
      <c r="H107" s="12"/>
      <c r="I107" s="12"/>
      <c r="J107" s="13"/>
      <c r="K107" s="14"/>
      <c r="L107" s="8"/>
      <c r="M107" s="10"/>
      <c r="N107" s="10"/>
      <c r="O107" s="40" t="s">
        <v>84</v>
      </c>
      <c r="P107" s="41"/>
      <c r="Q107" s="42"/>
    </row>
    <row r="108" spans="3:17" ht="25.5">
      <c r="C108" s="56"/>
      <c r="D108" s="34" t="s">
        <v>7</v>
      </c>
      <c r="E108" s="34" t="s">
        <v>7</v>
      </c>
      <c r="F108" s="43" t="s">
        <v>7</v>
      </c>
      <c r="G108" s="11" t="s">
        <v>8</v>
      </c>
      <c r="H108" s="12" t="s">
        <v>9</v>
      </c>
      <c r="I108" s="12" t="s">
        <v>10</v>
      </c>
      <c r="J108" s="13" t="s">
        <v>11</v>
      </c>
      <c r="K108" s="14" t="s">
        <v>12</v>
      </c>
      <c r="L108" s="8" t="s">
        <v>13</v>
      </c>
      <c r="M108" s="10" t="s">
        <v>14</v>
      </c>
      <c r="N108" s="10" t="s">
        <v>15</v>
      </c>
      <c r="O108" s="40" t="s">
        <v>11</v>
      </c>
      <c r="P108" s="40" t="s">
        <v>16</v>
      </c>
      <c r="Q108" s="42" t="s">
        <v>17</v>
      </c>
    </row>
    <row r="109" spans="3:17">
      <c r="C109" s="20" t="s">
        <v>85</v>
      </c>
      <c r="D109" s="30"/>
      <c r="E109" s="30"/>
      <c r="F109" s="31"/>
      <c r="G109" s="30"/>
      <c r="H109" s="30"/>
      <c r="I109" s="30"/>
      <c r="J109" s="32">
        <f>H109+I109</f>
        <v>0</v>
      </c>
      <c r="K109" s="30"/>
      <c r="L109" s="30"/>
      <c r="M109" s="31"/>
      <c r="N109" s="31"/>
      <c r="O109" s="30"/>
      <c r="P109" s="34"/>
      <c r="Q109" s="30"/>
    </row>
    <row r="110" spans="3:17">
      <c r="C110" s="20" t="s">
        <v>86</v>
      </c>
      <c r="D110" s="30"/>
      <c r="E110" s="30"/>
      <c r="F110" s="31"/>
      <c r="G110" s="30"/>
      <c r="H110" s="30"/>
      <c r="I110" s="30"/>
      <c r="J110" s="32">
        <f t="shared" ref="J110:J119" si="21">H110+I110</f>
        <v>0</v>
      </c>
      <c r="K110" s="30"/>
      <c r="L110" s="30"/>
      <c r="M110" s="31"/>
      <c r="N110" s="31"/>
      <c r="O110" s="30"/>
      <c r="P110" s="34"/>
      <c r="Q110" s="30"/>
    </row>
    <row r="111" spans="3:17">
      <c r="C111" s="17" t="s">
        <v>87</v>
      </c>
      <c r="D111" s="30"/>
      <c r="E111" s="30"/>
      <c r="F111" s="31"/>
      <c r="G111" s="30"/>
      <c r="H111" s="30"/>
      <c r="I111" s="30"/>
      <c r="J111" s="32">
        <f t="shared" si="21"/>
        <v>0</v>
      </c>
      <c r="K111" s="30"/>
      <c r="L111" s="30"/>
      <c r="M111" s="31"/>
      <c r="N111" s="31"/>
      <c r="O111" s="30"/>
      <c r="P111" s="34"/>
      <c r="Q111" s="30"/>
    </row>
    <row r="112" spans="3:17">
      <c r="C112" s="20" t="s">
        <v>88</v>
      </c>
      <c r="D112" s="30"/>
      <c r="E112" s="30"/>
      <c r="F112" s="31"/>
      <c r="G112" s="30"/>
      <c r="H112" s="30"/>
      <c r="I112" s="30"/>
      <c r="J112" s="32">
        <f t="shared" si="21"/>
        <v>0</v>
      </c>
      <c r="K112" s="30"/>
      <c r="L112" s="30"/>
      <c r="M112" s="31"/>
      <c r="N112" s="31"/>
      <c r="O112" s="30"/>
      <c r="P112" s="34"/>
      <c r="Q112" s="30"/>
    </row>
    <row r="113" spans="3:17">
      <c r="C113" s="20" t="s">
        <v>89</v>
      </c>
      <c r="D113" s="30"/>
      <c r="E113" s="30"/>
      <c r="F113" s="31"/>
      <c r="G113" s="30">
        <v>40000</v>
      </c>
      <c r="H113" s="30"/>
      <c r="I113" s="30"/>
      <c r="J113" s="32">
        <f t="shared" si="21"/>
        <v>0</v>
      </c>
      <c r="K113" s="30"/>
      <c r="L113" s="30">
        <v>0</v>
      </c>
      <c r="M113" s="31">
        <v>25000</v>
      </c>
      <c r="N113" s="31">
        <f>M113</f>
        <v>25000</v>
      </c>
      <c r="O113" s="30">
        <v>20000</v>
      </c>
      <c r="P113" s="34"/>
      <c r="Q113" s="30"/>
    </row>
    <row r="114" spans="3:17">
      <c r="C114" s="20" t="s">
        <v>90</v>
      </c>
      <c r="D114" s="30"/>
      <c r="E114" s="30"/>
      <c r="F114" s="31"/>
      <c r="G114" s="30"/>
      <c r="H114" s="30"/>
      <c r="I114" s="30"/>
      <c r="J114" s="32"/>
      <c r="K114" s="30"/>
      <c r="L114" s="30"/>
      <c r="M114" s="31"/>
      <c r="N114" s="31"/>
      <c r="O114" s="30">
        <v>200000</v>
      </c>
      <c r="P114" s="34"/>
      <c r="Q114" s="30"/>
    </row>
    <row r="115" spans="3:17">
      <c r="C115" s="20" t="s">
        <v>91</v>
      </c>
      <c r="D115" s="30"/>
      <c r="E115" s="30"/>
      <c r="F115" s="31"/>
      <c r="G115" s="30"/>
      <c r="H115" s="30">
        <v>500000</v>
      </c>
      <c r="I115" s="30"/>
      <c r="J115" s="32"/>
      <c r="K115" s="30"/>
      <c r="L115" s="30"/>
      <c r="M115" s="31"/>
      <c r="N115" s="31"/>
      <c r="O115" s="30"/>
      <c r="P115" s="34"/>
      <c r="Q115" s="30"/>
    </row>
    <row r="116" spans="3:17">
      <c r="C116" s="20" t="s">
        <v>92</v>
      </c>
      <c r="D116" s="30"/>
      <c r="E116" s="30"/>
      <c r="F116" s="31"/>
      <c r="G116" s="30"/>
      <c r="H116" s="30"/>
      <c r="I116" s="30"/>
      <c r="J116" s="32"/>
      <c r="K116" s="30"/>
      <c r="L116" s="30"/>
      <c r="M116" s="31"/>
      <c r="N116" s="31"/>
      <c r="O116" s="30"/>
      <c r="P116" s="34"/>
      <c r="Q116" s="30"/>
    </row>
    <row r="117" spans="3:17">
      <c r="C117" s="20" t="s">
        <v>93</v>
      </c>
      <c r="D117" s="30"/>
      <c r="E117" s="30"/>
      <c r="F117" s="31"/>
      <c r="G117" s="30">
        <v>48000</v>
      </c>
      <c r="H117" s="30" t="e">
        <f>#REF!</f>
        <v>#REF!</v>
      </c>
      <c r="I117" s="30"/>
      <c r="J117" s="32" t="e">
        <f t="shared" si="21"/>
        <v>#REF!</v>
      </c>
      <c r="K117" s="30"/>
      <c r="L117" s="30"/>
      <c r="M117" s="31">
        <v>48000</v>
      </c>
      <c r="N117" s="31">
        <f>M117</f>
        <v>48000</v>
      </c>
      <c r="O117" s="30">
        <v>20000</v>
      </c>
      <c r="P117" s="34"/>
      <c r="Q117" s="30"/>
    </row>
    <row r="118" spans="3:17">
      <c r="C118" s="20" t="s">
        <v>94</v>
      </c>
      <c r="D118" s="30"/>
      <c r="E118" s="30"/>
      <c r="F118" s="31"/>
      <c r="G118" s="30"/>
      <c r="H118" s="30"/>
      <c r="I118" s="30"/>
      <c r="J118" s="32">
        <f t="shared" si="21"/>
        <v>0</v>
      </c>
      <c r="K118" s="30"/>
      <c r="L118" s="30"/>
      <c r="M118" s="31"/>
      <c r="N118" s="31"/>
      <c r="O118" s="30"/>
      <c r="P118" s="34"/>
      <c r="Q118" s="30"/>
    </row>
    <row r="119" spans="3:17">
      <c r="C119" s="20" t="s">
        <v>95</v>
      </c>
      <c r="D119" s="30"/>
      <c r="E119" s="30"/>
      <c r="F119" s="31"/>
      <c r="G119" s="30"/>
      <c r="H119" s="30"/>
      <c r="I119" s="30"/>
      <c r="J119" s="32">
        <f t="shared" si="21"/>
        <v>0</v>
      </c>
      <c r="K119" s="30">
        <v>33183.5</v>
      </c>
      <c r="L119" s="30"/>
      <c r="M119" s="31">
        <v>50000</v>
      </c>
      <c r="N119" s="31">
        <f>M119</f>
        <v>50000</v>
      </c>
      <c r="O119" s="30"/>
      <c r="P119" s="34"/>
      <c r="Q119" s="30"/>
    </row>
    <row r="120" spans="3:17">
      <c r="C120" s="17" t="s">
        <v>96</v>
      </c>
      <c r="D120" s="30">
        <f t="shared" ref="D120:Q120" si="22">SUM(D109:D119)</f>
        <v>0</v>
      </c>
      <c r="E120" s="30">
        <f t="shared" si="22"/>
        <v>0</v>
      </c>
      <c r="F120" s="30">
        <f t="shared" si="22"/>
        <v>0</v>
      </c>
      <c r="G120" s="30">
        <f t="shared" si="22"/>
        <v>88000</v>
      </c>
      <c r="H120" s="30" t="e">
        <f t="shared" si="22"/>
        <v>#REF!</v>
      </c>
      <c r="I120" s="30">
        <f t="shared" si="22"/>
        <v>0</v>
      </c>
      <c r="J120" s="30" t="e">
        <f t="shared" si="22"/>
        <v>#REF!</v>
      </c>
      <c r="K120" s="30">
        <f t="shared" si="22"/>
        <v>33183.5</v>
      </c>
      <c r="L120" s="30">
        <f t="shared" si="22"/>
        <v>0</v>
      </c>
      <c r="M120" s="31">
        <f t="shared" si="22"/>
        <v>123000</v>
      </c>
      <c r="N120" s="31">
        <f t="shared" si="22"/>
        <v>123000</v>
      </c>
      <c r="O120" s="30">
        <f t="shared" si="22"/>
        <v>240000</v>
      </c>
      <c r="P120" s="30">
        <f t="shared" si="22"/>
        <v>0</v>
      </c>
      <c r="Q120" s="30">
        <f t="shared" si="22"/>
        <v>0</v>
      </c>
    </row>
    <row r="121" spans="3:17">
      <c r="C121" s="37" t="s">
        <v>97</v>
      </c>
      <c r="D121" s="44">
        <f t="shared" ref="D121:Q121" si="23">D120</f>
        <v>0</v>
      </c>
      <c r="E121" s="44">
        <f t="shared" si="23"/>
        <v>0</v>
      </c>
      <c r="F121" s="44">
        <f t="shared" si="23"/>
        <v>0</v>
      </c>
      <c r="G121" s="44">
        <f t="shared" si="23"/>
        <v>88000</v>
      </c>
      <c r="H121" s="44" t="e">
        <f t="shared" si="23"/>
        <v>#REF!</v>
      </c>
      <c r="I121" s="44">
        <f t="shared" si="23"/>
        <v>0</v>
      </c>
      <c r="J121" s="44" t="e">
        <f t="shared" si="23"/>
        <v>#REF!</v>
      </c>
      <c r="K121" s="44"/>
      <c r="L121" s="44">
        <f t="shared" si="23"/>
        <v>0</v>
      </c>
      <c r="M121" s="45">
        <f t="shared" si="23"/>
        <v>123000</v>
      </c>
      <c r="N121" s="45">
        <f t="shared" si="23"/>
        <v>123000</v>
      </c>
      <c r="O121" s="44">
        <f t="shared" si="23"/>
        <v>240000</v>
      </c>
      <c r="P121" s="44">
        <f t="shared" si="23"/>
        <v>0</v>
      </c>
      <c r="Q121" s="44">
        <f t="shared" si="23"/>
        <v>0</v>
      </c>
    </row>
    <row r="122" spans="3:17">
      <c r="D122" s="39"/>
      <c r="E122" s="39"/>
      <c r="F122" s="39"/>
      <c r="G122" s="25"/>
      <c r="H122" s="25"/>
      <c r="I122" s="25"/>
      <c r="J122" s="24"/>
      <c r="K122" s="25"/>
      <c r="L122" s="25"/>
      <c r="M122" s="39"/>
      <c r="N122" s="39"/>
      <c r="O122" s="39"/>
    </row>
    <row r="123" spans="3:17">
      <c r="D123" s="39"/>
      <c r="E123" s="39"/>
      <c r="F123" s="39"/>
      <c r="G123" s="25"/>
      <c r="H123" s="25"/>
      <c r="I123" s="25"/>
      <c r="J123" s="24"/>
      <c r="K123" s="24"/>
      <c r="L123" s="2"/>
    </row>
    <row r="124" spans="3:17">
      <c r="D124" s="39"/>
      <c r="E124" s="39"/>
      <c r="F124" s="39"/>
      <c r="G124" s="25"/>
      <c r="H124" s="25"/>
      <c r="I124" s="25"/>
      <c r="J124" s="24"/>
      <c r="K124" s="24"/>
      <c r="L124" s="2"/>
    </row>
    <row r="125" spans="3:17">
      <c r="D125" s="39"/>
      <c r="E125" s="39"/>
      <c r="F125" s="39"/>
      <c r="G125" s="25"/>
      <c r="H125" s="25"/>
      <c r="I125" s="25"/>
      <c r="J125" s="2"/>
      <c r="K125" s="24"/>
      <c r="L125" s="2"/>
    </row>
    <row r="126" spans="3:17">
      <c r="D126" s="39"/>
      <c r="E126" s="39"/>
      <c r="F126" s="39"/>
      <c r="G126" s="25"/>
      <c r="H126" s="25"/>
      <c r="I126" s="25"/>
      <c r="J126" s="2"/>
      <c r="K126" s="24"/>
      <c r="L126" s="2"/>
    </row>
    <row r="127" spans="3:17">
      <c r="D127" s="39"/>
      <c r="E127" s="39"/>
      <c r="F127" s="39"/>
      <c r="G127" s="25"/>
      <c r="H127" s="25"/>
      <c r="I127" s="25"/>
      <c r="J127" s="2"/>
      <c r="K127" s="24"/>
      <c r="L127" s="2"/>
    </row>
    <row r="128" spans="3:17">
      <c r="D128" s="39"/>
      <c r="E128" s="39"/>
      <c r="F128" s="39"/>
      <c r="G128" s="25"/>
      <c r="H128" s="25"/>
      <c r="I128" s="25"/>
      <c r="J128" s="2"/>
      <c r="K128" s="24"/>
      <c r="L128" s="2"/>
    </row>
    <row r="129" spans="4:12">
      <c r="D129" s="39"/>
      <c r="E129" s="39"/>
      <c r="F129" s="39"/>
      <c r="G129" s="25"/>
      <c r="H129" s="25"/>
      <c r="I129" s="25"/>
      <c r="J129" s="2"/>
      <c r="K129" s="24"/>
      <c r="L129" s="2"/>
    </row>
    <row r="130" spans="4:12">
      <c r="D130" s="39"/>
      <c r="E130" s="39"/>
      <c r="F130" s="39"/>
      <c r="G130" s="25"/>
      <c r="H130" s="25"/>
      <c r="I130" s="25"/>
      <c r="J130" s="2"/>
      <c r="K130" s="24"/>
      <c r="L130" s="2"/>
    </row>
    <row r="131" spans="4:12">
      <c r="D131" s="39"/>
      <c r="E131" s="39"/>
      <c r="F131" s="39"/>
      <c r="G131" s="25"/>
      <c r="H131" s="25"/>
      <c r="I131" s="25"/>
      <c r="J131" s="2"/>
      <c r="K131" s="24"/>
      <c r="L131" s="2"/>
    </row>
    <row r="132" spans="4:12">
      <c r="D132" s="39"/>
      <c r="E132" s="39"/>
      <c r="F132" s="39"/>
      <c r="G132" s="25"/>
      <c r="H132" s="25"/>
      <c r="I132" s="25"/>
      <c r="J132" s="2"/>
      <c r="K132" s="24"/>
      <c r="L132" s="2"/>
    </row>
    <row r="133" spans="4:12">
      <c r="D133" s="39"/>
      <c r="E133" s="39"/>
      <c r="F133" s="39"/>
      <c r="G133" s="39"/>
      <c r="H133" s="39"/>
      <c r="I133" s="39"/>
    </row>
  </sheetData>
  <mergeCells count="5">
    <mergeCell ref="D11:I11"/>
    <mergeCell ref="C13:C14"/>
    <mergeCell ref="G13:N13"/>
    <mergeCell ref="O13:Q13"/>
    <mergeCell ref="C107:C108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672040A9A846C41AD32966006653A1E" ma:contentTypeVersion="5" ma:contentTypeDescription="Create a new document." ma:contentTypeScope="" ma:versionID="ebe6b4898b6983a3bc770df41e2df807">
  <xsd:schema xmlns:xsd="http://www.w3.org/2001/XMLSchema" xmlns:xs="http://www.w3.org/2001/XMLSchema" xmlns:p="http://schemas.microsoft.com/office/2006/metadata/properties" xmlns:ns1="http://schemas.microsoft.com/sharepoint/v3" xmlns:ns2="3a6f5a8a-7794-4232-953c-c1a96d9314e3" targetNamespace="http://schemas.microsoft.com/office/2006/metadata/properties" ma:root="true" ma:fieldsID="c694029fc23fccd7d45e555556627078" ns1:_="" ns2:_="">
    <xsd:import namespace="http://schemas.microsoft.com/sharepoint/v3"/>
    <xsd:import namespace="3a6f5a8a-7794-4232-953c-c1a96d9314e3"/>
    <xsd:element name="properties">
      <xsd:complexType>
        <xsd:sequence>
          <xsd:element name="documentManagement">
            <xsd:complexType>
              <xsd:all>
                <xsd:element ref="ns1:PublishingStartDate" minOccurs="0"/>
                <xsd:element ref="ns1:PublishingExpirationDate" minOccurs="0"/>
                <xsd:element ref="ns2:Type_x0020_of_x0020_Document" minOccurs="0"/>
                <xsd:element ref="ns2:Yea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PublishingStartDate" ma:index="8" nillable="true" ma:displayName="Scheduling Start Date" ma:description="Scheduling Start Date is a site column created by the Publishing feature. It is used to specify the date and time on which this page will first appear to site visitors." ma:internalName="PublishingStartDate">
      <xsd:simpleType>
        <xsd:restriction base="dms:Unknown"/>
      </xsd:simpleType>
    </xsd:element>
    <xsd:element name="PublishingExpirationDate" ma:index="9" nillable="true" ma:displayName="Scheduling End Date" ma:description="Scheduling End Date is a site column created by the Publishing feature. It is used to specify the date and time on which this page will no longer appear to site visitors." ma:internalName="PublishingExpirationDat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a6f5a8a-7794-4232-953c-c1a96d9314e3" elementFormDefault="qualified">
    <xsd:import namespace="http://schemas.microsoft.com/office/2006/documentManagement/types"/>
    <xsd:import namespace="http://schemas.microsoft.com/office/infopath/2007/PartnerControls"/>
    <xsd:element name="Type_x0020_of_x0020_Document" ma:index="10" nillable="true" ma:displayName="Type of Document" ma:internalName="Type_x0020_of_x0020_Document">
      <xsd:complexType>
        <xsd:complexContent>
          <xsd:extension base="dms:MultiChoice">
            <xsd:sequence>
              <xsd:element name="Value" maxOccurs="unbounded" minOccurs="0" nillable="true">
                <xsd:simpleType>
                  <xsd:restriction base="dms:Choice">
                    <xsd:enumeration value="2013 to 2016 Budget"/>
                    <xsd:enumeration value="2009 to 2011 Budget"/>
                    <xsd:enumeration value="Draft Budget"/>
                    <xsd:enumeration value="Final Budget"/>
                    <xsd:enumeration value="Monthly Budget Statements"/>
                    <xsd:enumeration value="Annual Reports 2009-2010"/>
                    <xsd:enumeration value="Annual Reports 2011-2012"/>
                    <xsd:enumeration value="Annual Reports 2012-2013"/>
                    <xsd:enumeration value="Annual Reports 2013-2014"/>
                    <xsd:enumeration value="Draft Annual Report 2013-2014"/>
                    <xsd:enumeration value="Draft Annual Report 2009-2011"/>
                    <xsd:enumeration value="Final Annual Report"/>
                    <xsd:enumeration value="Mid Year Performance Assessment 2014-2015"/>
                    <xsd:enumeration value="Bids Advertisements"/>
                    <xsd:enumeration value="Bids Awarded"/>
                    <xsd:enumeration value="Bids Opening and Closing Registers"/>
                    <xsd:enumeration value="Awarded Tenders"/>
                    <xsd:enumeration value="Quotations Advertisement"/>
                    <xsd:enumeration value="Quotations Awarded"/>
                    <xsd:enumeration value="Quotation Opening and Closing Registers"/>
                    <xsd:enumeration value="Database Advertisements"/>
                    <xsd:enumeration value="Database Forms"/>
                    <xsd:enumeration value="Demand Management"/>
                    <xsd:enumeration value="Bids and Tenders"/>
                    <xsd:enumeration value="Adverts for Projects"/>
                    <xsd:enumeration value="Performance Agreements 2016-2017"/>
                    <xsd:enumeration value="Performance Agreements"/>
                    <xsd:enumeration value="Forms"/>
                    <xsd:enumeration value="Policies"/>
                    <xsd:enumeration value="SDBIP"/>
                    <xsd:enumeration value="Speeches"/>
                    <xsd:enumeration value="Tariffs"/>
                    <xsd:enumeration value="Plans"/>
                    <xsd:enumeration value="IDP"/>
                    <xsd:enumeration value="By-Laws"/>
                    <xsd:enumeration value="RFP"/>
                  </xsd:restriction>
                </xsd:simpleType>
              </xsd:element>
            </xsd:sequence>
          </xsd:extension>
        </xsd:complexContent>
      </xsd:complexType>
    </xsd:element>
    <xsd:element name="Year" ma:index="11" nillable="true" ma:displayName="Document Year" ma:description="Monthly Budget Statement year" ma:format="DateOnly" ma:internalName="Year">
      <xsd:simpleType>
        <xsd:restriction base="dms:DateTime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ublishingExpirationDate xmlns="http://schemas.microsoft.com/sharepoint/v3" xsi:nil="true"/>
    <PublishingStartDate xmlns="http://schemas.microsoft.com/sharepoint/v3" xsi:nil="true"/>
    <Type_x0020_of_x0020_Document xmlns="3a6f5a8a-7794-4232-953c-c1a96d9314e3"/>
    <Year xmlns="3a6f5a8a-7794-4232-953c-c1a96d9314e3" xsi:nil="true"/>
  </documentManagement>
</p:properties>
</file>

<file path=customXml/itemProps1.xml><?xml version="1.0" encoding="utf-8"?>
<ds:datastoreItem xmlns:ds="http://schemas.openxmlformats.org/officeDocument/2006/customXml" ds:itemID="{04DD49B0-B7D3-4DEC-8202-6E8C5B459EA0}"/>
</file>

<file path=customXml/itemProps2.xml><?xml version="1.0" encoding="utf-8"?>
<ds:datastoreItem xmlns:ds="http://schemas.openxmlformats.org/officeDocument/2006/customXml" ds:itemID="{B6B94D78-5385-48DA-B807-0C7AC5ECFFE7}"/>
</file>

<file path=customXml/itemProps3.xml><?xml version="1.0" encoding="utf-8"?>
<ds:datastoreItem xmlns:ds="http://schemas.openxmlformats.org/officeDocument/2006/customXml" ds:itemID="{E6418827-0383-4CB0-A853-0F90BCF1469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wilkenn</dc:creator>
  <cp:lastModifiedBy>shimim</cp:lastModifiedBy>
  <dcterms:created xsi:type="dcterms:W3CDTF">2014-05-22T12:06:01Z</dcterms:created>
  <dcterms:modified xsi:type="dcterms:W3CDTF">2014-08-13T13:01:48Z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0x0101003672040A9A846C41AD32966006653A1E</vt:lpwstr>
  </property>
</Properties>
</file>