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workbookProtection workbookPassword="FB84" lockStructure="1"/>
  <bookViews>
    <workbookView xWindow="0" yWindow="0" windowWidth="15360" windowHeight="7752" tabRatio="792" firstSheet="12" activeTab="1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33" i="178" l="1"/>
  <c r="H100" i="333" l="1"/>
  <c r="H101" i="333"/>
  <c r="G14" i="270" l="1"/>
  <c r="G38" i="269" l="1"/>
  <c r="G35" i="269"/>
  <c r="G15" i="269"/>
  <c r="G14" i="269"/>
  <c r="G11" i="269"/>
  <c r="G10" i="269"/>
  <c r="G9" i="269"/>
  <c r="F35" i="269"/>
  <c r="G43" i="270"/>
  <c r="G11" i="270"/>
  <c r="G44" i="270"/>
  <c r="G66" i="268" l="1"/>
  <c r="G73" i="268"/>
  <c r="G72" i="268"/>
  <c r="G61" i="268"/>
  <c r="G59" i="268"/>
  <c r="G58" i="268"/>
  <c r="G55" i="268"/>
  <c r="G54" i="268"/>
  <c r="G49" i="268"/>
  <c r="G48" i="268"/>
  <c r="G45" i="268"/>
  <c r="G262" i="324"/>
  <c r="G251" i="324"/>
  <c r="G243" i="324"/>
  <c r="G241" i="324"/>
  <c r="G239" i="324"/>
  <c r="G232" i="324"/>
  <c r="G229" i="324"/>
  <c r="G228" i="324"/>
  <c r="G218" i="324"/>
  <c r="G216" i="324"/>
  <c r="G211" i="324"/>
  <c r="G210" i="324"/>
  <c r="G158" i="242"/>
  <c r="G149" i="242"/>
  <c r="G119" i="242"/>
  <c r="G90" i="242"/>
  <c r="G34" i="242"/>
  <c r="G26" i="242"/>
  <c r="G9" i="242"/>
  <c r="G119" i="326"/>
  <c r="G47" i="326"/>
  <c r="G34" i="326"/>
  <c r="G9" i="326"/>
  <c r="G100" i="335"/>
  <c r="G90" i="335"/>
  <c r="G35" i="335"/>
  <c r="G9" i="335"/>
  <c r="H161" i="335" l="1"/>
  <c r="H149" i="335"/>
  <c r="H144" i="335"/>
  <c r="H119" i="335"/>
  <c r="H100" i="335"/>
  <c r="H90" i="335"/>
  <c r="H77" i="335"/>
  <c r="H35" i="335"/>
  <c r="H12" i="335"/>
  <c r="H11" i="335"/>
  <c r="H10" i="335"/>
  <c r="H9" i="335"/>
  <c r="H158" i="333"/>
  <c r="H155" i="333"/>
  <c r="H152" i="333"/>
  <c r="H149" i="333"/>
  <c r="H133" i="333"/>
  <c r="H132" i="333"/>
  <c r="H131" i="333"/>
  <c r="H129" i="333"/>
  <c r="H128" i="333"/>
  <c r="H127" i="333"/>
  <c r="H126" i="333"/>
  <c r="H125" i="333"/>
  <c r="H124" i="333"/>
  <c r="H123" i="333"/>
  <c r="H122" i="333"/>
  <c r="H121" i="333"/>
  <c r="H120" i="333"/>
  <c r="H119" i="333"/>
  <c r="H102"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52" i="333"/>
  <c r="H51" i="333"/>
  <c r="H50" i="333"/>
  <c r="H49" i="333"/>
  <c r="H48" i="333"/>
  <c r="H47" i="333"/>
  <c r="H46" i="333"/>
  <c r="H44" i="333"/>
  <c r="H43" i="333"/>
  <c r="H42" i="333"/>
  <c r="H41" i="333"/>
  <c r="H40" i="333"/>
  <c r="H39" i="333"/>
  <c r="H37" i="333"/>
  <c r="H36" i="333"/>
  <c r="H35" i="333"/>
  <c r="H34" i="333"/>
  <c r="H33" i="333"/>
  <c r="H32" i="333"/>
  <c r="H31" i="333"/>
  <c r="H30" i="333"/>
  <c r="H29" i="333"/>
  <c r="H28" i="333"/>
  <c r="H26" i="333"/>
  <c r="H25" i="333"/>
  <c r="H24" i="333"/>
  <c r="H23" i="333"/>
  <c r="H22" i="333"/>
  <c r="H21" i="333"/>
  <c r="H20" i="333"/>
  <c r="H19" i="333"/>
  <c r="H18" i="333"/>
  <c r="H16" i="333"/>
  <c r="H15" i="333"/>
  <c r="H14" i="333"/>
  <c r="H12" i="333"/>
  <c r="H11" i="333"/>
  <c r="H10" i="333"/>
  <c r="H9" i="333"/>
  <c r="H158" i="325"/>
  <c r="H155" i="325"/>
  <c r="H152" i="325" l="1"/>
  <c r="H146" i="325"/>
  <c r="H145" i="325"/>
  <c r="H144" i="325"/>
  <c r="H143" i="325"/>
  <c r="H142" i="325"/>
  <c r="H141" i="325"/>
  <c r="H129" i="325"/>
  <c r="H128" i="325"/>
  <c r="H127" i="325"/>
  <c r="H126" i="325"/>
  <c r="H125" i="325"/>
  <c r="H124" i="325"/>
  <c r="H123" i="325"/>
  <c r="H122" i="325"/>
  <c r="H121" i="325"/>
  <c r="H120" i="325"/>
  <c r="H119"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62" i="325"/>
  <c r="H61" i="325"/>
  <c r="H60" i="325"/>
  <c r="H59" i="325"/>
  <c r="H58" i="325"/>
  <c r="H57" i="325"/>
  <c r="H56" i="325"/>
  <c r="H55" i="325"/>
  <c r="H54"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2" i="325"/>
  <c r="H21" i="325"/>
  <c r="H20" i="325"/>
  <c r="H19" i="325"/>
  <c r="H18" i="325"/>
  <c r="H12" i="325"/>
  <c r="H11" i="325"/>
  <c r="H10" i="325"/>
  <c r="H9" i="325"/>
  <c r="H161" i="326"/>
  <c r="H146" i="326"/>
  <c r="H145" i="326"/>
  <c r="H144" i="326"/>
  <c r="H143" i="326"/>
  <c r="H142" i="326"/>
  <c r="H141" i="326"/>
  <c r="H129" i="326"/>
  <c r="H128" i="326"/>
  <c r="H127" i="326"/>
  <c r="H126" i="326"/>
  <c r="H125" i="326"/>
  <c r="H124" i="326"/>
  <c r="H123" i="326"/>
  <c r="H122" i="326"/>
  <c r="H121" i="326"/>
  <c r="H120" i="326"/>
  <c r="H119" i="326"/>
  <c r="H98" i="326"/>
  <c r="H97" i="326"/>
  <c r="H96" i="326"/>
  <c r="H95" i="326"/>
  <c r="H94" i="326"/>
  <c r="H93" i="326"/>
  <c r="H92" i="326"/>
  <c r="H91" i="326"/>
  <c r="H90" i="326"/>
  <c r="H89" i="326"/>
  <c r="H88" i="326"/>
  <c r="H87" i="326"/>
  <c r="H86" i="326"/>
  <c r="H85" i="326"/>
  <c r="H84" i="326"/>
  <c r="H83" i="326"/>
  <c r="H82" i="326"/>
  <c r="H81" i="326"/>
  <c r="H80" i="326"/>
  <c r="H79" i="326"/>
  <c r="H78" i="326"/>
  <c r="H77" i="326"/>
  <c r="H52" i="326"/>
  <c r="H51" i="326"/>
  <c r="H50" i="326"/>
  <c r="H49" i="326"/>
  <c r="H48" i="326"/>
  <c r="H47" i="326"/>
  <c r="H46" i="326"/>
  <c r="H37" i="326"/>
  <c r="H36" i="326"/>
  <c r="H35" i="326"/>
  <c r="H34" i="326"/>
  <c r="H33" i="326"/>
  <c r="H32" i="326"/>
  <c r="H31" i="326"/>
  <c r="H30" i="326"/>
  <c r="H29" i="326"/>
  <c r="H28" i="326"/>
  <c r="H26" i="326"/>
  <c r="H25" i="326"/>
  <c r="H24" i="326"/>
  <c r="H23" i="326"/>
  <c r="H22" i="326"/>
  <c r="H21" i="326"/>
  <c r="H20" i="326"/>
  <c r="H19" i="326"/>
  <c r="H18" i="326"/>
  <c r="H12" i="326"/>
  <c r="H11" i="326"/>
  <c r="H10" i="326"/>
  <c r="H9" i="326"/>
  <c r="H158" i="242"/>
  <c r="H152" i="242"/>
  <c r="H149" i="242"/>
  <c r="H146" i="242"/>
  <c r="H145" i="242"/>
  <c r="H144" i="242"/>
  <c r="H143" i="242"/>
  <c r="H142" i="242"/>
  <c r="H141" i="242"/>
  <c r="H129" i="242"/>
  <c r="H128" i="242"/>
  <c r="H127" i="242"/>
  <c r="H126" i="242"/>
  <c r="H125" i="242"/>
  <c r="H124" i="242"/>
  <c r="H123" i="242"/>
  <c r="H122" i="242"/>
  <c r="H121" i="242"/>
  <c r="H120" i="242"/>
  <c r="H119" i="242"/>
  <c r="H113" i="242"/>
  <c r="H112"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2" i="242"/>
  <c r="H11" i="242"/>
  <c r="H10" i="242"/>
  <c r="H9" i="242"/>
  <c r="H98" i="318"/>
  <c r="H97" i="318"/>
  <c r="H96" i="318"/>
  <c r="H95" i="318"/>
  <c r="H94" i="318"/>
  <c r="H93" i="318"/>
  <c r="H92" i="318"/>
  <c r="H91" i="318"/>
  <c r="H90" i="318"/>
  <c r="H89" i="318"/>
  <c r="H88" i="318"/>
  <c r="H87" i="318"/>
  <c r="H82" i="318"/>
  <c r="H81" i="318"/>
  <c r="H80" i="318"/>
  <c r="H79" i="318"/>
  <c r="H78" i="318"/>
  <c r="H77" i="318"/>
  <c r="H76" i="318"/>
  <c r="H75" i="318"/>
  <c r="H74" i="318"/>
  <c r="H73" i="318"/>
  <c r="H72" i="318"/>
  <c r="H71" i="318"/>
  <c r="H66" i="318"/>
  <c r="H65" i="318"/>
  <c r="H64" i="318"/>
  <c r="H63" i="318"/>
  <c r="H62" i="318"/>
  <c r="H61" i="318"/>
  <c r="H60" i="318"/>
  <c r="H59" i="318"/>
  <c r="H58" i="318"/>
  <c r="H57" i="318"/>
  <c r="H56" i="318"/>
  <c r="H55" i="318"/>
  <c r="H54" i="318"/>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40" i="269"/>
  <c r="H39" i="269"/>
  <c r="H38" i="269"/>
  <c r="H37" i="269"/>
  <c r="H36" i="269"/>
  <c r="H35" i="269"/>
  <c r="H18" i="269"/>
  <c r="H17" i="269"/>
  <c r="H16" i="269"/>
  <c r="H15" i="269"/>
  <c r="H14" i="269"/>
  <c r="H13" i="269"/>
  <c r="H12" i="269"/>
  <c r="H11" i="269"/>
  <c r="H10" i="269"/>
  <c r="H9" i="269"/>
  <c r="H51" i="270"/>
  <c r="H50" i="270"/>
  <c r="H49" i="270"/>
  <c r="H48" i="270"/>
  <c r="H47" i="270"/>
  <c r="H46" i="270"/>
  <c r="H45" i="270"/>
  <c r="H44" i="270"/>
  <c r="H43" i="270"/>
  <c r="H42" i="270"/>
  <c r="H19" i="270"/>
  <c r="H18" i="270"/>
  <c r="H17" i="270"/>
  <c r="H16" i="270"/>
  <c r="H15" i="270"/>
  <c r="H14" i="270"/>
  <c r="H13" i="270"/>
  <c r="H12" i="270"/>
  <c r="H11" i="270"/>
  <c r="H10" i="270"/>
  <c r="H9" i="270"/>
  <c r="H36" i="177"/>
  <c r="H34" i="177"/>
  <c r="H33" i="177"/>
  <c r="H32" i="177"/>
  <c r="H27" i="177"/>
  <c r="H25" i="177"/>
  <c r="H24" i="177"/>
  <c r="H23" i="177"/>
  <c r="H22" i="177"/>
  <c r="H17" i="177"/>
  <c r="H16" i="177"/>
  <c r="H15" i="177"/>
  <c r="H13" i="177"/>
  <c r="H12" i="177"/>
  <c r="H11" i="177"/>
  <c r="H10" i="177"/>
  <c r="H9" i="177"/>
  <c r="H8" i="177"/>
  <c r="H7" i="177"/>
  <c r="H285" i="324"/>
  <c r="H284" i="324"/>
  <c r="H283" i="324"/>
  <c r="H282" i="324"/>
  <c r="H281" i="324"/>
  <c r="H280" i="324"/>
  <c r="H279" i="324"/>
  <c r="H278" i="324"/>
  <c r="H277" i="324"/>
  <c r="H276" i="324"/>
  <c r="H274" i="324"/>
  <c r="H273" i="324"/>
  <c r="H272" i="324"/>
  <c r="H271" i="324"/>
  <c r="H270" i="324"/>
  <c r="H269" i="324"/>
  <c r="H268" i="324"/>
  <c r="H267" i="324"/>
  <c r="H266" i="324"/>
  <c r="H265" i="324"/>
  <c r="H263" i="324"/>
  <c r="H262" i="324"/>
  <c r="H261" i="324"/>
  <c r="H260" i="324"/>
  <c r="H259" i="324"/>
  <c r="H258" i="324"/>
  <c r="H257" i="324"/>
  <c r="H256" i="324"/>
  <c r="H255" i="324"/>
  <c r="H254"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9" i="324"/>
  <c r="H218" i="324"/>
  <c r="H217" i="324"/>
  <c r="H216" i="324"/>
  <c r="H215" i="324"/>
  <c r="H214" i="324"/>
  <c r="H213" i="324"/>
  <c r="H212" i="324"/>
  <c r="H211" i="324"/>
  <c r="H210" i="324"/>
  <c r="H73" i="268"/>
  <c r="H72" i="268"/>
  <c r="H71" i="268"/>
  <c r="H69" i="268"/>
  <c r="H68" i="268"/>
  <c r="H67" i="268"/>
  <c r="H66" i="268"/>
  <c r="H62" i="268"/>
  <c r="H61" i="268"/>
  <c r="H60" i="268"/>
  <c r="H59" i="268"/>
  <c r="H58" i="268"/>
  <c r="H56" i="268"/>
  <c r="H55" i="268"/>
  <c r="H54" i="268"/>
  <c r="H52" i="268"/>
  <c r="H51" i="268"/>
  <c r="H50" i="268"/>
  <c r="H49" i="268"/>
  <c r="H48" i="268"/>
  <c r="H46" i="268"/>
  <c r="H45" i="268"/>
  <c r="H44" i="268"/>
  <c r="H39" i="182"/>
  <c r="H35" i="182"/>
  <c r="H34" i="182"/>
  <c r="H33" i="182"/>
  <c r="H32" i="182"/>
  <c r="H31" i="182"/>
  <c r="H30" i="182"/>
  <c r="H29" i="182"/>
  <c r="H28" i="182"/>
  <c r="H27" i="182"/>
  <c r="H26" i="182"/>
  <c r="H25" i="182"/>
  <c r="H21" i="182"/>
  <c r="H20" i="182"/>
  <c r="H19" i="182"/>
  <c r="H18" i="182"/>
  <c r="H17" i="182"/>
  <c r="H16" i="182"/>
  <c r="H15" i="182"/>
  <c r="H14" i="182"/>
  <c r="H13" i="182"/>
  <c r="H12" i="182"/>
  <c r="H11" i="182"/>
  <c r="H10" i="182"/>
  <c r="H9" i="182"/>
  <c r="H8" i="182"/>
  <c r="H7" i="182"/>
  <c r="H6" i="182"/>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241"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3"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4" i="330"/>
  <c r="H23" i="330"/>
  <c r="H22" i="330"/>
  <c r="H21" i="330"/>
  <c r="H20" i="330"/>
  <c r="H19" i="330"/>
  <c r="H18" i="330"/>
  <c r="H17" i="330"/>
  <c r="H16" i="330"/>
  <c r="H15" i="330"/>
  <c r="H14" i="330"/>
  <c r="H13" i="330"/>
  <c r="H12" i="330"/>
  <c r="H11" i="330"/>
  <c r="H8" i="330"/>
  <c r="J10" i="238" l="1"/>
  <c r="J11" i="238"/>
  <c r="J6" i="238"/>
  <c r="J7" i="238"/>
  <c r="J9" i="238"/>
  <c r="G9" i="333" l="1"/>
  <c r="G10" i="333"/>
  <c r="G11" i="333"/>
  <c r="G15" i="333"/>
  <c r="G18" i="333"/>
  <c r="G19" i="333"/>
  <c r="G20" i="333"/>
  <c r="G21" i="333"/>
  <c r="G22" i="333"/>
  <c r="G23" i="333"/>
  <c r="G24" i="333"/>
  <c r="G25" i="333"/>
  <c r="G28" i="333"/>
  <c r="G29" i="333"/>
  <c r="G30" i="333"/>
  <c r="G31" i="333"/>
  <c r="G32" i="333"/>
  <c r="G33" i="333"/>
  <c r="G34" i="333"/>
  <c r="G35" i="333"/>
  <c r="G36" i="333"/>
  <c r="G39" i="333"/>
  <c r="G40" i="333"/>
  <c r="G41" i="333"/>
  <c r="G42" i="333"/>
  <c r="G43" i="333"/>
  <c r="G46" i="333"/>
  <c r="G47" i="333"/>
  <c r="G48" i="333"/>
  <c r="G49" i="333"/>
  <c r="G70" i="333"/>
  <c r="G71" i="333"/>
  <c r="G72" i="333"/>
  <c r="G73" i="333"/>
  <c r="G77" i="333"/>
  <c r="G78" i="333"/>
  <c r="G79" i="333"/>
  <c r="G80" i="333"/>
  <c r="G81" i="333"/>
  <c r="G82" i="333"/>
  <c r="G83" i="333"/>
  <c r="G84" i="333"/>
  <c r="G85" i="333"/>
  <c r="G86" i="333"/>
  <c r="G87" i="333"/>
  <c r="G88" i="333"/>
  <c r="G89" i="333"/>
  <c r="G90" i="333"/>
  <c r="G91" i="333"/>
  <c r="G92" i="333"/>
  <c r="G93" i="333"/>
  <c r="G94" i="333"/>
  <c r="G95" i="333"/>
  <c r="G96" i="333"/>
  <c r="G97" i="333"/>
  <c r="G100" i="333"/>
  <c r="G101" i="333"/>
  <c r="G119" i="333"/>
  <c r="G120" i="333"/>
  <c r="G121" i="333"/>
  <c r="G122" i="333"/>
  <c r="G123" i="333"/>
  <c r="G131" i="333"/>
  <c r="G132" i="333"/>
  <c r="G149" i="333"/>
  <c r="G152" i="333"/>
  <c r="G155" i="333"/>
  <c r="G158" i="333"/>
  <c r="H98" i="335" l="1"/>
  <c r="H97" i="335"/>
  <c r="H96" i="335"/>
  <c r="H95" i="335"/>
  <c r="H94" i="335"/>
  <c r="H93" i="335"/>
  <c r="H92" i="335"/>
  <c r="H91" i="335"/>
  <c r="H89" i="335"/>
  <c r="H88" i="335"/>
  <c r="H87" i="335"/>
  <c r="H86" i="335"/>
  <c r="H85" i="335"/>
  <c r="H84" i="335"/>
  <c r="H83" i="335"/>
  <c r="H82" i="335"/>
  <c r="H81" i="335"/>
  <c r="H80" i="335"/>
  <c r="H79" i="335"/>
  <c r="H78" i="335"/>
  <c r="H9" i="330"/>
  <c r="G265" i="323" l="1"/>
  <c r="F216" i="323"/>
  <c r="F96" i="32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K13" i="269"/>
  <c r="C17" i="180" l="1"/>
  <c r="J8" i="238" l="1"/>
  <c r="J5" i="238"/>
  <c r="K161" i="335" l="1"/>
  <c r="K149" i="335"/>
  <c r="K144" i="335"/>
  <c r="K119"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35" i="335"/>
  <c r="K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61" i="326"/>
  <c r="K142" i="326"/>
  <c r="K143" i="326"/>
  <c r="K144" i="326"/>
  <c r="K145" i="326"/>
  <c r="K146" i="326"/>
  <c r="K141" i="326"/>
  <c r="K120" i="326"/>
  <c r="K121" i="326"/>
  <c r="K122" i="326"/>
  <c r="K123" i="326"/>
  <c r="K124" i="326"/>
  <c r="K125" i="326"/>
  <c r="K126" i="326"/>
  <c r="K127" i="326"/>
  <c r="K128" i="326"/>
  <c r="K129"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47" i="326"/>
  <c r="K48" i="326"/>
  <c r="K49" i="326"/>
  <c r="K50" i="326"/>
  <c r="K51" i="326"/>
  <c r="K52" i="326"/>
  <c r="K46" i="326"/>
  <c r="K29" i="326"/>
  <c r="K30" i="326"/>
  <c r="K31" i="326"/>
  <c r="K32" i="326"/>
  <c r="K33" i="326"/>
  <c r="K34" i="326"/>
  <c r="K35" i="326"/>
  <c r="K36" i="326"/>
  <c r="K37" i="326"/>
  <c r="K28" i="326"/>
  <c r="K19" i="326"/>
  <c r="K20" i="326"/>
  <c r="K21" i="326"/>
  <c r="K22" i="326"/>
  <c r="K23" i="326"/>
  <c r="K24" i="326"/>
  <c r="K25" i="326"/>
  <c r="K26" i="326"/>
  <c r="K18" i="326"/>
  <c r="K10" i="326"/>
  <c r="K11" i="326"/>
  <c r="K12" i="326"/>
  <c r="K9" i="326"/>
  <c r="K158" i="242"/>
  <c r="K152" i="242"/>
  <c r="K149" i="242"/>
  <c r="K142" i="242"/>
  <c r="K143" i="242"/>
  <c r="K144" i="242"/>
  <c r="K145" i="242"/>
  <c r="K146" i="242"/>
  <c r="K141" i="242"/>
  <c r="K120" i="242"/>
  <c r="K121" i="242"/>
  <c r="K122" i="242"/>
  <c r="K123" i="242"/>
  <c r="K124" i="242"/>
  <c r="K125" i="242"/>
  <c r="K126" i="242"/>
  <c r="K127" i="242"/>
  <c r="K128" i="242"/>
  <c r="K129" i="242"/>
  <c r="K119" i="242"/>
  <c r="K113" i="242"/>
  <c r="K112"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47" i="242"/>
  <c r="K48" i="242"/>
  <c r="K49" i="242"/>
  <c r="K50" i="242"/>
  <c r="K51" i="242"/>
  <c r="K52" i="242"/>
  <c r="K46" i="242"/>
  <c r="K40" i="242"/>
  <c r="K41" i="242"/>
  <c r="K42" i="242"/>
  <c r="K43" i="242"/>
  <c r="K44" i="242"/>
  <c r="K39" i="242"/>
  <c r="K29" i="242"/>
  <c r="K30" i="242"/>
  <c r="K31" i="242"/>
  <c r="K32" i="242"/>
  <c r="K33" i="242"/>
  <c r="K34" i="242"/>
  <c r="K35" i="242"/>
  <c r="K36" i="242"/>
  <c r="K37" i="242"/>
  <c r="K28" i="242"/>
  <c r="K19" i="242"/>
  <c r="K20" i="242"/>
  <c r="K21" i="242"/>
  <c r="K22" i="242"/>
  <c r="K23" i="242"/>
  <c r="K24" i="242"/>
  <c r="K25" i="242"/>
  <c r="K26" i="242"/>
  <c r="K18" i="242"/>
  <c r="K10" i="242"/>
  <c r="K11" i="242"/>
  <c r="K12" i="242"/>
  <c r="K9"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37" i="269"/>
  <c r="K38" i="269"/>
  <c r="K39" i="269"/>
  <c r="K40" i="269"/>
  <c r="K36" i="269"/>
  <c r="K35" i="269"/>
  <c r="K11" i="269"/>
  <c r="K12" i="269"/>
  <c r="K14" i="269"/>
  <c r="K15" i="269"/>
  <c r="K10" i="269"/>
  <c r="K9" i="269"/>
  <c r="K44" i="270"/>
  <c r="K45" i="270"/>
  <c r="K46" i="270"/>
  <c r="K47" i="270"/>
  <c r="K48" i="270"/>
  <c r="K49" i="270"/>
  <c r="K50" i="270"/>
  <c r="K51" i="270"/>
  <c r="K43" i="270"/>
  <c r="K42" i="270"/>
  <c r="K11" i="270"/>
  <c r="K12" i="270"/>
  <c r="K13" i="270"/>
  <c r="K14" i="270"/>
  <c r="K15" i="270"/>
  <c r="K16" i="270"/>
  <c r="K17" i="270"/>
  <c r="K18" i="270"/>
  <c r="K19" i="270"/>
  <c r="K10" i="270"/>
  <c r="K9" i="270"/>
  <c r="K33" i="177"/>
  <c r="K34" i="177"/>
  <c r="K32" i="177"/>
  <c r="K36" i="177"/>
  <c r="K27" i="177"/>
  <c r="K23" i="177"/>
  <c r="K24" i="177"/>
  <c r="K25" i="177"/>
  <c r="K22" i="177"/>
  <c r="K16" i="177"/>
  <c r="K17" i="177"/>
  <c r="K15" i="177"/>
  <c r="K8" i="177"/>
  <c r="K9" i="177"/>
  <c r="K10" i="177"/>
  <c r="K11" i="177"/>
  <c r="K12" i="177"/>
  <c r="K13" i="177"/>
  <c r="K7"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2" i="268"/>
  <c r="K73" i="268"/>
  <c r="K71" i="268"/>
  <c r="K67" i="268"/>
  <c r="K68" i="268"/>
  <c r="K69" i="268"/>
  <c r="K66" i="268"/>
  <c r="K59" i="268"/>
  <c r="K60" i="268"/>
  <c r="K61" i="268"/>
  <c r="K62" i="268"/>
  <c r="K58" i="268"/>
  <c r="K55" i="268"/>
  <c r="K56" i="268"/>
  <c r="K54" i="268"/>
  <c r="K49" i="268"/>
  <c r="K50" i="268"/>
  <c r="K51" i="268"/>
  <c r="K52" i="268"/>
  <c r="K48" i="268"/>
  <c r="K45" i="268"/>
  <c r="K46" i="268"/>
  <c r="K44" i="268"/>
  <c r="K40" i="182"/>
  <c r="K41"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D7" i="333" s="1"/>
  <c r="K53" i="335"/>
  <c r="H53" i="335"/>
  <c r="I53" i="335" s="1"/>
  <c r="J53" i="335" s="1"/>
  <c r="G53" i="335"/>
  <c r="F53" i="335"/>
  <c r="E53" i="335"/>
  <c r="D53" i="335"/>
  <c r="K8" i="335"/>
  <c r="H8" i="335"/>
  <c r="I8" i="335" s="1"/>
  <c r="J8" i="335" s="1"/>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I154" i="335" s="1"/>
  <c r="J154" i="335" s="1"/>
  <c r="G154" i="335"/>
  <c r="F154" i="335"/>
  <c r="E154" i="335"/>
  <c r="D154" i="335"/>
  <c r="C154" i="335"/>
  <c r="J153" i="335"/>
  <c r="I152" i="335"/>
  <c r="J152" i="335" s="1"/>
  <c r="K151" i="335"/>
  <c r="H151" i="335"/>
  <c r="I151" i="335" s="1"/>
  <c r="J151" i="335" s="1"/>
  <c r="G151" i="335"/>
  <c r="F151" i="335"/>
  <c r="E151" i="335"/>
  <c r="D151" i="335"/>
  <c r="C151" i="335"/>
  <c r="I149" i="335"/>
  <c r="J149" i="335" s="1"/>
  <c r="K148" i="335"/>
  <c r="H148" i="335"/>
  <c r="I148" i="335" s="1"/>
  <c r="J148" i="335" s="1"/>
  <c r="G148" i="335"/>
  <c r="F148" i="335"/>
  <c r="E148" i="335"/>
  <c r="D148" i="335"/>
  <c r="C148" i="335"/>
  <c r="I146" i="335"/>
  <c r="J146" i="335"/>
  <c r="J145" i="335"/>
  <c r="I145" i="335"/>
  <c r="I144" i="335"/>
  <c r="J144" i="335" s="1"/>
  <c r="J143" i="335"/>
  <c r="I143" i="335"/>
  <c r="I142" i="335"/>
  <c r="J142" i="335"/>
  <c r="J141" i="335"/>
  <c r="I141" i="335"/>
  <c r="K140" i="335"/>
  <c r="K138" i="335"/>
  <c r="H140" i="335"/>
  <c r="G140" i="335"/>
  <c r="F140" i="335"/>
  <c r="F138" i="335"/>
  <c r="E140" i="335"/>
  <c r="E138" i="335" s="1"/>
  <c r="D140" i="335"/>
  <c r="D138" i="335" s="1"/>
  <c r="C140" i="335"/>
  <c r="C138" i="335" s="1"/>
  <c r="I139" i="335"/>
  <c r="J139" i="335"/>
  <c r="J137" i="335"/>
  <c r="I136" i="335"/>
  <c r="J136" i="335"/>
  <c r="K135" i="335"/>
  <c r="H135" i="335"/>
  <c r="G135" i="335"/>
  <c r="F135" i="335"/>
  <c r="E135" i="335"/>
  <c r="D135" i="335"/>
  <c r="C135" i="335"/>
  <c r="J134" i="335"/>
  <c r="I133" i="335"/>
  <c r="J133" i="335" s="1"/>
  <c r="I132" i="335"/>
  <c r="J132" i="335" s="1"/>
  <c r="I131" i="335"/>
  <c r="J131" i="335"/>
  <c r="K130" i="335"/>
  <c r="H130" i="335"/>
  <c r="G130" i="335"/>
  <c r="F130" i="335"/>
  <c r="E130" i="335"/>
  <c r="D130" i="335"/>
  <c r="C130" i="335"/>
  <c r="I129" i="335"/>
  <c r="J129" i="335" s="1"/>
  <c r="I128" i="335"/>
  <c r="J128" i="335" s="1"/>
  <c r="I127" i="335"/>
  <c r="J127" i="335"/>
  <c r="I126" i="335"/>
  <c r="J126" i="335" s="1"/>
  <c r="I125" i="335"/>
  <c r="J125" i="335" s="1"/>
  <c r="I124" i="335"/>
  <c r="J124" i="335" s="1"/>
  <c r="I123" i="335"/>
  <c r="J123" i="335" s="1"/>
  <c r="I122" i="335"/>
  <c r="J122" i="335" s="1"/>
  <c r="I121" i="335"/>
  <c r="J121" i="335"/>
  <c r="I120" i="335"/>
  <c r="J120" i="335" s="1"/>
  <c r="I119" i="335"/>
  <c r="J119" i="335" s="1"/>
  <c r="K118" i="335"/>
  <c r="H118" i="335"/>
  <c r="H117" i="335" s="1"/>
  <c r="G118" i="335"/>
  <c r="G117" i="335" s="1"/>
  <c r="F118" i="335"/>
  <c r="E118" i="335"/>
  <c r="D118" i="335"/>
  <c r="D117" i="335" s="1"/>
  <c r="C118" i="335"/>
  <c r="C117" i="335" s="1"/>
  <c r="I116" i="335"/>
  <c r="J116" i="335"/>
  <c r="J115" i="335"/>
  <c r="I115" i="335"/>
  <c r="K114" i="335"/>
  <c r="H114" i="335"/>
  <c r="I114" i="335" s="1"/>
  <c r="J114" i="335" s="1"/>
  <c r="G114" i="335"/>
  <c r="F114" i="335"/>
  <c r="E114" i="335"/>
  <c r="D114" i="335"/>
  <c r="C114" i="335"/>
  <c r="I113" i="335"/>
  <c r="J113" i="335" s="1"/>
  <c r="I112" i="335"/>
  <c r="J112" i="335" s="1"/>
  <c r="K111" i="335"/>
  <c r="K110" i="335" s="1"/>
  <c r="H111" i="335"/>
  <c r="G111" i="335"/>
  <c r="F111" i="335"/>
  <c r="E111" i="335"/>
  <c r="E110" i="335" s="1"/>
  <c r="D111" i="335"/>
  <c r="C111" i="335"/>
  <c r="C110" i="335" s="1"/>
  <c r="I109" i="335"/>
  <c r="J109" i="335" s="1"/>
  <c r="I108" i="335"/>
  <c r="J108" i="335"/>
  <c r="I107" i="335"/>
  <c r="J107" i="335" s="1"/>
  <c r="I106" i="335"/>
  <c r="J106" i="335"/>
  <c r="I105" i="335"/>
  <c r="J105" i="335" s="1"/>
  <c r="I104" i="335"/>
  <c r="J104" i="335"/>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G75" i="335" s="1"/>
  <c r="F76" i="335"/>
  <c r="E76" i="335"/>
  <c r="E75" i="335" s="1"/>
  <c r="D76" i="335"/>
  <c r="C76" i="335"/>
  <c r="C75"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c r="I57" i="335"/>
  <c r="J57" i="335" s="1"/>
  <c r="I56" i="335"/>
  <c r="J56" i="335" s="1"/>
  <c r="I55" i="335"/>
  <c r="J55" i="335" s="1"/>
  <c r="I54" i="335"/>
  <c r="J54" i="335"/>
  <c r="C53" i="335"/>
  <c r="I52" i="335"/>
  <c r="J52" i="335"/>
  <c r="J51" i="335"/>
  <c r="I51" i="335"/>
  <c r="I50" i="335"/>
  <c r="J50" i="335"/>
  <c r="J49" i="335"/>
  <c r="I49" i="335"/>
  <c r="I48" i="335"/>
  <c r="J48" i="335"/>
  <c r="J47" i="335"/>
  <c r="I47" i="335"/>
  <c r="I46" i="335"/>
  <c r="J46" i="335"/>
  <c r="K45" i="335"/>
  <c r="H45" i="335"/>
  <c r="G45" i="335"/>
  <c r="F45" i="335"/>
  <c r="E45" i="335"/>
  <c r="D45" i="335"/>
  <c r="C45" i="335"/>
  <c r="I44" i="335"/>
  <c r="J44" i="335" s="1"/>
  <c r="I43" i="335"/>
  <c r="J43" i="335" s="1"/>
  <c r="I42" i="335"/>
  <c r="J42" i="335" s="1"/>
  <c r="I41" i="335"/>
  <c r="J41" i="335" s="1"/>
  <c r="I40" i="335"/>
  <c r="J40" i="335" s="1"/>
  <c r="I39" i="335"/>
  <c r="J39" i="335"/>
  <c r="K38" i="335"/>
  <c r="H38" i="335"/>
  <c r="G38" i="335"/>
  <c r="F38" i="335"/>
  <c r="E38" i="335"/>
  <c r="D38" i="335"/>
  <c r="C38" i="335"/>
  <c r="I37" i="335"/>
  <c r="J37" i="335"/>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c r="I22" i="335"/>
  <c r="J22" i="335" s="1"/>
  <c r="I21" i="335"/>
  <c r="J21" i="335"/>
  <c r="I20" i="335"/>
  <c r="J20" i="335" s="1"/>
  <c r="I19" i="335"/>
  <c r="J19" i="335" s="1"/>
  <c r="I18" i="335"/>
  <c r="J18" i="335" s="1"/>
  <c r="K17" i="335"/>
  <c r="H17" i="335"/>
  <c r="I17" i="335" s="1"/>
  <c r="J17" i="335" s="1"/>
  <c r="G17" i="335"/>
  <c r="F17" i="335"/>
  <c r="E17" i="335"/>
  <c r="D17" i="335"/>
  <c r="C17" i="335"/>
  <c r="I16" i="335"/>
  <c r="J16" i="335" s="1"/>
  <c r="I15" i="335"/>
  <c r="J15" i="335" s="1"/>
  <c r="I14" i="335"/>
  <c r="J14" i="335" s="1"/>
  <c r="K13" i="335"/>
  <c r="H13" i="335"/>
  <c r="G13" i="335"/>
  <c r="F13" i="335"/>
  <c r="F7" i="335" s="1"/>
  <c r="E13" i="335"/>
  <c r="D13" i="335"/>
  <c r="C13" i="335"/>
  <c r="I12" i="335"/>
  <c r="J12" i="335" s="1"/>
  <c r="I11" i="335"/>
  <c r="J11" i="335" s="1"/>
  <c r="I10" i="335"/>
  <c r="J10" i="335" s="1"/>
  <c r="I9" i="335"/>
  <c r="J9" i="335" s="1"/>
  <c r="C8" i="335"/>
  <c r="C7" i="335" s="1"/>
  <c r="C166" i="335" s="1"/>
  <c r="K3" i="335"/>
  <c r="J3" i="335"/>
  <c r="I3" i="335"/>
  <c r="H3" i="335"/>
  <c r="G3" i="335"/>
  <c r="F3" i="335"/>
  <c r="E3" i="335"/>
  <c r="D3" i="335"/>
  <c r="C3" i="335"/>
  <c r="B2" i="335"/>
  <c r="A2" i="335"/>
  <c r="J165" i="333"/>
  <c r="I164" i="333"/>
  <c r="J164" i="333" s="1"/>
  <c r="K163" i="333"/>
  <c r="H163" i="333"/>
  <c r="G163" i="333"/>
  <c r="I163" i="333" s="1"/>
  <c r="J163" i="333" s="1"/>
  <c r="F163" i="333"/>
  <c r="E163" i="333"/>
  <c r="D163" i="333"/>
  <c r="C163" i="333"/>
  <c r="I161" i="333"/>
  <c r="J161" i="333" s="1"/>
  <c r="K160" i="333"/>
  <c r="H160" i="333"/>
  <c r="G160" i="333"/>
  <c r="F160" i="333"/>
  <c r="E160" i="333"/>
  <c r="D160" i="333"/>
  <c r="C160" i="333"/>
  <c r="I158" i="333"/>
  <c r="J158" i="333" s="1"/>
  <c r="K157" i="333"/>
  <c r="H157" i="333"/>
  <c r="G157" i="333"/>
  <c r="I157" i="333" s="1"/>
  <c r="J157" i="333" s="1"/>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I148" i="333" s="1"/>
  <c r="J148" i="333" s="1"/>
  <c r="F148" i="333"/>
  <c r="E148" i="333"/>
  <c r="D148" i="333"/>
  <c r="C148" i="333"/>
  <c r="I146" i="333"/>
  <c r="J146" i="333"/>
  <c r="I145" i="333"/>
  <c r="J145" i="333" s="1"/>
  <c r="I144" i="333"/>
  <c r="J144" i="333" s="1"/>
  <c r="I143" i="333"/>
  <c r="J143" i="333" s="1"/>
  <c r="I142" i="333"/>
  <c r="J142" i="333" s="1"/>
  <c r="I141" i="333"/>
  <c r="J141" i="333" s="1"/>
  <c r="K140" i="333"/>
  <c r="K138" i="333"/>
  <c r="H140" i="333"/>
  <c r="H138" i="333" s="1"/>
  <c r="G140" i="333"/>
  <c r="G138" i="333"/>
  <c r="F140" i="333"/>
  <c r="F138" i="333" s="1"/>
  <c r="E140" i="333"/>
  <c r="E138" i="333" s="1"/>
  <c r="D140" i="333"/>
  <c r="D138" i="333" s="1"/>
  <c r="C140" i="333"/>
  <c r="C138" i="333" s="1"/>
  <c r="I139" i="333"/>
  <c r="J139" i="333" s="1"/>
  <c r="J137" i="333"/>
  <c r="I136" i="333"/>
  <c r="J136" i="333" s="1"/>
  <c r="K135" i="333"/>
  <c r="H135" i="333"/>
  <c r="G135" i="333"/>
  <c r="I135" i="333" s="1"/>
  <c r="J135" i="333" s="1"/>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c r="I125" i="333"/>
  <c r="J125" i="333" s="1"/>
  <c r="I124" i="333"/>
  <c r="J124" i="333" s="1"/>
  <c r="I123" i="333"/>
  <c r="J123" i="333" s="1"/>
  <c r="I122" i="333"/>
  <c r="J122" i="333" s="1"/>
  <c r="I121" i="333"/>
  <c r="J121" i="333" s="1"/>
  <c r="I120" i="333"/>
  <c r="J120" i="333" s="1"/>
  <c r="I119" i="333"/>
  <c r="J119" i="333" s="1"/>
  <c r="K118" i="333"/>
  <c r="K117" i="333" s="1"/>
  <c r="H118" i="333"/>
  <c r="G118" i="333"/>
  <c r="G117" i="333" s="1"/>
  <c r="F118" i="333"/>
  <c r="E118" i="333"/>
  <c r="D118" i="333"/>
  <c r="C118" i="333"/>
  <c r="I116" i="333"/>
  <c r="J116" i="333"/>
  <c r="I115" i="333"/>
  <c r="J115" i="333" s="1"/>
  <c r="K114" i="333"/>
  <c r="H114" i="333"/>
  <c r="G114" i="333"/>
  <c r="F114" i="333"/>
  <c r="E114" i="333"/>
  <c r="D114" i="333"/>
  <c r="D110" i="333"/>
  <c r="C114" i="333"/>
  <c r="I113" i="333"/>
  <c r="J113" i="333" s="1"/>
  <c r="I112" i="333"/>
  <c r="J112" i="333"/>
  <c r="K111" i="333"/>
  <c r="H111" i="333"/>
  <c r="G111" i="333"/>
  <c r="F111" i="333"/>
  <c r="E111" i="333"/>
  <c r="D111" i="333"/>
  <c r="C111" i="333"/>
  <c r="C110" i="333" s="1"/>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G75" i="333" s="1"/>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C75" i="333" s="1"/>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c r="I64" i="333"/>
  <c r="J64" i="333" s="1"/>
  <c r="K63" i="333"/>
  <c r="H63" i="333"/>
  <c r="G63" i="333"/>
  <c r="I63" i="333" s="1"/>
  <c r="J63" i="333" s="1"/>
  <c r="F63" i="333"/>
  <c r="E63" i="333"/>
  <c r="D63" i="333"/>
  <c r="C63" i="333"/>
  <c r="I62" i="333"/>
  <c r="J62" i="333" s="1"/>
  <c r="I61" i="333"/>
  <c r="J61" i="333"/>
  <c r="I60" i="333"/>
  <c r="J60" i="333" s="1"/>
  <c r="I59" i="333"/>
  <c r="J59" i="333" s="1"/>
  <c r="I58" i="333"/>
  <c r="J58" i="333" s="1"/>
  <c r="I57" i="333"/>
  <c r="J57" i="333" s="1"/>
  <c r="I56" i="333"/>
  <c r="J56" i="333" s="1"/>
  <c r="I55" i="333"/>
  <c r="J55" i="333"/>
  <c r="I54" i="333"/>
  <c r="J54" i="333" s="1"/>
  <c r="C53" i="333"/>
  <c r="I52" i="333"/>
  <c r="J52" i="333" s="1"/>
  <c r="I51" i="333"/>
  <c r="J51" i="333" s="1"/>
  <c r="I50" i="333"/>
  <c r="J50" i="333" s="1"/>
  <c r="I49" i="333"/>
  <c r="J49" i="333" s="1"/>
  <c r="I48" i="333"/>
  <c r="J48" i="333" s="1"/>
  <c r="I47" i="333"/>
  <c r="J47" i="333" s="1"/>
  <c r="I46" i="333"/>
  <c r="J46" i="333" s="1"/>
  <c r="K45" i="333"/>
  <c r="H45" i="333"/>
  <c r="I45" i="333" s="1"/>
  <c r="J45" i="333" s="1"/>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I27" i="333" s="1"/>
  <c r="J27" i="333" s="1"/>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I157" i="325" s="1"/>
  <c r="J157" i="325" s="1"/>
  <c r="G157" i="325"/>
  <c r="F157" i="325"/>
  <c r="E157" i="325"/>
  <c r="D157" i="325"/>
  <c r="C157" i="325"/>
  <c r="I155" i="325"/>
  <c r="J155" i="325" s="1"/>
  <c r="K154" i="325"/>
  <c r="H154" i="325"/>
  <c r="I154" i="325" s="1"/>
  <c r="J154" i="325" s="1"/>
  <c r="G154" i="325"/>
  <c r="F154" i="325"/>
  <c r="E154" i="325"/>
  <c r="D154" i="325"/>
  <c r="C154" i="325"/>
  <c r="J153" i="325"/>
  <c r="I152" i="325"/>
  <c r="J152" i="325" s="1"/>
  <c r="K151" i="325"/>
  <c r="H151" i="325"/>
  <c r="G151" i="325"/>
  <c r="F151" i="325"/>
  <c r="E151" i="325"/>
  <c r="D151" i="325"/>
  <c r="C151" i="325"/>
  <c r="I149" i="325"/>
  <c r="J149" i="325"/>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c r="K135" i="325"/>
  <c r="H135" i="325"/>
  <c r="G135" i="325"/>
  <c r="F135" i="325"/>
  <c r="E135" i="325"/>
  <c r="D135" i="325"/>
  <c r="C135" i="325"/>
  <c r="J134" i="325"/>
  <c r="I133" i="325"/>
  <c r="J133" i="325" s="1"/>
  <c r="I132" i="325"/>
  <c r="J132" i="325" s="1"/>
  <c r="I131" i="325"/>
  <c r="J131" i="325" s="1"/>
  <c r="K130" i="325"/>
  <c r="H130" i="325"/>
  <c r="I130" i="325" s="1"/>
  <c r="J130" i="325" s="1"/>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I118" i="325" s="1"/>
  <c r="J118" i="325" s="1"/>
  <c r="G118" i="325"/>
  <c r="F118" i="325"/>
  <c r="E118" i="325"/>
  <c r="D118" i="325"/>
  <c r="C118" i="325"/>
  <c r="I116" i="325"/>
  <c r="J116" i="325" s="1"/>
  <c r="I115" i="325"/>
  <c r="J115" i="325" s="1"/>
  <c r="K114" i="325"/>
  <c r="H114" i="325"/>
  <c r="I114" i="325" s="1"/>
  <c r="J114" i="325" s="1"/>
  <c r="G114" i="325"/>
  <c r="F114" i="325"/>
  <c r="E114" i="325"/>
  <c r="D114" i="325"/>
  <c r="C114" i="325"/>
  <c r="I113" i="325"/>
  <c r="J113" i="325" s="1"/>
  <c r="I112" i="325"/>
  <c r="J112" i="325" s="1"/>
  <c r="K111" i="325"/>
  <c r="K110" i="325" s="1"/>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I76" i="325" s="1"/>
  <c r="J76" i="325" s="1"/>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I38" i="325" s="1"/>
  <c r="J38"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G7" i="325" s="1"/>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I151" i="326" s="1"/>
  <c r="J151" i="326" s="1"/>
  <c r="F151" i="326"/>
  <c r="E151" i="326"/>
  <c r="D151" i="326"/>
  <c r="C151" i="326"/>
  <c r="I149" i="326"/>
  <c r="J149" i="326" s="1"/>
  <c r="K148" i="326"/>
  <c r="H148" i="326"/>
  <c r="I148" i="326" s="1"/>
  <c r="J148" i="326" s="1"/>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H75" i="326" s="1"/>
  <c r="G76" i="326"/>
  <c r="F76" i="326"/>
  <c r="F75" i="326" s="1"/>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I17" i="326" s="1"/>
  <c r="J17" i="326" s="1"/>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K157" i="242"/>
  <c r="H157" i="242"/>
  <c r="G157" i="242"/>
  <c r="I157" i="242" s="1"/>
  <c r="J157" i="242" s="1"/>
  <c r="F157" i="242"/>
  <c r="E157" i="242"/>
  <c r="D157" i="242"/>
  <c r="C157" i="242"/>
  <c r="I155" i="242"/>
  <c r="J155" i="242"/>
  <c r="K154" i="242"/>
  <c r="H154" i="242"/>
  <c r="G154" i="242"/>
  <c r="F154" i="242"/>
  <c r="E154" i="242"/>
  <c r="D154" i="242"/>
  <c r="C154" i="242"/>
  <c r="J153" i="242"/>
  <c r="I152" i="242"/>
  <c r="J152" i="242" s="1"/>
  <c r="K151" i="242"/>
  <c r="H151" i="242"/>
  <c r="I151" i="242" s="1"/>
  <c r="J151" i="242" s="1"/>
  <c r="G151" i="242"/>
  <c r="F151" i="242"/>
  <c r="E151" i="242"/>
  <c r="D151" i="242"/>
  <c r="C151" i="242"/>
  <c r="K130" i="242"/>
  <c r="H130" i="242"/>
  <c r="G130" i="242"/>
  <c r="F130" i="242"/>
  <c r="E130" i="242"/>
  <c r="D130" i="242"/>
  <c r="K118" i="242"/>
  <c r="K117" i="242" s="1"/>
  <c r="H118" i="242"/>
  <c r="G118" i="242"/>
  <c r="F118" i="242"/>
  <c r="E118" i="242"/>
  <c r="D118" i="242"/>
  <c r="C118" i="242"/>
  <c r="I122" i="242"/>
  <c r="J122" i="242" s="1"/>
  <c r="I121" i="242"/>
  <c r="J121" i="242" s="1"/>
  <c r="I120" i="242"/>
  <c r="J120" i="242" s="1"/>
  <c r="C130" i="242"/>
  <c r="K111" i="242"/>
  <c r="H111" i="242"/>
  <c r="H110" i="242" s="1"/>
  <c r="G111" i="242"/>
  <c r="G110" i="242" s="1"/>
  <c r="F111" i="242"/>
  <c r="E111" i="242"/>
  <c r="D111" i="242"/>
  <c r="D110" i="242" s="1"/>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c r="I105" i="242"/>
  <c r="J105" i="242" s="1"/>
  <c r="I104" i="242"/>
  <c r="J104" i="242"/>
  <c r="K99" i="242"/>
  <c r="H99" i="242"/>
  <c r="G99" i="242"/>
  <c r="F99" i="242"/>
  <c r="E99" i="242"/>
  <c r="D99" i="242"/>
  <c r="K76" i="242"/>
  <c r="H76" i="242"/>
  <c r="G76" i="242"/>
  <c r="I76" i="242" s="1"/>
  <c r="J76" i="242" s="1"/>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c r="I66" i="242"/>
  <c r="J66" i="242" s="1"/>
  <c r="I65" i="242"/>
  <c r="J65" i="242"/>
  <c r="I64" i="242"/>
  <c r="J64" i="242" s="1"/>
  <c r="D17" i="242"/>
  <c r="E17" i="242"/>
  <c r="F17" i="242"/>
  <c r="G17" i="242"/>
  <c r="H17" i="242"/>
  <c r="K17" i="242"/>
  <c r="I18" i="242"/>
  <c r="J18" i="242" s="1"/>
  <c r="I19" i="242"/>
  <c r="J19" i="242" s="1"/>
  <c r="I20" i="242"/>
  <c r="J20" i="242" s="1"/>
  <c r="I21" i="242"/>
  <c r="J21" i="242" s="1"/>
  <c r="I22" i="242"/>
  <c r="J22" i="242" s="1"/>
  <c r="I23" i="242"/>
  <c r="J23" i="242"/>
  <c r="I24" i="242"/>
  <c r="J24" i="242" s="1"/>
  <c r="C53" i="242"/>
  <c r="I62" i="242"/>
  <c r="J62" i="242"/>
  <c r="I61" i="242"/>
  <c r="J61" i="242" s="1"/>
  <c r="I60" i="242"/>
  <c r="J60" i="242" s="1"/>
  <c r="I59" i="242"/>
  <c r="J59" i="242" s="1"/>
  <c r="I58" i="242"/>
  <c r="J58" i="242" s="1"/>
  <c r="I57" i="242"/>
  <c r="J57" i="242" s="1"/>
  <c r="I56" i="242"/>
  <c r="J56" i="242"/>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E237" i="330"/>
  <c r="E47" i="24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G33" i="241" s="1"/>
  <c r="F186" i="330"/>
  <c r="F37" i="241" s="1"/>
  <c r="E186" i="330"/>
  <c r="E37" i="241"/>
  <c r="D186" i="330"/>
  <c r="D37" i="241" s="1"/>
  <c r="C186" i="330"/>
  <c r="C37" i="241"/>
  <c r="I188" i="330"/>
  <c r="J188" i="330" s="1"/>
  <c r="I187" i="330"/>
  <c r="J187" i="330" s="1"/>
  <c r="A178" i="330"/>
  <c r="A177" i="330"/>
  <c r="A176" i="330"/>
  <c r="K173" i="330"/>
  <c r="K35" i="241" s="1"/>
  <c r="H35" i="241"/>
  <c r="G173" i="330"/>
  <c r="F173" i="330"/>
  <c r="F35" i="241"/>
  <c r="E173" i="330"/>
  <c r="E35" i="241" s="1"/>
  <c r="D173" i="330"/>
  <c r="D35" i="241" s="1"/>
  <c r="C173" i="330"/>
  <c r="C35" i="241" s="1"/>
  <c r="I178" i="330"/>
  <c r="J178" i="330"/>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c r="D28" i="330"/>
  <c r="C28" i="330"/>
  <c r="C11" i="241"/>
  <c r="K10" i="330"/>
  <c r="K8" i="241" s="1"/>
  <c r="H10" i="330"/>
  <c r="H8" i="241" s="1"/>
  <c r="G10" i="330"/>
  <c r="G8" i="24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c r="F148" i="330"/>
  <c r="G148" i="330"/>
  <c r="H148" i="330"/>
  <c r="H32" i="241" s="1"/>
  <c r="K148" i="330"/>
  <c r="K32" i="241" s="1"/>
  <c r="I149" i="330"/>
  <c r="J149" i="330" s="1"/>
  <c r="A150" i="330"/>
  <c r="A151" i="330"/>
  <c r="C151" i="330"/>
  <c r="C34" i="241" s="1"/>
  <c r="D151" i="330"/>
  <c r="E151" i="330"/>
  <c r="E34" i="241" s="1"/>
  <c r="F151" i="330"/>
  <c r="G151" i="330"/>
  <c r="G34" i="241" s="1"/>
  <c r="H151" i="330"/>
  <c r="K151" i="330"/>
  <c r="I152" i="330"/>
  <c r="J152" i="330" s="1"/>
  <c r="I167" i="330"/>
  <c r="J167" i="330" s="1"/>
  <c r="I168" i="330"/>
  <c r="J168" i="330" s="1"/>
  <c r="I169" i="330"/>
  <c r="J169" i="330" s="1"/>
  <c r="I170" i="330"/>
  <c r="J170" i="330" s="1"/>
  <c r="I171" i="330"/>
  <c r="J171" i="330" s="1"/>
  <c r="I172" i="330"/>
  <c r="J172" i="330" s="1"/>
  <c r="I122" i="330"/>
  <c r="J122" i="330"/>
  <c r="K114" i="330"/>
  <c r="K24" i="241"/>
  <c r="H114" i="330"/>
  <c r="H24" i="241" s="1"/>
  <c r="G114" i="330"/>
  <c r="G24" i="241" s="1"/>
  <c r="F114" i="330"/>
  <c r="F24" i="241"/>
  <c r="E114" i="330"/>
  <c r="E24" i="241" s="1"/>
  <c r="D114" i="330"/>
  <c r="D24" i="24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c r="F75" i="330"/>
  <c r="E75" i="330"/>
  <c r="E17" i="24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c r="G66" i="330"/>
  <c r="F66" i="330"/>
  <c r="F15" i="241"/>
  <c r="E66" i="330"/>
  <c r="E15" i="241"/>
  <c r="D66" i="330"/>
  <c r="D15" i="241"/>
  <c r="C66" i="330"/>
  <c r="C15" i="241"/>
  <c r="H63" i="330"/>
  <c r="I63" i="330" s="1"/>
  <c r="J63" i="330" s="1"/>
  <c r="G63" i="330"/>
  <c r="G14" i="241"/>
  <c r="F63" i="330"/>
  <c r="F14" i="241" s="1"/>
  <c r="E63" i="330"/>
  <c r="E14" i="241" s="1"/>
  <c r="D63" i="330"/>
  <c r="D14" i="241" s="1"/>
  <c r="K63" i="330"/>
  <c r="K14" i="241" s="1"/>
  <c r="C63" i="330"/>
  <c r="C14" i="241" s="1"/>
  <c r="I68" i="330"/>
  <c r="J68" i="330" s="1"/>
  <c r="I67" i="330"/>
  <c r="J67" i="330" s="1"/>
  <c r="I70" i="330"/>
  <c r="J70" i="330" s="1"/>
  <c r="I69" i="330"/>
  <c r="J69" i="330"/>
  <c r="I65" i="330"/>
  <c r="J65" i="330" s="1"/>
  <c r="I64" i="330"/>
  <c r="J64" i="330" s="1"/>
  <c r="I59" i="330"/>
  <c r="J59" i="330" s="1"/>
  <c r="K50" i="330"/>
  <c r="K12" i="241" s="1"/>
  <c r="H50" i="330"/>
  <c r="H12" i="241" s="1"/>
  <c r="G50" i="330"/>
  <c r="F50" i="330"/>
  <c r="F12" i="241"/>
  <c r="E50" i="330"/>
  <c r="E12" i="241" s="1"/>
  <c r="D50" i="330"/>
  <c r="D12" i="241" s="1"/>
  <c r="C50" i="330"/>
  <c r="C12" i="241"/>
  <c r="I55" i="330"/>
  <c r="J55" i="330" s="1"/>
  <c r="I54" i="330"/>
  <c r="J54" i="330" s="1"/>
  <c r="I53" i="330"/>
  <c r="J53" i="330" s="1"/>
  <c r="I52" i="330"/>
  <c r="J52" i="330" s="1"/>
  <c r="I51" i="330"/>
  <c r="J51" i="330" s="1"/>
  <c r="C56" i="330"/>
  <c r="D56" i="330"/>
  <c r="D13" i="241" s="1"/>
  <c r="E56" i="330"/>
  <c r="E13" i="241" s="1"/>
  <c r="E10" i="241" s="1"/>
  <c r="F56" i="330"/>
  <c r="G56" i="330"/>
  <c r="H56" i="330"/>
  <c r="I56" i="330" s="1"/>
  <c r="J56" i="330" s="1"/>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30" i="334"/>
  <c r="G29" i="334"/>
  <c r="F46" i="334"/>
  <c r="F45" i="334"/>
  <c r="F43" i="334"/>
  <c r="G43" i="334" s="1"/>
  <c r="F42" i="334"/>
  <c r="G42" i="334"/>
  <c r="F40" i="334"/>
  <c r="G40" i="334" s="1"/>
  <c r="F39" i="334"/>
  <c r="F38" i="334" s="1"/>
  <c r="F37" i="334"/>
  <c r="G37" i="334" s="1"/>
  <c r="F36" i="334"/>
  <c r="G36" i="334"/>
  <c r="F35" i="334"/>
  <c r="G35" i="334" s="1"/>
  <c r="F34" i="334"/>
  <c r="G34" i="334"/>
  <c r="F33" i="334"/>
  <c r="G33" i="334" s="1"/>
  <c r="F32" i="334"/>
  <c r="G32" i="334" s="1"/>
  <c r="F27" i="334"/>
  <c r="G27" i="334" s="1"/>
  <c r="F26" i="334"/>
  <c r="G26" i="334" s="1"/>
  <c r="F24" i="334"/>
  <c r="G24" i="334" s="1"/>
  <c r="F23" i="334"/>
  <c r="G23" i="334"/>
  <c r="F21" i="334"/>
  <c r="G21" i="334" s="1"/>
  <c r="F20" i="334"/>
  <c r="G20" i="334"/>
  <c r="F19" i="334"/>
  <c r="G19" i="334" s="1"/>
  <c r="F18" i="334"/>
  <c r="G18" i="334" s="1"/>
  <c r="F17" i="334"/>
  <c r="G17" i="334" s="1"/>
  <c r="F15" i="334"/>
  <c r="G15" i="334" s="1"/>
  <c r="F14" i="334"/>
  <c r="G14" i="334" s="1"/>
  <c r="F13" i="334"/>
  <c r="G13" i="334"/>
  <c r="F12" i="334"/>
  <c r="G12" i="334" s="1"/>
  <c r="F11" i="334"/>
  <c r="G11" i="334"/>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E28" i="334"/>
  <c r="D8" i="334"/>
  <c r="C8" i="334"/>
  <c r="A8" i="334"/>
  <c r="G3" i="334"/>
  <c r="F3" i="334"/>
  <c r="E3" i="334"/>
  <c r="D3" i="334"/>
  <c r="B2" i="334"/>
  <c r="A2" i="334"/>
  <c r="E25" i="269"/>
  <c r="B91" i="100"/>
  <c r="J10" i="267"/>
  <c r="G10" i="267"/>
  <c r="F10" i="267"/>
  <c r="E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F174" i="323"/>
  <c r="G174" i="323"/>
  <c r="G24" i="272" s="1"/>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A17" i="323" s="1"/>
  <c r="D3" i="332"/>
  <c r="A4" i="332"/>
  <c r="A28" i="323" s="1"/>
  <c r="A8" i="268"/>
  <c r="D4" i="332"/>
  <c r="A5" i="332"/>
  <c r="A207" i="323" s="1"/>
  <c r="D5" i="332"/>
  <c r="A6" i="332"/>
  <c r="A28" i="272" s="1"/>
  <c r="D6" i="332"/>
  <c r="A7" i="332"/>
  <c r="A229" i="323" s="1"/>
  <c r="D7" i="332"/>
  <c r="A8" i="332"/>
  <c r="A12" i="268" s="1"/>
  <c r="D8" i="332"/>
  <c r="A9" i="332"/>
  <c r="A251" i="323" s="1"/>
  <c r="D9" i="332"/>
  <c r="A10" i="332"/>
  <c r="A14" i="268" s="1"/>
  <c r="D10" i="332"/>
  <c r="A11" i="332"/>
  <c r="A105" i="323" s="1"/>
  <c r="D11" i="332"/>
  <c r="A12" i="332"/>
  <c r="A16" i="268" s="1"/>
  <c r="D12" i="332"/>
  <c r="A13" i="332"/>
  <c r="A35" i="268" s="1"/>
  <c r="A14" i="332"/>
  <c r="A18" i="268" s="1"/>
  <c r="D14" i="332"/>
  <c r="A15" i="332"/>
  <c r="A37" i="268" s="1"/>
  <c r="D15" i="332"/>
  <c r="A16" i="332"/>
  <c r="A20" i="268"/>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H17" i="267" s="1"/>
  <c r="I17" i="267" s="1"/>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K185" i="323"/>
  <c r="K25" i="272" s="1"/>
  <c r="K196" i="323"/>
  <c r="K207" i="323"/>
  <c r="K27" i="272" s="1"/>
  <c r="K218" i="323"/>
  <c r="K229" i="323"/>
  <c r="K29" i="272" s="1"/>
  <c r="K240" i="323"/>
  <c r="K251" i="323"/>
  <c r="K31" i="272" s="1"/>
  <c r="K262" i="323"/>
  <c r="K273" i="323"/>
  <c r="K33" i="272" s="1"/>
  <c r="K284" i="323"/>
  <c r="K34" i="272" s="1"/>
  <c r="K295" i="323"/>
  <c r="K306" i="323"/>
  <c r="K317" i="323"/>
  <c r="K37" i="272" s="1"/>
  <c r="K328" i="323"/>
  <c r="K38" i="272" s="1"/>
  <c r="H185" i="323"/>
  <c r="H196" i="323"/>
  <c r="H26" i="272" s="1"/>
  <c r="H207" i="323"/>
  <c r="H27" i="272" s="1"/>
  <c r="H218" i="323"/>
  <c r="I218" i="323" s="1"/>
  <c r="J218" i="323" s="1"/>
  <c r="H229" i="323"/>
  <c r="H240" i="323"/>
  <c r="H251" i="323"/>
  <c r="H31" i="272" s="1"/>
  <c r="H262" i="323"/>
  <c r="H273" i="323"/>
  <c r="H33" i="272" s="1"/>
  <c r="H284" i="323"/>
  <c r="H295" i="323"/>
  <c r="I295" i="323" s="1"/>
  <c r="J295" i="323" s="1"/>
  <c r="H306" i="323"/>
  <c r="H36" i="272" s="1"/>
  <c r="H317" i="323"/>
  <c r="H37" i="272" s="1"/>
  <c r="H328" i="323"/>
  <c r="G185" i="323"/>
  <c r="G25" i="272" s="1"/>
  <c r="G196" i="323"/>
  <c r="G207" i="323"/>
  <c r="G27" i="272" s="1"/>
  <c r="G218" i="323"/>
  <c r="G229" i="323"/>
  <c r="G240" i="323"/>
  <c r="G30" i="272" s="1"/>
  <c r="G251" i="323"/>
  <c r="G262" i="323"/>
  <c r="G273" i="323"/>
  <c r="G33" i="272" s="1"/>
  <c r="G284" i="323"/>
  <c r="G295" i="323"/>
  <c r="G35" i="272" s="1"/>
  <c r="G306" i="323"/>
  <c r="G317" i="323"/>
  <c r="I317" i="323" s="1"/>
  <c r="J317" i="323" s="1"/>
  <c r="G328" i="323"/>
  <c r="F185" i="323"/>
  <c r="F196" i="323"/>
  <c r="F207" i="323"/>
  <c r="F27" i="272" s="1"/>
  <c r="F218" i="323"/>
  <c r="F28" i="272" s="1"/>
  <c r="F229" i="323"/>
  <c r="F240" i="323"/>
  <c r="F251" i="323"/>
  <c r="F31" i="272" s="1"/>
  <c r="F262" i="323"/>
  <c r="F32" i="272" s="1"/>
  <c r="F273" i="323"/>
  <c r="F33" i="272" s="1"/>
  <c r="F284" i="323"/>
  <c r="F34" i="272"/>
  <c r="F295" i="323"/>
  <c r="F35" i="272" s="1"/>
  <c r="F306" i="323"/>
  <c r="F36" i="272" s="1"/>
  <c r="F317" i="323"/>
  <c r="F37" i="272" s="1"/>
  <c r="F328" i="323"/>
  <c r="F38" i="272" s="1"/>
  <c r="E185" i="323"/>
  <c r="E196" i="323"/>
  <c r="E207" i="323"/>
  <c r="E218" i="323"/>
  <c r="E28" i="272" s="1"/>
  <c r="E229" i="323"/>
  <c r="E240" i="323"/>
  <c r="E251" i="323"/>
  <c r="E262" i="323"/>
  <c r="E32" i="272" s="1"/>
  <c r="E273" i="323"/>
  <c r="E33" i="272" s="1"/>
  <c r="E284" i="323"/>
  <c r="E34" i="272" s="1"/>
  <c r="E295" i="323"/>
  <c r="E35" i="272"/>
  <c r="E306" i="323"/>
  <c r="E317" i="323"/>
  <c r="E37" i="272" s="1"/>
  <c r="D185" i="323"/>
  <c r="D25" i="272" s="1"/>
  <c r="D196" i="323"/>
  <c r="D207" i="323"/>
  <c r="D27" i="272" s="1"/>
  <c r="D218" i="323"/>
  <c r="D229" i="323"/>
  <c r="D29" i="272" s="1"/>
  <c r="D240" i="323"/>
  <c r="D251" i="323"/>
  <c r="D262" i="323"/>
  <c r="D273" i="323"/>
  <c r="D33" i="272" s="1"/>
  <c r="D284" i="323"/>
  <c r="D34" i="272" s="1"/>
  <c r="D295" i="323"/>
  <c r="D35" i="272" s="1"/>
  <c r="D306" i="323"/>
  <c r="D36" i="272"/>
  <c r="D317" i="323"/>
  <c r="C185" i="323"/>
  <c r="C25" i="272" s="1"/>
  <c r="C196" i="323"/>
  <c r="C26" i="272" s="1"/>
  <c r="C207" i="323"/>
  <c r="C218" i="323"/>
  <c r="C28" i="272" s="1"/>
  <c r="C229" i="323"/>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G319" i="324"/>
  <c r="G37" i="268" s="1"/>
  <c r="H319" i="324"/>
  <c r="H37" i="268" s="1"/>
  <c r="F319" i="324"/>
  <c r="F37" i="268"/>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c r="D242" i="324"/>
  <c r="D30" i="268" s="1"/>
  <c r="G231" i="324"/>
  <c r="G29" i="268" s="1"/>
  <c r="H231" i="324"/>
  <c r="F231" i="324"/>
  <c r="F29" i="268" s="1"/>
  <c r="E231" i="324"/>
  <c r="E29" i="268" s="1"/>
  <c r="D231" i="324"/>
  <c r="D29" i="268" s="1"/>
  <c r="G28" i="268"/>
  <c r="H220" i="324"/>
  <c r="F28" i="268"/>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s="1"/>
  <c r="D198" i="324"/>
  <c r="D26" i="268" s="1"/>
  <c r="G187" i="324"/>
  <c r="G25" i="268"/>
  <c r="H187" i="324"/>
  <c r="H25" i="268" s="1"/>
  <c r="F187" i="324"/>
  <c r="F25" i="268" s="1"/>
  <c r="E187" i="324"/>
  <c r="D187" i="324"/>
  <c r="D25" i="268" s="1"/>
  <c r="G176" i="324"/>
  <c r="G24" i="268" s="1"/>
  <c r="H176" i="324"/>
  <c r="H24" i="268" s="1"/>
  <c r="F176" i="324"/>
  <c r="E176" i="324"/>
  <c r="D176" i="324"/>
  <c r="D24" i="268"/>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c r="K18" i="324"/>
  <c r="K7" i="268" s="1"/>
  <c r="K7" i="324"/>
  <c r="K6" i="268" s="1"/>
  <c r="H161" i="324"/>
  <c r="H20" i="268" s="1"/>
  <c r="G161" i="324"/>
  <c r="G20" i="268"/>
  <c r="F161" i="324"/>
  <c r="F20" i="268" s="1"/>
  <c r="E161" i="324"/>
  <c r="E20" i="268" s="1"/>
  <c r="D161" i="324"/>
  <c r="D20" i="268" s="1"/>
  <c r="H150" i="324"/>
  <c r="H19" i="268"/>
  <c r="G150" i="324"/>
  <c r="G19" i="268" s="1"/>
  <c r="F150" i="324"/>
  <c r="F19" i="268" s="1"/>
  <c r="E150" i="324"/>
  <c r="E19" i="268" s="1"/>
  <c r="D150" i="324"/>
  <c r="D19" i="268"/>
  <c r="H139" i="324"/>
  <c r="G139" i="324"/>
  <c r="F139" i="324"/>
  <c r="F18" i="268" s="1"/>
  <c r="E139" i="324"/>
  <c r="E18" i="268" s="1"/>
  <c r="D139" i="324"/>
  <c r="D18" i="268" s="1"/>
  <c r="H128" i="324"/>
  <c r="G128" i="324"/>
  <c r="G17" i="268" s="1"/>
  <c r="F128" i="324"/>
  <c r="F17" i="268" s="1"/>
  <c r="E128" i="324"/>
  <c r="E17" i="268" s="1"/>
  <c r="D128" i="324"/>
  <c r="H117" i="324"/>
  <c r="G117" i="324"/>
  <c r="F117" i="324"/>
  <c r="F16" i="268" s="1"/>
  <c r="E117" i="324"/>
  <c r="E16" i="268" s="1"/>
  <c r="D117" i="324"/>
  <c r="D16" i="268" s="1"/>
  <c r="H106" i="324"/>
  <c r="H15" i="268" s="1"/>
  <c r="G106" i="324"/>
  <c r="G15" i="268" s="1"/>
  <c r="F106" i="324"/>
  <c r="F15" i="268" s="1"/>
  <c r="E106" i="324"/>
  <c r="E15" i="268" s="1"/>
  <c r="D106" i="324"/>
  <c r="D15" i="268"/>
  <c r="H95" i="324"/>
  <c r="H14" i="268" s="1"/>
  <c r="G95" i="324"/>
  <c r="G14" i="268" s="1"/>
  <c r="I14" i="268" s="1"/>
  <c r="J14" i="268" s="1"/>
  <c r="F95" i="324"/>
  <c r="F14" i="268" s="1"/>
  <c r="E95" i="324"/>
  <c r="E14" i="268"/>
  <c r="D95" i="324"/>
  <c r="D14" i="268" s="1"/>
  <c r="H84" i="324"/>
  <c r="H13" i="268" s="1"/>
  <c r="I13" i="268" s="1"/>
  <c r="J13" i="268" s="1"/>
  <c r="G84" i="324"/>
  <c r="G13" i="268" s="1"/>
  <c r="F84" i="324"/>
  <c r="F13" i="268"/>
  <c r="E84" i="324"/>
  <c r="E13" i="268" s="1"/>
  <c r="D84" i="324"/>
  <c r="D13" i="268" s="1"/>
  <c r="H73" i="324"/>
  <c r="H12" i="268" s="1"/>
  <c r="G73" i="324"/>
  <c r="G12" i="268"/>
  <c r="F73" i="324"/>
  <c r="F12" i="268" s="1"/>
  <c r="E73" i="324"/>
  <c r="E12" i="268" s="1"/>
  <c r="D73" i="324"/>
  <c r="D12" i="268" s="1"/>
  <c r="H62" i="324"/>
  <c r="H11" i="268" s="1"/>
  <c r="G62" i="324"/>
  <c r="G11" i="268" s="1"/>
  <c r="F62" i="324"/>
  <c r="F11" i="268" s="1"/>
  <c r="E62" i="324"/>
  <c r="E11" i="268" s="1"/>
  <c r="D62" i="324"/>
  <c r="H51" i="324"/>
  <c r="H10" i="268"/>
  <c r="G51" i="324"/>
  <c r="G10" i="268" s="1"/>
  <c r="F51" i="324"/>
  <c r="F10" i="268"/>
  <c r="E51" i="324"/>
  <c r="E10" i="268" s="1"/>
  <c r="D51" i="324"/>
  <c r="D10" i="268" s="1"/>
  <c r="H40" i="324"/>
  <c r="G40" i="324"/>
  <c r="G9" i="268" s="1"/>
  <c r="F40" i="324"/>
  <c r="F9" i="268" s="1"/>
  <c r="E40" i="324"/>
  <c r="E9" i="268"/>
  <c r="D40" i="324"/>
  <c r="D9" i="268" s="1"/>
  <c r="H29" i="324"/>
  <c r="H8" i="268"/>
  <c r="G29" i="324"/>
  <c r="G8" i="268" s="1"/>
  <c r="F29" i="324"/>
  <c r="F8" i="268" s="1"/>
  <c r="E29" i="324"/>
  <c r="E8" i="268" s="1"/>
  <c r="D29" i="324"/>
  <c r="D8" i="268" s="1"/>
  <c r="H18" i="324"/>
  <c r="H7" i="268" s="1"/>
  <c r="G18" i="324"/>
  <c r="G7" i="268" s="1"/>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E74" i="268"/>
  <c r="F70" i="268"/>
  <c r="G70" i="268"/>
  <c r="G74" i="268" s="1"/>
  <c r="H70" i="268"/>
  <c r="C70" i="268"/>
  <c r="A75" i="100"/>
  <c r="B99"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I148" i="242" s="1"/>
  <c r="J148" i="242" s="1"/>
  <c r="H13" i="242"/>
  <c r="H27" i="242"/>
  <c r="H69" i="242"/>
  <c r="H135" i="242"/>
  <c r="H148" i="242"/>
  <c r="K13" i="242"/>
  <c r="K27" i="242"/>
  <c r="K69" i="242"/>
  <c r="K135" i="242"/>
  <c r="K148" i="242"/>
  <c r="C13" i="242"/>
  <c r="C27" i="242"/>
  <c r="C69" i="242"/>
  <c r="C135" i="242"/>
  <c r="C148" i="242"/>
  <c r="K36" i="272"/>
  <c r="K35" i="272"/>
  <c r="H38" i="272"/>
  <c r="G37" i="272"/>
  <c r="I37" i="272" s="1"/>
  <c r="J37" i="272" s="1"/>
  <c r="D37" i="272"/>
  <c r="G36" i="272"/>
  <c r="E36" i="272"/>
  <c r="H35" i="272"/>
  <c r="I35" i="272" s="1"/>
  <c r="J35" i="272" s="1"/>
  <c r="H34" i="272"/>
  <c r="K160" i="323"/>
  <c r="K20" i="272" s="1"/>
  <c r="K149" i="323"/>
  <c r="K19" i="272" s="1"/>
  <c r="K138" i="323"/>
  <c r="K18" i="272" s="1"/>
  <c r="K127" i="323"/>
  <c r="K17" i="272" s="1"/>
  <c r="K116" i="323"/>
  <c r="K16" i="272" s="1"/>
  <c r="K105" i="323"/>
  <c r="K15" i="272" s="1"/>
  <c r="K94" i="323"/>
  <c r="K14" i="272" s="1"/>
  <c r="G105" i="323"/>
  <c r="G15" i="272" s="1"/>
  <c r="I15" i="272" s="1"/>
  <c r="J15" i="272" s="1"/>
  <c r="H105" i="323"/>
  <c r="G116" i="323"/>
  <c r="G16" i="272" s="1"/>
  <c r="H116" i="323"/>
  <c r="H16" i="272"/>
  <c r="I16" i="272" s="1"/>
  <c r="J16" i="272" s="1"/>
  <c r="G127" i="323"/>
  <c r="H127" i="323"/>
  <c r="H17" i="272" s="1"/>
  <c r="G138" i="323"/>
  <c r="G18" i="272" s="1"/>
  <c r="H138" i="323"/>
  <c r="H18" i="272" s="1"/>
  <c r="I18" i="272" s="1"/>
  <c r="J18" i="272" s="1"/>
  <c r="G149" i="323"/>
  <c r="G19" i="272"/>
  <c r="H149" i="323"/>
  <c r="G160" i="323"/>
  <c r="G20" i="272" s="1"/>
  <c r="I20" i="272" s="1"/>
  <c r="J20" i="272" s="1"/>
  <c r="H160" i="323"/>
  <c r="H20" i="272"/>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c r="X36" i="329"/>
  <c r="F77" i="100"/>
  <c r="B27" i="322"/>
  <c r="B73" i="100" s="1"/>
  <c r="B4" i="331" s="1"/>
  <c r="B8" i="331" s="1"/>
  <c r="C7" i="330"/>
  <c r="C25" i="330"/>
  <c r="C13" i="241"/>
  <c r="C86" i="330"/>
  <c r="C18" i="241" s="1"/>
  <c r="C93" i="330"/>
  <c r="C19" i="241" s="1"/>
  <c r="C101" i="330"/>
  <c r="C105" i="330"/>
  <c r="C22" i="241" s="1"/>
  <c r="C109" i="330"/>
  <c r="C23" i="241"/>
  <c r="K7" i="330"/>
  <c r="K25" i="330"/>
  <c r="K9" i="241" s="1"/>
  <c r="K86" i="330"/>
  <c r="K18" i="241" s="1"/>
  <c r="K93" i="330"/>
  <c r="K19" i="241" s="1"/>
  <c r="K101" i="330"/>
  <c r="K105" i="330"/>
  <c r="K22" i="241" s="1"/>
  <c r="K109" i="330"/>
  <c r="K23" i="241" s="1"/>
  <c r="K119" i="330"/>
  <c r="K25" i="241" s="1"/>
  <c r="K130" i="330"/>
  <c r="K30" i="241" s="1"/>
  <c r="K179" i="330"/>
  <c r="K36" i="241" s="1"/>
  <c r="K189" i="330"/>
  <c r="K38" i="241" s="1"/>
  <c r="K198" i="330"/>
  <c r="K40" i="241" s="1"/>
  <c r="K209" i="330"/>
  <c r="K41" i="241" s="1"/>
  <c r="K216" i="330"/>
  <c r="K42" i="241" s="1"/>
  <c r="K224" i="330"/>
  <c r="K44" i="241"/>
  <c r="K228" i="330"/>
  <c r="K45" i="241" s="1"/>
  <c r="K232" i="330"/>
  <c r="K46" i="241" s="1"/>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209" i="330"/>
  <c r="H41" i="241" s="1"/>
  <c r="I41" i="241" s="1"/>
  <c r="J41" i="241" s="1"/>
  <c r="H216" i="330"/>
  <c r="H42" i="241" s="1"/>
  <c r="H224" i="330"/>
  <c r="H228" i="330"/>
  <c r="H45" i="241" s="1"/>
  <c r="H232" i="330"/>
  <c r="H46" i="241" s="1"/>
  <c r="I46" i="241" s="1"/>
  <c r="J46" i="241" s="1"/>
  <c r="H242" i="330"/>
  <c r="H48" i="241" s="1"/>
  <c r="G7" i="330"/>
  <c r="G7" i="241"/>
  <c r="G25" i="330"/>
  <c r="G13" i="241"/>
  <c r="G86" i="330"/>
  <c r="G18" i="241"/>
  <c r="G93" i="330"/>
  <c r="G19" i="241" s="1"/>
  <c r="G101" i="330"/>
  <c r="G21" i="241" s="1"/>
  <c r="G105" i="330"/>
  <c r="G22" i="241"/>
  <c r="G109" i="330"/>
  <c r="G119" i="330"/>
  <c r="G25" i="241" s="1"/>
  <c r="G130" i="330"/>
  <c r="G30" i="241" s="1"/>
  <c r="G179" i="330"/>
  <c r="G36" i="241" s="1"/>
  <c r="G189" i="330"/>
  <c r="G38" i="241" s="1"/>
  <c r="G198" i="330"/>
  <c r="G40" i="241"/>
  <c r="G39" i="241" s="1"/>
  <c r="G209" i="330"/>
  <c r="G41" i="241" s="1"/>
  <c r="G216" i="330"/>
  <c r="G42" i="241"/>
  <c r="G224" i="330"/>
  <c r="G44" i="241" s="1"/>
  <c r="G43" i="241" s="1"/>
  <c r="G228" i="330"/>
  <c r="G232" i="330"/>
  <c r="G46" i="241"/>
  <c r="G242" i="330"/>
  <c r="G48" i="241" s="1"/>
  <c r="I48" i="241" s="1"/>
  <c r="J48" i="241" s="1"/>
  <c r="F7" i="330"/>
  <c r="F7" i="241" s="1"/>
  <c r="F25" i="330"/>
  <c r="F13" i="241"/>
  <c r="F86" i="330"/>
  <c r="F18" i="241" s="1"/>
  <c r="F93" i="330"/>
  <c r="F19" i="241" s="1"/>
  <c r="F101" i="330"/>
  <c r="F21" i="241"/>
  <c r="F105" i="330"/>
  <c r="F109" i="330"/>
  <c r="F23" i="241" s="1"/>
  <c r="F119" i="330"/>
  <c r="F25" i="241"/>
  <c r="F130" i="330"/>
  <c r="F30" i="241" s="1"/>
  <c r="F32" i="241"/>
  <c r="F179" i="330"/>
  <c r="F36" i="241" s="1"/>
  <c r="F189" i="330"/>
  <c r="F38" i="241" s="1"/>
  <c r="F198" i="330"/>
  <c r="F40" i="241" s="1"/>
  <c r="F209" i="330"/>
  <c r="F41" i="241"/>
  <c r="F216" i="330"/>
  <c r="F42" i="241" s="1"/>
  <c r="F224" i="330"/>
  <c r="F44" i="241"/>
  <c r="F228" i="330"/>
  <c r="F45" i="241" s="1"/>
  <c r="F232" i="330"/>
  <c r="F46" i="241" s="1"/>
  <c r="F47" i="241"/>
  <c r="F242" i="330"/>
  <c r="F48" i="241" s="1"/>
  <c r="E7" i="330"/>
  <c r="E7" i="241" s="1"/>
  <c r="E25" i="330"/>
  <c r="E9" i="241" s="1"/>
  <c r="E86" i="330"/>
  <c r="E18" i="241" s="1"/>
  <c r="E93" i="330"/>
  <c r="E19" i="241" s="1"/>
  <c r="E101" i="330"/>
  <c r="E21" i="241"/>
  <c r="E105" i="330"/>
  <c r="E22" i="241" s="1"/>
  <c r="E20" i="241" s="1"/>
  <c r="E109" i="330"/>
  <c r="E23" i="241" s="1"/>
  <c r="E119" i="330"/>
  <c r="E25" i="241" s="1"/>
  <c r="E130" i="330"/>
  <c r="E30" i="241" s="1"/>
  <c r="E179" i="330"/>
  <c r="E189" i="330"/>
  <c r="E38" i="241"/>
  <c r="E198" i="330"/>
  <c r="E40" i="241" s="1"/>
  <c r="E209" i="330"/>
  <c r="E41" i="241"/>
  <c r="E216" i="330"/>
  <c r="E42" i="241" s="1"/>
  <c r="E224" i="330"/>
  <c r="E44" i="241" s="1"/>
  <c r="E228" i="330"/>
  <c r="E45" i="241" s="1"/>
  <c r="E232" i="330"/>
  <c r="E46" i="241" s="1"/>
  <c r="E242" i="330"/>
  <c r="E48" i="241" s="1"/>
  <c r="D7" i="330"/>
  <c r="D7" i="241" s="1"/>
  <c r="D25" i="330"/>
  <c r="D9" i="241" s="1"/>
  <c r="D86" i="330"/>
  <c r="D18" i="241" s="1"/>
  <c r="D93" i="330"/>
  <c r="D19" i="241" s="1"/>
  <c r="D101" i="330"/>
  <c r="D105" i="330"/>
  <c r="D22" i="241" s="1"/>
  <c r="D109" i="330"/>
  <c r="D23" i="241" s="1"/>
  <c r="D119" i="330"/>
  <c r="D25" i="241" s="1"/>
  <c r="D130" i="330"/>
  <c r="D32" i="241"/>
  <c r="D179" i="330"/>
  <c r="D189" i="330"/>
  <c r="D38" i="241" s="1"/>
  <c r="D198" i="330"/>
  <c r="D40" i="241" s="1"/>
  <c r="D209" i="330"/>
  <c r="D41" i="241" s="1"/>
  <c r="D216" i="330"/>
  <c r="D42" i="241" s="1"/>
  <c r="D224" i="330"/>
  <c r="D228" i="330"/>
  <c r="D45" i="241" s="1"/>
  <c r="D232" i="330"/>
  <c r="D46" i="241" s="1"/>
  <c r="D242" i="330"/>
  <c r="D48" i="241" s="1"/>
  <c r="C242" i="330"/>
  <c r="C48" i="241"/>
  <c r="C232" i="330"/>
  <c r="C46" i="241" s="1"/>
  <c r="C228" i="330"/>
  <c r="C45" i="241" s="1"/>
  <c r="C224" i="330"/>
  <c r="C216" i="330"/>
  <c r="C42" i="241" s="1"/>
  <c r="C209" i="330"/>
  <c r="C41" i="241" s="1"/>
  <c r="C198" i="330"/>
  <c r="C40" i="241"/>
  <c r="C189" i="330"/>
  <c r="C38" i="241" s="1"/>
  <c r="C179" i="330"/>
  <c r="C36" i="241"/>
  <c r="C130" i="330"/>
  <c r="C30" i="241" s="1"/>
  <c r="I248" i="330"/>
  <c r="J248" i="330" s="1"/>
  <c r="I247" i="330"/>
  <c r="J247" i="330" s="1"/>
  <c r="I246" i="330"/>
  <c r="J246" i="330" s="1"/>
  <c r="I244" i="330"/>
  <c r="J244" i="330" s="1"/>
  <c r="I243" i="330"/>
  <c r="J243" i="330"/>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B83" i="100" s="1"/>
  <c r="F82" i="100"/>
  <c r="F80" i="100"/>
  <c r="F78" i="100"/>
  <c r="F98" i="100"/>
  <c r="B98" i="100" s="1"/>
  <c r="F97" i="100"/>
  <c r="F96" i="100"/>
  <c r="F95" i="100"/>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c r="D37" i="177"/>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J38" i="267" s="1"/>
  <c r="G25" i="178"/>
  <c r="G13" i="178"/>
  <c r="J36" i="267" s="1"/>
  <c r="E48" i="178"/>
  <c r="D48" i="178"/>
  <c r="C40" i="267" s="1"/>
  <c r="E40" i="178"/>
  <c r="D39" i="267" s="1"/>
  <c r="D40" i="178"/>
  <c r="C39" i="267" s="1"/>
  <c r="E35" i="178"/>
  <c r="D38" i="267" s="1"/>
  <c r="D35" i="178"/>
  <c r="C38" i="267" s="1"/>
  <c r="E25" i="178"/>
  <c r="D37" i="267"/>
  <c r="D25" i="178"/>
  <c r="C37" i="267" s="1"/>
  <c r="E13" i="178"/>
  <c r="D36" i="267" s="1"/>
  <c r="D13" i="178"/>
  <c r="C36" i="267" s="1"/>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H24" i="267" s="1"/>
  <c r="I24" i="267" s="1"/>
  <c r="F24" i="267"/>
  <c r="E24" i="267"/>
  <c r="D24" i="267"/>
  <c r="C24" i="267"/>
  <c r="B24" i="267"/>
  <c r="K36" i="182"/>
  <c r="J6" i="267"/>
  <c r="J7" i="267"/>
  <c r="J9" i="267"/>
  <c r="K22" i="182"/>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22" i="182"/>
  <c r="G53" i="182" s="1"/>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F22" i="182"/>
  <c r="F53" i="182" s="1"/>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c r="F15" i="173"/>
  <c r="E52" i="267" s="1"/>
  <c r="G15" i="173"/>
  <c r="F52" i="267"/>
  <c r="H15" i="173"/>
  <c r="G52" i="267" s="1"/>
  <c r="I15" i="173"/>
  <c r="H52" i="267" s="1"/>
  <c r="J15" i="173"/>
  <c r="I52" i="267" s="1"/>
  <c r="K6" i="173"/>
  <c r="B104" i="172" s="1"/>
  <c r="K7" i="173"/>
  <c r="C104" i="172" s="1"/>
  <c r="K8" i="173"/>
  <c r="D104" i="172" s="1"/>
  <c r="K9" i="173"/>
  <c r="K10" i="173"/>
  <c r="F104" i="172" s="1"/>
  <c r="K11" i="173"/>
  <c r="G104" i="172" s="1"/>
  <c r="K12" i="173"/>
  <c r="H104" i="172" s="1"/>
  <c r="K13" i="173"/>
  <c r="K14" i="173"/>
  <c r="J104" i="172" s="1"/>
  <c r="C14" i="175"/>
  <c r="B50" i="267" s="1"/>
  <c r="D14" i="175"/>
  <c r="E14" i="175"/>
  <c r="D50" i="267" s="1"/>
  <c r="F14" i="175"/>
  <c r="G14" i="175"/>
  <c r="F50" i="267" s="1"/>
  <c r="H14" i="175"/>
  <c r="I14" i="175"/>
  <c r="J14" i="175"/>
  <c r="I50" i="267" s="1"/>
  <c r="G43" i="267"/>
  <c r="K40" i="177"/>
  <c r="D29" i="267"/>
  <c r="C6" i="323"/>
  <c r="C17" i="323"/>
  <c r="C7" i="272" s="1"/>
  <c r="C28" i="323"/>
  <c r="C8" i="272" s="1"/>
  <c r="C39" i="323"/>
  <c r="C9" i="272" s="1"/>
  <c r="C50" i="323"/>
  <c r="C10" i="272"/>
  <c r="C61" i="323"/>
  <c r="C11" i="272" s="1"/>
  <c r="C72" i="323"/>
  <c r="C83" i="323"/>
  <c r="C13" i="272"/>
  <c r="C94" i="323"/>
  <c r="C14" i="272" s="1"/>
  <c r="C105" i="323"/>
  <c r="C15" i="272" s="1"/>
  <c r="H6" i="323"/>
  <c r="H6" i="272" s="1"/>
  <c r="H17" i="323"/>
  <c r="I17" i="323" s="1"/>
  <c r="J17" i="323" s="1"/>
  <c r="H28" i="323"/>
  <c r="H39" i="323"/>
  <c r="H9" i="272" s="1"/>
  <c r="H61" i="323"/>
  <c r="H11" i="272" s="1"/>
  <c r="H72" i="323"/>
  <c r="H12" i="272" s="1"/>
  <c r="H83" i="323"/>
  <c r="H13" i="272" s="1"/>
  <c r="H94" i="323"/>
  <c r="G6" i="323"/>
  <c r="G6" i="272" s="1"/>
  <c r="I6" i="272" s="1"/>
  <c r="J6" i="272" s="1"/>
  <c r="G17" i="323"/>
  <c r="G28" i="323"/>
  <c r="G39" i="323"/>
  <c r="G9" i="272" s="1"/>
  <c r="G50" i="323"/>
  <c r="G61" i="323"/>
  <c r="G72" i="323"/>
  <c r="G83" i="323"/>
  <c r="G13" i="272" s="1"/>
  <c r="G94" i="323"/>
  <c r="D6" i="323"/>
  <c r="D6" i="272" s="1"/>
  <c r="D17" i="323"/>
  <c r="D28" i="323"/>
  <c r="D39" i="323"/>
  <c r="D9" i="272" s="1"/>
  <c r="D50" i="323"/>
  <c r="D10" i="272" s="1"/>
  <c r="D61" i="323"/>
  <c r="D11" i="272" s="1"/>
  <c r="D72" i="323"/>
  <c r="D83" i="323"/>
  <c r="D13" i="272" s="1"/>
  <c r="D94" i="323"/>
  <c r="E6" i="323"/>
  <c r="E17" i="323"/>
  <c r="E7" i="272" s="1"/>
  <c r="E28" i="323"/>
  <c r="E8" i="272" s="1"/>
  <c r="E39" i="323"/>
  <c r="E9" i="272"/>
  <c r="E50" i="323"/>
  <c r="E10" i="272" s="1"/>
  <c r="E61" i="323"/>
  <c r="E11" i="272" s="1"/>
  <c r="E72" i="323"/>
  <c r="E12" i="272" s="1"/>
  <c r="E83" i="323"/>
  <c r="E13" i="272" s="1"/>
  <c r="E94" i="323"/>
  <c r="E14" i="272" s="1"/>
  <c r="F6" i="323"/>
  <c r="F6" i="272" s="1"/>
  <c r="F17" i="323"/>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c r="I305" i="323"/>
  <c r="J305" i="323" s="1"/>
  <c r="I304" i="323"/>
  <c r="J304" i="323" s="1"/>
  <c r="I303" i="323"/>
  <c r="J303" i="323" s="1"/>
  <c r="I302" i="323"/>
  <c r="J302" i="323" s="1"/>
  <c r="I301" i="323"/>
  <c r="J301" i="323" s="1"/>
  <c r="I300" i="323"/>
  <c r="J300" i="323" s="1"/>
  <c r="I299" i="323"/>
  <c r="J299" i="323" s="1"/>
  <c r="I298" i="323"/>
  <c r="J298" i="323"/>
  <c r="I297" i="323"/>
  <c r="J297" i="323" s="1"/>
  <c r="I296" i="323"/>
  <c r="J296" i="323" s="1"/>
  <c r="I294" i="323"/>
  <c r="J294" i="323" s="1"/>
  <c r="I293" i="323"/>
  <c r="J293" i="323" s="1"/>
  <c r="I292" i="323"/>
  <c r="J292" i="323" s="1"/>
  <c r="I291" i="323"/>
  <c r="J291" i="323" s="1"/>
  <c r="I290" i="323"/>
  <c r="J290" i="323"/>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6" i="323"/>
  <c r="J116" i="323" s="1"/>
  <c r="I115" i="323"/>
  <c r="J115" i="323" s="1"/>
  <c r="I114" i="323"/>
  <c r="J114" i="323" s="1"/>
  <c r="I113" i="323"/>
  <c r="J113" i="323" s="1"/>
  <c r="I112" i="323"/>
  <c r="J112" i="323" s="1"/>
  <c r="I111" i="323"/>
  <c r="J111" i="323" s="1"/>
  <c r="I110" i="323"/>
  <c r="J110" i="323"/>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s="1"/>
  <c r="U170" i="323"/>
  <c r="U338" i="323"/>
  <c r="T170" i="323"/>
  <c r="T338" i="323"/>
  <c r="T340" i="323" s="1"/>
  <c r="S170" i="323"/>
  <c r="S338" i="323"/>
  <c r="R170" i="323"/>
  <c r="R338" i="323"/>
  <c r="Q170" i="323"/>
  <c r="Q338" i="323"/>
  <c r="P170" i="323"/>
  <c r="P338" i="323"/>
  <c r="O170" i="323"/>
  <c r="O338" i="323"/>
  <c r="N170" i="323"/>
  <c r="N338" i="323"/>
  <c r="M170" i="323"/>
  <c r="M338" i="323"/>
  <c r="M340" i="323" s="1"/>
  <c r="L170" i="323"/>
  <c r="L338" i="323"/>
  <c r="L340" i="323" s="1"/>
  <c r="A341" i="323"/>
  <c r="W3" i="323"/>
  <c r="V3" i="323"/>
  <c r="U3" i="323"/>
  <c r="T3" i="323"/>
  <c r="S3" i="323"/>
  <c r="R3" i="323"/>
  <c r="Q3" i="323"/>
  <c r="P3" i="323"/>
  <c r="O3" i="323"/>
  <c r="N3" i="323"/>
  <c r="M3" i="323"/>
  <c r="L3" i="323"/>
  <c r="L2" i="323"/>
  <c r="B2" i="323"/>
  <c r="A2" i="323"/>
  <c r="B106" i="100"/>
  <c r="A101" i="172" s="1"/>
  <c r="G7" i="272"/>
  <c r="G8" i="272"/>
  <c r="D8" i="272"/>
  <c r="D12" i="272"/>
  <c r="D14" i="272"/>
  <c r="H25" i="272"/>
  <c r="G26" i="272"/>
  <c r="G28" i="272"/>
  <c r="H29" i="272"/>
  <c r="G32" i="272"/>
  <c r="H32" i="272"/>
  <c r="I36" i="272"/>
  <c r="J36" i="272" s="1"/>
  <c r="K24" i="272"/>
  <c r="K26" i="272"/>
  <c r="K28" i="272"/>
  <c r="K30" i="272"/>
  <c r="K32" i="272"/>
  <c r="F24" i="272"/>
  <c r="F25" i="272"/>
  <c r="F26" i="272"/>
  <c r="F29" i="272"/>
  <c r="F30" i="272"/>
  <c r="E24" i="272"/>
  <c r="E25" i="272"/>
  <c r="E26" i="272"/>
  <c r="E27" i="272"/>
  <c r="E29" i="272"/>
  <c r="E30" i="272"/>
  <c r="E31" i="272"/>
  <c r="D26" i="272"/>
  <c r="D28" i="272"/>
  <c r="D30" i="272"/>
  <c r="D31" i="272"/>
  <c r="D32" i="272"/>
  <c r="C31" i="272"/>
  <c r="C30" i="272"/>
  <c r="C29" i="272"/>
  <c r="C27" i="272"/>
  <c r="C12" i="272"/>
  <c r="C6" i="272"/>
  <c r="E78" i="100"/>
  <c r="B78" i="100"/>
  <c r="C3" i="272"/>
  <c r="A2" i="272"/>
  <c r="B2" i="272"/>
  <c r="F3" i="272"/>
  <c r="E3" i="272"/>
  <c r="D3" i="272"/>
  <c r="K3" i="272"/>
  <c r="J3" i="272"/>
  <c r="I3" i="272"/>
  <c r="H3" i="272"/>
  <c r="G3" i="272"/>
  <c r="A40" i="272"/>
  <c r="A41" i="272"/>
  <c r="E80" i="100"/>
  <c r="B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I15" i="182"/>
  <c r="J15" i="182" s="1"/>
  <c r="I12" i="182"/>
  <c r="J12" i="182" s="1"/>
  <c r="A49" i="182"/>
  <c r="K3" i="182"/>
  <c r="J3" i="182"/>
  <c r="I3" i="182"/>
  <c r="H3" i="182"/>
  <c r="G3" i="182"/>
  <c r="F3" i="182"/>
  <c r="E3" i="182"/>
  <c r="D3" i="182"/>
  <c r="C3" i="182"/>
  <c r="B2" i="182"/>
  <c r="A2" i="182"/>
  <c r="A344" i="324"/>
  <c r="W171" i="324"/>
  <c r="W340" i="324"/>
  <c r="V171" i="324"/>
  <c r="V342" i="324" s="1"/>
  <c r="V340" i="324"/>
  <c r="U171" i="324"/>
  <c r="U340" i="324"/>
  <c r="T171" i="324"/>
  <c r="T342" i="324" s="1"/>
  <c r="T340" i="324"/>
  <c r="S171" i="324"/>
  <c r="S340" i="324"/>
  <c r="R171" i="324"/>
  <c r="R342" i="324" s="1"/>
  <c r="R340" i="324"/>
  <c r="Q171" i="324"/>
  <c r="Q340" i="324"/>
  <c r="P171" i="324"/>
  <c r="P340" i="324"/>
  <c r="O171" i="324"/>
  <c r="O340" i="324"/>
  <c r="N171" i="324"/>
  <c r="N342" i="324" s="1"/>
  <c r="N340" i="324"/>
  <c r="M171" i="324"/>
  <c r="M340" i="324"/>
  <c r="L171" i="324"/>
  <c r="L342" i="324" s="1"/>
  <c r="L340" i="324"/>
  <c r="I342" i="324"/>
  <c r="J342"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c r="I325" i="324"/>
  <c r="J325" i="324" s="1"/>
  <c r="I324" i="324"/>
  <c r="J324" i="324"/>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c r="I307" i="324"/>
  <c r="J307" i="324" s="1"/>
  <c r="I306" i="324"/>
  <c r="J306" i="324"/>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c r="I290" i="324"/>
  <c r="J290" i="324" s="1"/>
  <c r="I289" i="324"/>
  <c r="J289" i="324"/>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c r="I189" i="324"/>
  <c r="J189" i="324" s="1"/>
  <c r="I188" i="324"/>
  <c r="J188" i="324" s="1"/>
  <c r="I186" i="324"/>
  <c r="J186" i="324" s="1"/>
  <c r="I185" i="324"/>
  <c r="J185" i="324"/>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c r="I165" i="324"/>
  <c r="J165" i="324" s="1"/>
  <c r="I164" i="324"/>
  <c r="J164" i="324" s="1"/>
  <c r="I163" i="324"/>
  <c r="J163" i="324" s="1"/>
  <c r="I162" i="324"/>
  <c r="J162" i="324" s="1"/>
  <c r="I161" i="324"/>
  <c r="J161" i="324"/>
  <c r="I160" i="324"/>
  <c r="J160" i="324" s="1"/>
  <c r="I159" i="324"/>
  <c r="J159" i="324"/>
  <c r="I158" i="324"/>
  <c r="J158" i="324" s="1"/>
  <c r="I157" i="324"/>
  <c r="J157" i="324" s="1"/>
  <c r="I156" i="324"/>
  <c r="J156" i="324" s="1"/>
  <c r="I155" i="324"/>
  <c r="J155" i="324" s="1"/>
  <c r="I154" i="324"/>
  <c r="J154" i="324" s="1"/>
  <c r="I153" i="324"/>
  <c r="J153" i="324"/>
  <c r="I152" i="324"/>
  <c r="J152" i="324" s="1"/>
  <c r="I151" i="324"/>
  <c r="J151" i="324"/>
  <c r="I150" i="324"/>
  <c r="J150" i="324" s="1"/>
  <c r="I149" i="324"/>
  <c r="J149" i="324" s="1"/>
  <c r="I148" i="324"/>
  <c r="J148" i="324" s="1"/>
  <c r="I147" i="324"/>
  <c r="J147" i="324" s="1"/>
  <c r="I146" i="324"/>
  <c r="J146" i="324" s="1"/>
  <c r="I145" i="324"/>
  <c r="J145" i="324"/>
  <c r="I144" i="324"/>
  <c r="J144" i="324" s="1"/>
  <c r="I143" i="324"/>
  <c r="J143" i="324"/>
  <c r="I142" i="324"/>
  <c r="J142" i="324" s="1"/>
  <c r="I141" i="324"/>
  <c r="J141" i="324" s="1"/>
  <c r="I140" i="324"/>
  <c r="J140" i="324" s="1"/>
  <c r="I138" i="324"/>
  <c r="J138" i="324" s="1"/>
  <c r="I137" i="324"/>
  <c r="J137" i="324" s="1"/>
  <c r="I136" i="324"/>
  <c r="J136" i="324" s="1"/>
  <c r="I135" i="324"/>
  <c r="J135" i="324" s="1"/>
  <c r="I134" i="324"/>
  <c r="J134" i="324" s="1"/>
  <c r="I133" i="324"/>
  <c r="J133" i="324"/>
  <c r="I132" i="324"/>
  <c r="J132" i="324" s="1"/>
  <c r="I131" i="324"/>
  <c r="J131" i="324"/>
  <c r="I130" i="324"/>
  <c r="J130" i="324" s="1"/>
  <c r="I129" i="324"/>
  <c r="J129" i="324"/>
  <c r="I127" i="324"/>
  <c r="J127" i="324" s="1"/>
  <c r="I126" i="324"/>
  <c r="J126" i="324" s="1"/>
  <c r="I125" i="324"/>
  <c r="J125" i="324"/>
  <c r="I124" i="324"/>
  <c r="J124" i="324" s="1"/>
  <c r="I123" i="324"/>
  <c r="J123" i="324"/>
  <c r="I122" i="324"/>
  <c r="J122" i="324" s="1"/>
  <c r="I121" i="324"/>
  <c r="J121" i="324"/>
  <c r="I120" i="324"/>
  <c r="J120" i="324" s="1"/>
  <c r="I119" i="324"/>
  <c r="J119" i="324" s="1"/>
  <c r="I118" i="324"/>
  <c r="J118" i="324" s="1"/>
  <c r="I116" i="324"/>
  <c r="J116" i="324"/>
  <c r="I115" i="324"/>
  <c r="J115" i="324" s="1"/>
  <c r="I114" i="324"/>
  <c r="J114" i="324"/>
  <c r="I113" i="324"/>
  <c r="J113" i="324" s="1"/>
  <c r="I112" i="324"/>
  <c r="J112" i="324"/>
  <c r="I111" i="324"/>
  <c r="J111" i="324" s="1"/>
  <c r="I110" i="324"/>
  <c r="J110" i="324" s="1"/>
  <c r="I109" i="324"/>
  <c r="J109" i="324" s="1"/>
  <c r="I108" i="324"/>
  <c r="J108" i="324"/>
  <c r="I107" i="324"/>
  <c r="J107" i="324" s="1"/>
  <c r="I106" i="324"/>
  <c r="J106" i="324"/>
  <c r="I105" i="324"/>
  <c r="J105" i="324" s="1"/>
  <c r="I104" i="324"/>
  <c r="J104" i="324"/>
  <c r="I103" i="324"/>
  <c r="J103" i="324" s="1"/>
  <c r="I102" i="324"/>
  <c r="J102" i="324" s="1"/>
  <c r="I101" i="324"/>
  <c r="J101" i="324" s="1"/>
  <c r="I100" i="324"/>
  <c r="J100" i="324"/>
  <c r="I99" i="324"/>
  <c r="J99" i="324" s="1"/>
  <c r="I98" i="324"/>
  <c r="J98" i="324"/>
  <c r="I97" i="324"/>
  <c r="J97" i="324" s="1"/>
  <c r="I96" i="324"/>
  <c r="J96" i="324"/>
  <c r="I95" i="324"/>
  <c r="J95" i="324" s="1"/>
  <c r="I94" i="324"/>
  <c r="J94" i="324" s="1"/>
  <c r="I93" i="324"/>
  <c r="J93" i="324" s="1"/>
  <c r="I92" i="324"/>
  <c r="J92" i="324"/>
  <c r="I91" i="324"/>
  <c r="J91" i="324" s="1"/>
  <c r="I90" i="324"/>
  <c r="J90" i="324"/>
  <c r="I89" i="324"/>
  <c r="J89" i="324" s="1"/>
  <c r="I88" i="324"/>
  <c r="J88" i="324"/>
  <c r="I87" i="324"/>
  <c r="J87" i="324" s="1"/>
  <c r="I86" i="324"/>
  <c r="J86" i="324" s="1"/>
  <c r="I85" i="324"/>
  <c r="J85" i="324" s="1"/>
  <c r="I84" i="324"/>
  <c r="J84" i="324"/>
  <c r="I83" i="324"/>
  <c r="J83" i="324" s="1"/>
  <c r="I82" i="324"/>
  <c r="J82" i="324"/>
  <c r="I81" i="324"/>
  <c r="J81" i="324" s="1"/>
  <c r="I80" i="324"/>
  <c r="J80" i="324"/>
  <c r="I79" i="324"/>
  <c r="J79" i="324" s="1"/>
  <c r="I78" i="324"/>
  <c r="J78" i="324" s="1"/>
  <c r="I77" i="324"/>
  <c r="J77" i="324" s="1"/>
  <c r="I76" i="324"/>
  <c r="J76" i="324"/>
  <c r="I75" i="324"/>
  <c r="J75" i="324" s="1"/>
  <c r="I74" i="324"/>
  <c r="J74" i="324"/>
  <c r="I73" i="324"/>
  <c r="J73" i="324" s="1"/>
  <c r="I72" i="324"/>
  <c r="J72" i="324"/>
  <c r="I71" i="324"/>
  <c r="J71" i="324" s="1"/>
  <c r="I70" i="324"/>
  <c r="J70" i="324" s="1"/>
  <c r="I69" i="324"/>
  <c r="J69" i="324" s="1"/>
  <c r="I68" i="324"/>
  <c r="J68" i="324"/>
  <c r="I67" i="324"/>
  <c r="J67" i="324" s="1"/>
  <c r="I66" i="324"/>
  <c r="J66" i="324"/>
  <c r="I65" i="324"/>
  <c r="J65" i="324" s="1"/>
  <c r="I64" i="324"/>
  <c r="J64" i="324"/>
  <c r="I63" i="324"/>
  <c r="J63" i="324" s="1"/>
  <c r="I62" i="324"/>
  <c r="J62" i="324" s="1"/>
  <c r="I61" i="324"/>
  <c r="J61" i="324" s="1"/>
  <c r="I60" i="324"/>
  <c r="J60" i="324"/>
  <c r="I59" i="324"/>
  <c r="J59" i="324" s="1"/>
  <c r="I58" i="324"/>
  <c r="J58" i="324"/>
  <c r="I57" i="324"/>
  <c r="J57" i="324" s="1"/>
  <c r="I56" i="324"/>
  <c r="J56" i="324"/>
  <c r="I55" i="324"/>
  <c r="J55" i="324" s="1"/>
  <c r="I54" i="324"/>
  <c r="J54" i="324" s="1"/>
  <c r="I53" i="324"/>
  <c r="J53" i="324" s="1"/>
  <c r="I52" i="324"/>
  <c r="J52" i="324"/>
  <c r="I51" i="324"/>
  <c r="J51" i="324" s="1"/>
  <c r="I50" i="324"/>
  <c r="J50" i="324"/>
  <c r="I49" i="324"/>
  <c r="J49" i="324" s="1"/>
  <c r="I48" i="324"/>
  <c r="J48" i="324"/>
  <c r="I47" i="324"/>
  <c r="J47" i="324" s="1"/>
  <c r="I46" i="324"/>
  <c r="J46" i="324" s="1"/>
  <c r="I45" i="324"/>
  <c r="J45" i="324" s="1"/>
  <c r="I44" i="324"/>
  <c r="J44" i="324"/>
  <c r="I43" i="324"/>
  <c r="J43" i="324" s="1"/>
  <c r="I42" i="324"/>
  <c r="J42" i="324"/>
  <c r="I41" i="324"/>
  <c r="J41" i="324" s="1"/>
  <c r="I39" i="324"/>
  <c r="J39" i="324" s="1"/>
  <c r="I38" i="324"/>
  <c r="J38" i="324"/>
  <c r="I37" i="324"/>
  <c r="J37" i="324" s="1"/>
  <c r="I36" i="324"/>
  <c r="J36" i="324"/>
  <c r="I35" i="324"/>
  <c r="J35" i="324" s="1"/>
  <c r="I34" i="324"/>
  <c r="J34" i="324" s="1"/>
  <c r="I33" i="324"/>
  <c r="J33" i="324" s="1"/>
  <c r="I32" i="324"/>
  <c r="J32" i="324"/>
  <c r="I31" i="324"/>
  <c r="J31" i="324" s="1"/>
  <c r="I30" i="324"/>
  <c r="J30" i="324"/>
  <c r="I29" i="324"/>
  <c r="J29" i="324" s="1"/>
  <c r="I28" i="324"/>
  <c r="J28" i="324"/>
  <c r="I27" i="324"/>
  <c r="J27" i="324" s="1"/>
  <c r="I26" i="324"/>
  <c r="J26" i="324" s="1"/>
  <c r="I25" i="324"/>
  <c r="J25" i="324" s="1"/>
  <c r="I24" i="324"/>
  <c r="J24" i="324"/>
  <c r="I23" i="324"/>
  <c r="J23" i="324"/>
  <c r="I22" i="324"/>
  <c r="J22" i="324"/>
  <c r="I21" i="324"/>
  <c r="J21" i="324"/>
  <c r="I20" i="324"/>
  <c r="J20" i="324"/>
  <c r="I19" i="324"/>
  <c r="J19" i="324"/>
  <c r="I18" i="324"/>
  <c r="J18" i="324"/>
  <c r="I17" i="324"/>
  <c r="J17" i="324"/>
  <c r="I16" i="324"/>
  <c r="J16" i="324"/>
  <c r="I15" i="324"/>
  <c r="J15" i="324"/>
  <c r="I14" i="324"/>
  <c r="J14" i="324"/>
  <c r="I13" i="324"/>
  <c r="J13" i="324"/>
  <c r="I12" i="324"/>
  <c r="J12" i="324"/>
  <c r="I11" i="324"/>
  <c r="J11" i="324"/>
  <c r="I10" i="324"/>
  <c r="J10" i="324"/>
  <c r="I9" i="324"/>
  <c r="J9" i="324"/>
  <c r="I8" i="324"/>
  <c r="J8" i="324"/>
  <c r="I7" i="324"/>
  <c r="J7"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C63" i="268" s="1"/>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J66" i="268"/>
  <c r="A2" i="268"/>
  <c r="K3" i="268"/>
  <c r="J3" i="268"/>
  <c r="I3" i="268"/>
  <c r="H3" i="268"/>
  <c r="G3" i="268"/>
  <c r="F3" i="268"/>
  <c r="E3" i="268"/>
  <c r="D3" i="268"/>
  <c r="C3" i="268"/>
  <c r="B2" i="268"/>
  <c r="A75" i="268"/>
  <c r="E82" i="100"/>
  <c r="B82" i="100"/>
  <c r="F35" i="178"/>
  <c r="F38" i="267" s="1"/>
  <c r="F13" i="178"/>
  <c r="F36" i="267" s="1"/>
  <c r="F48" i="178"/>
  <c r="F40" i="267" s="1"/>
  <c r="F25" i="178"/>
  <c r="F37" i="267" s="1"/>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F13" i="180"/>
  <c r="H13" i="180" s="1"/>
  <c r="F12" i="180"/>
  <c r="F11" i="180"/>
  <c r="I11" i="180" s="1"/>
  <c r="F10" i="180"/>
  <c r="H10" i="180" s="1"/>
  <c r="F9" i="180"/>
  <c r="B31" i="172" s="1"/>
  <c r="F8" i="180"/>
  <c r="F7" i="180"/>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G53" i="172"/>
  <c r="F53" i="172"/>
  <c r="B15" i="251"/>
  <c r="B10" i="251"/>
  <c r="B5" i="251"/>
  <c r="A41" i="251"/>
  <c r="B2" i="251"/>
  <c r="A2" i="251"/>
  <c r="E93" i="100"/>
  <c r="A5" i="181"/>
  <c r="G22" i="181"/>
  <c r="G36" i="181"/>
  <c r="G38" i="181"/>
  <c r="G42" i="181" s="1"/>
  <c r="H22" i="181"/>
  <c r="H36" i="181"/>
  <c r="I43" i="181"/>
  <c r="J43" i="181"/>
  <c r="I41" i="181"/>
  <c r="J41" i="181" s="1"/>
  <c r="I40" i="181"/>
  <c r="J40" i="181" s="1"/>
  <c r="I39" i="181"/>
  <c r="J39" i="181" s="1"/>
  <c r="I35" i="181"/>
  <c r="J35" i="181" s="1"/>
  <c r="I34" i="181"/>
  <c r="J34" i="181" s="1"/>
  <c r="I33" i="181"/>
  <c r="J33" i="181"/>
  <c r="I32" i="181"/>
  <c r="J32" i="181" s="1"/>
  <c r="I31" i="181"/>
  <c r="J31" i="181"/>
  <c r="I30" i="181"/>
  <c r="J30" i="181" s="1"/>
  <c r="I29" i="181"/>
  <c r="J29" i="181" s="1"/>
  <c r="I28" i="181"/>
  <c r="J28" i="181" s="1"/>
  <c r="I27" i="181"/>
  <c r="J27" i="181" s="1"/>
  <c r="I26" i="181"/>
  <c r="J26" i="181" s="1"/>
  <c r="I25" i="181"/>
  <c r="J25" i="181"/>
  <c r="I21" i="181"/>
  <c r="J21" i="181" s="1"/>
  <c r="I20" i="181"/>
  <c r="J20" i="181"/>
  <c r="I19" i="181"/>
  <c r="J19" i="181" s="1"/>
  <c r="I18" i="181"/>
  <c r="J18" i="181" s="1"/>
  <c r="I17" i="181"/>
  <c r="J17" i="181" s="1"/>
  <c r="I16" i="181"/>
  <c r="J16" i="181" s="1"/>
  <c r="I15" i="181"/>
  <c r="J15" i="181" s="1"/>
  <c r="I14" i="181"/>
  <c r="J14" i="181"/>
  <c r="I13" i="181"/>
  <c r="J13" i="181" s="1"/>
  <c r="I12" i="181"/>
  <c r="J12" i="181"/>
  <c r="I11" i="181"/>
  <c r="J11" i="181" s="1"/>
  <c r="I10" i="181"/>
  <c r="J10" i="181" s="1"/>
  <c r="I9" i="181"/>
  <c r="J9" i="181" s="1"/>
  <c r="I8" i="181"/>
  <c r="J8" i="181" s="1"/>
  <c r="I7" i="181"/>
  <c r="J7" i="181" s="1"/>
  <c r="I6" i="181"/>
  <c r="J6" i="181"/>
  <c r="K22" i="181"/>
  <c r="K36" i="181"/>
  <c r="F22" i="181"/>
  <c r="F38" i="181" s="1"/>
  <c r="F42" i="181" s="1"/>
  <c r="F44" i="181" s="1"/>
  <c r="F36" i="181"/>
  <c r="E22" i="181"/>
  <c r="E36" i="181"/>
  <c r="E38" i="181" s="1"/>
  <c r="E42" i="181" s="1"/>
  <c r="E44" i="181" s="1"/>
  <c r="D22" i="181"/>
  <c r="D38" i="181" s="1"/>
  <c r="D42" i="181" s="1"/>
  <c r="D44" i="181" s="1"/>
  <c r="D36" i="181"/>
  <c r="C22" i="181"/>
  <c r="C36" i="181"/>
  <c r="C38" i="18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I16" i="183" s="1"/>
  <c r="H16" i="183"/>
  <c r="G29" i="183"/>
  <c r="H29" i="183"/>
  <c r="G43" i="183"/>
  <c r="I43" i="183" s="1"/>
  <c r="J43" i="183" s="1"/>
  <c r="H43" i="183"/>
  <c r="J42" i="183"/>
  <c r="I41" i="183"/>
  <c r="J41" i="183" s="1"/>
  <c r="I40" i="183"/>
  <c r="J40" i="183" s="1"/>
  <c r="I39" i="183"/>
  <c r="J39" i="183"/>
  <c r="I38" i="183"/>
  <c r="J38" i="183" s="1"/>
  <c r="I37" i="183"/>
  <c r="J37" i="183"/>
  <c r="I36" i="183"/>
  <c r="J36" i="183" s="1"/>
  <c r="I35" i="183"/>
  <c r="J35" i="183" s="1"/>
  <c r="I34" i="183"/>
  <c r="J34" i="183" s="1"/>
  <c r="I33" i="183"/>
  <c r="J33" i="183" s="1"/>
  <c r="J30" i="183"/>
  <c r="I28" i="183"/>
  <c r="J28" i="183"/>
  <c r="I27" i="183"/>
  <c r="J27" i="183" s="1"/>
  <c r="I26" i="183"/>
  <c r="J26" i="183"/>
  <c r="I25" i="183"/>
  <c r="J25" i="183" s="1"/>
  <c r="I24" i="183"/>
  <c r="J24" i="183" s="1"/>
  <c r="I23" i="183"/>
  <c r="J23" i="183" s="1"/>
  <c r="I22" i="183"/>
  <c r="J22" i="183" s="1"/>
  <c r="I21" i="183"/>
  <c r="J21" i="183" s="1"/>
  <c r="I20" i="183"/>
  <c r="J20" i="183"/>
  <c r="I19" i="183"/>
  <c r="J19" i="183" s="1"/>
  <c r="A33" i="183"/>
  <c r="I15" i="183"/>
  <c r="J15" i="183"/>
  <c r="I14" i="183"/>
  <c r="J14" i="183" s="1"/>
  <c r="I13" i="183"/>
  <c r="J13" i="183"/>
  <c r="I12" i="183"/>
  <c r="J12" i="183" s="1"/>
  <c r="I11" i="183"/>
  <c r="J11" i="183" s="1"/>
  <c r="I10" i="183"/>
  <c r="J10" i="183" s="1"/>
  <c r="I9" i="183"/>
  <c r="J9" i="183" s="1"/>
  <c r="I8" i="183"/>
  <c r="J8" i="183" s="1"/>
  <c r="I7" i="183"/>
  <c r="J7" i="183"/>
  <c r="I6" i="183"/>
  <c r="J6" i="183" s="1"/>
  <c r="A44" i="183"/>
  <c r="K3" i="183"/>
  <c r="J3" i="183"/>
  <c r="I3" i="183"/>
  <c r="H3" i="183"/>
  <c r="G3" i="183"/>
  <c r="F3" i="183"/>
  <c r="E3" i="183"/>
  <c r="D3" i="183"/>
  <c r="C3" i="183"/>
  <c r="B2" i="183"/>
  <c r="A2" i="183"/>
  <c r="C16" i="183"/>
  <c r="D16" i="183"/>
  <c r="D31" i="183" s="1"/>
  <c r="E16" i="183"/>
  <c r="E31" i="183" s="1"/>
  <c r="F16" i="183"/>
  <c r="K16" i="183"/>
  <c r="C29" i="183"/>
  <c r="C31" i="183" s="1"/>
  <c r="D29" i="183"/>
  <c r="E29" i="183"/>
  <c r="F29" i="183"/>
  <c r="K29" i="183"/>
  <c r="A31" i="183"/>
  <c r="C43" i="183"/>
  <c r="D43" i="183"/>
  <c r="E43" i="183"/>
  <c r="F43" i="183"/>
  <c r="K43" i="183"/>
  <c r="E95" i="100"/>
  <c r="B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c r="I15" i="242"/>
  <c r="J15" i="242" s="1"/>
  <c r="I16" i="242"/>
  <c r="J16" i="242"/>
  <c r="I28" i="242"/>
  <c r="J28" i="242" s="1"/>
  <c r="I37" i="242"/>
  <c r="J37" i="242" s="1"/>
  <c r="I70" i="242"/>
  <c r="J70" i="242"/>
  <c r="I71" i="242"/>
  <c r="J71" i="242" s="1"/>
  <c r="I72" i="242"/>
  <c r="J72" i="242" s="1"/>
  <c r="I73" i="242"/>
  <c r="J73" i="242" s="1"/>
  <c r="J74" i="242"/>
  <c r="I149" i="242"/>
  <c r="J149" i="242" s="1"/>
  <c r="I146" i="242"/>
  <c r="J146" i="242" s="1"/>
  <c r="I139" i="242"/>
  <c r="J139" i="242" s="1"/>
  <c r="I133" i="242"/>
  <c r="J133" i="242" s="1"/>
  <c r="I132" i="242"/>
  <c r="J132" i="242" s="1"/>
  <c r="I131" i="242"/>
  <c r="J131" i="242"/>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c r="G63" i="174"/>
  <c r="G18" i="174" s="1"/>
  <c r="F63" i="174"/>
  <c r="F18" i="174"/>
  <c r="E63" i="174"/>
  <c r="E18" i="174" s="1"/>
  <c r="H59" i="174"/>
  <c r="G59" i="174"/>
  <c r="F59" i="174"/>
  <c r="E59" i="174"/>
  <c r="D63" i="174"/>
  <c r="D18" i="174" s="1"/>
  <c r="D59" i="174"/>
  <c r="H53" i="174"/>
  <c r="H14" i="174"/>
  <c r="F53" i="174"/>
  <c r="F14" i="174" s="1"/>
  <c r="H52" i="174"/>
  <c r="H13" i="174"/>
  <c r="F52" i="174"/>
  <c r="E52" i="174"/>
  <c r="H51" i="174"/>
  <c r="H50" i="174"/>
  <c r="G51" i="174"/>
  <c r="G50" i="174"/>
  <c r="F51" i="174"/>
  <c r="F50" i="174"/>
  <c r="E51" i="174"/>
  <c r="E50" i="174"/>
  <c r="D51" i="174"/>
  <c r="D50" i="174"/>
  <c r="H48" i="174"/>
  <c r="H49" i="174"/>
  <c r="H10" i="174" s="1"/>
  <c r="G48" i="174"/>
  <c r="F48" i="174"/>
  <c r="E48" i="174"/>
  <c r="E49" i="174"/>
  <c r="D48"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F21" i="175"/>
  <c r="F26" i="175" s="1"/>
  <c r="F27" i="175" s="1"/>
  <c r="E21" i="175"/>
  <c r="D21" i="175"/>
  <c r="C21" i="175"/>
  <c r="A2" i="175"/>
  <c r="M14" i="175"/>
  <c r="M21" i="175"/>
  <c r="L15" i="173"/>
  <c r="A2" i="173"/>
  <c r="J12" i="238"/>
  <c r="J24" i="238" s="1"/>
  <c r="J22" i="238"/>
  <c r="I22" i="238"/>
  <c r="I24" i="238"/>
  <c r="H22" i="238"/>
  <c r="A25" i="238"/>
  <c r="C41" i="270"/>
  <c r="C59" i="270"/>
  <c r="I63" i="270"/>
  <c r="J63" i="270" s="1"/>
  <c r="I53" i="270"/>
  <c r="J53" i="270" s="1"/>
  <c r="K52" i="270"/>
  <c r="G52" i="270"/>
  <c r="I52" i="270" s="1"/>
  <c r="J52" i="270" s="1"/>
  <c r="H52" i="270"/>
  <c r="F52" i="270"/>
  <c r="E52" i="270"/>
  <c r="D52" i="270"/>
  <c r="K62" i="270"/>
  <c r="G62" i="270"/>
  <c r="I62" i="270"/>
  <c r="J62" i="270" s="1"/>
  <c r="H62" i="270"/>
  <c r="F62" i="270"/>
  <c r="E62" i="270"/>
  <c r="D62" i="270"/>
  <c r="I61" i="270"/>
  <c r="J61" i="270" s="1"/>
  <c r="I60" i="270"/>
  <c r="J60" i="270"/>
  <c r="K59" i="270"/>
  <c r="G59" i="270"/>
  <c r="H59" i="270"/>
  <c r="F59" i="270"/>
  <c r="E59" i="270"/>
  <c r="D59" i="270"/>
  <c r="K41" i="270"/>
  <c r="G41" i="270"/>
  <c r="G69" i="270" s="1"/>
  <c r="H41" i="270"/>
  <c r="F41" i="270"/>
  <c r="E41" i="270"/>
  <c r="D41" i="270"/>
  <c r="D69" i="270" s="1"/>
  <c r="G27" i="270"/>
  <c r="I27" i="270" s="1"/>
  <c r="J27" i="270" s="1"/>
  <c r="H27" i="270"/>
  <c r="I28" i="270"/>
  <c r="J28" i="270"/>
  <c r="I29" i="270"/>
  <c r="J29" i="270" s="1"/>
  <c r="G30" i="270"/>
  <c r="H30" i="270"/>
  <c r="I31" i="270"/>
  <c r="J31" i="270" s="1"/>
  <c r="I37" i="270"/>
  <c r="J37" i="270" s="1"/>
  <c r="K8" i="270"/>
  <c r="K20" i="270"/>
  <c r="K27" i="270"/>
  <c r="K30" i="270"/>
  <c r="H8" i="270"/>
  <c r="H20" i="270"/>
  <c r="G8" i="270"/>
  <c r="G38" i="270" s="1"/>
  <c r="G20" i="270"/>
  <c r="F8" i="270"/>
  <c r="F20" i="270"/>
  <c r="F27" i="270"/>
  <c r="F30" i="270"/>
  <c r="E8" i="270"/>
  <c r="E20" i="270"/>
  <c r="E27" i="270"/>
  <c r="E30" i="270"/>
  <c r="D8" i="270"/>
  <c r="D20" i="270"/>
  <c r="D27" i="270"/>
  <c r="D30" i="270"/>
  <c r="C8" i="270"/>
  <c r="C20" i="270"/>
  <c r="C27" i="270"/>
  <c r="A62" i="270"/>
  <c r="A47" i="269" s="1"/>
  <c r="A59" i="270"/>
  <c r="A41" i="334" s="1"/>
  <c r="A44" i="269"/>
  <c r="A52" i="270"/>
  <c r="A41" i="270"/>
  <c r="A31" i="334" s="1"/>
  <c r="A34" i="269"/>
  <c r="I42" i="270"/>
  <c r="J42" i="270" s="1"/>
  <c r="I47" i="270"/>
  <c r="J47" i="270" s="1"/>
  <c r="I48" i="270"/>
  <c r="J48" i="270" s="1"/>
  <c r="I49" i="270"/>
  <c r="J49" i="270" s="1"/>
  <c r="I50" i="270"/>
  <c r="J50" i="270" s="1"/>
  <c r="I51" i="270"/>
  <c r="J51" i="270" s="1"/>
  <c r="I58" i="270"/>
  <c r="J58" i="270" s="1"/>
  <c r="I68" i="270"/>
  <c r="J68" i="270"/>
  <c r="I9" i="270"/>
  <c r="J9" i="270" s="1"/>
  <c r="I14" i="270"/>
  <c r="J14" i="270" s="1"/>
  <c r="I15" i="270"/>
  <c r="J15" i="270" s="1"/>
  <c r="I16" i="270"/>
  <c r="J16" i="270" s="1"/>
  <c r="I17" i="270"/>
  <c r="J17" i="270" s="1"/>
  <c r="I18" i="270"/>
  <c r="J18" i="270" s="1"/>
  <c r="I19" i="270"/>
  <c r="J19" i="270" s="1"/>
  <c r="I21" i="270"/>
  <c r="I23" i="270"/>
  <c r="J23" i="270" s="1"/>
  <c r="I24" i="270"/>
  <c r="J24" i="270"/>
  <c r="I25" i="270"/>
  <c r="J25" i="270" s="1"/>
  <c r="I26" i="270"/>
  <c r="J26" i="270"/>
  <c r="K3" i="270"/>
  <c r="J3" i="270"/>
  <c r="I3" i="270"/>
  <c r="H3" i="270"/>
  <c r="G3" i="270"/>
  <c r="F3" i="270"/>
  <c r="E3" i="270"/>
  <c r="D3" i="270"/>
  <c r="C3" i="270"/>
  <c r="B2" i="270"/>
  <c r="A2" i="270"/>
  <c r="A72" i="270"/>
  <c r="I49" i="269"/>
  <c r="J49" i="269" s="1"/>
  <c r="I48" i="269"/>
  <c r="J48" i="269"/>
  <c r="K47" i="269"/>
  <c r="G47" i="269"/>
  <c r="H47" i="269"/>
  <c r="F47" i="269"/>
  <c r="E47" i="269"/>
  <c r="D47" i="269"/>
  <c r="C47" i="269"/>
  <c r="I46" i="269"/>
  <c r="J46" i="269" s="1"/>
  <c r="I45" i="269"/>
  <c r="J45" i="269"/>
  <c r="K44" i="269"/>
  <c r="G44" i="269"/>
  <c r="H44" i="269"/>
  <c r="I44" i="269" s="1"/>
  <c r="J44" i="269" s="1"/>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K50" i="269" s="1"/>
  <c r="H34" i="269"/>
  <c r="G34" i="269"/>
  <c r="F34" i="269"/>
  <c r="F50" i="269" s="1"/>
  <c r="E34" i="269"/>
  <c r="E50" i="269" s="1"/>
  <c r="D34" i="269"/>
  <c r="C34" i="269"/>
  <c r="K19" i="269"/>
  <c r="K25" i="269"/>
  <c r="K28" i="269"/>
  <c r="I9" i="269"/>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H19" i="269"/>
  <c r="G19" i="269"/>
  <c r="F19" i="269"/>
  <c r="F25" i="269"/>
  <c r="F28" i="269"/>
  <c r="E19" i="269"/>
  <c r="E28" i="269"/>
  <c r="D19" i="269"/>
  <c r="D25" i="269"/>
  <c r="D28" i="269"/>
  <c r="C31" i="269"/>
  <c r="C19" i="269"/>
  <c r="C25" i="269"/>
  <c r="C28" i="269"/>
  <c r="I30" i="269"/>
  <c r="J30" i="269" s="1"/>
  <c r="I29" i="269"/>
  <c r="J29" i="269"/>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102" i="318" s="1"/>
  <c r="I102" i="318" s="1"/>
  <c r="J102" i="318" s="1"/>
  <c r="H99" i="318"/>
  <c r="G30" i="318"/>
  <c r="I30" i="318" s="1"/>
  <c r="J30" i="318" s="1"/>
  <c r="G46" i="318"/>
  <c r="G83" i="318"/>
  <c r="G99" i="318"/>
  <c r="F30" i="318"/>
  <c r="F46" i="318"/>
  <c r="F83" i="318"/>
  <c r="F99" i="318"/>
  <c r="G14" i="318"/>
  <c r="G67" i="318"/>
  <c r="G102" i="318"/>
  <c r="H14" i="318"/>
  <c r="H67" i="318"/>
  <c r="K14" i="318"/>
  <c r="K30" i="318"/>
  <c r="K46" i="318"/>
  <c r="K67" i="318"/>
  <c r="K83" i="318"/>
  <c r="K99" i="318"/>
  <c r="E14" i="318"/>
  <c r="E15" i="318"/>
  <c r="E30" i="318"/>
  <c r="E31" i="318" s="1"/>
  <c r="E46" i="318"/>
  <c r="E47" i="318" s="1"/>
  <c r="E67" i="318"/>
  <c r="E68" i="318"/>
  <c r="E83" i="318"/>
  <c r="E84" i="318" s="1"/>
  <c r="E99" i="318"/>
  <c r="E100" i="318" s="1"/>
  <c r="D14" i="318"/>
  <c r="D30" i="318"/>
  <c r="D106" i="318" s="1"/>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F67" i="318"/>
  <c r="C99" i="318"/>
  <c r="A107" i="318"/>
  <c r="P21" i="317"/>
  <c r="P33" i="317" s="1"/>
  <c r="P46" i="317"/>
  <c r="P52" i="317" s="1"/>
  <c r="O21" i="317"/>
  <c r="O33" i="317"/>
  <c r="O46" i="317"/>
  <c r="O52" i="317" s="1"/>
  <c r="O55" i="317"/>
  <c r="Q21" i="317"/>
  <c r="Q33" i="317" s="1"/>
  <c r="Q46" i="317"/>
  <c r="Q52" i="317" s="1"/>
  <c r="D21" i="317"/>
  <c r="D33" i="317" s="1"/>
  <c r="D46" i="317"/>
  <c r="D52" i="317" s="1"/>
  <c r="C21" i="317"/>
  <c r="C33" i="317" s="1"/>
  <c r="C46" i="317"/>
  <c r="C52" i="317" s="1"/>
  <c r="E21" i="317"/>
  <c r="E33" i="317"/>
  <c r="E46" i="317"/>
  <c r="E52" i="317" s="1"/>
  <c r="E54" i="317" s="1"/>
  <c r="F21" i="317"/>
  <c r="F33" i="317" s="1"/>
  <c r="F46" i="317"/>
  <c r="F65" i="317" s="1"/>
  <c r="G21" i="317"/>
  <c r="G33" i="317" s="1"/>
  <c r="G46" i="317"/>
  <c r="G52" i="317"/>
  <c r="H21" i="317"/>
  <c r="H33" i="317" s="1"/>
  <c r="H54" i="317" s="1"/>
  <c r="H46" i="317"/>
  <c r="H52" i="317" s="1"/>
  <c r="I21" i="317"/>
  <c r="I33" i="317" s="1"/>
  <c r="I46" i="317"/>
  <c r="J21" i="317"/>
  <c r="J33" i="317" s="1"/>
  <c r="J46" i="317"/>
  <c r="J65" i="317" s="1"/>
  <c r="K21" i="317"/>
  <c r="K33" i="317" s="1"/>
  <c r="K46" i="317"/>
  <c r="K65" i="317" s="1"/>
  <c r="L21" i="317"/>
  <c r="L33" i="317" s="1"/>
  <c r="L46" i="317"/>
  <c r="L52" i="317" s="1"/>
  <c r="M21" i="317"/>
  <c r="M33" i="317"/>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O2" i="317" s="1"/>
  <c r="A2" i="317"/>
  <c r="N53" i="317"/>
  <c r="N35" i="317"/>
  <c r="N34" i="317"/>
  <c r="B2" i="317"/>
  <c r="B46" i="317"/>
  <c r="B52" i="317" s="1"/>
  <c r="B54" i="317" s="1"/>
  <c r="A57" i="317"/>
  <c r="E65" i="317"/>
  <c r="F11" i="174"/>
  <c r="D26" i="178"/>
  <c r="E39" i="174" s="1"/>
  <c r="I187" i="324"/>
  <c r="I25" i="268" s="1"/>
  <c r="J25" i="268" s="1"/>
  <c r="H27" i="268"/>
  <c r="H35" i="268"/>
  <c r="I319" i="324"/>
  <c r="I37" i="268" s="1"/>
  <c r="J37" i="268" s="1"/>
  <c r="H21" i="267"/>
  <c r="I21" i="267" s="1"/>
  <c r="Q340" i="323"/>
  <c r="I29" i="183"/>
  <c r="J29" i="183" s="1"/>
  <c r="I30" i="270"/>
  <c r="J30" i="270" s="1"/>
  <c r="M342" i="324"/>
  <c r="Q342" i="324"/>
  <c r="U342" i="324"/>
  <c r="E63" i="268"/>
  <c r="F9" i="241"/>
  <c r="G45" i="241"/>
  <c r="G15" i="241"/>
  <c r="I15" i="241" s="1"/>
  <c r="B93" i="100"/>
  <c r="D44" i="241"/>
  <c r="H44" i="241"/>
  <c r="K21" i="241"/>
  <c r="D21" i="241"/>
  <c r="L65" i="317"/>
  <c r="I330" i="324"/>
  <c r="I38" i="268"/>
  <c r="J38" i="268" s="1"/>
  <c r="B79" i="100"/>
  <c r="B77" i="100"/>
  <c r="B96" i="100"/>
  <c r="B97" i="100"/>
  <c r="G31" i="269"/>
  <c r="H11" i="174"/>
  <c r="I19" i="268"/>
  <c r="J19" i="268" s="1"/>
  <c r="I286" i="324"/>
  <c r="I34" i="268" s="1"/>
  <c r="J34" i="268" s="1"/>
  <c r="I297" i="324"/>
  <c r="A50" i="323"/>
  <c r="A72" i="323"/>
  <c r="A116" i="323"/>
  <c r="A138" i="323"/>
  <c r="A160" i="323"/>
  <c r="A295" i="323"/>
  <c r="A317" i="323"/>
  <c r="A19" i="272"/>
  <c r="A17" i="272"/>
  <c r="A15" i="272"/>
  <c r="A13" i="272"/>
  <c r="A11" i="272"/>
  <c r="A9" i="272"/>
  <c r="A38" i="272"/>
  <c r="A36" i="272"/>
  <c r="A34" i="272"/>
  <c r="A26" i="272"/>
  <c r="A330" i="324"/>
  <c r="A308" i="324"/>
  <c r="A286" i="324"/>
  <c r="A198" i="324"/>
  <c r="A40" i="324"/>
  <c r="A84" i="324"/>
  <c r="A106" i="324"/>
  <c r="A128" i="324"/>
  <c r="A150" i="324"/>
  <c r="A19" i="268"/>
  <c r="A17" i="268"/>
  <c r="A15" i="268"/>
  <c r="A13" i="268"/>
  <c r="A11" i="268"/>
  <c r="A9" i="268"/>
  <c r="A7" i="268"/>
  <c r="A38" i="268"/>
  <c r="A36" i="268"/>
  <c r="A34" i="268"/>
  <c r="A26" i="268"/>
  <c r="A149" i="323"/>
  <c r="A174" i="323"/>
  <c r="A273" i="323"/>
  <c r="A284" i="323"/>
  <c r="A306" i="323"/>
  <c r="A328" i="323"/>
  <c r="A20" i="272"/>
  <c r="A18" i="272"/>
  <c r="A16" i="272"/>
  <c r="A24" i="272"/>
  <c r="A37" i="272"/>
  <c r="A35" i="272"/>
  <c r="A33" i="272"/>
  <c r="A31" i="272"/>
  <c r="A29" i="272"/>
  <c r="A27" i="272"/>
  <c r="A319" i="324"/>
  <c r="A297" i="324"/>
  <c r="A275" i="324"/>
  <c r="A253" i="324"/>
  <c r="A231" i="324"/>
  <c r="A209" i="324"/>
  <c r="A29" i="324"/>
  <c r="A117" i="324"/>
  <c r="A139" i="324"/>
  <c r="A161" i="324"/>
  <c r="K52" i="317"/>
  <c r="G65" i="317"/>
  <c r="I67" i="318"/>
  <c r="J67" i="318" s="1"/>
  <c r="I6" i="268"/>
  <c r="J6" i="268" s="1"/>
  <c r="I35" i="268"/>
  <c r="J35" i="268" s="1"/>
  <c r="J297" i="324"/>
  <c r="J330" i="324"/>
  <c r="F7" i="272"/>
  <c r="D7" i="272"/>
  <c r="A39" i="323"/>
  <c r="A83" i="323"/>
  <c r="A127" i="323"/>
  <c r="I308" i="324"/>
  <c r="J308" i="324" s="1"/>
  <c r="I36" i="268"/>
  <c r="J36" i="268" s="1"/>
  <c r="A33" i="268"/>
  <c r="A29" i="268"/>
  <c r="A25" i="268"/>
  <c r="J187" i="324"/>
  <c r="O65" i="317"/>
  <c r="I198" i="324"/>
  <c r="I26" i="268" s="1"/>
  <c r="J26" i="268" s="1"/>
  <c r="J319" i="324"/>
  <c r="P65" i="317"/>
  <c r="K7" i="241"/>
  <c r="E6" i="272"/>
  <c r="H30" i="241"/>
  <c r="I30" i="241" s="1"/>
  <c r="J30" i="241" s="1"/>
  <c r="B12" i="100"/>
  <c r="O3" i="317" s="1"/>
  <c r="B81" i="100"/>
  <c r="A31" i="268"/>
  <c r="A61" i="323"/>
  <c r="A27" i="268"/>
  <c r="A62" i="324"/>
  <c r="F8" i="334"/>
  <c r="G8" i="334" s="1"/>
  <c r="G9" i="334"/>
  <c r="F31" i="334"/>
  <c r="G31" i="334" s="1"/>
  <c r="G38" i="334"/>
  <c r="F25" i="334"/>
  <c r="G25" i="334" s="1"/>
  <c r="F41" i="334"/>
  <c r="G41" i="334" s="1"/>
  <c r="G39" i="334"/>
  <c r="G45" i="334"/>
  <c r="F16" i="334"/>
  <c r="F22" i="334"/>
  <c r="G22" i="334" s="1"/>
  <c r="D38" i="268"/>
  <c r="I28" i="269"/>
  <c r="J28" i="269"/>
  <c r="J9" i="269"/>
  <c r="G26" i="178"/>
  <c r="J37" i="267"/>
  <c r="K9" i="268"/>
  <c r="K172" i="324"/>
  <c r="J13" i="180"/>
  <c r="F7" i="268"/>
  <c r="G16" i="268"/>
  <c r="I117" i="324"/>
  <c r="J117" i="324" s="1"/>
  <c r="H29" i="268"/>
  <c r="H16" i="268"/>
  <c r="F24" i="268"/>
  <c r="B47" i="100"/>
  <c r="J198" i="324"/>
  <c r="C30" i="268"/>
  <c r="D17" i="272"/>
  <c r="D11" i="268"/>
  <c r="A38" i="334"/>
  <c r="A41" i="269"/>
  <c r="G12" i="272"/>
  <c r="I59" i="270"/>
  <c r="J59" i="270"/>
  <c r="O342" i="324"/>
  <c r="B44" i="267"/>
  <c r="D11" i="174"/>
  <c r="K7" i="272"/>
  <c r="G50" i="267"/>
  <c r="D33" i="267"/>
  <c r="E25" i="268"/>
  <c r="B14" i="100"/>
  <c r="Q3" i="317" s="1"/>
  <c r="H15" i="272"/>
  <c r="G29" i="267"/>
  <c r="H74" i="268"/>
  <c r="K74" i="268"/>
  <c r="J29" i="267"/>
  <c r="W340" i="323"/>
  <c r="C172" i="324"/>
  <c r="B3" i="100"/>
  <c r="D2" i="335" s="1"/>
  <c r="K24" i="268"/>
  <c r="H39" i="174"/>
  <c r="B100" i="100"/>
  <c r="K117" i="326"/>
  <c r="I130" i="326"/>
  <c r="J130" i="326" s="1"/>
  <c r="I69" i="335"/>
  <c r="J69" i="335" s="1"/>
  <c r="I63" i="335"/>
  <c r="J63" i="335" s="1"/>
  <c r="G110" i="335"/>
  <c r="I130" i="335"/>
  <c r="J130" i="335" s="1"/>
  <c r="I157" i="335"/>
  <c r="J157" i="335" s="1"/>
  <c r="D2" i="242"/>
  <c r="H110" i="333"/>
  <c r="E117" i="333"/>
  <c r="I138" i="333"/>
  <c r="J138" i="333" s="1"/>
  <c r="I140" i="333"/>
  <c r="J140" i="333" s="1"/>
  <c r="D117" i="333"/>
  <c r="E110" i="333"/>
  <c r="I111" i="333"/>
  <c r="J111" i="333"/>
  <c r="I53" i="333"/>
  <c r="J53" i="333" s="1"/>
  <c r="F110" i="333"/>
  <c r="I160" i="333"/>
  <c r="J160" i="333" s="1"/>
  <c r="E7" i="333"/>
  <c r="I148" i="325"/>
  <c r="J148" i="325" s="1"/>
  <c r="I151" i="325"/>
  <c r="J151" i="325" s="1"/>
  <c r="I13" i="325"/>
  <c r="J13" i="325" s="1"/>
  <c r="K117" i="325"/>
  <c r="I160" i="325"/>
  <c r="J160" i="325" s="1"/>
  <c r="I163" i="325"/>
  <c r="J163" i="325" s="1"/>
  <c r="I69" i="325"/>
  <c r="J69" i="325" s="1"/>
  <c r="C75" i="325"/>
  <c r="F117" i="325"/>
  <c r="I135" i="325"/>
  <c r="J135" i="325" s="1"/>
  <c r="I103" i="325"/>
  <c r="J103" i="325" s="1"/>
  <c r="I111" i="325"/>
  <c r="J111" i="325" s="1"/>
  <c r="C117" i="325"/>
  <c r="H110" i="325"/>
  <c r="D117" i="325"/>
  <c r="C7" i="325"/>
  <c r="G117" i="325"/>
  <c r="I27" i="325"/>
  <c r="J27" i="325" s="1"/>
  <c r="D75" i="325"/>
  <c r="F110" i="325"/>
  <c r="E110" i="325"/>
  <c r="I63" i="325"/>
  <c r="J63" i="325" s="1"/>
  <c r="E7" i="325"/>
  <c r="F110" i="326"/>
  <c r="D75" i="326"/>
  <c r="I135" i="326"/>
  <c r="J135" i="326" s="1"/>
  <c r="I114" i="326"/>
  <c r="J114" i="326" s="1"/>
  <c r="I154" i="326"/>
  <c r="J154" i="326"/>
  <c r="I157" i="326"/>
  <c r="J157" i="326" s="1"/>
  <c r="C110" i="326"/>
  <c r="G110" i="326"/>
  <c r="C117" i="326"/>
  <c r="G117" i="326"/>
  <c r="I160" i="326"/>
  <c r="J160" i="326" s="1"/>
  <c r="D110" i="326"/>
  <c r="H110" i="326"/>
  <c r="I110" i="326" s="1"/>
  <c r="J110" i="326" s="1"/>
  <c r="D117" i="326"/>
  <c r="E7" i="326"/>
  <c r="E117" i="326"/>
  <c r="I111" i="326"/>
  <c r="J111" i="326" s="1"/>
  <c r="I45" i="326"/>
  <c r="J45" i="326" s="1"/>
  <c r="E75" i="326"/>
  <c r="I103" i="326"/>
  <c r="J103" i="326" s="1"/>
  <c r="I8" i="326"/>
  <c r="J8" i="326" s="1"/>
  <c r="I163" i="242"/>
  <c r="J163" i="242" s="1"/>
  <c r="I160" i="242"/>
  <c r="J160" i="242"/>
  <c r="H117" i="242"/>
  <c r="C75" i="242"/>
  <c r="F117" i="242"/>
  <c r="I103" i="242"/>
  <c r="J103" i="242"/>
  <c r="E110" i="242"/>
  <c r="I154" i="242"/>
  <c r="J154" i="242" s="1"/>
  <c r="E75" i="242"/>
  <c r="C110" i="242"/>
  <c r="C117" i="242"/>
  <c r="D117" i="242"/>
  <c r="I69" i="242"/>
  <c r="J69" i="242" s="1"/>
  <c r="K110" i="242"/>
  <c r="G117" i="242"/>
  <c r="F110" i="242"/>
  <c r="D75" i="242"/>
  <c r="E117" i="242"/>
  <c r="I130" i="242"/>
  <c r="J130" i="242"/>
  <c r="I13" i="242"/>
  <c r="J13" i="242" s="1"/>
  <c r="I63" i="242"/>
  <c r="J63" i="242"/>
  <c r="E7" i="242"/>
  <c r="E166" i="242" s="1"/>
  <c r="I118" i="242"/>
  <c r="J118" i="242" s="1"/>
  <c r="H65" i="317"/>
  <c r="I173" i="330"/>
  <c r="J173" i="330" s="1"/>
  <c r="K223" i="330"/>
  <c r="G35" i="241"/>
  <c r="K74" i="330"/>
  <c r="I119" i="330"/>
  <c r="J119" i="330"/>
  <c r="G32" i="241"/>
  <c r="I25" i="330"/>
  <c r="J25" i="330"/>
  <c r="K34" i="241"/>
  <c r="I130" i="330"/>
  <c r="J130" i="330" s="1"/>
  <c r="F74" i="330"/>
  <c r="I209" i="330"/>
  <c r="J209" i="330" s="1"/>
  <c r="F34" i="241"/>
  <c r="I242" i="330"/>
  <c r="J242" i="330" s="1"/>
  <c r="C7" i="241"/>
  <c r="I66" i="330"/>
  <c r="J66" i="330" s="1"/>
  <c r="G100" i="330"/>
  <c r="D34" i="241"/>
  <c r="F100" i="330"/>
  <c r="G27" i="330"/>
  <c r="G12" i="241"/>
  <c r="G74" i="330"/>
  <c r="D11" i="241"/>
  <c r="I189" i="330"/>
  <c r="J189" i="330" s="1"/>
  <c r="C21" i="241"/>
  <c r="E223" i="330"/>
  <c r="H13" i="241"/>
  <c r="I13" i="241" s="1"/>
  <c r="J13" i="241" s="1"/>
  <c r="E129" i="330"/>
  <c r="G129" i="330"/>
  <c r="F223" i="330"/>
  <c r="E29" i="241"/>
  <c r="F22" i="241"/>
  <c r="F20" i="241"/>
  <c r="F27" i="330"/>
  <c r="G23" i="241"/>
  <c r="G20" i="241" s="1"/>
  <c r="G9" i="241"/>
  <c r="I9" i="241"/>
  <c r="J9" i="241" s="1"/>
  <c r="K197" i="330"/>
  <c r="E43" i="241"/>
  <c r="E100" i="330"/>
  <c r="F6" i="330"/>
  <c r="F197" i="330"/>
  <c r="I105" i="330"/>
  <c r="J105" i="330" s="1"/>
  <c r="E27" i="330"/>
  <c r="F17" i="241"/>
  <c r="G6" i="330"/>
  <c r="F129" i="330"/>
  <c r="E197" i="330"/>
  <c r="G11" i="241"/>
  <c r="G197" i="330"/>
  <c r="D100" i="330"/>
  <c r="E6" i="330"/>
  <c r="I25" i="241"/>
  <c r="J25" i="241"/>
  <c r="J15" i="241"/>
  <c r="F39" i="241"/>
  <c r="E39" i="241"/>
  <c r="F29" i="241"/>
  <c r="E8" i="241"/>
  <c r="E6" i="241" s="1"/>
  <c r="H6" i="267"/>
  <c r="I6" i="267" s="1"/>
  <c r="K53" i="182"/>
  <c r="H55" i="174"/>
  <c r="H17" i="174" s="1"/>
  <c r="K38" i="182"/>
  <c r="K42" i="182" s="1"/>
  <c r="K44" i="182" s="1"/>
  <c r="K46" i="182" s="1"/>
  <c r="K48" i="182" s="1"/>
  <c r="I114" i="242"/>
  <c r="J114" i="242" s="1"/>
  <c r="G10" i="241"/>
  <c r="G6" i="241"/>
  <c r="D36" i="241"/>
  <c r="D150" i="330"/>
  <c r="F43" i="241"/>
  <c r="G7" i="335"/>
  <c r="C44" i="241"/>
  <c r="C223" i="330"/>
  <c r="C39" i="241"/>
  <c r="C197" i="330"/>
  <c r="C20" i="241"/>
  <c r="C100" i="330"/>
  <c r="C74" i="330"/>
  <c r="C10" i="241"/>
  <c r="C27" i="330"/>
  <c r="B33" i="172"/>
  <c r="G29" i="241"/>
  <c r="F52" i="317"/>
  <c r="A44" i="334"/>
  <c r="F74" i="268"/>
  <c r="E29" i="267"/>
  <c r="E26" i="178"/>
  <c r="C45" i="267"/>
  <c r="H8" i="272"/>
  <c r="U340" i="323"/>
  <c r="G18" i="268"/>
  <c r="G172" i="324"/>
  <c r="C9" i="241"/>
  <c r="C6" i="241"/>
  <c r="C6" i="330"/>
  <c r="G16" i="241"/>
  <c r="F10" i="241"/>
  <c r="A1" i="328"/>
  <c r="D74" i="268"/>
  <c r="C29" i="267"/>
  <c r="I148" i="330"/>
  <c r="J148" i="330" s="1"/>
  <c r="K7" i="335"/>
  <c r="C7" i="333"/>
  <c r="I111" i="335"/>
  <c r="J111" i="335"/>
  <c r="H110" i="335"/>
  <c r="I110" i="335" s="1"/>
  <c r="J110" i="335" s="1"/>
  <c r="E7" i="335"/>
  <c r="G138" i="335"/>
  <c r="H14" i="267" l="1"/>
  <c r="I14" i="267" s="1"/>
  <c r="E26" i="175"/>
  <c r="E27" i="175" s="1"/>
  <c r="K14" i="175"/>
  <c r="E33" i="267"/>
  <c r="I253" i="324"/>
  <c r="I31" i="268" s="1"/>
  <c r="I99" i="242"/>
  <c r="J99" i="242" s="1"/>
  <c r="I17" i="242"/>
  <c r="J17" i="242" s="1"/>
  <c r="H75" i="335"/>
  <c r="I140" i="325"/>
  <c r="J140" i="325" s="1"/>
  <c r="H117" i="325"/>
  <c r="I117" i="325" s="1"/>
  <c r="J117" i="325" s="1"/>
  <c r="I45" i="325"/>
  <c r="J45" i="325" s="1"/>
  <c r="I76" i="326"/>
  <c r="J76" i="326" s="1"/>
  <c r="I111" i="242"/>
  <c r="J111" i="242" s="1"/>
  <c r="H49" i="318"/>
  <c r="I47" i="268"/>
  <c r="J47" i="268" s="1"/>
  <c r="J16" i="182"/>
  <c r="C8" i="251"/>
  <c r="J19" i="182"/>
  <c r="C9" i="251"/>
  <c r="H28" i="272"/>
  <c r="I72" i="323"/>
  <c r="J72" i="323" s="1"/>
  <c r="A1" i="272"/>
  <c r="A1" i="178"/>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5" i="335"/>
  <c r="J75" i="335" s="1"/>
  <c r="I76" i="335"/>
  <c r="J76" i="335" s="1"/>
  <c r="G166" i="335"/>
  <c r="I45" i="242"/>
  <c r="J45" i="242" s="1"/>
  <c r="G75" i="242"/>
  <c r="F75" i="242"/>
  <c r="F7" i="326"/>
  <c r="I151" i="333"/>
  <c r="J151" i="333" s="1"/>
  <c r="H75" i="325"/>
  <c r="H75" i="242"/>
  <c r="H31" i="268"/>
  <c r="J31" i="268" s="1"/>
  <c r="H15" i="267"/>
  <c r="I15" i="267" s="1"/>
  <c r="H8" i="267"/>
  <c r="I8" i="267" s="1"/>
  <c r="I229" i="323"/>
  <c r="J229" i="323" s="1"/>
  <c r="I12" i="272"/>
  <c r="J12" i="272" s="1"/>
  <c r="I39" i="323"/>
  <c r="J39" i="323" s="1"/>
  <c r="I228" i="330"/>
  <c r="I179" i="330"/>
  <c r="J179" i="330" s="1"/>
  <c r="C171" i="323"/>
  <c r="C21" i="272"/>
  <c r="H7" i="272"/>
  <c r="G29" i="272"/>
  <c r="I160" i="323"/>
  <c r="J160" i="323" s="1"/>
  <c r="I105" i="323"/>
  <c r="J105" i="323" s="1"/>
  <c r="I7" i="272"/>
  <c r="J7" i="272" s="1"/>
  <c r="I273" i="323"/>
  <c r="J273" i="323" s="1"/>
  <c r="I251" i="323"/>
  <c r="J251" i="323" s="1"/>
  <c r="I6" i="323"/>
  <c r="J6" i="323" s="1"/>
  <c r="I138" i="323"/>
  <c r="J138" i="323" s="1"/>
  <c r="E21" i="272"/>
  <c r="I33" i="272"/>
  <c r="J33" i="272" s="1"/>
  <c r="I29" i="272"/>
  <c r="J29" i="272" s="1"/>
  <c r="E38" i="182"/>
  <c r="E42" i="182" s="1"/>
  <c r="E44" i="182" s="1"/>
  <c r="E46" i="182" s="1"/>
  <c r="E48" i="182" s="1"/>
  <c r="F55" i="174"/>
  <c r="F17" i="174" s="1"/>
  <c r="F38" i="182"/>
  <c r="F42" i="182" s="1"/>
  <c r="F44" i="182" s="1"/>
  <c r="F46" i="182" s="1"/>
  <c r="F48" i="182" s="1"/>
  <c r="I27" i="335"/>
  <c r="J27" i="335" s="1"/>
  <c r="I118" i="326"/>
  <c r="J118" i="326" s="1"/>
  <c r="F75" i="333"/>
  <c r="B29" i="172"/>
  <c r="J16" i="180"/>
  <c r="I14" i="180"/>
  <c r="H16" i="180"/>
  <c r="B32" i="172"/>
  <c r="J14" i="180"/>
  <c r="G50" i="269"/>
  <c r="G52" i="269" s="1"/>
  <c r="F38" i="270"/>
  <c r="D53" i="172"/>
  <c r="J16" i="183"/>
  <c r="I31" i="183"/>
  <c r="J31" i="183" s="1"/>
  <c r="C2" i="242"/>
  <c r="C2" i="333"/>
  <c r="C2" i="330"/>
  <c r="D2" i="174"/>
  <c r="A54" i="172"/>
  <c r="A103" i="172" s="1"/>
  <c r="C2" i="182"/>
  <c r="C2" i="318"/>
  <c r="C2" i="178"/>
  <c r="C2" i="268"/>
  <c r="C2" i="335"/>
  <c r="C2" i="183"/>
  <c r="C2" i="269"/>
  <c r="C2" i="272"/>
  <c r="E166" i="335"/>
  <c r="G16" i="334"/>
  <c r="F28" i="334"/>
  <c r="H8" i="180"/>
  <c r="I8" i="180" s="1"/>
  <c r="J8" i="180"/>
  <c r="D40" i="267"/>
  <c r="F49" i="174"/>
  <c r="I52" i="317"/>
  <c r="I65" i="317"/>
  <c r="F54" i="317"/>
  <c r="C102" i="318"/>
  <c r="K68" i="318"/>
  <c r="F31" i="269"/>
  <c r="F52" i="269" s="1"/>
  <c r="F44" i="334"/>
  <c r="G46" i="334"/>
  <c r="B34" i="172"/>
  <c r="H12" i="180"/>
  <c r="I12" i="180"/>
  <c r="J12" i="180"/>
  <c r="G49" i="241"/>
  <c r="C43" i="241"/>
  <c r="I44" i="241"/>
  <c r="J44" i="241" s="1"/>
  <c r="D20" i="267"/>
  <c r="D23" i="267" s="1"/>
  <c r="D25" i="267" s="1"/>
  <c r="G126" i="330"/>
  <c r="G258" i="330" s="1"/>
  <c r="G223" i="330"/>
  <c r="G249" i="330" s="1"/>
  <c r="G259" i="330" s="1"/>
  <c r="I19" i="269"/>
  <c r="J19" i="269" s="1"/>
  <c r="K54" i="317"/>
  <c r="K66" i="317" s="1"/>
  <c r="I54" i="317"/>
  <c r="I66" i="317" s="1"/>
  <c r="K31" i="318"/>
  <c r="I83" i="318"/>
  <c r="J83" i="318" s="1"/>
  <c r="E31" i="269"/>
  <c r="E52" i="269" s="1"/>
  <c r="J21" i="270"/>
  <c r="I20" i="270"/>
  <c r="J20" i="270" s="1"/>
  <c r="K31" i="183"/>
  <c r="D17" i="268"/>
  <c r="D172" i="324"/>
  <c r="H17" i="268"/>
  <c r="I128" i="324"/>
  <c r="J128" i="324" s="1"/>
  <c r="E24" i="268"/>
  <c r="E341" i="324"/>
  <c r="C38" i="272"/>
  <c r="C339" i="323"/>
  <c r="B39" i="172"/>
  <c r="J17" i="180"/>
  <c r="H50" i="267"/>
  <c r="H53" i="172"/>
  <c r="G45" i="267"/>
  <c r="I37" i="177"/>
  <c r="J37" i="177" s="1"/>
  <c r="E74" i="330"/>
  <c r="E126" i="330" s="1"/>
  <c r="I224" i="330"/>
  <c r="J224" i="330" s="1"/>
  <c r="C126" i="330"/>
  <c r="F126" i="330"/>
  <c r="F258" i="330" s="1"/>
  <c r="G150" i="330"/>
  <c r="I75" i="242"/>
  <c r="J75" i="242" s="1"/>
  <c r="B30" i="172"/>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10" i="174"/>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166" i="242" s="1"/>
  <c r="F24" i="238"/>
  <c r="C33" i="241"/>
  <c r="F33" i="241"/>
  <c r="F49" i="241" s="1"/>
  <c r="I47" i="241"/>
  <c r="J47" i="241" s="1"/>
  <c r="K7" i="326"/>
  <c r="I63" i="326"/>
  <c r="J63" i="326" s="1"/>
  <c r="I69" i="326"/>
  <c r="J69" i="326" s="1"/>
  <c r="I163" i="326"/>
  <c r="J163" i="326" s="1"/>
  <c r="C117" i="333"/>
  <c r="C166" i="333" s="1"/>
  <c r="I103" i="335"/>
  <c r="J103" i="335" s="1"/>
  <c r="F117" i="335"/>
  <c r="D28" i="334"/>
  <c r="E47" i="334"/>
  <c r="E49" i="334" s="1"/>
  <c r="L14" i="175"/>
  <c r="L21" i="175"/>
  <c r="I8" i="241"/>
  <c r="J8" i="241" s="1"/>
  <c r="G7" i="326"/>
  <c r="I38" i="326"/>
  <c r="J38" i="326" s="1"/>
  <c r="E110" i="326"/>
  <c r="E166" i="326" s="1"/>
  <c r="K110" i="326"/>
  <c r="F117" i="326"/>
  <c r="E75" i="325"/>
  <c r="G75" i="325"/>
  <c r="E75" i="333"/>
  <c r="E166" i="333" s="1"/>
  <c r="K75" i="333"/>
  <c r="D7" i="335"/>
  <c r="I45" i="335"/>
  <c r="J45" i="335" s="1"/>
  <c r="E117" i="335"/>
  <c r="D53" i="174"/>
  <c r="G11" i="174"/>
  <c r="C39" i="177"/>
  <c r="C41" i="177" s="1"/>
  <c r="B46" i="267" s="1"/>
  <c r="C41" i="178"/>
  <c r="D52" i="174"/>
  <c r="D13" i="174" s="1"/>
  <c r="D14" i="174"/>
  <c r="C26" i="178"/>
  <c r="D39" i="174" s="1"/>
  <c r="G7" i="242"/>
  <c r="G166" i="242" s="1"/>
  <c r="B35" i="172"/>
  <c r="I13" i="180"/>
  <c r="J10" i="180"/>
  <c r="I10" i="180"/>
  <c r="H44" i="267"/>
  <c r="I44" i="267" s="1"/>
  <c r="I28" i="177"/>
  <c r="J28" i="177" s="1"/>
  <c r="I22" i="182"/>
  <c r="J22" i="182" s="1"/>
  <c r="G38" i="182"/>
  <c r="G42" i="182" s="1"/>
  <c r="G44" i="182" s="1"/>
  <c r="G46" i="182" s="1"/>
  <c r="G48" i="182" s="1"/>
  <c r="F11" i="267"/>
  <c r="H11" i="267" s="1"/>
  <c r="I11" i="267" s="1"/>
  <c r="G55" i="174"/>
  <c r="G28" i="174" s="1"/>
  <c r="I207" i="323"/>
  <c r="J207" i="323" s="1"/>
  <c r="G31" i="272"/>
  <c r="I31" i="272"/>
  <c r="J31" i="272" s="1"/>
  <c r="G11" i="272"/>
  <c r="I11" i="272" s="1"/>
  <c r="J11" i="272" s="1"/>
  <c r="G171" i="323"/>
  <c r="I36" i="182"/>
  <c r="J36" i="182" s="1"/>
  <c r="F18" i="267"/>
  <c r="F19" i="267" s="1"/>
  <c r="I74" i="268"/>
  <c r="J74" i="268" s="1"/>
  <c r="F29" i="267"/>
  <c r="F33" i="267" s="1"/>
  <c r="I70" i="268"/>
  <c r="J70" i="268" s="1"/>
  <c r="I209" i="324"/>
  <c r="J209" i="324" s="1"/>
  <c r="G49" i="174"/>
  <c r="G10" i="174" s="1"/>
  <c r="G71" i="270"/>
  <c r="G49" i="318"/>
  <c r="G104" i="318" s="1"/>
  <c r="G106" i="318"/>
  <c r="I118" i="333"/>
  <c r="J118" i="333" s="1"/>
  <c r="I38" i="333"/>
  <c r="J38" i="333" s="1"/>
  <c r="G7" i="333"/>
  <c r="G166" i="333" s="1"/>
  <c r="I118" i="335"/>
  <c r="J118" i="335" s="1"/>
  <c r="H75" i="333"/>
  <c r="I75" i="333" s="1"/>
  <c r="J75" i="333" s="1"/>
  <c r="I76" i="333"/>
  <c r="J76" i="333" s="1"/>
  <c r="I140" i="242"/>
  <c r="J140" i="242" s="1"/>
  <c r="I117" i="242"/>
  <c r="J117" i="242" s="1"/>
  <c r="H38" i="270"/>
  <c r="I176" i="324"/>
  <c r="I24" i="268" s="1"/>
  <c r="J24" i="268" s="1"/>
  <c r="H22" i="267"/>
  <c r="I22" i="267" s="1"/>
  <c r="H16" i="267"/>
  <c r="I16" i="267" s="1"/>
  <c r="H9" i="267"/>
  <c r="I9" i="267" s="1"/>
  <c r="I32" i="272"/>
  <c r="J32" i="272" s="1"/>
  <c r="I27" i="272"/>
  <c r="J27" i="272" s="1"/>
  <c r="I185" i="323"/>
  <c r="J185"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F21" i="272"/>
  <c r="G14" i="272"/>
  <c r="F171" i="323"/>
  <c r="G7" i="174"/>
  <c r="H12" i="267"/>
  <c r="I12" i="267" s="1"/>
  <c r="H10" i="267"/>
  <c r="I10" i="267" s="1"/>
  <c r="E18" i="267"/>
  <c r="E19" i="267" s="1"/>
  <c r="E11" i="267"/>
  <c r="F39" i="177"/>
  <c r="G39" i="177"/>
  <c r="G41" i="177" s="1"/>
  <c r="F46" i="267" s="1"/>
  <c r="E43" i="267"/>
  <c r="G52" i="174"/>
  <c r="F26" i="178"/>
  <c r="G39" i="174" s="1"/>
  <c r="F13" i="174"/>
  <c r="G53" i="174"/>
  <c r="F41" i="178"/>
  <c r="C7" i="326"/>
  <c r="I13" i="326"/>
  <c r="J13" i="326" s="1"/>
  <c r="G75" i="326"/>
  <c r="I75" i="326" s="1"/>
  <c r="J75" i="326" s="1"/>
  <c r="C75" i="326"/>
  <c r="C166" i="326" s="1"/>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11" i="180"/>
  <c r="J11" i="180"/>
  <c r="H7" i="180"/>
  <c r="I7" i="180" s="1"/>
  <c r="H14" i="180"/>
  <c r="J7" i="180"/>
  <c r="B38" i="172"/>
  <c r="B37" i="172"/>
  <c r="J15" i="180"/>
  <c r="I15" i="180"/>
  <c r="E12" i="172"/>
  <c r="H15" i="180"/>
  <c r="H9"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C40" i="272" s="1"/>
  <c r="I8" i="272"/>
  <c r="J8" i="272" s="1"/>
  <c r="E43" i="178"/>
  <c r="E54" i="178" s="1"/>
  <c r="F39" i="174"/>
  <c r="F71" i="270"/>
  <c r="L54" i="317"/>
  <c r="D54" i="317"/>
  <c r="D56" i="317" s="1"/>
  <c r="E55" i="317" s="1"/>
  <c r="E56" i="317" s="1"/>
  <c r="F55" i="317" s="1"/>
  <c r="F56" i="317" s="1"/>
  <c r="G55" i="317" s="1"/>
  <c r="G56" i="317" s="1"/>
  <c r="H55" i="317" s="1"/>
  <c r="H56" i="317" s="1"/>
  <c r="I55" i="317" s="1"/>
  <c r="I56" i="317" s="1"/>
  <c r="J55" i="317" s="1"/>
  <c r="F66" i="317"/>
  <c r="E49" i="241"/>
  <c r="M54" i="317"/>
  <c r="H66" i="317"/>
  <c r="E66" i="317"/>
  <c r="G44" i="181"/>
  <c r="H18" i="268"/>
  <c r="I18" i="268" s="1"/>
  <c r="J18" i="268" s="1"/>
  <c r="I139" i="324"/>
  <c r="J139" i="324" s="1"/>
  <c r="K6" i="330"/>
  <c r="I110" i="242"/>
  <c r="J110" i="242" s="1"/>
  <c r="C2" i="180"/>
  <c r="D2" i="333"/>
  <c r="H106" i="318"/>
  <c r="F49" i="318"/>
  <c r="F104" i="318" s="1"/>
  <c r="G8" i="180"/>
  <c r="A176" i="324"/>
  <c r="A6" i="268"/>
  <c r="J50" i="267"/>
  <c r="D68" i="318"/>
  <c r="K15" i="318"/>
  <c r="P340" i="323"/>
  <c r="E150" i="330"/>
  <c r="E249" i="330" s="1"/>
  <c r="E259" i="330" s="1"/>
  <c r="E36" i="241"/>
  <c r="E33" i="241" s="1"/>
  <c r="A53" i="172"/>
  <c r="A104" i="172" s="1"/>
  <c r="D15" i="318"/>
  <c r="H7" i="174"/>
  <c r="G17" i="272"/>
  <c r="I17" i="272" s="1"/>
  <c r="J17" i="272" s="1"/>
  <c r="I127" i="323"/>
  <c r="J127" i="323" s="1"/>
  <c r="H9" i="268"/>
  <c r="H21" i="268" s="1"/>
  <c r="I40" i="324"/>
  <c r="J40" i="324" s="1"/>
  <c r="G26" i="24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D71" i="270" s="1"/>
  <c r="H69" i="270"/>
  <c r="H6" i="180"/>
  <c r="I6" i="180" s="1"/>
  <c r="I43" i="268"/>
  <c r="J43" i="268" s="1"/>
  <c r="I49" i="318"/>
  <c r="J49" i="318" s="1"/>
  <c r="C150" i="330"/>
  <c r="F150" i="330"/>
  <c r="F249" i="330" s="1"/>
  <c r="C2" i="270"/>
  <c r="B77" i="172"/>
  <c r="C2" i="325"/>
  <c r="C2" i="177"/>
  <c r="C2" i="326"/>
  <c r="C2" i="323"/>
  <c r="C2" i="334"/>
  <c r="C2" i="173"/>
  <c r="E49" i="318"/>
  <c r="E106" i="318"/>
  <c r="K106" i="318"/>
  <c r="F172" i="324"/>
  <c r="I9" i="180"/>
  <c r="J9" i="180"/>
  <c r="A7" i="324"/>
  <c r="D31" i="318"/>
  <c r="K100" i="318"/>
  <c r="D50" i="269"/>
  <c r="H50" i="269"/>
  <c r="H52" i="269" s="1"/>
  <c r="K38" i="270"/>
  <c r="K71" i="270" s="1"/>
  <c r="D63" i="268"/>
  <c r="I28" i="272"/>
  <c r="J28" i="272" s="1"/>
  <c r="I12" i="268"/>
  <c r="J12" i="268" s="1"/>
  <c r="S342" i="324"/>
  <c r="W342" i="324"/>
  <c r="I25" i="272"/>
  <c r="J25" i="272" s="1"/>
  <c r="I13" i="272"/>
  <c r="J13" i="272" s="1"/>
  <c r="C29" i="241"/>
  <c r="I22" i="241"/>
  <c r="J22" i="241" s="1"/>
  <c r="C26" i="24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35" i="241"/>
  <c r="J35" i="241" s="1"/>
  <c r="I94" i="323"/>
  <c r="J94" i="323" s="1"/>
  <c r="J11" i="267"/>
  <c r="H45" i="267"/>
  <c r="I45" i="267" s="1"/>
  <c r="D6" i="241"/>
  <c r="E16" i="241"/>
  <c r="E26" i="241" s="1"/>
  <c r="F16" i="241"/>
  <c r="I42" i="241"/>
  <c r="J42" i="241" s="1"/>
  <c r="I38" i="241"/>
  <c r="J38" i="241" s="1"/>
  <c r="I8" i="268"/>
  <c r="J8" i="268"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D49" i="334" s="1"/>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I117" i="335"/>
  <c r="J117" i="335" s="1"/>
  <c r="Q54" i="317"/>
  <c r="P54" i="317"/>
  <c r="P66" i="317" s="1"/>
  <c r="K75" i="335"/>
  <c r="K166" i="335" s="1"/>
  <c r="H7" i="335"/>
  <c r="H117" i="333"/>
  <c r="I117" i="333" s="1"/>
  <c r="J117" i="333" s="1"/>
  <c r="H7" i="333"/>
  <c r="K7" i="333"/>
  <c r="K166" i="333" s="1"/>
  <c r="K75" i="325"/>
  <c r="H7" i="325"/>
  <c r="I7" i="325" s="1"/>
  <c r="J7" i="325" s="1"/>
  <c r="I17" i="325"/>
  <c r="J17" i="325" s="1"/>
  <c r="K7" i="325"/>
  <c r="F7" i="325"/>
  <c r="H138" i="326"/>
  <c r="I138" i="326" s="1"/>
  <c r="J138" i="326" s="1"/>
  <c r="D7" i="326"/>
  <c r="I27" i="326"/>
  <c r="J27" i="326" s="1"/>
  <c r="K166" i="326"/>
  <c r="H7" i="326"/>
  <c r="K75" i="242"/>
  <c r="H7" i="242"/>
  <c r="H166" i="242" s="1"/>
  <c r="K7" i="242"/>
  <c r="K102" i="318"/>
  <c r="H104" i="318"/>
  <c r="K49" i="318"/>
  <c r="I34" i="269"/>
  <c r="I41" i="270"/>
  <c r="I8" i="270"/>
  <c r="K39" i="177"/>
  <c r="K41" i="177" s="1"/>
  <c r="J46" i="267" s="1"/>
  <c r="J176" i="324"/>
  <c r="C21" i="268"/>
  <c r="F21" i="268"/>
  <c r="E21" i="268"/>
  <c r="I16" i="268"/>
  <c r="J16" i="268" s="1"/>
  <c r="J286" i="324"/>
  <c r="I11" i="268"/>
  <c r="J11" i="268" s="1"/>
  <c r="C39" i="268"/>
  <c r="I7" i="268"/>
  <c r="D21" i="268"/>
  <c r="I20" i="268"/>
  <c r="J20" i="268" s="1"/>
  <c r="K21" i="268"/>
  <c r="F39" i="268"/>
  <c r="F40" i="268" s="1"/>
  <c r="E39" i="268"/>
  <c r="G39" i="268"/>
  <c r="G341" i="324"/>
  <c r="G343" i="324" s="1"/>
  <c r="G21" i="268"/>
  <c r="F341" i="324"/>
  <c r="F343" i="324" s="1"/>
  <c r="I275" i="324"/>
  <c r="I264" i="324"/>
  <c r="I242" i="324"/>
  <c r="H341" i="324"/>
  <c r="K39" i="268"/>
  <c r="K40" i="268" s="1"/>
  <c r="H46" i="174" s="1"/>
  <c r="H8" i="174" s="1"/>
  <c r="H28" i="268"/>
  <c r="H39" i="268" s="1"/>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J228" i="330"/>
  <c r="H37" i="241"/>
  <c r="I37" i="241" s="1"/>
  <c r="J37" i="241" s="1"/>
  <c r="H150" i="330"/>
  <c r="I150" i="330" s="1"/>
  <c r="J150" i="330" s="1"/>
  <c r="I151" i="330"/>
  <c r="J151" i="330" s="1"/>
  <c r="H34" i="241"/>
  <c r="I133" i="330"/>
  <c r="J133" i="330" s="1"/>
  <c r="I31" i="241"/>
  <c r="J31" i="241" s="1"/>
  <c r="H29" i="24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O54" i="317"/>
  <c r="O66" i="317" s="1"/>
  <c r="N21" i="317"/>
  <c r="N33" i="317" s="1"/>
  <c r="D102" i="318"/>
  <c r="D49" i="318"/>
  <c r="D50" i="318" s="1"/>
  <c r="D223" i="330"/>
  <c r="D43" i="241"/>
  <c r="D39" i="241"/>
  <c r="D197" i="330"/>
  <c r="D33" i="241"/>
  <c r="D30" i="241"/>
  <c r="D29" i="241" s="1"/>
  <c r="D20" i="241"/>
  <c r="E258" i="330"/>
  <c r="D16" i="241"/>
  <c r="D74" i="330"/>
  <c r="D27" i="330"/>
  <c r="D10" i="241"/>
  <c r="D6" i="330"/>
  <c r="D75" i="335"/>
  <c r="D166" i="335" s="1"/>
  <c r="D75" i="333"/>
  <c r="D166" i="333" s="1"/>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D39" i="272"/>
  <c r="D339" i="323"/>
  <c r="A1" i="325"/>
  <c r="A1" i="270"/>
  <c r="A1" i="242"/>
  <c r="A1" i="334"/>
  <c r="A1" i="326"/>
  <c r="A1" i="181"/>
  <c r="A1" i="180"/>
  <c r="A1" i="335"/>
  <c r="A1" i="175"/>
  <c r="A1" i="317"/>
  <c r="A1" i="182"/>
  <c r="A1" i="333"/>
  <c r="A1" i="173"/>
  <c r="A1" i="269"/>
  <c r="A1" i="251"/>
  <c r="A1" i="331"/>
  <c r="A1" i="174"/>
  <c r="A1" i="238"/>
  <c r="A1" i="318"/>
  <c r="A1" i="183"/>
  <c r="A1" i="323"/>
  <c r="A1" i="324"/>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J253" i="324" l="1"/>
  <c r="H33" i="267"/>
  <c r="I33" i="267" s="1"/>
  <c r="F28" i="174"/>
  <c r="N52" i="317"/>
  <c r="N54" i="317" s="1"/>
  <c r="N66" i="317" s="1"/>
  <c r="I104" i="318"/>
  <c r="J104" i="318" s="1"/>
  <c r="I7" i="333"/>
  <c r="J7" i="333" s="1"/>
  <c r="I29" i="268"/>
  <c r="J29" i="268" s="1"/>
  <c r="G166" i="326"/>
  <c r="F166" i="326"/>
  <c r="I75" i="325"/>
  <c r="J75" i="325" s="1"/>
  <c r="H46" i="267"/>
  <c r="I46" i="267" s="1"/>
  <c r="I14" i="272"/>
  <c r="J14" i="272" s="1"/>
  <c r="E331" i="323"/>
  <c r="E328" i="323" s="1"/>
  <c r="D160" i="323"/>
  <c r="C341" i="323"/>
  <c r="F20" i="267"/>
  <c r="F23" i="267" s="1"/>
  <c r="F25" i="267" s="1"/>
  <c r="F27" i="174"/>
  <c r="F26" i="174"/>
  <c r="I7" i="326"/>
  <c r="J7" i="326" s="1"/>
  <c r="I166" i="242"/>
  <c r="J166" i="242" s="1"/>
  <c r="G166" i="325"/>
  <c r="C258" i="330"/>
  <c r="I38" i="182"/>
  <c r="J38" i="182" s="1"/>
  <c r="F166" i="335"/>
  <c r="I9" i="268"/>
  <c r="J9" i="268" s="1"/>
  <c r="F26" i="241"/>
  <c r="F50" i="241" s="1"/>
  <c r="G50" i="241"/>
  <c r="I44" i="181"/>
  <c r="J44" i="181" s="1"/>
  <c r="G250" i="330"/>
  <c r="G39" i="272"/>
  <c r="D40" i="268"/>
  <c r="E46" i="174" s="1"/>
  <c r="E8" i="174" s="1"/>
  <c r="I21" i="268"/>
  <c r="J21" i="268"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J27" i="268" s="1"/>
  <c r="H18" i="267"/>
  <c r="I18" i="267" s="1"/>
  <c r="G17" i="174"/>
  <c r="G26" i="174"/>
  <c r="G27" i="174"/>
  <c r="G341" i="323"/>
  <c r="H29" i="267"/>
  <c r="I29" i="267" s="1"/>
  <c r="I341" i="324"/>
  <c r="J341" i="324" s="1"/>
  <c r="I31" i="269"/>
  <c r="J31" i="269" s="1"/>
  <c r="I63" i="268"/>
  <c r="J63" i="268" s="1"/>
  <c r="F341" i="323"/>
  <c r="F40" i="272"/>
  <c r="I39" i="272"/>
  <c r="I339" i="323"/>
  <c r="J339" i="323" s="1"/>
  <c r="E20" i="267"/>
  <c r="E23" i="267" s="1"/>
  <c r="E25" i="267" s="1"/>
  <c r="F166" i="325"/>
  <c r="K160" i="325" s="1"/>
  <c r="K166" i="325" s="1"/>
  <c r="F43" i="178"/>
  <c r="F54" i="178" s="1"/>
  <c r="G13" i="174"/>
  <c r="G14" i="174"/>
  <c r="D52" i="269"/>
  <c r="J66" i="317"/>
  <c r="J56" i="317"/>
  <c r="K55" i="317" s="1"/>
  <c r="K56" i="317" s="1"/>
  <c r="L55" i="317" s="1"/>
  <c r="L56" i="317" s="1"/>
  <c r="M55" i="317" s="1"/>
  <c r="M56" i="317" s="1"/>
  <c r="N55" i="317" s="1"/>
  <c r="F259" i="330"/>
  <c r="F250" i="330"/>
  <c r="L66" i="317"/>
  <c r="C40" i="268"/>
  <c r="C86" i="268" s="1"/>
  <c r="I223" i="330"/>
  <c r="I249" i="330" s="1"/>
  <c r="I259" i="330" s="1"/>
  <c r="J20" i="267"/>
  <c r="J23" i="267" s="1"/>
  <c r="J25" i="267" s="1"/>
  <c r="J7" i="268"/>
  <c r="M66" i="317"/>
  <c r="H40" i="268"/>
  <c r="G28" i="267" s="1"/>
  <c r="G21" i="272"/>
  <c r="G40" i="272" s="1"/>
  <c r="C249" i="330"/>
  <c r="G9" i="180"/>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I166" i="333" s="1"/>
  <c r="J166" i="333" s="1"/>
  <c r="H166" i="325"/>
  <c r="I166" i="325" s="1"/>
  <c r="J166" i="325" s="1"/>
  <c r="H166" i="326"/>
  <c r="K166" i="242"/>
  <c r="K171" i="335" s="1"/>
  <c r="I7" i="242"/>
  <c r="J7" i="242" s="1"/>
  <c r="K104" i="318"/>
  <c r="K105" i="318" s="1"/>
  <c r="K50" i="318"/>
  <c r="J34" i="269"/>
  <c r="I50" i="269"/>
  <c r="I69" i="270"/>
  <c r="J69" i="270" s="1"/>
  <c r="J41" i="270"/>
  <c r="I38" i="270"/>
  <c r="J8" i="270"/>
  <c r="G40" i="268"/>
  <c r="J275" i="324"/>
  <c r="I33" i="268"/>
  <c r="J33" i="268" s="1"/>
  <c r="F86" i="268"/>
  <c r="E28" i="267"/>
  <c r="J264" i="324"/>
  <c r="I32" i="268"/>
  <c r="J32" i="268" s="1"/>
  <c r="H343" i="324"/>
  <c r="I343" i="324" s="1"/>
  <c r="J343" i="324" s="1"/>
  <c r="K86" i="268"/>
  <c r="J242" i="324"/>
  <c r="I30" i="268"/>
  <c r="J30" i="268" s="1"/>
  <c r="J28" i="267"/>
  <c r="J220" i="324"/>
  <c r="I28" i="268"/>
  <c r="J28" i="268" s="1"/>
  <c r="K40" i="272"/>
  <c r="H39" i="272"/>
  <c r="K341" i="323"/>
  <c r="J9" i="272"/>
  <c r="K249" i="330"/>
  <c r="K259" i="330" s="1"/>
  <c r="K49" i="241"/>
  <c r="K50" i="241" s="1"/>
  <c r="K126" i="330"/>
  <c r="K258" i="330" s="1"/>
  <c r="I34" i="241"/>
  <c r="J34" i="241" s="1"/>
  <c r="H33" i="241"/>
  <c r="I33" i="241" s="1"/>
  <c r="J33" i="241" s="1"/>
  <c r="H249" i="330"/>
  <c r="H259" i="330" s="1"/>
  <c r="I29" i="241"/>
  <c r="I100" i="330"/>
  <c r="J100" i="330" s="1"/>
  <c r="J101" i="330"/>
  <c r="J21" i="241"/>
  <c r="I20" i="241"/>
  <c r="J20" i="241" s="1"/>
  <c r="H126" i="330"/>
  <c r="I6" i="330"/>
  <c r="J6" i="330" s="1"/>
  <c r="I6" i="241"/>
  <c r="J6" i="241" s="1"/>
  <c r="O56" i="317"/>
  <c r="P55" i="317" s="1"/>
  <c r="P56" i="317" s="1"/>
  <c r="Q55" i="317" s="1"/>
  <c r="Q56" i="317" s="1"/>
  <c r="D104" i="318"/>
  <c r="D105" i="318" s="1"/>
  <c r="D249" i="330"/>
  <c r="D259" i="330" s="1"/>
  <c r="D49" i="241"/>
  <c r="D26" i="241"/>
  <c r="D126" i="330"/>
  <c r="J16" i="241"/>
  <c r="D171" i="242"/>
  <c r="E27" i="174"/>
  <c r="E26" i="174"/>
  <c r="E28" i="174"/>
  <c r="E17" i="174"/>
  <c r="B20" i="267"/>
  <c r="B23" i="267" s="1"/>
  <c r="B25" i="267" s="1"/>
  <c r="I166" i="326" l="1"/>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H25" i="267" s="1"/>
  <c r="I25" i="267" s="1"/>
  <c r="N56" i="317"/>
  <c r="C31" i="172"/>
  <c r="G10" i="180"/>
  <c r="H171" i="335"/>
  <c r="H171" i="242"/>
  <c r="H171" i="326"/>
  <c r="K171" i="242"/>
  <c r="K171" i="326"/>
  <c r="J50" i="269"/>
  <c r="I52" i="269"/>
  <c r="J52" i="269" s="1"/>
  <c r="J38" i="270"/>
  <c r="I71" i="270"/>
  <c r="J71" i="270" s="1"/>
  <c r="I39" i="268"/>
  <c r="I40" i="268" s="1"/>
  <c r="J40" i="268" s="1"/>
  <c r="G46" i="174"/>
  <c r="G8" i="174" s="1"/>
  <c r="G171" i="326"/>
  <c r="G86" i="268"/>
  <c r="G171" i="335"/>
  <c r="G171" i="242"/>
  <c r="F28" i="267"/>
  <c r="H28" i="267" s="1"/>
  <c r="I28" i="267" s="1"/>
  <c r="H20" i="267"/>
  <c r="I20" i="267" s="1"/>
  <c r="J39" i="272"/>
  <c r="K250" i="330"/>
  <c r="H49" i="241"/>
  <c r="J249" i="330"/>
  <c r="I49" i="241"/>
  <c r="J29" i="241"/>
  <c r="I26" i="241"/>
  <c r="H258" i="330"/>
  <c r="I126" i="330"/>
  <c r="H250" i="330"/>
  <c r="I250" i="330" s="1"/>
  <c r="J250" i="330" s="1"/>
  <c r="D250" i="330"/>
  <c r="D50" i="241"/>
  <c r="D258" i="330"/>
  <c r="H50" i="241" l="1"/>
  <c r="H23" i="267"/>
  <c r="I23" i="267" s="1"/>
  <c r="G11" i="180"/>
  <c r="C32" i="172"/>
  <c r="J39" i="268"/>
  <c r="J49" i="241"/>
  <c r="I50" i="241"/>
  <c r="J26" i="241"/>
  <c r="J126" i="330"/>
  <c r="I258" i="330"/>
  <c r="J50" i="241" l="1"/>
  <c r="C33" i="172"/>
  <c r="G12" i="180"/>
  <c r="C34" i="172" l="1"/>
  <c r="G13" i="180"/>
  <c r="G14" i="180" l="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I171" i="323"/>
  <c r="J171" i="323" s="1"/>
  <c r="H341" i="323"/>
  <c r="I341" i="323" s="1"/>
  <c r="J341" i="323" s="1"/>
  <c r="J10" i="272"/>
  <c r="I21" i="272"/>
  <c r="I40" i="272" l="1"/>
  <c r="J40" i="272" s="1"/>
  <c r="J21" i="272"/>
</calcChain>
</file>

<file path=xl/sharedStrings.xml><?xml version="1.0" encoding="utf-8"?>
<sst xmlns="http://schemas.openxmlformats.org/spreadsheetml/2006/main" count="3133" uniqueCount="1632">
  <si>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</si>
  <si>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</si>
  <si>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</si>
  <si>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</si>
  <si>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</si>
  <si>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</si>
  <si>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</si>
  <si>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</si>
  <si>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</si>
  <si>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</si>
  <si>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</si>
  <si>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</si>
  <si>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</si>
  <si>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</si>
  <si>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</si>
  <si>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</si>
  <si>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</si>
  <si>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</si>
  <si>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</si>
  <si>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</si>
  <si>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</si>
  <si>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</si>
  <si>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</si>
  <si>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</si>
  <si>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</si>
  <si>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</si>
  <si>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</si>
  <si>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</si>
  <si>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</si>
  <si>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</si>
  <si>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</si>
  <si>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</si>
  <si>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</si>
  <si>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</si>
  <si>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</si>
  <si>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</si>
  <si>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</si>
  <si>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</si>
  <si>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</si>
  <si>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</si>
  <si>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</si>
  <si>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</si>
  <si>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</si>
  <si>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</si>
  <si>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</si>
  <si>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</si>
  <si>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</si>
  <si>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</si>
  <si>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</si>
  <si>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</si>
  <si>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</si>
  <si>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</si>
  <si>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</si>
  <si>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</si>
  <si>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</si>
  <si>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</si>
  <si>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</si>
  <si>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</si>
  <si>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</si>
  <si>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</si>
  <si>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</si>
  <si>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</si>
  <si>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</si>
  <si>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</si>
  <si>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</si>
  <si>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</si>
  <si>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</si>
  <si>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</si>
  <si>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</si>
  <si>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</si>
  <si>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</si>
  <si>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</si>
  <si>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</si>
  <si>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</si>
  <si>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</si>
  <si>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</si>
  <si>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</si>
  <si>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</si>
  <si>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</si>
  <si>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</si>
  <si>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</si>
  <si>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</si>
  <si>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</si>
  <si>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</si>
  <si>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</si>
  <si>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</si>
  <si>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</si>
  <si>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</si>
  <si>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</si>
  <si>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</si>
  <si>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</si>
  <si>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</si>
  <si>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</si>
  <si>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</si>
  <si>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</si>
  <si>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</si>
  <si>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</si>
  <si>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</si>
  <si>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</si>
  <si>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</si>
  <si>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</si>
  <si>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</si>
  <si>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</si>
  <si>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</si>
  <si>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</si>
  <si>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</si>
  <si>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</si>
  <si>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</si>
  <si>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</si>
  <si>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</si>
  <si>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</si>
  <si>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</si>
  <si>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</si>
  <si>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</si>
  <si>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</si>
  <si>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</si>
  <si>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</si>
  <si>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</si>
  <si>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</si>
  <si>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</si>
  <si>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</si>
  <si>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</si>
  <si>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</si>
  <si>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</si>
  <si>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</si>
  <si>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</si>
  <si>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</si>
  <si>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</si>
  <si>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</si>
  <si>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</si>
  <si>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</si>
  <si>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</si>
  <si>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</si>
  <si>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</si>
  <si>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</si>
  <si>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</si>
  <si>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</si>
  <si>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</si>
  <si>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</si>
  <si>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</si>
  <si>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</si>
  <si>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</si>
  <si>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</si>
  <si>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</si>
  <si>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</si>
  <si>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</si>
  <si>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</si>
  <si>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</si>
  <si>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</si>
  <si>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</si>
  <si>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</si>
  <si>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</si>
  <si>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</si>
  <si>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</si>
  <si>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</si>
  <si>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</si>
  <si>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</si>
  <si>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</si>
  <si>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</si>
  <si>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</si>
  <si>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</si>
  <si>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</si>
  <si>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</si>
  <si>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</si>
  <si>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</si>
  <si>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</si>
  <si>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</si>
  <si>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</si>
  <si>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</si>
  <si>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</si>
  <si>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</si>
  <si>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</si>
  <si>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</si>
  <si>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</si>
  <si>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</si>
  <si>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</si>
  <si>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</si>
  <si>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</si>
  <si>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</si>
  <si>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</si>
  <si>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</si>
  <si>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</si>
  <si>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</si>
  <si>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</si>
  <si>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</si>
  <si>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</si>
  <si>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</si>
  <si>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</si>
  <si>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</si>
  <si>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</si>
  <si>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</si>
  <si>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</si>
  <si>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</si>
  <si>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</si>
  <si>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</si>
  <si>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</si>
  <si>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</si>
  <si>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</si>
  <si>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</si>
  <si>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</si>
  <si>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</si>
  <si>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</si>
  <si>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</si>
  <si>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</si>
  <si>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</si>
  <si>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</si>
  <si>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</si>
  <si>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</si>
  <si>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</si>
  <si>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</si>
  <si>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</si>
  <si>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</si>
  <si>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</si>
  <si>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</si>
  <si>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</si>
  <si>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</si>
  <si>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</si>
  <si>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</si>
  <si>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</si>
  <si>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</si>
  <si>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</si>
  <si>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</si>
  <si>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</si>
  <si>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</si>
  <si>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</si>
  <si>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</si>
  <si>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</si>
  <si>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</si>
  <si>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</si>
  <si>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</si>
  <si>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</si>
  <si>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</si>
  <si>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</si>
  <si>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</si>
  <si>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</si>
  <si>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</si>
  <si>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</si>
  <si>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</si>
  <si>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</si>
  <si>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</si>
  <si>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</si>
  <si>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</si>
  <si>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</si>
  <si>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</si>
  <si>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</si>
  <si>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</si>
  <si>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</si>
  <si>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</si>
  <si>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</si>
  <si>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</si>
  <si>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</si>
  <si>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</si>
  <si>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</si>
  <si>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</si>
  <si>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</si>
  <si>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</si>
  <si>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</si>
  <si>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</si>
  <si>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</si>
  <si>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</si>
  <si>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</si>
  <si>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</si>
  <si>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</si>
  <si>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</si>
  <si>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</si>
  <si>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</si>
  <si>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</si>
  <si>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</si>
  <si>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</si>
  <si>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</si>
  <si>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</si>
  <si>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</si>
  <si>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</si>
  <si>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</si>
  <si>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</si>
  <si>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</si>
  <si>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</si>
  <si>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</si>
  <si>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</si>
  <si>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</si>
  <si>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</si>
  <si>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</si>
  <si>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</si>
  <si>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</si>
  <si>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</si>
  <si>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</si>
  <si>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</si>
  <si>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</si>
  <si>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</si>
  <si>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</si>
  <si>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</si>
  <si>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</si>
  <si>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</si>
  <si>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</si>
  <si>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</si>
  <si>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</si>
  <si>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</si>
  <si>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</si>
  <si>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</si>
  <si>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</si>
  <si>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</si>
  <si>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</si>
  <si>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</si>
  <si>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</si>
  <si>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</si>
  <si>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</si>
  <si>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</si>
  <si>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</si>
  <si>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</si>
  <si>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</si>
  <si>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</si>
  <si>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</si>
  <si>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</si>
  <si>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</si>
  <si>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</si>
  <si>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</si>
  <si>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</si>
  <si>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</si>
  <si>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</si>
  <si>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</si>
  <si>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</si>
  <si>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</si>
  <si>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</si>
  <si>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</si>
  <si>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</si>
  <si>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</si>
  <si>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</si>
  <si>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</si>
  <si>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</si>
  <si>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</si>
  <si>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</si>
  <si>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</si>
  <si>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</si>
  <si>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</si>
  <si>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</si>
  <si>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</si>
  <si>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</si>
  <si>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</si>
  <si>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</si>
  <si>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</si>
  <si>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</si>
  <si>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</si>
  <si>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</si>
  <si>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</si>
  <si>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</si>
  <si>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</si>
  <si>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</si>
  <si>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</si>
  <si>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</si>
  <si>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</si>
  <si>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</si>
  <si>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</si>
  <si>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</si>
  <si>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</si>
  <si>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</si>
  <si>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</si>
  <si>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</si>
  <si>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</si>
  <si>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</si>
  <si>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</si>
  <si>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</si>
  <si>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</si>
  <si>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</si>
  <si>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</si>
  <si>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</si>
  <si>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</si>
  <si>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</si>
  <si>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</si>
  <si>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</si>
  <si>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</si>
  <si>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</si>
  <si>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</si>
  <si>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</si>
  <si>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</si>
  <si>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</si>
  <si>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</si>
  <si>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</si>
  <si>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</si>
  <si>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</si>
  <si>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</si>
  <si>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</si>
  <si>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</si>
  <si>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</si>
  <si>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</si>
  <si>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</si>
  <si>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</si>
  <si>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</si>
  <si>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</si>
  <si>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</si>
  <si>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</si>
  <si>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</si>
  <si>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</si>
  <si>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</si>
  <si>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</si>
  <si>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</si>
  <si>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</si>
  <si>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</si>
  <si>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</si>
  <si>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</si>
  <si>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</si>
  <si>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</si>
  <si>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</si>
  <si>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</si>
  <si>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</si>
  <si>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</si>
  <si>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</si>
  <si>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</si>
  <si>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</si>
  <si>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</si>
  <si>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</si>
  <si>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</si>
  <si>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</si>
  <si>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</si>
  <si>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</si>
  <si>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</si>
  <si>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</si>
  <si>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</si>
  <si>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</si>
  <si>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</si>
  <si>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</si>
  <si>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</si>
  <si>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</si>
  <si>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</si>
  <si>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</si>
  <si>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</si>
  <si>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</si>
  <si>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</si>
  <si>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</si>
  <si>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</si>
  <si>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</si>
  <si>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</si>
  <si>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</si>
  <si>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</si>
  <si>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</si>
  <si>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</si>
  <si>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</si>
  <si>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</si>
  <si>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</si>
  <si>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</si>
  <si>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</si>
  <si>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</si>
  <si>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</si>
  <si>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</si>
  <si>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</si>
  <si>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</si>
  <si>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</si>
  <si>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</si>
  <si>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</si>
  <si>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</si>
  <si>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</si>
  <si>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</si>
  <si>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</si>
  <si>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</si>
  <si>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</si>
  <si>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</si>
  <si>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</si>
  <si>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</si>
  <si>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</si>
  <si>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</si>
  <si>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</si>
  <si>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</si>
  <si>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</si>
  <si>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</si>
  <si>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</si>
  <si>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</si>
  <si>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</si>
  <si>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</si>
  <si>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</si>
  <si>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</si>
  <si>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</si>
  <si>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</si>
  <si>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</si>
  <si>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</si>
  <si>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</si>
  <si>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</si>
  <si>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</si>
  <si>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</si>
  <si>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</si>
  <si>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</si>
  <si>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</si>
  <si>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</si>
  <si>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</si>
  <si>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</si>
  <si>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</si>
  <si>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</si>
  <si>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</si>
  <si>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</si>
  <si>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</si>
  <si>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</si>
  <si>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</si>
  <si>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</si>
  <si>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</si>
  <si>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</si>
  <si>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</si>
  <si>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</si>
  <si>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</si>
  <si>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</si>
  <si>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</si>
  <si>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</si>
  <si>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</si>
  <si>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</si>
  <si>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</si>
  <si>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</si>
  <si>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</si>
  <si>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</si>
  <si>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</si>
  <si>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</si>
  <si>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</si>
  <si>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</si>
  <si>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</si>
  <si>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</si>
  <si>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</si>
  <si>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</si>
  <si>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</si>
  <si>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</si>
  <si>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</si>
  <si>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</si>
  <si>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</si>
  <si>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</si>
  <si>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</si>
  <si>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</si>
  <si>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</si>
  <si>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</si>
  <si>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</si>
  <si>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</si>
  <si>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</si>
  <si>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</si>
  <si>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</si>
  <si>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</si>
  <si>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</si>
  <si>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</si>
  <si>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</si>
  <si>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</si>
  <si>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</si>
  <si>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</si>
  <si>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</si>
  <si>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</si>
  <si>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</si>
  <si>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</si>
  <si>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</si>
  <si>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</si>
  <si>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</si>
  <si>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</si>
  <si>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</si>
  <si>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</si>
  <si>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</si>
  <si>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</si>
  <si>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</si>
  <si>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</si>
  <si>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</si>
  <si>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</si>
  <si>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</si>
  <si>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</si>
  <si>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</si>
  <si>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</si>
  <si>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</si>
  <si>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</si>
  <si>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</si>
  <si>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</si>
  <si>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</si>
  <si>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</si>
  <si>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</si>
  <si>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</si>
  <si>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</si>
  <si>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</si>
  <si>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</si>
  <si>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</si>
  <si>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</si>
  <si>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</si>
  <si>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</si>
  <si>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</si>
  <si>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</si>
  <si>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</si>
  <si>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</si>
  <si>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</si>
  <si>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</si>
  <si>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</si>
  <si>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</si>
  <si>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</si>
  <si>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</si>
  <si>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</si>
  <si>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</si>
  <si>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</si>
  <si>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</si>
  <si>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</si>
  <si>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</si>
  <si>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</si>
  <si>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</si>
  <si>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</si>
  <si>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</si>
  <si>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</si>
  <si>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</si>
  <si>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</si>
  <si>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</si>
  <si>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</si>
  <si>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</si>
  <si>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</si>
  <si>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</si>
  <si>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</si>
  <si>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</si>
  <si>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</si>
  <si>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</si>
  <si>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</si>
  <si>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</si>
  <si>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</si>
  <si>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</si>
  <si>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</si>
  <si>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</si>
  <si>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</si>
  <si>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</si>
  <si>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</si>
  <si>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</si>
  <si>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</si>
  <si>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</si>
  <si>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</si>
  <si>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</si>
  <si>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</si>
  <si>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</si>
  <si>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</si>
  <si>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</si>
  <si>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</si>
  <si>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</si>
  <si>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</si>
  <si>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</si>
  <si>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</si>
  <si>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</si>
  <si>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</si>
  <si>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</si>
  <si>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</si>
  <si>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</si>
  <si>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</si>
  <si>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</si>
  <si>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</si>
  <si>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</si>
  <si>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</si>
  <si>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</si>
  <si>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</si>
  <si>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</si>
  <si>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</si>
  <si>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</si>
  <si>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</si>
  <si>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</si>
  <si>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</si>
  <si>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</si>
  <si>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</si>
  <si>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</si>
  <si>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</si>
  <si>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</si>
  <si>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</si>
  <si>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</si>
  <si>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</si>
  <si>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</si>
  <si>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</si>
  <si>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</si>
  <si>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</si>
  <si>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</si>
  <si>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</si>
  <si>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</si>
  <si>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</si>
  <si>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</si>
  <si>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</si>
  <si>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</si>
  <si>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</si>
  <si>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</si>
  <si>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</si>
  <si>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</si>
  <si>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</si>
  <si>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</si>
  <si>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</si>
  <si>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</si>
  <si>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</si>
  <si>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</si>
  <si>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</si>
  <si>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</si>
  <si>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</si>
  <si>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</si>
  <si>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</si>
  <si>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</si>
  <si>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</si>
  <si>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</si>
  <si>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</si>
  <si>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</si>
  <si>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</si>
  <si>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</si>
  <si>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</si>
  <si>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</si>
  <si>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</si>
  <si>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</si>
  <si>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</si>
  <si>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</si>
  <si>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</si>
  <si>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</si>
  <si>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</si>
  <si>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</si>
  <si>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</si>
  <si>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</si>
  <si>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</si>
  <si>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</si>
  <si>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</si>
  <si>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</si>
  <si>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</si>
  <si>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</si>
  <si>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</si>
  <si>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</si>
  <si>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</si>
  <si>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</si>
  <si>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</si>
  <si>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</si>
  <si>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</si>
  <si>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</si>
  <si>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</si>
  <si>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</si>
  <si>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</si>
  <si>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</si>
  <si>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</si>
  <si>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</si>
  <si>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</si>
  <si>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</si>
  <si>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</si>
  <si>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</si>
  <si>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</si>
  <si>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</si>
  <si>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</si>
  <si>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</si>
  <si>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</si>
  <si>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</si>
  <si>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</si>
  <si>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</si>
  <si>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</si>
  <si>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</si>
  <si>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</si>
  <si>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</si>
  <si>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</si>
  <si>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</si>
  <si>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</si>
  <si>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</si>
  <si>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</si>
  <si>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</si>
  <si>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</si>
  <si>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</si>
  <si>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</si>
  <si>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</si>
  <si>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</si>
  <si>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</si>
  <si>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</si>
  <si>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</si>
  <si>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</si>
  <si>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</si>
  <si>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</si>
  <si>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</si>
  <si>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</si>
  <si>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</si>
  <si>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</si>
  <si>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</si>
  <si>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</si>
  <si>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</si>
  <si>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</si>
  <si>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</si>
  <si>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</si>
  <si>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</si>
  <si>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</si>
  <si>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</si>
  <si>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</si>
  <si>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</si>
  <si>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</si>
  <si>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</si>
  <si>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</si>
  <si>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</si>
  <si>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</si>
  <si>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</si>
  <si>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</si>
  <si>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</si>
  <si>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</si>
  <si>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</si>
  <si>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</si>
  <si>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</si>
  <si>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</si>
  <si>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</si>
  <si>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</si>
  <si>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</si>
  <si>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</si>
  <si>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</si>
  <si>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</si>
  <si>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</si>
  <si>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</si>
  <si>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</si>
  <si>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</si>
  <si>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</si>
  <si>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</si>
  <si>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</si>
  <si>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</si>
  <si>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</si>
  <si>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</si>
  <si>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</si>
  <si>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</si>
  <si>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</si>
  <si>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</si>
  <si>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</si>
  <si>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</si>
  <si>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</si>
  <si>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</si>
  <si>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</si>
  <si>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</si>
  <si>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</si>
  <si>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</si>
  <si>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</si>
  <si>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</si>
  <si>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</si>
  <si>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</si>
  <si>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</si>
  <si>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</si>
  <si>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</si>
  <si>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</si>
  <si>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</si>
  <si>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</si>
  <si>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</si>
  <si>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</si>
  <si>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</si>
  <si>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</si>
  <si>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</si>
  <si>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</si>
  <si>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</si>
  <si>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</si>
  <si>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</si>
  <si>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</si>
  <si>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</si>
  <si>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</si>
  <si>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</si>
  <si>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</si>
  <si>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</si>
  <si>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</si>
  <si>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</si>
  <si>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</si>
  <si>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</si>
  <si>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</si>
  <si>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</si>
  <si>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</si>
  <si>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</si>
  <si>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</si>
  <si>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</si>
  <si>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</si>
  <si>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</si>
  <si>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</si>
  <si>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</si>
  <si>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</si>
  <si>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</si>
  <si>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</si>
  <si>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</si>
  <si>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</si>
  <si>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</si>
  <si>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</si>
  <si>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</si>
  <si>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</si>
  <si>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</si>
  <si>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</si>
  <si>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</si>
  <si>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</si>
  <si>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</si>
  <si>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</si>
  <si>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</si>
  <si>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</si>
  <si>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</si>
  <si>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</si>
  <si>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</si>
  <si>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</si>
  <si>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</si>
  <si>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</si>
  <si>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</si>
  <si>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</si>
  <si>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</si>
  <si>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</si>
  <si>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</si>
  <si>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</si>
  <si>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</si>
  <si>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</si>
  <si>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</si>
  <si>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</si>
  <si>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</si>
  <si>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</si>
  <si>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</si>
  <si>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</si>
  <si>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</si>
  <si>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</si>
  <si>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</si>
  <si>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</si>
  <si>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</si>
  <si>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</si>
  <si>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</si>
  <si>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</si>
  <si>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</si>
  <si>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</si>
  <si>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</si>
  <si>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</si>
  <si>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</si>
  <si>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</si>
  <si>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</si>
  <si>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</si>
  <si>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</si>
  <si>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</si>
  <si>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</si>
  <si>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</si>
  <si>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</si>
  <si>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</si>
  <si>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</si>
  <si>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</si>
  <si>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</si>
  <si>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</si>
  <si>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</si>
  <si>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</si>
  <si>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</si>
  <si>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</si>
  <si>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</si>
  <si>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</si>
  <si>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</si>
  <si>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</si>
  <si>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</si>
  <si>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</si>
  <si>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</si>
  <si>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</si>
  <si>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</si>
  <si>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</si>
  <si>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</si>
  <si>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</si>
  <si>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</si>
  <si>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</si>
  <si>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</si>
  <si>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</si>
  <si>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</si>
  <si>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</si>
  <si>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</si>
  <si>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</si>
  <si>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</si>
  <si>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</si>
  <si>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</si>
  <si>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</si>
  <si>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</si>
  <si>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</si>
  <si>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</si>
  <si>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</si>
  <si>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</si>
  <si>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</si>
  <si>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</si>
  <si>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</si>
  <si>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</si>
  <si>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</si>
  <si>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</si>
  <si>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</si>
  <si>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</si>
  <si>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</si>
  <si>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</si>
  <si>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</si>
  <si>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</si>
  <si>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</si>
  <si>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</si>
  <si>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</si>
  <si>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</si>
  <si>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</si>
  <si>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</si>
  <si>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</si>
  <si>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</si>
  <si>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</si>
  <si>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</si>
  <si>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</si>
  <si>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</si>
  <si>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</si>
  <si>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</si>
  <si>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</si>
  <si>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</si>
  <si>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</si>
  <si>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</si>
  <si>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</si>
  <si>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</si>
  <si>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</si>
  <si>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</si>
  <si>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</si>
  <si>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</si>
  <si>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</si>
  <si>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</si>
  <si>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</si>
  <si>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</si>
  <si>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</si>
  <si>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</si>
  <si>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</si>
  <si>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</si>
  <si>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</si>
  <si>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</si>
  <si>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</si>
  <si>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</si>
  <si>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</si>
  <si>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</si>
  <si>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</si>
  <si>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</si>
  <si>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</si>
  <si>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</si>
  <si>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</si>
  <si>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</si>
  <si>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</si>
  <si>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</si>
  <si>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</si>
  <si>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</si>
  <si>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</si>
  <si>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</si>
  <si>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</si>
  <si>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</si>
  <si>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</si>
  <si>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</si>
  <si>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</si>
  <si>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</si>
  <si>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</si>
  <si>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</si>
  <si>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</si>
  <si>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</si>
  <si>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</si>
  <si>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</si>
  <si>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</si>
  <si>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</si>
  <si>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</si>
  <si>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</si>
  <si>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</si>
  <si>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</si>
  <si>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</si>
  <si>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</si>
  <si>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</si>
  <si>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</si>
  <si>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</si>
  <si>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</si>
  <si>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</si>
  <si>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</si>
  <si>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</si>
  <si>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</si>
  <si>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</si>
  <si>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</si>
  <si>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</si>
  <si>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</si>
  <si>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</si>
  <si>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</si>
  <si>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</si>
  <si>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</si>
  <si>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</si>
  <si>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</si>
  <si>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</si>
  <si>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</si>
  <si>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</si>
  <si>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</si>
  <si>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</si>
  <si>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</si>
  <si>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</si>
  <si>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</si>
  <si>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</si>
  <si>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</si>
  <si>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</si>
  <si>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</si>
  <si>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</si>
  <si>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</si>
  <si>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</si>
  <si>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</si>
  <si>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</si>
  <si>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</si>
  <si>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</si>
  <si>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</si>
  <si>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</si>
  <si>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</si>
  <si>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</si>
  <si>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</si>
  <si>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</si>
  <si>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</si>
  <si>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</si>
  <si>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</si>
  <si>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</si>
  <si>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</si>
  <si>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</si>
  <si>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</si>
  <si>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</si>
  <si>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</si>
  <si>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</si>
  <si>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</si>
  <si>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</si>
  <si>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</si>
  <si>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</si>
  <si>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</si>
  <si>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</si>
  <si>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</si>
  <si>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</si>
  <si>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</si>
  <si>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</si>
  <si>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</si>
  <si>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</si>
  <si>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</si>
  <si>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</si>
  <si>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</si>
  <si>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</si>
  <si>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</si>
  <si>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</si>
  <si>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</si>
  <si>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</si>
  <si>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</si>
  <si>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</si>
  <si>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</si>
  <si>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</si>
  <si>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</si>
  <si>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</si>
  <si>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</si>
  <si>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</si>
  <si>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</si>
  <si>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</si>
  <si>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</si>
  <si>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</si>
  <si>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</si>
  <si>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</si>
  <si>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</si>
  <si>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</si>
  <si>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</si>
  <si>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</si>
  <si>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</si>
  <si>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</si>
  <si>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</si>
  <si>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</si>
  <si>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</si>
  <si>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</si>
  <si>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</si>
  <si>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</si>
  <si>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</si>
  <si>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</si>
  <si>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</si>
  <si>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</si>
  <si>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</si>
  <si>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</si>
  <si>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</si>
  <si>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</si>
  <si>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</si>
  <si>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</si>
  <si>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</si>
  <si>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</si>
  <si>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</si>
  <si>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</si>
  <si>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</si>
  <si>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</si>
  <si>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</si>
  <si>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</si>
  <si>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</si>
  <si>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</si>
  <si>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</si>
  <si>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</si>
  <si>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</si>
  <si>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</si>
  <si>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</si>
  <si>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</si>
  <si>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</si>
  <si>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</si>
  <si>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</si>
  <si>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</si>
  <si>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</si>
  <si>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</si>
  <si>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</si>
  <si>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</si>
  <si>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</si>
  <si>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</si>
  <si>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</si>
  <si>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</si>
  <si>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</si>
  <si>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</si>
  <si>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</si>
  <si>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</si>
  <si>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</si>
  <si>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</si>
  <si>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</si>
  <si>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</si>
  <si>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</si>
  <si>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</si>
  <si>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</si>
  <si>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</si>
  <si>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</si>
  <si>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</si>
  <si>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</si>
  <si>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</si>
  <si>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</si>
  <si>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</si>
  <si>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</si>
  <si>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</si>
  <si>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</si>
  <si>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</si>
  <si>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</si>
  <si>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</si>
  <si>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</si>
  <si>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</si>
  <si>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</si>
  <si>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</si>
  <si>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</si>
  <si>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</si>
  <si>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</si>
  <si>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</si>
  <si>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</si>
  <si>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</si>
  <si>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</si>
  <si>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</si>
  <si>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</si>
  <si>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</si>
  <si>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</si>
  <si>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</si>
  <si>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</si>
  <si>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</si>
  <si>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</si>
  <si>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</si>
  <si>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</si>
  <si>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</si>
  <si>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</si>
  <si>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</si>
  <si>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</si>
  <si>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</si>
  <si>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</si>
  <si>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</si>
  <si>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</si>
  <si>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</si>
  <si>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</si>
  <si>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</si>
  <si>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</si>
  <si>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</si>
  <si>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</si>
  <si>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</si>
  <si>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</si>
  <si>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</si>
  <si>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</si>
  <si>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</si>
  <si>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</si>
  <si>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</si>
  <si>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</si>
  <si>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</si>
  <si>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</si>
  <si>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</si>
  <si>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</si>
  <si>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</si>
  <si>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</si>
  <si>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</si>
  <si>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</si>
  <si>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</si>
  <si>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</si>
  <si>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</si>
  <si>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</si>
  <si>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</si>
  <si>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</si>
  <si>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</si>
  <si>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</si>
  <si>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</si>
  <si>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</si>
  <si>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</si>
  <si>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</si>
  <si>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</si>
  <si>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</si>
  <si>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</si>
  <si>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</si>
  <si>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</si>
  <si>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</si>
  <si>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</si>
  <si>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</si>
  <si>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</si>
  <si>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</si>
  <si>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</si>
  <si>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</si>
  <si>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</si>
  <si>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</si>
  <si>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</si>
  <si>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</si>
  <si>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</si>
  <si>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</si>
  <si>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</si>
  <si>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</si>
  <si>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</si>
  <si>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</si>
  <si>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</si>
  <si>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</si>
  <si>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</si>
  <si>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</si>
  <si>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</si>
  <si>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</si>
  <si>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</si>
  <si>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</si>
  <si>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</si>
  <si>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</si>
  <si>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</si>
  <si>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</si>
  <si>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</si>
  <si>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</si>
  <si>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</si>
  <si>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</si>
  <si>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</si>
  <si>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</si>
  <si>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</si>
  <si>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</si>
  <si>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</si>
  <si>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</si>
  <si>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</si>
  <si>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</si>
  <si>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</si>
  <si>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</si>
  <si>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</si>
  <si>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</si>
  <si>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</si>
  <si>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</si>
  <si>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</si>
  <si>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</si>
  <si>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</si>
  <si>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</si>
  <si>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</si>
  <si>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</si>
  <si>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</si>
  <si>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</si>
  <si>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</si>
  <si>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</si>
  <si>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</si>
  <si>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</si>
  <si>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</si>
  <si>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</si>
  <si>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</si>
  <si>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</si>
  <si>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</si>
  <si>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</si>
  <si>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</si>
  <si>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</si>
  <si>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</si>
  <si>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</si>
  <si>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</si>
  <si>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</si>
  <si>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</si>
  <si>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</si>
  <si>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</si>
  <si>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</si>
  <si>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</si>
  <si>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</si>
  <si>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</si>
  <si>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</si>
  <si>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</si>
  <si>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</si>
  <si>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</si>
  <si>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</si>
  <si>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</si>
  <si>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</si>
  <si>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</si>
  <si>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</si>
  <si>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</si>
  <si>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</si>
  <si>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</si>
  <si>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</si>
  <si>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</si>
  <si>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</si>
  <si>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</si>
  <si>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</si>
  <si>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</si>
  <si>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</si>
  <si>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</si>
  <si>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</si>
  <si>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</si>
  <si>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</si>
  <si>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</si>
  <si>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</si>
  <si>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</si>
  <si>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</si>
  <si>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</si>
  <si>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</si>
  <si>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</si>
  <si>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</si>
  <si>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</si>
  <si>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</si>
  <si>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</si>
  <si>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</si>
  <si>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</si>
  <si>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</si>
  <si>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</si>
  <si>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</si>
  <si>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</si>
  <si>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</si>
  <si>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</si>
  <si>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</si>
  <si>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</si>
  <si>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</si>
  <si>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</si>
  <si>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</si>
  <si>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</si>
  <si>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</si>
  <si>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</si>
  <si>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</si>
  <si>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</si>
  <si>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</si>
  <si>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</si>
  <si>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</si>
  <si>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</si>
  <si>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</si>
  <si>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</si>
  <si>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</si>
  <si>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</si>
  <si>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</si>
  <si>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</si>
  <si>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</si>
  <si>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</si>
  <si>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</si>
  <si>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</si>
  <si>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</si>
  <si>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</si>
  <si>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</si>
  <si>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</si>
  <si>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</si>
  <si>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</si>
  <si>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</si>
  <si>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</si>
  <si>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</si>
  <si>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</si>
  <si>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</si>
  <si>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</si>
  <si>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</si>
  <si>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</si>
  <si>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</si>
  <si>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</si>
  <si>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</si>
  <si>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</si>
  <si>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</si>
  <si>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</si>
  <si>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</si>
  <si>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</si>
  <si>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</si>
  <si>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</si>
  <si>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</si>
  <si>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</si>
  <si>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</si>
  <si>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</si>
  <si>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</si>
  <si>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</si>
  <si>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</si>
  <si>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</si>
  <si>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</si>
  <si>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</si>
  <si>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</si>
  <si>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</si>
  <si>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</si>
  <si>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</si>
  <si>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</si>
  <si>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</si>
  <si>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</si>
  <si>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</si>
  <si>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</si>
  <si>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</si>
  <si>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</si>
  <si>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</si>
  <si>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</si>
  <si>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</si>
  <si>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</si>
  <si>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</si>
  <si>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</si>
  <si>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</si>
  <si>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</si>
  <si>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</si>
  <si>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</si>
  <si>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</si>
  <si>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</si>
  <si>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</si>
  <si>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</si>
  <si>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</si>
  <si>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</si>
  <si>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</si>
  <si>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</si>
  <si>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</si>
  <si>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</si>
  <si>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</si>
  <si>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</si>
  <si>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</si>
  <si>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</si>
  <si>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</si>
  <si>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</si>
  <si>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</si>
  <si>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</si>
  <si>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</si>
  <si>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</si>
  <si>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</si>
  <si>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</si>
  <si>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</si>
  <si>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</si>
  <si>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</si>
  <si>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</si>
  <si>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</si>
  <si>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</si>
  <si>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</si>
  <si>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</si>
  <si>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</si>
  <si>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</si>
  <si>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</si>
  <si>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</si>
  <si>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</si>
  <si>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</si>
  <si>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</si>
  <si>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</si>
  <si>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</si>
  <si>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</si>
  <si>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</si>
  <si>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</si>
  <si>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</si>
  <si>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</si>
  <si>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</si>
  <si>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</si>
  <si>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</si>
  <si>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</si>
  <si>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</si>
  <si>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</si>
  <si>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</si>
  <si>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</si>
  <si>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</si>
  <si>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</si>
  <si>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</si>
  <si>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</si>
  <si>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</si>
  <si>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</si>
  <si>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</si>
  <si>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</si>
  <si>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</si>
  <si>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</si>
  <si>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</si>
  <si>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</si>
  <si>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</si>
  <si>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</si>
  <si>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</si>
  <si>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</si>
  <si>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</si>
  <si>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</si>
  <si>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</si>
  <si>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</si>
  <si>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</si>
  <si>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</si>
  <si>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</si>
  <si>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</si>
  <si>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</si>
  <si>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</si>
  <si>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</si>
  <si>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</si>
  <si>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</si>
  <si>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</si>
  <si>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</si>
  <si>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</si>
  <si>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</si>
  <si>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</si>
  <si>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</si>
  <si>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</si>
  <si>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</si>
  <si>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</si>
  <si>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</si>
  <si>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</si>
  <si>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</si>
  <si>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</si>
  <si>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</si>
  <si>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</si>
  <si>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</si>
  <si>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</si>
  <si>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</si>
  <si>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</si>
  <si>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</si>
  <si>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</si>
  <si>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</si>
  <si>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</si>
  <si>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</si>
  <si>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</si>
  <si>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</si>
  <si>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</si>
  <si>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</si>
  <si>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</si>
  <si>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</si>
  <si>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</si>
  <si>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</si>
  <si>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</si>
  <si>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</si>
  <si>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</si>
  <si>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</si>
  <si>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</si>
  <si>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</si>
  <si>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</si>
  <si>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</si>
  <si>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</si>
  <si>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</si>
  <si>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</si>
  <si>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</si>
  <si>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</si>
  <si>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</si>
  <si>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</si>
  <si>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</si>
  <si>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</si>
  <si>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</si>
  <si>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</si>
  <si>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</si>
  <si>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</si>
  <si>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</si>
  <si>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</si>
  <si>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</si>
  <si>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</si>
  <si>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</si>
  <si>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4 Years</t>
  </si>
  <si>
    <t>Call deposit</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</si>
  <si>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</si>
  <si>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</si>
  <si>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</si>
  <si>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</si>
  <si>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</si>
  <si>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</si>
  <si>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</si>
  <si>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</si>
  <si>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</si>
  <si>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</si>
  <si>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</si>
  <si>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4 Mnths</t>
  </si>
  <si>
    <t>5 Mnths</t>
  </si>
  <si>
    <t>2017 Dec 15</t>
  </si>
  <si>
    <t>2018 Dec 15</t>
  </si>
  <si>
    <t>2026 Dec.01</t>
  </si>
  <si>
    <t>Accrue revenue not yet recognised</t>
  </si>
  <si>
    <t>Revenue will level during the year</t>
  </si>
  <si>
    <t>Under perfomance due to vacant posts  not filled</t>
  </si>
  <si>
    <t>Spending will improve in the second quarter</t>
  </si>
  <si>
    <t>Improvement will be in December 2017</t>
  </si>
  <si>
    <t>No correctice steps necessary.</t>
  </si>
  <si>
    <t>Bulk tranches from NT are received in the 1st Quarter</t>
  </si>
  <si>
    <t>Bulk of Finance charges is payable every six months</t>
  </si>
  <si>
    <t>Planning and Economic development</t>
  </si>
  <si>
    <t>The Service Provider has been appointed for a period of 3 years and no payment has yet been made</t>
  </si>
  <si>
    <t>None</t>
  </si>
  <si>
    <t>Sports and recreational facilities</t>
  </si>
  <si>
    <t>Some contractors are appointed even some other are in the process of being terminated and others are still awaiting appointments of consultants</t>
  </si>
  <si>
    <t>Fast-track the pending processes and appointments</t>
  </si>
  <si>
    <t>Done with the outfall sewer design and is to serve at the BSC on the 13 October 2017</t>
  </si>
  <si>
    <t xml:space="preserve">Stick to the procurement plan </t>
  </si>
  <si>
    <t>740322 0473 085</t>
  </si>
  <si>
    <t>Suzan Phogole</t>
  </si>
  <si>
    <t xml:space="preserve"> 076 955 6903</t>
  </si>
  <si>
    <t>suzanp@polokwane.gov.za</t>
  </si>
  <si>
    <t>821010107804</t>
  </si>
  <si>
    <t>Kgaladi Ephodia</t>
  </si>
  <si>
    <t>0152902195</t>
  </si>
  <si>
    <t>072 834 5434</t>
  </si>
  <si>
    <t>kgaladim@polokwane.gov.za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</si>
</sst>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54"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0" fontId="56" fillId="0" borderId="0" applyNumberFormat="0" applyFill="0" applyBorder="0" applyAlignment="0" applyProtection="0">
      <alignment vertical="top"/>
      <protection locked="0"/>
    </xf>
    <xf numFmtId="0" fontId="2" fillId="0" borderId="0"/>
    <xf numFmtId="0" fontId="4" fillId="0" borderId="0"/>
    <xf numFmtId="0" fontId="2" fillId="0" borderId="0"/>
    <xf numFmtId="9" fontId="2" fillId="0" borderId="0" applyFont="0" applyFill="0" applyBorder="0" applyAlignment="0" applyProtection="0"/>
    <xf numFmtId="0" fontId="2" fillId="0" borderId="0"/>
    <xf numFmtId="164" fontId="20" fillId="0" borderId="0" applyFont="0" applyFill="0" applyBorder="0" applyAlignment="0" applyProtection="0"/>
    <xf numFmtId="164" fontId="20" fillId="0" borderId="0" applyFont="0" applyFill="0" applyBorder="0" applyAlignment="0" applyProtection="0"/>
    <xf numFmtId="0" fontId="57" fillId="35" borderId="91" applyNumberFormat="0" applyAlignment="0" applyProtection="0"/>
    <xf numFmtId="0" fontId="4" fillId="0" borderId="0"/>
    <xf numFmtId="43" fontId="20"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60">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171" fontId="9" fillId="0" borderId="22" xfId="0" applyNumberFormat="1" applyFont="1" applyBorder="1"/>
    <xf numFmtId="171" fontId="9" fillId="0" borderId="23" xfId="0" applyNumberFormat="1" applyFont="1" applyBorder="1"/>
    <xf numFmtId="0" fontId="9" fillId="0" borderId="17" xfId="0" applyFont="1" applyBorder="1"/>
    <xf numFmtId="171"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69" fontId="9" fillId="0" borderId="10" xfId="0" applyNumberFormat="1" applyFont="1" applyBorder="1"/>
    <xf numFmtId="0" fontId="10" fillId="0" borderId="11" xfId="0" applyFont="1" applyBorder="1" applyAlignment="1">
      <alignment horizontal="left"/>
    </xf>
    <xf numFmtId="0" fontId="9" fillId="0" borderId="11" xfId="0" applyFont="1" applyBorder="1"/>
    <xf numFmtId="172" fontId="9" fillId="0" borderId="0" xfId="0" applyNumberFormat="1" applyFont="1" applyBorder="1"/>
    <xf numFmtId="172" fontId="9" fillId="0" borderId="22" xfId="0" applyNumberFormat="1" applyFont="1" applyBorder="1"/>
    <xf numFmtId="172" fontId="9" fillId="0" borderId="13" xfId="0" applyNumberFormat="1" applyFont="1" applyBorder="1"/>
    <xf numFmtId="172" fontId="9" fillId="0" borderId="26" xfId="0" applyNumberFormat="1" applyFont="1" applyBorder="1"/>
    <xf numFmtId="172" fontId="9" fillId="0" borderId="22" xfId="0" applyNumberFormat="1" applyFont="1" applyFill="1" applyBorder="1"/>
    <xf numFmtId="169" fontId="9" fillId="0" borderId="13" xfId="0" applyNumberFormat="1" applyFont="1" applyFill="1" applyBorder="1"/>
    <xf numFmtId="172" fontId="10" fillId="0" borderId="0" xfId="0" applyNumberFormat="1" applyFont="1" applyBorder="1"/>
    <xf numFmtId="172" fontId="10" fillId="0" borderId="22" xfId="0" applyNumberFormat="1" applyFont="1" applyBorder="1"/>
    <xf numFmtId="172" fontId="10" fillId="0" borderId="26" xfId="0" applyNumberFormat="1" applyFont="1" applyBorder="1"/>
    <xf numFmtId="169" fontId="10" fillId="0" borderId="10" xfId="0" applyNumberFormat="1" applyFont="1" applyBorder="1"/>
    <xf numFmtId="0" fontId="10" fillId="0" borderId="27" xfId="0" applyFont="1" applyBorder="1"/>
    <xf numFmtId="172" fontId="10" fillId="0" borderId="28" xfId="0" applyNumberFormat="1" applyFont="1" applyBorder="1"/>
    <xf numFmtId="172" fontId="10" fillId="0" borderId="29" xfId="0" applyNumberFormat="1" applyFont="1" applyBorder="1"/>
    <xf numFmtId="172" fontId="10" fillId="0" borderId="30" xfId="0" applyNumberFormat="1" applyFont="1" applyBorder="1"/>
    <xf numFmtId="0" fontId="14" fillId="0" borderId="0" xfId="0" applyFont="1" applyBorder="1"/>
    <xf numFmtId="0" fontId="9" fillId="0" borderId="0" xfId="0" applyFont="1" applyBorder="1" applyAlignment="1">
      <alignment horizontal="center"/>
    </xf>
    <xf numFmtId="169" fontId="10" fillId="0" borderId="0" xfId="0" applyNumberFormat="1" applyFont="1" applyFill="1" applyBorder="1"/>
    <xf numFmtId="0" fontId="13" fillId="0" borderId="0" xfId="0" quotePrefix="1" applyFont="1" applyBorder="1"/>
    <xf numFmtId="0" fontId="10" fillId="0" borderId="0" xfId="0" applyFont="1" applyBorder="1"/>
    <xf numFmtId="169"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5" fontId="9" fillId="0" borderId="0" xfId="28" applyNumberFormat="1" applyFont="1"/>
    <xf numFmtId="0" fontId="9" fillId="0" borderId="0" xfId="0" applyFont="1" applyBorder="1"/>
    <xf numFmtId="0" fontId="9" fillId="0" borderId="0" xfId="0" applyFont="1" applyAlignment="1">
      <alignment horizontal="center"/>
    </xf>
    <xf numFmtId="165" fontId="9" fillId="0" borderId="0" xfId="28" applyNumberFormat="1" applyFont="1" applyAlignment="1">
      <alignment horizontal="center"/>
    </xf>
    <xf numFmtId="168" fontId="9" fillId="0" borderId="0" xfId="42" applyNumberFormat="1" applyFont="1" applyAlignment="1">
      <alignment horizontal="center"/>
    </xf>
    <xf numFmtId="165" fontId="9" fillId="0" borderId="0" xfId="0" applyNumberFormat="1" applyFont="1"/>
    <xf numFmtId="168" fontId="9" fillId="0" borderId="0" xfId="0" applyNumberFormat="1" applyFont="1"/>
    <xf numFmtId="172" fontId="10" fillId="0" borderId="31" xfId="0" applyNumberFormat="1" applyFont="1" applyBorder="1"/>
    <xf numFmtId="172" fontId="10" fillId="0" borderId="32" xfId="0" applyNumberFormat="1" applyFont="1" applyBorder="1"/>
    <xf numFmtId="168" fontId="9" fillId="0" borderId="0" xfId="0" applyNumberFormat="1" applyFont="1" applyAlignment="1">
      <alignment horizontal="center"/>
    </xf>
    <xf numFmtId="172" fontId="10" fillId="0" borderId="24" xfId="0" applyNumberFormat="1" applyFont="1" applyBorder="1"/>
    <xf numFmtId="172" fontId="10" fillId="0" borderId="33" xfId="0" applyNumberFormat="1" applyFont="1" applyBorder="1"/>
    <xf numFmtId="0" fontId="14" fillId="0" borderId="0" xfId="0" applyFont="1" applyBorder="1" applyAlignment="1">
      <alignment horizontal="left"/>
    </xf>
    <xf numFmtId="169"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2" fontId="10" fillId="0" borderId="34" xfId="0" applyNumberFormat="1" applyFont="1" applyBorder="1"/>
    <xf numFmtId="169" fontId="9" fillId="0" borderId="0" xfId="0" applyNumberFormat="1" applyFont="1" applyBorder="1"/>
    <xf numFmtId="169"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7" fontId="10" fillId="0" borderId="0" xfId="0" applyNumberFormat="1" applyFont="1" applyBorder="1"/>
    <xf numFmtId="0" fontId="9" fillId="0" borderId="16" xfId="0" applyFont="1" applyBorder="1"/>
    <xf numFmtId="0" fontId="10" fillId="0" borderId="35" xfId="0" applyFont="1" applyBorder="1"/>
    <xf numFmtId="164" fontId="9" fillId="0" borderId="0" xfId="28" applyFont="1" applyBorder="1"/>
    <xf numFmtId="0" fontId="10" fillId="0" borderId="16" xfId="0" applyFont="1" applyBorder="1"/>
    <xf numFmtId="0" fontId="14" fillId="0" borderId="0" xfId="0" applyFont="1"/>
    <xf numFmtId="0" fontId="9" fillId="0" borderId="0" xfId="0" applyFont="1" applyFill="1" applyBorder="1"/>
    <xf numFmtId="169" fontId="9" fillId="0" borderId="0" xfId="0" applyNumberFormat="1" applyFont="1" applyFill="1" applyBorder="1"/>
    <xf numFmtId="9" fontId="9" fillId="0" borderId="0" xfId="42" applyFont="1"/>
    <xf numFmtId="172" fontId="9" fillId="0" borderId="36" xfId="0" applyNumberFormat="1" applyFont="1" applyBorder="1"/>
    <xf numFmtId="0" fontId="9" fillId="0" borderId="0" xfId="0" applyFont="1" applyFill="1"/>
    <xf numFmtId="172" fontId="9" fillId="0" borderId="36" xfId="0" applyNumberFormat="1" applyFont="1" applyFill="1" applyBorder="1"/>
    <xf numFmtId="172" fontId="10" fillId="0" borderId="22" xfId="0" applyNumberFormat="1" applyFont="1" applyFill="1" applyBorder="1"/>
    <xf numFmtId="169" fontId="9" fillId="0" borderId="22" xfId="0" applyNumberFormat="1" applyFont="1" applyBorder="1"/>
    <xf numFmtId="169"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2" fontId="9" fillId="0" borderId="37" xfId="0" applyNumberFormat="1" applyFont="1" applyBorder="1"/>
    <xf numFmtId="172" fontId="10" fillId="0" borderId="10" xfId="0" applyNumberFormat="1" applyFont="1" applyBorder="1"/>
    <xf numFmtId="172" fontId="10" fillId="0" borderId="37" xfId="0" applyNumberFormat="1" applyFont="1" applyBorder="1"/>
    <xf numFmtId="0" fontId="9" fillId="0" borderId="11" xfId="0" applyFont="1" applyBorder="1" applyAlignment="1">
      <alignment horizontal="left" wrapText="1" indent="1"/>
    </xf>
    <xf numFmtId="172"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2" fontId="9" fillId="0" borderId="24" xfId="0" applyNumberFormat="1" applyFont="1" applyBorder="1"/>
    <xf numFmtId="172" fontId="9" fillId="0" borderId="33" xfId="0" applyNumberFormat="1" applyFont="1" applyBorder="1"/>
    <xf numFmtId="169" fontId="9" fillId="0" borderId="0" xfId="28" applyNumberFormat="1" applyFont="1" applyBorder="1"/>
    <xf numFmtId="165" fontId="9" fillId="0" borderId="0" xfId="28" applyNumberFormat="1" applyFont="1" applyBorder="1"/>
    <xf numFmtId="0" fontId="9" fillId="0" borderId="19" xfId="0" applyFont="1" applyBorder="1" applyAlignment="1">
      <alignment horizontal="center"/>
    </xf>
    <xf numFmtId="168"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8" fontId="9" fillId="0" borderId="22" xfId="42" applyNumberFormat="1" applyFont="1" applyFill="1" applyBorder="1" applyAlignment="1">
      <alignment horizontal="center" vertical="top" wrapText="1"/>
    </xf>
    <xf numFmtId="168"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2" fontId="9" fillId="0" borderId="10" xfId="0" applyNumberFormat="1" applyFont="1" applyBorder="1"/>
    <xf numFmtId="165"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2" fontId="9" fillId="0" borderId="46" xfId="0" applyNumberFormat="1" applyFont="1" applyBorder="1"/>
    <xf numFmtId="172"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0"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9" fillId="0" borderId="38" xfId="0" applyNumberFormat="1" applyFont="1" applyBorder="1"/>
    <xf numFmtId="172"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69"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69"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2"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2" fontId="10" fillId="0" borderId="46" xfId="0" applyNumberFormat="1" applyFont="1" applyBorder="1"/>
    <xf numFmtId="172" fontId="9" fillId="0" borderId="51" xfId="0" applyNumberFormat="1" applyFont="1" applyBorder="1"/>
    <xf numFmtId="171" fontId="9" fillId="0" borderId="26" xfId="0" applyNumberFormat="1" applyFont="1" applyBorder="1"/>
    <xf numFmtId="171" fontId="9" fillId="0" borderId="10" xfId="0" applyNumberFormat="1" applyFont="1" applyBorder="1"/>
    <xf numFmtId="170"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1" fontId="9" fillId="0" borderId="46" xfId="0" applyNumberFormat="1" applyFont="1" applyBorder="1"/>
    <xf numFmtId="170" fontId="9" fillId="0" borderId="33" xfId="0" applyNumberFormat="1" applyFont="1" applyFill="1" applyBorder="1"/>
    <xf numFmtId="170" fontId="9" fillId="0" borderId="24" xfId="0" applyNumberFormat="1" applyFont="1" applyFill="1" applyBorder="1"/>
    <xf numFmtId="170" fontId="9" fillId="0" borderId="50" xfId="0" applyNumberFormat="1" applyFont="1" applyFill="1" applyBorder="1"/>
    <xf numFmtId="9" fontId="10" fillId="0" borderId="43" xfId="42" applyFont="1" applyFill="1" applyBorder="1" applyAlignment="1">
      <alignment horizontal="center" vertical="center" wrapText="1"/>
    </xf>
    <xf numFmtId="173" fontId="10" fillId="0" borderId="22" xfId="42" applyNumberFormat="1" applyFont="1" applyBorder="1"/>
    <xf numFmtId="173" fontId="9" fillId="0" borderId="22" xfId="42" applyNumberFormat="1" applyFont="1" applyBorder="1"/>
    <xf numFmtId="173" fontId="9" fillId="0" borderId="36" xfId="42" applyNumberFormat="1" applyFont="1" applyBorder="1"/>
    <xf numFmtId="171" fontId="9" fillId="0" borderId="19" xfId="0" applyNumberFormat="1" applyFont="1" applyBorder="1"/>
    <xf numFmtId="171" fontId="9" fillId="0" borderId="33" xfId="0" applyNumberFormat="1" applyFont="1" applyBorder="1"/>
    <xf numFmtId="173" fontId="9" fillId="0" borderId="24" xfId="42" applyNumberFormat="1" applyFont="1" applyBorder="1"/>
    <xf numFmtId="171" fontId="9" fillId="0" borderId="50" xfId="0" applyNumberFormat="1" applyFont="1" applyBorder="1"/>
    <xf numFmtId="171" fontId="9" fillId="0" borderId="39" xfId="0" applyNumberFormat="1" applyFont="1" applyBorder="1"/>
    <xf numFmtId="171" fontId="9" fillId="0" borderId="25" xfId="0" applyNumberFormat="1" applyFont="1" applyBorder="1"/>
    <xf numFmtId="173" fontId="9" fillId="0" borderId="23" xfId="42" applyNumberFormat="1" applyFont="1" applyBorder="1"/>
    <xf numFmtId="171" fontId="9" fillId="0" borderId="53" xfId="0" applyNumberFormat="1" applyFont="1" applyBorder="1"/>
    <xf numFmtId="171" fontId="9" fillId="25" borderId="22" xfId="0" applyNumberFormat="1" applyFont="1" applyFill="1" applyBorder="1"/>
    <xf numFmtId="171" fontId="9" fillId="25" borderId="24" xfId="0" applyNumberFormat="1" applyFont="1" applyFill="1" applyBorder="1"/>
    <xf numFmtId="173" fontId="9" fillId="25" borderId="22" xfId="42" applyNumberFormat="1" applyFont="1" applyFill="1" applyBorder="1"/>
    <xf numFmtId="173"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2"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2" fontId="10" fillId="0" borderId="50" xfId="0" applyNumberFormat="1" applyFont="1" applyBorder="1"/>
    <xf numFmtId="172"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2" fontId="10" fillId="0" borderId="55" xfId="0" applyNumberFormat="1" applyFont="1" applyBorder="1"/>
    <xf numFmtId="172"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2"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2" fontId="10" fillId="0" borderId="10" xfId="0" applyNumberFormat="1" applyFont="1" applyBorder="1" applyAlignment="1">
      <alignment vertical="top"/>
    </xf>
    <xf numFmtId="172" fontId="10" fillId="0" borderId="26" xfId="0" applyNumberFormat="1" applyFont="1" applyBorder="1" applyAlignment="1">
      <alignment vertical="top"/>
    </xf>
    <xf numFmtId="172" fontId="10" fillId="0" borderId="22" xfId="0" applyNumberFormat="1" applyFont="1" applyBorder="1" applyAlignment="1">
      <alignment vertical="top"/>
    </xf>
    <xf numFmtId="172"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2" fontId="9" fillId="0" borderId="45" xfId="0" applyNumberFormat="1" applyFont="1" applyBorder="1"/>
    <xf numFmtId="172" fontId="10" fillId="0" borderId="45" xfId="0" applyNumberFormat="1" applyFont="1" applyBorder="1"/>
    <xf numFmtId="172" fontId="10" fillId="0" borderId="61" xfId="0" applyNumberFormat="1" applyFont="1" applyBorder="1"/>
    <xf numFmtId="172" fontId="9" fillId="0" borderId="55" xfId="0" applyNumberFormat="1" applyFont="1" applyBorder="1"/>
    <xf numFmtId="172" fontId="9" fillId="0" borderId="61" xfId="0" applyNumberFormat="1" applyFont="1" applyBorder="1"/>
    <xf numFmtId="172" fontId="9" fillId="0" borderId="47" xfId="0" applyNumberFormat="1" applyFont="1" applyBorder="1"/>
    <xf numFmtId="172" fontId="9" fillId="0" borderId="62" xfId="0" applyNumberFormat="1" applyFont="1" applyBorder="1"/>
    <xf numFmtId="172" fontId="10" fillId="0" borderId="58" xfId="0" applyNumberFormat="1" applyFont="1" applyBorder="1"/>
    <xf numFmtId="169" fontId="9" fillId="0" borderId="46" xfId="0" applyNumberFormat="1" applyFont="1" applyBorder="1"/>
    <xf numFmtId="0" fontId="10" fillId="0" borderId="63" xfId="0" applyFont="1" applyBorder="1" applyAlignment="1">
      <alignment horizontal="center"/>
    </xf>
    <xf numFmtId="169"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2" fontId="10" fillId="0" borderId="64" xfId="0" applyNumberFormat="1" applyFont="1" applyBorder="1"/>
    <xf numFmtId="0" fontId="10" fillId="0" borderId="15" xfId="0" applyFont="1" applyBorder="1"/>
    <xf numFmtId="172" fontId="9" fillId="25" borderId="22" xfId="0" applyNumberFormat="1" applyFont="1" applyFill="1" applyBorder="1"/>
    <xf numFmtId="172" fontId="9" fillId="25" borderId="24" xfId="0" applyNumberFormat="1" applyFont="1" applyFill="1" applyBorder="1"/>
    <xf numFmtId="0" fontId="10" fillId="0" borderId="65" xfId="0" applyFont="1" applyFill="1" applyBorder="1" applyAlignment="1">
      <alignment horizontal="centerContinuous" vertical="center" wrapText="1"/>
    </xf>
    <xf numFmtId="168"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8"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0" xfId="0" applyFont="1" applyFill="1" applyBorder="1" applyAlignment="1">
      <alignment horizontal="centerContinuous" vertical="center"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0" fontId="9" fillId="0" borderId="0" xfId="0" applyNumberFormat="1" applyFont="1" applyFill="1" applyBorder="1"/>
    <xf numFmtId="173" fontId="9" fillId="0" borderId="0" xfId="42" applyNumberFormat="1" applyFont="1" applyBorder="1"/>
    <xf numFmtId="172" fontId="10" fillId="25" borderId="29" xfId="0" applyNumberFormat="1" applyFont="1" applyFill="1" applyBorder="1"/>
    <xf numFmtId="168"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2" fontId="9" fillId="0" borderId="58" xfId="0" applyNumberFormat="1" applyFont="1" applyBorder="1"/>
    <xf numFmtId="169" fontId="10" fillId="0" borderId="26" xfId="0" applyNumberFormat="1" applyFont="1" applyBorder="1"/>
    <xf numFmtId="169" fontId="10" fillId="0" borderId="22" xfId="0" applyNumberFormat="1" applyFont="1" applyBorder="1"/>
    <xf numFmtId="169" fontId="10" fillId="0" borderId="46" xfId="0" applyNumberFormat="1" applyFont="1" applyBorder="1"/>
    <xf numFmtId="168" fontId="10" fillId="0" borderId="22" xfId="42" applyNumberFormat="1" applyFont="1" applyFill="1" applyBorder="1" applyAlignment="1">
      <alignment horizontal="center" vertical="top" wrapText="1"/>
    </xf>
    <xf numFmtId="168" fontId="10" fillId="0" borderId="31" xfId="42" applyNumberFormat="1" applyFont="1" applyFill="1" applyBorder="1" applyAlignment="1">
      <alignment horizontal="center" vertical="top" wrapText="1"/>
    </xf>
    <xf numFmtId="172" fontId="9" fillId="0" borderId="30" xfId="0" applyNumberFormat="1" applyFont="1" applyBorder="1"/>
    <xf numFmtId="172" fontId="9" fillId="0" borderId="29" xfId="0" applyNumberFormat="1" applyFont="1" applyBorder="1"/>
    <xf numFmtId="168" fontId="9" fillId="0" borderId="29" xfId="42" applyNumberFormat="1" applyFont="1" applyFill="1" applyBorder="1" applyAlignment="1">
      <alignment horizontal="center" vertical="top" wrapText="1"/>
    </xf>
    <xf numFmtId="172"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8"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2" fontId="9" fillId="0" borderId="69" xfId="0" applyNumberFormat="1" applyFont="1" applyBorder="1"/>
    <xf numFmtId="0" fontId="10" fillId="0" borderId="35" xfId="0" applyFont="1" applyFill="1" applyBorder="1"/>
    <xf numFmtId="169" fontId="10" fillId="0" borderId="55" xfId="0" applyNumberFormat="1" applyFont="1" applyBorder="1"/>
    <xf numFmtId="172"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8" fontId="9" fillId="0" borderId="36" xfId="42" applyNumberFormat="1" applyFont="1" applyFill="1" applyBorder="1" applyAlignment="1">
      <alignment horizontal="center" vertical="top" wrapText="1"/>
    </xf>
    <xf numFmtId="169" fontId="9" fillId="0" borderId="0" xfId="28" applyNumberFormat="1" applyFont="1" applyFill="1" applyBorder="1"/>
    <xf numFmtId="0" fontId="10" fillId="0" borderId="67" xfId="0" applyFont="1" applyFill="1" applyBorder="1" applyAlignment="1">
      <alignment horizontal="center" vertical="center" wrapText="1"/>
    </xf>
    <xf numFmtId="172" fontId="10" fillId="25" borderId="22" xfId="0" applyNumberFormat="1" applyFont="1" applyFill="1" applyBorder="1"/>
    <xf numFmtId="172" fontId="9" fillId="25" borderId="36" xfId="0" applyNumberFormat="1" applyFont="1" applyFill="1" applyBorder="1"/>
    <xf numFmtId="172"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2"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69"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8"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2" fontId="9" fillId="0" borderId="14" xfId="0" applyNumberFormat="1" applyFont="1" applyBorder="1"/>
    <xf numFmtId="172"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2" fontId="9" fillId="0" borderId="12" xfId="0" applyNumberFormat="1" applyFont="1" applyBorder="1"/>
    <xf numFmtId="172"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2"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3" fontId="10" fillId="0" borderId="36" xfId="42" applyNumberFormat="1" applyFont="1" applyBorder="1"/>
    <xf numFmtId="172" fontId="9" fillId="28" borderId="26" xfId="0" applyNumberFormat="1" applyFont="1" applyFill="1" applyBorder="1" applyProtection="1">
      <protection locked="0"/>
    </xf>
    <xf numFmtId="172" fontId="9" fillId="28" borderId="22" xfId="0" applyNumberFormat="1" applyFont="1" applyFill="1" applyBorder="1" applyProtection="1">
      <protection locked="0"/>
    </xf>
    <xf numFmtId="172"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8" fontId="9" fillId="0" borderId="10" xfId="42" applyNumberFormat="1" applyFont="1" applyFill="1" applyBorder="1" applyAlignment="1" applyProtection="1">
      <alignment horizontal="center" vertical="top" wrapText="1"/>
    </xf>
    <xf numFmtId="168" fontId="9" fillId="0" borderId="45" xfId="42" applyNumberFormat="1" applyFont="1" applyFill="1" applyBorder="1" applyAlignment="1" applyProtection="1">
      <alignment horizontal="center" vertical="top" wrapText="1"/>
    </xf>
    <xf numFmtId="168" fontId="9" fillId="0" borderId="22" xfId="42" applyNumberFormat="1" applyFont="1" applyFill="1" applyBorder="1" applyAlignment="1" applyProtection="1">
      <alignment horizontal="center" vertical="top" wrapText="1"/>
    </xf>
    <xf numFmtId="168" fontId="9" fillId="0" borderId="46" xfId="42" applyNumberFormat="1" applyFont="1" applyFill="1" applyBorder="1" applyAlignment="1" applyProtection="1">
      <alignment horizontal="center" vertical="top" wrapText="1"/>
    </xf>
    <xf numFmtId="172" fontId="9" fillId="28" borderId="37" xfId="0" applyNumberFormat="1" applyFont="1" applyFill="1" applyBorder="1" applyProtection="1">
      <protection locked="0"/>
    </xf>
    <xf numFmtId="172"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69" fontId="9" fillId="25" borderId="10" xfId="0" applyNumberFormat="1" applyFont="1" applyFill="1" applyBorder="1"/>
    <xf numFmtId="168" fontId="10" fillId="25" borderId="22" xfId="42" applyNumberFormat="1" applyFont="1" applyFill="1" applyBorder="1" applyAlignment="1">
      <alignment horizontal="center" vertical="top" wrapText="1"/>
    </xf>
    <xf numFmtId="169"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2"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2" fontId="9" fillId="0" borderId="22" xfId="0" applyNumberFormat="1" applyFont="1" applyFill="1" applyBorder="1" applyProtection="1"/>
    <xf numFmtId="172" fontId="9" fillId="0" borderId="36" xfId="0" applyNumberFormat="1" applyFont="1" applyFill="1" applyBorder="1" applyProtection="1"/>
    <xf numFmtId="168"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2"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2" fontId="10" fillId="0" borderId="22" xfId="0" applyNumberFormat="1" applyFont="1" applyBorder="1" applyAlignment="1">
      <alignment horizontal="right"/>
    </xf>
    <xf numFmtId="172" fontId="10" fillId="0" borderId="13" xfId="0" applyNumberFormat="1" applyFont="1" applyBorder="1" applyAlignment="1">
      <alignment horizontal="right"/>
    </xf>
    <xf numFmtId="172" fontId="10" fillId="0" borderId="0" xfId="0" applyNumberFormat="1" applyFont="1" applyBorder="1" applyAlignment="1">
      <alignment horizontal="right"/>
    </xf>
    <xf numFmtId="172"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69" fontId="9" fillId="0" borderId="13" xfId="0" applyNumberFormat="1" applyFont="1" applyBorder="1"/>
    <xf numFmtId="0" fontId="10" fillId="0" borderId="11" xfId="0" applyFont="1" applyBorder="1" applyAlignment="1" applyProtection="1">
      <alignment horizontal="left"/>
    </xf>
    <xf numFmtId="172" fontId="10" fillId="0" borderId="43" xfId="0" applyNumberFormat="1" applyFont="1" applyBorder="1" applyAlignment="1" applyProtection="1">
      <alignment horizontal="right"/>
    </xf>
    <xf numFmtId="172" fontId="10" fillId="0" borderId="73" xfId="0" applyNumberFormat="1" applyFont="1" applyBorder="1" applyAlignment="1" applyProtection="1">
      <alignment horizontal="right"/>
    </xf>
    <xf numFmtId="172" fontId="10" fillId="0" borderId="74" xfId="0" applyNumberFormat="1" applyFont="1" applyBorder="1" applyAlignment="1" applyProtection="1">
      <alignment horizontal="right"/>
    </xf>
    <xf numFmtId="172" fontId="10" fillId="0" borderId="52" xfId="0" applyNumberFormat="1" applyFont="1" applyBorder="1" applyAlignment="1" applyProtection="1">
      <alignment horizontal="right"/>
    </xf>
    <xf numFmtId="169" fontId="10" fillId="0" borderId="18" xfId="0" applyNumberFormat="1" applyFont="1" applyBorder="1"/>
    <xf numFmtId="169"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2" fontId="9" fillId="0" borderId="24" xfId="0" applyNumberFormat="1" applyFont="1" applyBorder="1" applyProtection="1"/>
    <xf numFmtId="172" fontId="9" fillId="0" borderId="17" xfId="0" applyNumberFormat="1" applyFont="1" applyBorder="1" applyProtection="1"/>
    <xf numFmtId="172" fontId="9" fillId="0" borderId="14" xfId="0" applyNumberFormat="1" applyFont="1" applyBorder="1" applyProtection="1"/>
    <xf numFmtId="172"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2" fontId="9" fillId="0" borderId="23" xfId="0" applyNumberFormat="1" applyFont="1" applyBorder="1" applyProtection="1"/>
    <xf numFmtId="172" fontId="9" fillId="0" borderId="65" xfId="0" applyNumberFormat="1" applyFont="1" applyBorder="1" applyProtection="1"/>
    <xf numFmtId="172" fontId="9" fillId="0" borderId="12" xfId="0" applyNumberFormat="1" applyFont="1" applyBorder="1" applyProtection="1"/>
    <xf numFmtId="172"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2" fontId="10" fillId="0" borderId="22" xfId="0" applyNumberFormat="1" applyFont="1" applyBorder="1" applyAlignment="1" applyProtection="1">
      <alignment horizontal="right"/>
    </xf>
    <xf numFmtId="172" fontId="10" fillId="0" borderId="13" xfId="0" applyNumberFormat="1" applyFont="1" applyBorder="1" applyAlignment="1" applyProtection="1">
      <alignment horizontal="right"/>
    </xf>
    <xf numFmtId="172" fontId="10" fillId="0" borderId="0" xfId="0" applyNumberFormat="1" applyFont="1" applyBorder="1" applyAlignment="1" applyProtection="1">
      <alignment horizontal="right"/>
    </xf>
    <xf numFmtId="172" fontId="10" fillId="0" borderId="26" xfId="0" applyNumberFormat="1" applyFont="1" applyBorder="1" applyAlignment="1" applyProtection="1">
      <alignment horizontal="right"/>
    </xf>
    <xf numFmtId="172" fontId="9" fillId="28" borderId="0" xfId="0" applyNumberFormat="1" applyFont="1" applyFill="1" applyBorder="1" applyProtection="1">
      <protection locked="0"/>
    </xf>
    <xf numFmtId="169" fontId="9" fillId="0" borderId="10" xfId="0" applyNumberFormat="1" applyFont="1" applyFill="1" applyBorder="1"/>
    <xf numFmtId="172" fontId="10" fillId="0" borderId="74" xfId="0" applyNumberFormat="1" applyFont="1" applyBorder="1"/>
    <xf numFmtId="172" fontId="10" fillId="0" borderId="52" xfId="0" applyNumberFormat="1" applyFont="1" applyBorder="1"/>
    <xf numFmtId="169" fontId="10" fillId="0" borderId="13" xfId="0" applyNumberFormat="1" applyFont="1" applyBorder="1"/>
    <xf numFmtId="0" fontId="9" fillId="0" borderId="29" xfId="0" applyNumberFormat="1" applyFont="1" applyBorder="1" applyAlignment="1" applyProtection="1">
      <alignment horizontal="center"/>
      <protection locked="0"/>
    </xf>
    <xf numFmtId="172" fontId="10" fillId="0" borderId="29" xfId="0" applyNumberFormat="1" applyFont="1" applyFill="1" applyBorder="1"/>
    <xf numFmtId="172" fontId="10" fillId="0" borderId="75" xfId="0" applyNumberFormat="1" applyFont="1" applyBorder="1"/>
    <xf numFmtId="169" fontId="10" fillId="0" borderId="76" xfId="0" applyNumberFormat="1" applyFont="1" applyBorder="1"/>
    <xf numFmtId="169"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2" fontId="10" fillId="0" borderId="37" xfId="0" applyNumberFormat="1" applyFont="1" applyBorder="1" applyAlignment="1">
      <alignment horizontal="right"/>
    </xf>
    <xf numFmtId="172" fontId="10" fillId="0" borderId="78" xfId="0" applyNumberFormat="1" applyFont="1" applyBorder="1" applyAlignment="1" applyProtection="1">
      <alignment horizontal="right"/>
    </xf>
    <xf numFmtId="172" fontId="9" fillId="0" borderId="69" xfId="0" applyNumberFormat="1" applyFont="1" applyBorder="1" applyProtection="1"/>
    <xf numFmtId="172" fontId="9" fillId="0" borderId="79" xfId="0" applyNumberFormat="1" applyFont="1" applyBorder="1" applyProtection="1"/>
    <xf numFmtId="172" fontId="10" fillId="0" borderId="37" xfId="0" applyNumberFormat="1" applyFont="1" applyBorder="1" applyAlignment="1" applyProtection="1">
      <alignment horizontal="right"/>
    </xf>
    <xf numFmtId="172" fontId="10" fillId="0" borderId="78" xfId="0" applyNumberFormat="1" applyFont="1" applyBorder="1"/>
    <xf numFmtId="172" fontId="10" fillId="0" borderId="34" xfId="0" applyNumberFormat="1" applyFont="1" applyFill="1" applyBorder="1"/>
    <xf numFmtId="0" fontId="9" fillId="0" borderId="25" xfId="0" applyFont="1" applyBorder="1"/>
    <xf numFmtId="0" fontId="9" fillId="0" borderId="23" xfId="0" applyFont="1" applyBorder="1"/>
    <xf numFmtId="172" fontId="10" fillId="0" borderId="30" xfId="0" applyNumberFormat="1" applyFont="1" applyFill="1" applyBorder="1"/>
    <xf numFmtId="172" fontId="10" fillId="0" borderId="49" xfId="0" applyNumberFormat="1" applyFont="1" applyBorder="1"/>
    <xf numFmtId="172" fontId="9" fillId="0" borderId="43" xfId="0" applyNumberFormat="1" applyFont="1" applyBorder="1"/>
    <xf numFmtId="9" fontId="9" fillId="0" borderId="43" xfId="42" applyFont="1" applyBorder="1" applyAlignment="1">
      <alignment horizontal="center"/>
    </xf>
    <xf numFmtId="172"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2" fontId="10" fillId="0" borderId="55" xfId="0" applyNumberFormat="1" applyFont="1" applyBorder="1" applyAlignment="1">
      <alignment vertical="top"/>
    </xf>
    <xf numFmtId="172" fontId="10" fillId="0" borderId="32" xfId="0" applyNumberFormat="1" applyFont="1" applyBorder="1" applyAlignment="1">
      <alignment vertical="top"/>
    </xf>
    <xf numFmtId="172" fontId="10" fillId="0" borderId="31" xfId="0" applyNumberFormat="1" applyFont="1" applyBorder="1" applyAlignment="1">
      <alignment vertical="top"/>
    </xf>
    <xf numFmtId="9" fontId="10" fillId="0" borderId="31" xfId="42" applyFont="1" applyBorder="1" applyAlignment="1">
      <alignment horizontal="center" vertical="top"/>
    </xf>
    <xf numFmtId="172" fontId="10" fillId="0" borderId="47" xfId="0" applyNumberFormat="1" applyFont="1" applyBorder="1" applyAlignment="1">
      <alignment vertical="top"/>
    </xf>
    <xf numFmtId="0" fontId="10" fillId="0" borderId="11" xfId="0" applyNumberFormat="1" applyFont="1" applyBorder="1" applyAlignment="1">
      <alignment wrapText="1"/>
    </xf>
    <xf numFmtId="172" fontId="10" fillId="0" borderId="43" xfId="0" applyNumberFormat="1" applyFont="1" applyBorder="1" applyAlignment="1">
      <alignment vertical="top"/>
    </xf>
    <xf numFmtId="172" fontId="10" fillId="0" borderId="49" xfId="0" applyNumberFormat="1" applyFont="1" applyBorder="1" applyAlignment="1">
      <alignment vertical="top"/>
    </xf>
    <xf numFmtId="172" fontId="10" fillId="0" borderId="60" xfId="0" applyNumberFormat="1" applyFont="1" applyBorder="1" applyAlignment="1">
      <alignment vertical="top"/>
    </xf>
    <xf numFmtId="172" fontId="9" fillId="0" borderId="10" xfId="0" applyNumberFormat="1" applyFont="1" applyFill="1" applyBorder="1"/>
    <xf numFmtId="172" fontId="9" fillId="0" borderId="45" xfId="0" applyNumberFormat="1" applyFont="1" applyFill="1" applyBorder="1"/>
    <xf numFmtId="172" fontId="9" fillId="0" borderId="10" xfId="0" applyNumberFormat="1" applyFont="1" applyFill="1" applyBorder="1" applyProtection="1">
      <protection locked="0"/>
    </xf>
    <xf numFmtId="172" fontId="9" fillId="0" borderId="45" xfId="0" applyNumberFormat="1" applyFont="1" applyFill="1" applyBorder="1" applyProtection="1">
      <protection locked="0"/>
    </xf>
    <xf numFmtId="172" fontId="9" fillId="0" borderId="22" xfId="0" applyNumberFormat="1" applyFont="1" applyFill="1" applyBorder="1" applyProtection="1">
      <protection locked="0"/>
    </xf>
    <xf numFmtId="172"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2" fontId="10" fillId="0" borderId="38" xfId="0" applyNumberFormat="1" applyFont="1" applyFill="1" applyBorder="1"/>
    <xf numFmtId="172" fontId="10" fillId="0" borderId="64" xfId="0" applyNumberFormat="1" applyFont="1" applyFill="1" applyBorder="1"/>
    <xf numFmtId="9" fontId="10" fillId="0" borderId="29" xfId="42" applyFont="1" applyFill="1" applyBorder="1" applyAlignment="1">
      <alignment horizontal="center"/>
    </xf>
    <xf numFmtId="172" fontId="10" fillId="0" borderId="56" xfId="0" applyNumberFormat="1" applyFont="1" applyFill="1" applyBorder="1"/>
    <xf numFmtId="172" fontId="10" fillId="0" borderId="60" xfId="0" applyNumberFormat="1" applyFont="1" applyBorder="1"/>
    <xf numFmtId="172"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2" fontId="10" fillId="25" borderId="30" xfId="0" applyNumberFormat="1" applyFont="1" applyFill="1" applyBorder="1"/>
    <xf numFmtId="172" fontId="9" fillId="0" borderId="26" xfId="0" applyNumberFormat="1" applyFont="1" applyFill="1" applyBorder="1" applyProtection="1">
      <protection locked="0"/>
    </xf>
    <xf numFmtId="168" fontId="9" fillId="0" borderId="22" xfId="42" applyNumberFormat="1" applyFont="1" applyFill="1" applyBorder="1" applyAlignment="1" applyProtection="1">
      <alignment horizontal="center" vertical="top" wrapText="1"/>
      <protection locked="0"/>
    </xf>
    <xf numFmtId="172" fontId="9" fillId="0" borderId="43" xfId="0" applyNumberFormat="1" applyFont="1" applyFill="1" applyBorder="1" applyProtection="1">
      <protection locked="0"/>
    </xf>
    <xf numFmtId="168" fontId="9" fillId="0" borderId="43" xfId="42" applyNumberFormat="1" applyFont="1" applyFill="1" applyBorder="1" applyAlignment="1" applyProtection="1">
      <alignment horizontal="center" vertical="top" wrapText="1"/>
      <protection locked="0"/>
    </xf>
    <xf numFmtId="172" fontId="9" fillId="0" borderId="52" xfId="0" applyNumberFormat="1" applyFont="1" applyFill="1" applyBorder="1" applyProtection="1">
      <protection locked="0"/>
    </xf>
    <xf numFmtId="168" fontId="9" fillId="0" borderId="43" xfId="42" applyNumberFormat="1" applyFont="1" applyFill="1" applyBorder="1" applyAlignment="1">
      <alignment horizontal="center" vertical="top" wrapText="1"/>
    </xf>
    <xf numFmtId="168" fontId="10" fillId="0" borderId="43" xfId="42" applyNumberFormat="1" applyFont="1" applyFill="1" applyBorder="1" applyAlignment="1">
      <alignment horizontal="center" vertical="top" wrapText="1"/>
    </xf>
    <xf numFmtId="0" fontId="9" fillId="0" borderId="59" xfId="0" applyFont="1" applyBorder="1"/>
    <xf numFmtId="172"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69" fontId="9" fillId="0" borderId="38" xfId="0" quotePrefix="1" applyNumberFormat="1" applyFont="1" applyBorder="1" applyAlignment="1">
      <alignment horizontal="center"/>
    </xf>
    <xf numFmtId="169" fontId="9" fillId="0" borderId="30" xfId="0" quotePrefix="1" applyNumberFormat="1" applyFont="1" applyBorder="1" applyAlignment="1">
      <alignment horizontal="center"/>
    </xf>
    <xf numFmtId="169" fontId="9" fillId="0" borderId="29" xfId="0" quotePrefix="1" applyNumberFormat="1" applyFont="1" applyBorder="1" applyAlignment="1">
      <alignment horizontal="center"/>
    </xf>
    <xf numFmtId="169" fontId="9" fillId="0" borderId="29" xfId="0" applyNumberFormat="1" applyFont="1" applyBorder="1" applyAlignment="1">
      <alignment horizontal="center"/>
    </xf>
    <xf numFmtId="169"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2" fontId="9" fillId="0" borderId="67" xfId="0" applyNumberFormat="1" applyFont="1" applyBorder="1"/>
    <xf numFmtId="172" fontId="9" fillId="0" borderId="52" xfId="0" applyNumberFormat="1" applyFont="1" applyBorder="1"/>
    <xf numFmtId="172" fontId="9" fillId="0" borderId="49" xfId="0" applyNumberFormat="1" applyFont="1" applyBorder="1"/>
    <xf numFmtId="0" fontId="13" fillId="0" borderId="11" xfId="0" applyNumberFormat="1" applyFont="1" applyBorder="1" applyAlignment="1">
      <alignment horizontal="left" indent="2"/>
    </xf>
    <xf numFmtId="168" fontId="10" fillId="0" borderId="37" xfId="42" applyNumberFormat="1" applyFont="1" applyFill="1" applyBorder="1" applyAlignment="1">
      <alignment horizontal="center" vertical="top" wrapText="1"/>
    </xf>
    <xf numFmtId="172" fontId="10" fillId="0" borderId="54" xfId="0" applyNumberFormat="1" applyFont="1" applyBorder="1"/>
    <xf numFmtId="172" fontId="10" fillId="0" borderId="62" xfId="0" applyNumberFormat="1" applyFont="1" applyBorder="1"/>
    <xf numFmtId="172" fontId="10" fillId="0" borderId="36" xfId="0" applyNumberFormat="1" applyFont="1" applyBorder="1"/>
    <xf numFmtId="168" fontId="10" fillId="0" borderId="36" xfId="42" applyNumberFormat="1" applyFont="1" applyFill="1" applyBorder="1" applyAlignment="1">
      <alignment horizontal="center" vertical="top" wrapText="1"/>
    </xf>
    <xf numFmtId="172"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4" fontId="5" fillId="0" borderId="11" xfId="0" applyNumberFormat="1" applyFont="1" applyBorder="1" applyAlignment="1">
      <alignment horizontal="left"/>
    </xf>
    <xf numFmtId="173" fontId="9" fillId="0" borderId="45" xfId="42" applyNumberFormat="1" applyFont="1" applyBorder="1"/>
    <xf numFmtId="173" fontId="10" fillId="0" borderId="22" xfId="42" applyNumberFormat="1" applyFont="1" applyBorder="1" applyAlignment="1">
      <alignment vertical="top"/>
    </xf>
    <xf numFmtId="173" fontId="10" fillId="0" borderId="45" xfId="42" applyNumberFormat="1" applyFont="1" applyBorder="1" applyAlignment="1">
      <alignment vertical="top"/>
    </xf>
    <xf numFmtId="173" fontId="10" fillId="0" borderId="43" xfId="42" applyNumberFormat="1" applyFont="1" applyBorder="1"/>
    <xf numFmtId="171" fontId="10" fillId="25" borderId="22" xfId="0" applyNumberFormat="1" applyFont="1" applyFill="1" applyBorder="1"/>
    <xf numFmtId="173" fontId="10" fillId="25" borderId="22" xfId="42" applyNumberFormat="1" applyFont="1" applyFill="1" applyBorder="1"/>
    <xf numFmtId="172" fontId="10" fillId="0" borderId="47" xfId="0" applyNumberFormat="1" applyFont="1" applyFill="1" applyBorder="1"/>
    <xf numFmtId="172" fontId="10" fillId="0" borderId="61" xfId="0" applyNumberFormat="1" applyFont="1" applyFill="1" applyBorder="1"/>
    <xf numFmtId="9" fontId="10" fillId="0" borderId="31" xfId="42" applyFont="1" applyFill="1" applyBorder="1" applyAlignment="1">
      <alignment horizontal="center"/>
    </xf>
    <xf numFmtId="172" fontId="10" fillId="0" borderId="80" xfId="0" applyNumberFormat="1" applyFont="1" applyFill="1" applyBorder="1"/>
    <xf numFmtId="172" fontId="10" fillId="0" borderId="10" xfId="0" applyNumberFormat="1" applyFont="1" applyFill="1" applyBorder="1"/>
    <xf numFmtId="172" fontId="10" fillId="0" borderId="26" xfId="0" applyNumberFormat="1" applyFont="1" applyFill="1" applyBorder="1"/>
    <xf numFmtId="172" fontId="10" fillId="0" borderId="46" xfId="0" applyNumberFormat="1" applyFont="1" applyFill="1" applyBorder="1"/>
    <xf numFmtId="0" fontId="9" fillId="0" borderId="22" xfId="0" applyNumberFormat="1" applyFont="1" applyBorder="1" applyAlignment="1">
      <alignment horizontal="center"/>
    </xf>
    <xf numFmtId="172" fontId="10" fillId="0" borderId="31" xfId="0" applyNumberFormat="1" applyFont="1" applyFill="1" applyBorder="1" applyProtection="1"/>
    <xf numFmtId="172"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2" fontId="9" fillId="0" borderId="43" xfId="0" applyNumberFormat="1" applyFont="1" applyFill="1" applyBorder="1" applyProtection="1"/>
    <xf numFmtId="172" fontId="9" fillId="0" borderId="52" xfId="0" applyNumberFormat="1" applyFont="1" applyFill="1" applyBorder="1" applyProtection="1"/>
    <xf numFmtId="172" fontId="9" fillId="0" borderId="49" xfId="0" applyNumberFormat="1" applyFont="1" applyFill="1" applyBorder="1" applyProtection="1"/>
    <xf numFmtId="172" fontId="10" fillId="0" borderId="43" xfId="0" applyNumberFormat="1" applyFont="1" applyFill="1" applyBorder="1" applyProtection="1"/>
    <xf numFmtId="172" fontId="10" fillId="0" borderId="78"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0" fontId="10" fillId="0" borderId="11" xfId="0" applyNumberFormat="1" applyFont="1" applyBorder="1" applyProtection="1"/>
    <xf numFmtId="172" fontId="10" fillId="0" borderId="43" xfId="0" applyNumberFormat="1" applyFont="1" applyFill="1" applyBorder="1"/>
    <xf numFmtId="172"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165" fontId="13" fillId="0" borderId="0" xfId="28" applyNumberFormat="1" applyFont="1" applyBorder="1" applyAlignment="1">
      <alignment horizontal="right"/>
    </xf>
    <xf numFmtId="165" fontId="13" fillId="0" borderId="0" xfId="28" applyNumberFormat="1" applyFont="1" applyFill="1" applyBorder="1" applyAlignment="1">
      <alignment horizontal="right"/>
    </xf>
    <xf numFmtId="172" fontId="9" fillId="0" borderId="0" xfId="0" applyNumberFormat="1" applyFont="1"/>
    <xf numFmtId="0" fontId="10" fillId="0" borderId="23" xfId="0" applyFont="1" applyFill="1" applyBorder="1" applyAlignment="1">
      <alignment horizontal="center"/>
    </xf>
    <xf numFmtId="172" fontId="9" fillId="0" borderId="31" xfId="0" applyNumberFormat="1" applyFont="1" applyFill="1" applyBorder="1"/>
    <xf numFmtId="9" fontId="9" fillId="0" borderId="31" xfId="42" applyFont="1" applyFill="1" applyBorder="1" applyAlignment="1">
      <alignment horizontal="center"/>
    </xf>
    <xf numFmtId="172" fontId="10" fillId="0" borderId="24" xfId="0" applyNumberFormat="1" applyFont="1" applyFill="1" applyBorder="1"/>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10" fillId="0" borderId="22" xfId="0" applyNumberFormat="1" applyFont="1" applyFill="1" applyBorder="1" applyProtection="1"/>
    <xf numFmtId="9" fontId="10" fillId="0" borderId="24" xfId="42" applyFont="1" applyFill="1" applyBorder="1" applyAlignment="1">
      <alignment horizontal="center"/>
    </xf>
    <xf numFmtId="172" fontId="10" fillId="0" borderId="50" xfId="0" applyNumberFormat="1" applyFont="1" applyFill="1" applyBorder="1"/>
    <xf numFmtId="172" fontId="10" fillId="0" borderId="58" xfId="0" applyNumberFormat="1" applyFont="1" applyFill="1" applyBorder="1"/>
    <xf numFmtId="172" fontId="10" fillId="0" borderId="46" xfId="0" applyNumberFormat="1" applyFont="1" applyFill="1" applyBorder="1" applyProtection="1"/>
    <xf numFmtId="172" fontId="9" fillId="0" borderId="46" xfId="0" applyNumberFormat="1" applyFont="1" applyFill="1" applyBorder="1" applyProtection="1"/>
    <xf numFmtId="172" fontId="9" fillId="0" borderId="46" xfId="29" applyNumberFormat="1" applyFont="1" applyFill="1" applyBorder="1" applyProtection="1"/>
    <xf numFmtId="172" fontId="10" fillId="0" borderId="55" xfId="0" applyNumberFormat="1" applyFont="1" applyFill="1" applyBorder="1"/>
    <xf numFmtId="172"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2" fontId="9" fillId="0" borderId="10" xfId="0" applyNumberFormat="1" applyFont="1" applyFill="1" applyBorder="1" applyProtection="1"/>
    <xf numFmtId="172" fontId="9" fillId="0" borderId="26" xfId="0" applyNumberFormat="1" applyFont="1" applyFill="1" applyBorder="1" applyProtection="1"/>
    <xf numFmtId="172" fontId="9" fillId="0" borderId="37" xfId="0" applyNumberFormat="1" applyFont="1" applyFill="1" applyBorder="1" applyProtection="1"/>
    <xf numFmtId="172" fontId="9" fillId="0" borderId="54" xfId="0" applyNumberFormat="1" applyFont="1" applyFill="1" applyBorder="1" applyProtection="1"/>
    <xf numFmtId="172" fontId="9" fillId="0" borderId="66" xfId="0" applyNumberFormat="1" applyFont="1" applyFill="1" applyBorder="1" applyProtection="1"/>
    <xf numFmtId="172" fontId="9" fillId="0" borderId="81" xfId="0" applyNumberFormat="1" applyFont="1" applyFill="1" applyBorder="1" applyProtection="1"/>
    <xf numFmtId="172" fontId="9" fillId="0" borderId="51" xfId="0" applyNumberFormat="1" applyFont="1" applyFill="1" applyBorder="1" applyProtection="1"/>
    <xf numFmtId="172" fontId="10" fillId="0" borderId="10" xfId="0" applyNumberFormat="1" applyFont="1" applyFill="1" applyBorder="1" applyAlignment="1" applyProtection="1">
      <alignment vertical="top"/>
    </xf>
    <xf numFmtId="172" fontId="10" fillId="0" borderId="26" xfId="0" applyNumberFormat="1" applyFont="1" applyFill="1" applyBorder="1" applyAlignment="1" applyProtection="1">
      <alignment vertical="top"/>
    </xf>
    <xf numFmtId="172" fontId="10" fillId="0" borderId="22" xfId="0" applyNumberFormat="1" applyFont="1" applyFill="1" applyBorder="1" applyAlignment="1" applyProtection="1">
      <alignment vertical="top"/>
    </xf>
    <xf numFmtId="172" fontId="10" fillId="0" borderId="37" xfId="0" applyNumberFormat="1" applyFont="1" applyFill="1" applyBorder="1" applyAlignment="1" applyProtection="1">
      <alignment vertical="top"/>
    </xf>
    <xf numFmtId="172" fontId="10" fillId="0" borderId="46" xfId="0" applyNumberFormat="1" applyFont="1" applyFill="1" applyBorder="1" applyAlignment="1" applyProtection="1">
      <alignment vertical="top"/>
    </xf>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3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67" xfId="0" applyNumberFormat="1" applyFont="1" applyFill="1" applyBorder="1" applyProtection="1"/>
    <xf numFmtId="172" fontId="10" fillId="0" borderId="45" xfId="0" applyNumberFormat="1" applyFont="1" applyFill="1" applyBorder="1" applyProtection="1"/>
    <xf numFmtId="172" fontId="9" fillId="0" borderId="45" xfId="0" applyNumberFormat="1" applyFont="1" applyFill="1" applyBorder="1" applyProtection="1"/>
    <xf numFmtId="172" fontId="9" fillId="0" borderId="45" xfId="28" applyNumberFormat="1" applyFont="1" applyFill="1" applyBorder="1" applyProtection="1"/>
    <xf numFmtId="172" fontId="9" fillId="0" borderId="22" xfId="28" applyNumberFormat="1" applyFont="1" applyFill="1" applyBorder="1" applyProtection="1"/>
    <xf numFmtId="172" fontId="9" fillId="0" borderId="46" xfId="28" applyNumberFormat="1" applyFont="1" applyFill="1" applyBorder="1" applyProtection="1"/>
    <xf numFmtId="9" fontId="9" fillId="0" borderId="46" xfId="42" applyFont="1" applyFill="1" applyBorder="1" applyAlignment="1" applyProtection="1">
      <alignment horizontal="center"/>
    </xf>
    <xf numFmtId="172" fontId="9" fillId="0" borderId="46" xfId="0" applyNumberFormat="1" applyFont="1" applyFill="1" applyBorder="1" applyAlignment="1" applyProtection="1">
      <alignment horizontal="center"/>
    </xf>
    <xf numFmtId="172" fontId="9" fillId="0" borderId="51" xfId="0" applyNumberFormat="1" applyFont="1" applyFill="1" applyBorder="1" applyAlignment="1" applyProtection="1">
      <alignment horizontal="center"/>
    </xf>
    <xf numFmtId="172" fontId="9" fillId="0" borderId="67" xfId="0" applyNumberFormat="1" applyFont="1" applyFill="1" applyBorder="1" applyProtection="1"/>
    <xf numFmtId="0" fontId="9" fillId="0" borderId="0" xfId="0" applyFont="1" applyFill="1" applyAlignment="1" applyProtection="1">
      <alignment horizontal="center"/>
    </xf>
    <xf numFmtId="165"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5"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6"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7" fontId="9" fillId="0" borderId="0" xfId="0" applyNumberFormat="1" applyFont="1" applyFill="1"/>
    <xf numFmtId="0" fontId="13" fillId="0" borderId="0" xfId="0" applyFont="1" applyFill="1" applyBorder="1" applyAlignment="1" applyProtection="1">
      <alignment horizontal="right"/>
    </xf>
    <xf numFmtId="168"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2" fontId="9" fillId="0" borderId="37" xfId="0" applyNumberFormat="1" applyFont="1" applyBorder="1" applyProtection="1"/>
    <xf numFmtId="172" fontId="9" fillId="0" borderId="26" xfId="0" applyNumberFormat="1" applyFont="1" applyBorder="1" applyProtection="1"/>
    <xf numFmtId="172" fontId="9" fillId="0" borderId="22" xfId="0" applyNumberFormat="1" applyFont="1" applyBorder="1" applyProtection="1"/>
    <xf numFmtId="172" fontId="9" fillId="0" borderId="0" xfId="0" applyNumberFormat="1" applyFont="1" applyBorder="1" applyProtection="1"/>
    <xf numFmtId="172" fontId="9" fillId="0" borderId="13" xfId="0" applyNumberFormat="1" applyFont="1" applyBorder="1" applyProtection="1"/>
    <xf numFmtId="172"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8" fontId="10" fillId="25" borderId="29" xfId="42" applyNumberFormat="1" applyFont="1" applyFill="1" applyBorder="1" applyAlignment="1">
      <alignment horizontal="center" vertical="top" wrapText="1"/>
    </xf>
    <xf numFmtId="168" fontId="10" fillId="0" borderId="22" xfId="0" applyNumberFormat="1" applyFont="1" applyBorder="1" applyAlignment="1">
      <alignment horizontal="center"/>
    </xf>
    <xf numFmtId="168" fontId="9" fillId="0" borderId="22" xfId="42" applyNumberFormat="1" applyFont="1" applyBorder="1" applyAlignment="1">
      <alignment horizontal="center"/>
    </xf>
    <xf numFmtId="168" fontId="10" fillId="0" borderId="31" xfId="0" applyNumberFormat="1" applyFont="1" applyBorder="1"/>
    <xf numFmtId="168" fontId="9" fillId="0" borderId="22" xfId="0" applyNumberFormat="1" applyFont="1" applyBorder="1"/>
    <xf numFmtId="168" fontId="10" fillId="0" borderId="43" xfId="42" applyNumberFormat="1" applyFont="1" applyBorder="1" applyAlignment="1">
      <alignment horizontal="center"/>
    </xf>
    <xf numFmtId="168" fontId="10" fillId="0" borderId="29" xfId="42" applyNumberFormat="1" applyFont="1" applyBorder="1" applyAlignment="1">
      <alignment horizontal="center"/>
    </xf>
    <xf numFmtId="172"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2" fontId="9" fillId="32" borderId="22" xfId="0" applyNumberFormat="1" applyFont="1" applyFill="1" applyBorder="1" applyProtection="1">
      <protection locked="0"/>
    </xf>
    <xf numFmtId="172" fontId="9" fillId="32" borderId="43" xfId="0" applyNumberFormat="1" applyFont="1" applyFill="1" applyBorder="1" applyProtection="1">
      <protection locked="0"/>
    </xf>
    <xf numFmtId="172" fontId="9" fillId="32" borderId="46" xfId="0" applyNumberFormat="1" applyFont="1" applyFill="1" applyBorder="1" applyProtection="1">
      <protection locked="0"/>
    </xf>
    <xf numFmtId="172" fontId="9" fillId="32" borderId="49"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9" xfId="0" applyNumberFormat="1" applyFont="1" applyFill="1" applyBorder="1" applyProtection="1">
      <protection locked="0"/>
    </xf>
    <xf numFmtId="172" fontId="9" fillId="32" borderId="37" xfId="0" applyNumberFormat="1" applyFont="1" applyFill="1" applyBorder="1" applyAlignment="1" applyProtection="1">
      <alignment horizontal="right"/>
      <protection locked="0"/>
    </xf>
    <xf numFmtId="172" fontId="9" fillId="32" borderId="26" xfId="0" applyNumberFormat="1" applyFont="1" applyFill="1" applyBorder="1" applyAlignment="1" applyProtection="1">
      <alignment horizontal="right"/>
      <protection locked="0"/>
    </xf>
    <xf numFmtId="172" fontId="9" fillId="32" borderId="22" xfId="0" applyNumberFormat="1" applyFont="1" applyFill="1" applyBorder="1" applyAlignment="1" applyProtection="1">
      <alignment horizontal="right"/>
      <protection locked="0"/>
    </xf>
    <xf numFmtId="172" fontId="9" fillId="32" borderId="0" xfId="0" applyNumberFormat="1" applyFont="1" applyFill="1" applyBorder="1" applyAlignment="1" applyProtection="1">
      <alignment horizontal="right"/>
      <protection locked="0"/>
    </xf>
    <xf numFmtId="172" fontId="9" fillId="32" borderId="13" xfId="0" applyNumberFormat="1" applyFont="1" applyFill="1" applyBorder="1" applyAlignment="1" applyProtection="1">
      <alignment horizontal="right"/>
      <protection locked="0"/>
    </xf>
    <xf numFmtId="172" fontId="9" fillId="32" borderId="37" xfId="0" applyNumberFormat="1" applyFont="1" applyFill="1" applyBorder="1" applyProtection="1">
      <protection locked="0"/>
    </xf>
    <xf numFmtId="172" fontId="9" fillId="32" borderId="26" xfId="0" applyNumberFormat="1" applyFont="1" applyFill="1" applyBorder="1" applyProtection="1">
      <protection locked="0"/>
    </xf>
    <xf numFmtId="172" fontId="9" fillId="32" borderId="0" xfId="0" applyNumberFormat="1" applyFont="1" applyFill="1" applyBorder="1" applyProtection="1">
      <protection locked="0"/>
    </xf>
    <xf numFmtId="172" fontId="9" fillId="32" borderId="13" xfId="0" applyNumberFormat="1" applyFont="1" applyFill="1" applyBorder="1" applyProtection="1">
      <protection locked="0"/>
    </xf>
    <xf numFmtId="172" fontId="9" fillId="32" borderId="10" xfId="0" applyNumberFormat="1" applyFont="1" applyFill="1" applyBorder="1" applyProtection="1">
      <protection locked="0"/>
    </xf>
    <xf numFmtId="172" fontId="9" fillId="32" borderId="54" xfId="0" applyNumberFormat="1" applyFont="1" applyFill="1" applyBorder="1" applyProtection="1">
      <protection locked="0"/>
    </xf>
    <xf numFmtId="172" fontId="9" fillId="32" borderId="66" xfId="0" applyNumberFormat="1" applyFont="1" applyFill="1" applyBorder="1" applyProtection="1">
      <protection locked="0"/>
    </xf>
    <xf numFmtId="172" fontId="9" fillId="32" borderId="36" xfId="0" applyNumberFormat="1" applyFont="1" applyFill="1" applyBorder="1" applyProtection="1">
      <protection locked="0"/>
    </xf>
    <xf numFmtId="172" fontId="9" fillId="32" borderId="51" xfId="0" applyNumberFormat="1" applyFont="1" applyFill="1" applyBorder="1" applyProtection="1">
      <protection locked="0"/>
    </xf>
    <xf numFmtId="172" fontId="9" fillId="32" borderId="45" xfId="0" applyNumberFormat="1" applyFont="1" applyFill="1" applyBorder="1" applyProtection="1">
      <protection locked="0"/>
    </xf>
    <xf numFmtId="172" fontId="9" fillId="32" borderId="46" xfId="28" applyNumberFormat="1" applyFont="1" applyFill="1" applyBorder="1" applyProtection="1">
      <protection locked="0"/>
    </xf>
    <xf numFmtId="172" fontId="9" fillId="32" borderId="45" xfId="28" applyNumberFormat="1" applyFont="1" applyFill="1" applyBorder="1" applyProtection="1">
      <protection locked="0"/>
    </xf>
    <xf numFmtId="172" fontId="9" fillId="32" borderId="22" xfId="28" applyNumberFormat="1" applyFont="1" applyFill="1" applyBorder="1" applyProtection="1">
      <protection locked="0"/>
    </xf>
    <xf numFmtId="172"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2" fontId="9" fillId="32" borderId="19" xfId="0" applyNumberFormat="1" applyFont="1" applyFill="1" applyBorder="1" applyProtection="1">
      <protection locked="0"/>
    </xf>
    <xf numFmtId="168" fontId="9" fillId="32" borderId="10" xfId="42" applyNumberFormat="1" applyFont="1" applyFill="1" applyBorder="1" applyAlignment="1" applyProtection="1">
      <alignment horizontal="center" vertical="top" wrapText="1"/>
      <protection locked="0"/>
    </xf>
    <xf numFmtId="168" fontId="9" fillId="32" borderId="45" xfId="42" applyNumberFormat="1" applyFont="1" applyFill="1" applyBorder="1" applyAlignment="1" applyProtection="1">
      <alignment horizontal="center" vertical="top" wrapText="1"/>
      <protection locked="0"/>
    </xf>
    <xf numFmtId="168" fontId="9" fillId="32" borderId="22" xfId="42" applyNumberFormat="1" applyFont="1" applyFill="1" applyBorder="1" applyAlignment="1" applyProtection="1">
      <alignment horizontal="center" vertical="top" wrapText="1"/>
      <protection locked="0"/>
    </xf>
    <xf numFmtId="168" fontId="9" fillId="32" borderId="46" xfId="42" applyNumberFormat="1" applyFont="1" applyFill="1" applyBorder="1" applyAlignment="1" applyProtection="1">
      <alignment horizontal="center" vertical="top" wrapText="1"/>
      <protection locked="0"/>
    </xf>
    <xf numFmtId="168" fontId="9" fillId="32" borderId="19" xfId="42" applyNumberFormat="1" applyFont="1" applyFill="1" applyBorder="1" applyAlignment="1" applyProtection="1">
      <alignment horizontal="center" vertical="top" wrapText="1"/>
      <protection locked="0"/>
    </xf>
    <xf numFmtId="168" fontId="9" fillId="32" borderId="58" xfId="42" applyNumberFormat="1" applyFont="1" applyFill="1" applyBorder="1" applyAlignment="1" applyProtection="1">
      <alignment horizontal="center" vertical="top" wrapText="1"/>
      <protection locked="0"/>
    </xf>
    <xf numFmtId="168" fontId="9" fillId="32" borderId="24" xfId="42" applyNumberFormat="1" applyFont="1" applyFill="1" applyBorder="1" applyAlignment="1" applyProtection="1">
      <alignment horizontal="center" vertical="top" wrapText="1"/>
      <protection locked="0"/>
    </xf>
    <xf numFmtId="168" fontId="9" fillId="32" borderId="50" xfId="42" applyNumberFormat="1" applyFont="1" applyFill="1" applyBorder="1" applyAlignment="1" applyProtection="1">
      <alignment horizontal="center" vertical="top" wrapText="1"/>
      <protection locked="0"/>
    </xf>
    <xf numFmtId="169" fontId="9" fillId="32" borderId="0" xfId="0" applyNumberFormat="1" applyFont="1" applyFill="1" applyBorder="1" applyProtection="1">
      <protection locked="0"/>
    </xf>
    <xf numFmtId="169" fontId="9" fillId="32" borderId="13" xfId="0" applyNumberFormat="1" applyFont="1" applyFill="1" applyBorder="1" applyProtection="1">
      <protection locked="0"/>
    </xf>
    <xf numFmtId="169" fontId="9" fillId="32" borderId="0" xfId="28" applyNumberFormat="1" applyFont="1" applyFill="1" applyBorder="1" applyProtection="1">
      <protection locked="0"/>
    </xf>
    <xf numFmtId="169" fontId="9" fillId="32" borderId="13" xfId="28" applyNumberFormat="1" applyFont="1" applyFill="1" applyBorder="1" applyProtection="1">
      <protection locked="0"/>
    </xf>
    <xf numFmtId="169" fontId="9" fillId="32" borderId="14" xfId="28" applyNumberFormat="1" applyFont="1" applyFill="1" applyBorder="1" applyProtection="1">
      <protection locked="0"/>
    </xf>
    <xf numFmtId="169" fontId="9" fillId="32" borderId="14" xfId="0" applyNumberFormat="1" applyFont="1" applyFill="1" applyBorder="1" applyProtection="1">
      <protection locked="0"/>
    </xf>
    <xf numFmtId="169"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2" fontId="9" fillId="32" borderId="67" xfId="0" applyNumberFormat="1" applyFont="1" applyFill="1" applyBorder="1" applyProtection="1">
      <protection locked="0"/>
    </xf>
    <xf numFmtId="172"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2" fontId="10" fillId="32" borderId="10"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22" xfId="0" applyNumberFormat="1" applyFont="1" applyFill="1" applyBorder="1" applyProtection="1">
      <protection locked="0"/>
    </xf>
    <xf numFmtId="172"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72" fontId="9" fillId="0" borderId="72" xfId="0" applyNumberFormat="1" applyFont="1" applyBorder="1"/>
    <xf numFmtId="0" fontId="49" fillId="33" borderId="0" xfId="0" applyFont="1" applyFill="1" applyProtection="1"/>
    <xf numFmtId="0" fontId="40"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3"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4" fillId="33" borderId="0" xfId="0" applyFont="1" applyFill="1" applyProtection="1"/>
    <xf numFmtId="0" fontId="52"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3" xfId="0" applyFont="1" applyBorder="1" applyAlignment="1" applyProtection="1">
      <alignment horizontal="left" vertical="top" wrapText="1"/>
    </xf>
    <xf numFmtId="0" fontId="8" fillId="32" borderId="84"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0" fontId="19" fillId="0" borderId="16" xfId="0" applyFont="1" applyFill="1" applyBorder="1" applyAlignment="1" applyProtection="1">
      <alignment horizontal="justify" wrapText="1"/>
    </xf>
    <xf numFmtId="175"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NumberFormat="1" applyFont="1" applyProtection="1"/>
    <xf numFmtId="0" fontId="39" fillId="0" borderId="0" xfId="0" applyFont="1" applyAlignment="1" applyProtection="1">
      <alignment vertical="center"/>
    </xf>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2"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8" fontId="10" fillId="0" borderId="46" xfId="42" applyNumberFormat="1" applyFont="1" applyFill="1" applyBorder="1" applyAlignment="1">
      <alignment horizontal="center" wrapText="1"/>
    </xf>
    <xf numFmtId="168" fontId="9" fillId="0" borderId="49" xfId="42" applyNumberFormat="1" applyFont="1" applyFill="1" applyBorder="1" applyAlignment="1">
      <alignment horizontal="center" vertical="top" wrapText="1"/>
    </xf>
    <xf numFmtId="168" fontId="10" fillId="0" borderId="49" xfId="42" applyNumberFormat="1" applyFont="1" applyFill="1" applyBorder="1" applyAlignment="1">
      <alignment horizontal="center" vertical="top" wrapText="1"/>
    </xf>
    <xf numFmtId="168" fontId="10" fillId="0" borderId="47" xfId="42" applyNumberFormat="1" applyFont="1" applyFill="1" applyBorder="1" applyAlignment="1">
      <alignment horizontal="center" vertical="top" wrapText="1"/>
    </xf>
    <xf numFmtId="168"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2" fontId="9" fillId="0" borderId="11" xfId="0" applyNumberFormat="1" applyFont="1" applyBorder="1"/>
    <xf numFmtId="172" fontId="10" fillId="0" borderId="11" xfId="0" applyNumberFormat="1" applyFont="1" applyBorder="1"/>
    <xf numFmtId="172" fontId="10" fillId="0" borderId="28" xfId="0" applyNumberFormat="1" applyFont="1" applyFill="1" applyBorder="1"/>
    <xf numFmtId="0" fontId="0" fillId="0" borderId="0" xfId="0" applyFill="1"/>
    <xf numFmtId="0" fontId="39" fillId="0" borderId="0" xfId="0" applyFont="1" applyFill="1"/>
    <xf numFmtId="0" fontId="39" fillId="34" borderId="0" xfId="0" applyFont="1"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2" fontId="10" fillId="0" borderId="54" xfId="0" applyNumberFormat="1" applyFont="1" applyFill="1" applyBorder="1"/>
    <xf numFmtId="172" fontId="10" fillId="0" borderId="62" xfId="0" applyNumberFormat="1" applyFont="1" applyFill="1" applyBorder="1"/>
    <xf numFmtId="172" fontId="10" fillId="0" borderId="36" xfId="0" applyNumberFormat="1" applyFont="1" applyFill="1" applyBorder="1"/>
    <xf numFmtId="172" fontId="10" fillId="0" borderId="51" xfId="0" applyNumberFormat="1" applyFont="1" applyFill="1" applyBorder="1"/>
    <xf numFmtId="49" fontId="19" fillId="32" borderId="65" xfId="0" applyNumberFormat="1" applyFont="1" applyFill="1" applyBorder="1" applyAlignment="1" applyProtection="1">
      <alignment horizontal="justify" wrapText="1"/>
      <protection locked="0"/>
    </xf>
    <xf numFmtId="49" fontId="54" fillId="32" borderId="13" xfId="47" applyNumberFormat="1" applyFill="1" applyBorder="1" applyAlignment="1" applyProtection="1">
      <alignment horizontal="justify" vertical="top" wrapText="1"/>
      <protection locked="0"/>
    </xf>
    <xf numFmtId="49" fontId="19" fillId="32" borderId="13" xfId="0" applyNumberFormat="1" applyFont="1" applyFill="1" applyBorder="1" applyAlignment="1" applyProtection="1">
      <alignment horizontal="justify" wrapText="1"/>
      <protection locked="0"/>
    </xf>
    <xf numFmtId="49" fontId="55" fillId="32" borderId="65" xfId="47" applyNumberFormat="1" applyFont="1" applyFill="1" applyBorder="1" applyAlignment="1" applyProtection="1">
      <alignment horizontal="justify" wrapText="1"/>
      <protection locked="0"/>
    </xf>
    <xf numFmtId="172" fontId="9" fillId="32" borderId="22" xfId="48"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32" borderId="22" xfId="66" applyNumberFormat="1" applyFont="1" applyFill="1" applyBorder="1" applyProtection="1">
      <protection locked="0"/>
    </xf>
    <xf numFmtId="172" fontId="9" fillId="32" borderId="22" xfId="66" applyNumberFormat="1" applyFont="1" applyFill="1" applyBorder="1" applyProtection="1">
      <protection locked="0"/>
    </xf>
    <xf numFmtId="172" fontId="9" fillId="28" borderId="0" xfId="66" applyNumberFormat="1" applyFont="1" applyFill="1" applyBorder="1" applyProtection="1">
      <protection locked="0"/>
    </xf>
    <xf numFmtId="172" fontId="9" fillId="28" borderId="0" xfId="66" applyNumberFormat="1" applyFont="1" applyFill="1" applyBorder="1" applyProtection="1">
      <protection locked="0"/>
    </xf>
    <xf numFmtId="172" fontId="9" fillId="32" borderId="22" xfId="28" applyNumberFormat="1" applyFont="1" applyFill="1" applyBorder="1" applyProtection="1">
      <protection locked="0"/>
    </xf>
    <xf numFmtId="172" fontId="9" fillId="32" borderId="22" xfId="66" applyNumberFormat="1" applyFont="1" applyFill="1" applyBorder="1" applyProtection="1">
      <protection locked="0"/>
    </xf>
    <xf numFmtId="49" fontId="19" fillId="32" borderId="18" xfId="0" quotePrefix="1" applyNumberFormat="1" applyFont="1" applyFill="1" applyBorder="1" applyAlignment="1" applyProtection="1">
      <alignment horizontal="justify" wrapText="1"/>
      <protection locked="0"/>
    </xf>
    <xf numFmtId="49" fontId="54" fillId="32" borderId="18" xfId="47" applyNumberFormat="1" applyFill="1" applyBorder="1" applyAlignment="1" applyProtection="1">
      <alignment horizontal="justify" wrapText="1"/>
      <protection locked="0"/>
    </xf>
    <xf numFmtId="172" fontId="9" fillId="28" borderId="11" xfId="0" applyNumberFormat="1" applyFont="1" applyFill="1" applyBorder="1" applyAlignment="1" applyProtection="1">
      <alignment horizontal="right"/>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0" fontId="8" fillId="0" borderId="88" xfId="0" applyFont="1" applyBorder="1" applyAlignment="1" applyProtection="1">
      <alignment horizontal="justify" wrapText="1"/>
    </xf>
    <xf numFmtId="0" fontId="8" fillId="0" borderId="89"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0" fontId="19" fillId="0" borderId="89" xfId="0" applyFont="1" applyBorder="1" applyAlignment="1">
      <alignment horizontal="justify" wrapText="1"/>
    </xf>
    <xf numFmtId="0" fontId="19" fillId="0" borderId="18" xfId="0" applyFont="1" applyBorder="1" applyAlignment="1">
      <alignment horizontal="justify" wrapText="1"/>
    </xf>
    <xf numFmtId="0" fontId="45" fillId="0" borderId="85" xfId="0" applyFont="1" applyBorder="1" applyAlignment="1" applyProtection="1">
      <alignment horizontal="justify" vertical="center" wrapText="1"/>
    </xf>
    <xf numFmtId="0" fontId="45" fillId="0" borderId="86" xfId="0" applyFont="1" applyBorder="1" applyAlignment="1" applyProtection="1">
      <alignment horizontal="justify" vertical="center" wrapText="1"/>
    </xf>
    <xf numFmtId="0" fontId="8" fillId="0" borderId="85" xfId="0" applyFont="1" applyBorder="1" applyAlignment="1" applyProtection="1">
      <alignment horizontal="justify" vertical="center" wrapText="1"/>
    </xf>
    <xf numFmtId="0" fontId="8" fillId="0" borderId="86" xfId="0" applyFont="1" applyBorder="1" applyAlignment="1" applyProtection="1">
      <alignment horizontal="justify" vertical="center"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87" xfId="0" applyFont="1" applyBorder="1" applyAlignment="1" applyProtection="1">
      <alignment horizontal="justify" vertical="center" wrapText="1"/>
    </xf>
    <xf numFmtId="0" fontId="46" fillId="0" borderId="87" xfId="0" applyFont="1" applyBorder="1" applyAlignment="1">
      <alignment horizontal="justify" vertical="center" wrapText="1"/>
    </xf>
    <xf numFmtId="0" fontId="45" fillId="0" borderId="85" xfId="0" applyFont="1" applyBorder="1" applyAlignment="1" applyProtection="1">
      <alignment horizontal="justify" vertical="center"/>
    </xf>
    <xf numFmtId="0" fontId="19" fillId="0" borderId="86" xfId="0" applyFont="1" applyBorder="1" applyAlignment="1">
      <alignment horizontal="justify" vertical="center"/>
    </xf>
    <xf numFmtId="0" fontId="19" fillId="0" borderId="86" xfId="0"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0"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23"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8486102.75</c:v>
                </c:pt>
                <c:pt idx="1">
                  <c:v>44066377.43</c:v>
                </c:pt>
                <c:pt idx="2">
                  <c:v>27887899.230000004</c:v>
                </c:pt>
                <c:pt idx="3">
                  <c:v>26023182.029999994</c:v>
                </c:pt>
                <c:pt idx="4">
                  <c:v>24614292.260000002</c:v>
                </c:pt>
                <c:pt idx="5">
                  <c:v>16055422.440000001</c:v>
                </c:pt>
                <c:pt idx="6">
                  <c:v>91947904.500000015</c:v>
                </c:pt>
                <c:pt idx="7">
                  <c:v>600953921.09000003</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7416746.7899999991</c:v>
                </c:pt>
                <c:pt idx="1">
                  <c:v>44006302.449999996</c:v>
                </c:pt>
                <c:pt idx="2">
                  <c:v>28672547.730000004</c:v>
                </c:pt>
                <c:pt idx="3">
                  <c:v>34171803.939999998</c:v>
                </c:pt>
                <c:pt idx="4">
                  <c:v>25685660.059999999</c:v>
                </c:pt>
                <c:pt idx="5">
                  <c:v>19983288.320000004</c:v>
                </c:pt>
                <c:pt idx="6">
                  <c:v>95054171.460000008</c:v>
                </c:pt>
                <c:pt idx="7">
                  <c:v>462920657.23999995</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58657736"/>
        <c:axId val="358658128"/>
        <c:axId val="0"/>
      </c:bar3DChart>
      <c:catAx>
        <c:axId val="358657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58658128"/>
        <c:crosses val="autoZero"/>
        <c:auto val="1"/>
        <c:lblAlgn val="ctr"/>
        <c:lblOffset val="100"/>
        <c:tickLblSkip val="1"/>
        <c:tickMarkSkip val="1"/>
        <c:noMultiLvlLbl val="0"/>
      </c:catAx>
      <c:valAx>
        <c:axId val="35865812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5865773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37718318.07029999</c:v>
                </c:pt>
                <c:pt idx="1">
                  <c:v>111629339.8987</c:v>
                </c:pt>
                <c:pt idx="2">
                  <c:v>663312630.81650007</c:v>
                </c:pt>
                <c:pt idx="3">
                  <c:v>2173759.8925999999</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38884863.989999995</c:v>
                </c:pt>
                <c:pt idx="1">
                  <c:v>115081793.71000001</c:v>
                </c:pt>
                <c:pt idx="2">
                  <c:v>683827454.45000005</c:v>
                </c:pt>
                <c:pt idx="3">
                  <c:v>2240989.58</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58658520"/>
        <c:axId val="358659304"/>
        <c:axId val="0"/>
      </c:bar3DChart>
      <c:catAx>
        <c:axId val="358658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58659304"/>
        <c:crosses val="autoZero"/>
        <c:auto val="1"/>
        <c:lblAlgn val="ctr"/>
        <c:lblOffset val="100"/>
        <c:tickLblSkip val="1"/>
        <c:tickMarkSkip val="1"/>
        <c:noMultiLvlLbl val="0"/>
      </c:catAx>
      <c:valAx>
        <c:axId val="3586593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5865852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51140332.869999997</c:v>
                </c:pt>
                <c:pt idx="1">
                  <c:v>12500000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50992056.960000001</c:v>
                </c:pt>
                <c:pt idx="1">
                  <c:v>18796974.120000001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217726416"/>
        <c:axId val="217722104"/>
        <c:axId val="0"/>
      </c:bar3DChart>
      <c:catAx>
        <c:axId val="217726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2104"/>
        <c:crosses val="autoZero"/>
        <c:auto val="1"/>
        <c:lblAlgn val="ctr"/>
        <c:lblOffset val="100"/>
        <c:tickLblSkip val="2"/>
        <c:tickMarkSkip val="1"/>
        <c:noMultiLvlLbl val="0"/>
      </c:catAx>
      <c:valAx>
        <c:axId val="2177221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64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19539878.957399998</c:v>
                </c:pt>
                <c:pt idx="2">
                  <c:v>52133213.881799996</c:v>
                </c:pt>
                <c:pt idx="3">
                  <c:v>33094013.347800002</c:v>
                </c:pt>
                <c:pt idx="4">
                  <c:v>53156380.639799997</c:v>
                </c:pt>
                <c:pt idx="5">
                  <c:v>40635932.118599996</c:v>
                </c:pt>
                <c:pt idx="6">
                  <c:v>18105087.999600001</c:v>
                </c:pt>
                <c:pt idx="7">
                  <c:v>39318754.661799997</c:v>
                </c:pt>
                <c:pt idx="8">
                  <c:v>118947063.67240001</c:v>
                </c:pt>
                <c:pt idx="9">
                  <c:v>314968044.50240004</c:v>
                </c:pt>
                <c:pt idx="10">
                  <c:v>102136886.68000001</c:v>
                </c:pt>
                <c:pt idx="11">
                  <c:v>267506089.87429994</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67305084.526200011</c:v>
                </c:pt>
                <c:pt idx="2">
                  <c:v>96927101.019184977</c:v>
                </c:pt>
                <c:pt idx="3">
                  <c:v>69191121.855599999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217722496"/>
        <c:axId val="217723672"/>
        <c:axId val="0"/>
      </c:bar3DChart>
      <c:catAx>
        <c:axId val="21772249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17723672"/>
        <c:crosses val="autoZero"/>
        <c:auto val="1"/>
        <c:lblAlgn val="ctr"/>
        <c:lblOffset val="100"/>
        <c:tickLblSkip val="1"/>
        <c:tickMarkSkip val="1"/>
        <c:noMultiLvlLbl val="0"/>
      </c:catAx>
      <c:valAx>
        <c:axId val="21772367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24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109819162.48380001</c:v>
                </c:pt>
                <c:pt idx="2">
                  <c:v>206746263.502985</c:v>
                </c:pt>
                <c:pt idx="3">
                  <c:v>275937385.358585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15888227.1208799</c:v>
                </c:pt>
                <c:pt idx="1">
                  <c:v>42035272.322346464</c:v>
                </c:pt>
                <c:pt idx="2">
                  <c:v>62035272.322346464</c:v>
                </c:pt>
                <c:pt idx="3">
                  <c:v>123459362.72527957</c:v>
                </c:pt>
                <c:pt idx="4">
                  <c:v>195759882.86669543</c:v>
                </c:pt>
                <c:pt idx="5">
                  <c:v>276210403.00811136</c:v>
                </c:pt>
                <c:pt idx="6">
                  <c:v>370327465.52856708</c:v>
                </c:pt>
                <c:pt idx="7">
                  <c:v>517445513.06532407</c:v>
                </c:pt>
                <c:pt idx="8">
                  <c:v>701612575.58577907</c:v>
                </c:pt>
                <c:pt idx="9">
                  <c:v>882132384.94264305</c:v>
                </c:pt>
                <c:pt idx="10">
                  <c:v>1035958624.03799</c:v>
                </c:pt>
                <c:pt idx="11">
                  <c:v>1230117999.9995439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252384120"/>
        <c:axId val="252386864"/>
        <c:axId val="0"/>
      </c:bar3DChart>
      <c:catAx>
        <c:axId val="25238412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52386864"/>
        <c:crosses val="autoZero"/>
        <c:auto val="1"/>
        <c:lblAlgn val="ctr"/>
        <c:lblOffset val="100"/>
        <c:tickLblSkip val="1"/>
        <c:tickMarkSkip val="1"/>
        <c:noMultiLvlLbl val="0"/>
      </c:catAx>
      <c:valAx>
        <c:axId val="25238686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523841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6"/>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4" val="2"/>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03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Desktop/LIM354_BSAC_2018_M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F22">
            <v>69789031</v>
          </cell>
        </row>
        <row r="23">
          <cell r="F23">
            <v>423021412.99453002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590</v>
      </c>
    </row>
    <row r="5" spans="4:25" x14ac:dyDescent="0.25">
      <c r="X5" s="689" t="s">
        <v>82</v>
      </c>
    </row>
    <row r="6" spans="4:25" x14ac:dyDescent="0.25">
      <c r="X6" s="689"/>
    </row>
    <row r="7" spans="4:25" x14ac:dyDescent="0.25">
      <c r="W7" s="655" t="s">
        <v>154</v>
      </c>
      <c r="X7" s="689" t="s">
        <v>188</v>
      </c>
    </row>
    <row r="8" spans="4:25" x14ac:dyDescent="0.25">
      <c r="X8" s="689" t="s">
        <v>155</v>
      </c>
    </row>
    <row r="9" spans="4:25" x14ac:dyDescent="0.25">
      <c r="X9" s="689"/>
    </row>
    <row r="10" spans="4:25" x14ac:dyDescent="0.25">
      <c r="W10" s="655" t="s">
        <v>891</v>
      </c>
      <c r="X10" s="692">
        <v>4</v>
      </c>
    </row>
    <row r="11" spans="4:25" x14ac:dyDescent="0.25">
      <c r="W11" s="655" t="s">
        <v>892</v>
      </c>
      <c r="X11" s="710" t="str">
        <f>VLOOKUP(X10,W39:X55,2)</f>
        <v>M04 October</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156</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157</v>
      </c>
      <c r="X34" s="689"/>
    </row>
    <row r="35" spans="22:25" x14ac:dyDescent="0.25">
      <c r="W35" s="655" t="s">
        <v>158</v>
      </c>
      <c r="X35" s="689">
        <v>10</v>
      </c>
    </row>
    <row r="36" spans="22:25" x14ac:dyDescent="0.25">
      <c r="X36" s="693">
        <f>INDEX(X19:X33,X35,1)</f>
        <v>2017</v>
      </c>
    </row>
    <row r="37" spans="22:25" x14ac:dyDescent="0.25">
      <c r="W37" s="655" t="s">
        <v>159</v>
      </c>
      <c r="X37" s="691"/>
    </row>
    <row r="38" spans="22:25" x14ac:dyDescent="0.25">
      <c r="X38" s="690" t="str">
        <f>MTREF&amp;"/"&amp;RIGHT(MTREF,2)+1</f>
        <v>2017/18</v>
      </c>
    </row>
    <row r="39" spans="22:25" x14ac:dyDescent="0.25">
      <c r="V39" s="655" t="s">
        <v>885</v>
      </c>
      <c r="W39" s="655">
        <v>1</v>
      </c>
      <c r="X39" s="655" t="s">
        <v>887</v>
      </c>
      <c r="Y39" s="911"/>
    </row>
    <row r="40" spans="22:25" x14ac:dyDescent="0.25">
      <c r="W40" s="655">
        <v>2</v>
      </c>
      <c r="X40" s="655" t="s">
        <v>888</v>
      </c>
      <c r="Y40" s="911"/>
    </row>
    <row r="41" spans="22:25" x14ac:dyDescent="0.25">
      <c r="W41" s="655">
        <v>3</v>
      </c>
      <c r="X41" s="655" t="s">
        <v>893</v>
      </c>
    </row>
    <row r="42" spans="22:25" x14ac:dyDescent="0.25">
      <c r="W42" s="655">
        <v>4</v>
      </c>
      <c r="X42" s="655" t="s">
        <v>894</v>
      </c>
    </row>
    <row r="43" spans="22:25" x14ac:dyDescent="0.25">
      <c r="W43" s="655">
        <v>5</v>
      </c>
      <c r="X43" s="655" t="s">
        <v>895</v>
      </c>
    </row>
    <row r="44" spans="22:25" x14ac:dyDescent="0.25">
      <c r="W44" s="655">
        <v>6</v>
      </c>
      <c r="X44" s="655" t="s">
        <v>896</v>
      </c>
    </row>
    <row r="45" spans="22:25" x14ac:dyDescent="0.25">
      <c r="W45" s="655">
        <v>7</v>
      </c>
      <c r="X45" s="655" t="s">
        <v>897</v>
      </c>
    </row>
    <row r="46" spans="22:25" x14ac:dyDescent="0.25">
      <c r="W46" s="655">
        <v>8</v>
      </c>
      <c r="X46" s="655" t="s">
        <v>898</v>
      </c>
    </row>
    <row r="47" spans="22:25" x14ac:dyDescent="0.25">
      <c r="W47" s="655">
        <v>9</v>
      </c>
      <c r="X47" s="655" t="s">
        <v>899</v>
      </c>
    </row>
    <row r="48" spans="22:25" x14ac:dyDescent="0.25">
      <c r="W48" s="655">
        <v>10</v>
      </c>
      <c r="X48" s="655" t="s">
        <v>900</v>
      </c>
    </row>
    <row r="49" spans="23:24" x14ac:dyDescent="0.25">
      <c r="W49" s="655">
        <v>11</v>
      </c>
      <c r="X49" s="655" t="s">
        <v>901</v>
      </c>
    </row>
    <row r="50" spans="23:24" x14ac:dyDescent="0.25">
      <c r="W50" s="655">
        <v>12</v>
      </c>
      <c r="X50" s="655" t="s">
        <v>902</v>
      </c>
    </row>
    <row r="51" spans="23:24" x14ac:dyDescent="0.25">
      <c r="W51" s="655">
        <v>13</v>
      </c>
      <c r="X51" s="655" t="s">
        <v>889</v>
      </c>
    </row>
    <row r="52" spans="23:24" x14ac:dyDescent="0.25">
      <c r="W52" s="655">
        <v>14</v>
      </c>
      <c r="X52" s="655" t="s">
        <v>890</v>
      </c>
    </row>
    <row r="53" spans="23:24" x14ac:dyDescent="0.25">
      <c r="W53" s="655">
        <v>15</v>
      </c>
      <c r="X53" s="655" t="s">
        <v>903</v>
      </c>
    </row>
    <row r="54" spans="23:24" x14ac:dyDescent="0.25">
      <c r="W54" s="655">
        <v>16</v>
      </c>
      <c r="X54" s="655" t="s">
        <v>904</v>
      </c>
    </row>
    <row r="55" spans="23:24" x14ac:dyDescent="0.25">
      <c r="W55" s="655">
        <v>17</v>
      </c>
      <c r="X55" s="655" t="s">
        <v>886</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74" t="s">
        <v>663</v>
      </c>
      <c r="B1" s="975"/>
      <c r="C1" s="975"/>
      <c r="D1" s="976"/>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M04 October</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79" t="s">
        <v>774</v>
      </c>
      <c r="B72" s="980"/>
      <c r="C72" s="980"/>
      <c r="D72" s="981"/>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7" t="s">
        <v>817</v>
      </c>
      <c r="B76" s="978"/>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3">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3.2" x14ac:dyDescent="0.25">
      <c r="B28" s="925" t="s">
        <v>191</v>
      </c>
      <c r="C28" s="1" t="s">
        <v>192</v>
      </c>
    </row>
    <row r="29" spans="1:3" ht="13.2" x14ac:dyDescent="0.25">
      <c r="B29" s="896" t="s">
        <v>1090</v>
      </c>
      <c r="C29" s="897" t="s">
        <v>1135</v>
      </c>
    </row>
    <row r="30" spans="1:3" ht="13.2" x14ac:dyDescent="0.25">
      <c r="B30" s="896" t="s">
        <v>1091</v>
      </c>
      <c r="C30" s="898" t="s">
        <v>1135</v>
      </c>
    </row>
    <row r="31" spans="1:3" ht="13.2" x14ac:dyDescent="0.25">
      <c r="B31" s="896" t="s">
        <v>1144</v>
      </c>
      <c r="C31" s="897" t="s">
        <v>1135</v>
      </c>
    </row>
    <row r="32" spans="1:3" ht="13.2" x14ac:dyDescent="0.25">
      <c r="B32" s="896" t="s">
        <v>228</v>
      </c>
      <c r="C32" s="897" t="s">
        <v>1135</v>
      </c>
    </row>
    <row r="33" spans="2:3" ht="13.2" x14ac:dyDescent="0.25">
      <c r="B33" s="896" t="s">
        <v>229</v>
      </c>
      <c r="C33" s="897" t="s">
        <v>1135</v>
      </c>
    </row>
    <row r="34" spans="2:3" ht="13.2" x14ac:dyDescent="0.25">
      <c r="B34" s="896" t="s">
        <v>230</v>
      </c>
      <c r="C34" s="897" t="s">
        <v>1135</v>
      </c>
    </row>
    <row r="35" spans="2:3" ht="13.2" x14ac:dyDescent="0.25">
      <c r="B35" s="896" t="s">
        <v>231</v>
      </c>
      <c r="C35" s="897" t="s">
        <v>1135</v>
      </c>
    </row>
    <row r="36" spans="2:3" ht="13.2" x14ac:dyDescent="0.25">
      <c r="B36" s="896" t="s">
        <v>232</v>
      </c>
      <c r="C36" s="898" t="s">
        <v>1135</v>
      </c>
    </row>
    <row r="37" spans="2:3" ht="13.2" x14ac:dyDescent="0.25">
      <c r="B37" s="896" t="s">
        <v>1007</v>
      </c>
      <c r="C37" s="897" t="s">
        <v>1135</v>
      </c>
    </row>
    <row r="38" spans="2:3" ht="13.2" x14ac:dyDescent="0.25">
      <c r="B38" s="896" t="s">
        <v>1126</v>
      </c>
      <c r="C38" s="899" t="s">
        <v>1135</v>
      </c>
    </row>
    <row r="39" spans="2:3" ht="13.2" x14ac:dyDescent="0.25">
      <c r="B39" s="896" t="s">
        <v>233</v>
      </c>
      <c r="C39" s="899" t="s">
        <v>1135</v>
      </c>
    </row>
    <row r="40" spans="2:3" ht="13.2" x14ac:dyDescent="0.25">
      <c r="B40" s="896" t="s">
        <v>234</v>
      </c>
      <c r="C40" s="900" t="s">
        <v>1135</v>
      </c>
    </row>
    <row r="41" spans="2:3" ht="13.2" x14ac:dyDescent="0.25">
      <c r="B41" s="896" t="s">
        <v>235</v>
      </c>
      <c r="C41" s="900" t="s">
        <v>1135</v>
      </c>
    </row>
    <row r="42" spans="2:3" ht="13.2" x14ac:dyDescent="0.25">
      <c r="B42" s="896" t="s">
        <v>236</v>
      </c>
      <c r="C42" s="900" t="s">
        <v>1135</v>
      </c>
    </row>
    <row r="43" spans="2:3" ht="13.2" x14ac:dyDescent="0.25">
      <c r="B43" s="896" t="s">
        <v>237</v>
      </c>
      <c r="C43" s="900" t="s">
        <v>1135</v>
      </c>
    </row>
    <row r="44" spans="2:3" ht="13.2" x14ac:dyDescent="0.25">
      <c r="B44" s="926" t="s">
        <v>1145</v>
      </c>
      <c r="C44" s="900" t="s">
        <v>1135</v>
      </c>
    </row>
    <row r="45" spans="2:3" ht="13.2" x14ac:dyDescent="0.25">
      <c r="B45" s="896" t="s">
        <v>194</v>
      </c>
      <c r="C45" s="900" t="s">
        <v>1135</v>
      </c>
    </row>
    <row r="46" spans="2:3" ht="13.2" x14ac:dyDescent="0.25">
      <c r="B46" s="896" t="s">
        <v>238</v>
      </c>
      <c r="C46" s="900" t="s">
        <v>1135</v>
      </c>
    </row>
    <row r="47" spans="2:3" ht="13.2" x14ac:dyDescent="0.25">
      <c r="B47" s="896" t="s">
        <v>239</v>
      </c>
      <c r="C47" s="900" t="s">
        <v>1135</v>
      </c>
    </row>
    <row r="48" spans="2:3" ht="13.2" x14ac:dyDescent="0.25">
      <c r="B48" s="896" t="s">
        <v>240</v>
      </c>
      <c r="C48" s="900" t="s">
        <v>1135</v>
      </c>
    </row>
    <row r="49" spans="2:3" ht="13.2" x14ac:dyDescent="0.25">
      <c r="B49" s="896" t="s">
        <v>241</v>
      </c>
      <c r="C49" s="900" t="s">
        <v>1135</v>
      </c>
    </row>
    <row r="50" spans="2:3" ht="13.2" x14ac:dyDescent="0.25">
      <c r="B50" s="896" t="s">
        <v>242</v>
      </c>
      <c r="C50" s="899" t="s">
        <v>1135</v>
      </c>
    </row>
    <row r="51" spans="2:3" ht="13.2" x14ac:dyDescent="0.25">
      <c r="B51" s="926" t="s">
        <v>1146</v>
      </c>
      <c r="C51" s="899" t="s">
        <v>1135</v>
      </c>
    </row>
    <row r="52" spans="2:3" ht="13.2" x14ac:dyDescent="0.25">
      <c r="B52" s="896" t="s">
        <v>195</v>
      </c>
      <c r="C52" s="899" t="s">
        <v>1135</v>
      </c>
    </row>
    <row r="53" spans="2:3" ht="13.2" x14ac:dyDescent="0.25">
      <c r="B53" s="896" t="s">
        <v>243</v>
      </c>
      <c r="C53" s="899" t="s">
        <v>1135</v>
      </c>
    </row>
    <row r="54" spans="2:3" ht="13.2" x14ac:dyDescent="0.25">
      <c r="B54" s="896" t="s">
        <v>244</v>
      </c>
      <c r="C54" s="899" t="s">
        <v>1135</v>
      </c>
    </row>
    <row r="55" spans="2:3" ht="13.2" x14ac:dyDescent="0.25">
      <c r="B55" s="926" t="s">
        <v>1147</v>
      </c>
      <c r="C55" s="899" t="s">
        <v>1135</v>
      </c>
    </row>
    <row r="56" spans="2:3" ht="13.2" x14ac:dyDescent="0.25">
      <c r="B56" s="896" t="s">
        <v>1005</v>
      </c>
      <c r="C56" s="899" t="s">
        <v>1135</v>
      </c>
    </row>
    <row r="57" spans="2:3" ht="13.2" x14ac:dyDescent="0.25">
      <c r="B57" s="896" t="s">
        <v>245</v>
      </c>
      <c r="C57" s="655" t="s">
        <v>1135</v>
      </c>
    </row>
    <row r="58" spans="2:3" ht="13.2" x14ac:dyDescent="0.25">
      <c r="B58" s="896" t="s">
        <v>246</v>
      </c>
      <c r="C58" s="655" t="s">
        <v>1135</v>
      </c>
    </row>
    <row r="59" spans="2:3" ht="13.2" x14ac:dyDescent="0.25">
      <c r="B59" s="896" t="s">
        <v>247</v>
      </c>
      <c r="C59" s="899" t="s">
        <v>1135</v>
      </c>
    </row>
    <row r="60" spans="2:3" ht="13.2" x14ac:dyDescent="0.25">
      <c r="B60" s="896" t="s">
        <v>248</v>
      </c>
      <c r="C60" s="899" t="s">
        <v>1135</v>
      </c>
    </row>
    <row r="61" spans="2:3" ht="13.2" x14ac:dyDescent="0.25">
      <c r="B61" s="896" t="s">
        <v>249</v>
      </c>
      <c r="C61" s="899" t="s">
        <v>1135</v>
      </c>
    </row>
    <row r="62" spans="2:3" ht="13.2" x14ac:dyDescent="0.25">
      <c r="B62" s="896" t="s">
        <v>196</v>
      </c>
      <c r="C62" s="899" t="s">
        <v>1135</v>
      </c>
    </row>
    <row r="63" spans="2:3" ht="13.2" x14ac:dyDescent="0.25">
      <c r="B63" s="896" t="s">
        <v>250</v>
      </c>
      <c r="C63" s="900" t="s">
        <v>1135</v>
      </c>
    </row>
    <row r="64" spans="2:3" ht="13.2" x14ac:dyDescent="0.25">
      <c r="B64" s="896" t="s">
        <v>251</v>
      </c>
      <c r="C64" s="899" t="s">
        <v>1135</v>
      </c>
    </row>
    <row r="65" spans="2:3" ht="13.2" x14ac:dyDescent="0.25">
      <c r="B65" s="896" t="s">
        <v>1085</v>
      </c>
      <c r="C65" s="899" t="s">
        <v>1135</v>
      </c>
    </row>
    <row r="66" spans="2:3" ht="13.2" x14ac:dyDescent="0.25">
      <c r="B66" s="896" t="s">
        <v>1086</v>
      </c>
      <c r="C66" s="899" t="s">
        <v>1135</v>
      </c>
    </row>
    <row r="67" spans="2:3" ht="13.2" x14ac:dyDescent="0.25">
      <c r="B67" s="896" t="s">
        <v>223</v>
      </c>
      <c r="C67" s="899" t="s">
        <v>1135</v>
      </c>
    </row>
    <row r="68" spans="2:3" ht="13.2" x14ac:dyDescent="0.25">
      <c r="B68" s="896" t="s">
        <v>1092</v>
      </c>
      <c r="C68" s="899" t="s">
        <v>1136</v>
      </c>
    </row>
    <row r="69" spans="2:3" ht="13.2" x14ac:dyDescent="0.25">
      <c r="B69" s="896" t="s">
        <v>252</v>
      </c>
      <c r="C69" s="899" t="s">
        <v>1136</v>
      </c>
    </row>
    <row r="70" spans="2:3" ht="13.2" x14ac:dyDescent="0.25">
      <c r="B70" s="896" t="s">
        <v>253</v>
      </c>
      <c r="C70" s="899" t="s">
        <v>1136</v>
      </c>
    </row>
    <row r="71" spans="2:3" ht="13.2" x14ac:dyDescent="0.25">
      <c r="B71" s="896" t="s">
        <v>254</v>
      </c>
      <c r="C71" s="899" t="s">
        <v>1136</v>
      </c>
    </row>
    <row r="72" spans="2:3" ht="13.2" x14ac:dyDescent="0.25">
      <c r="B72" s="896" t="s">
        <v>197</v>
      </c>
      <c r="C72" s="899" t="s">
        <v>1136</v>
      </c>
    </row>
    <row r="73" spans="2:3" ht="13.2" x14ac:dyDescent="0.25">
      <c r="B73" s="896" t="s">
        <v>255</v>
      </c>
      <c r="C73" s="899" t="s">
        <v>1136</v>
      </c>
    </row>
    <row r="74" spans="2:3" ht="13.2" x14ac:dyDescent="0.25">
      <c r="B74" s="896" t="s">
        <v>256</v>
      </c>
      <c r="C74" s="899" t="s">
        <v>1136</v>
      </c>
    </row>
    <row r="75" spans="2:3" ht="13.2" x14ac:dyDescent="0.25">
      <c r="B75" s="896" t="s">
        <v>257</v>
      </c>
      <c r="C75" s="899" t="s">
        <v>1136</v>
      </c>
    </row>
    <row r="76" spans="2:3" ht="13.2" x14ac:dyDescent="0.25">
      <c r="B76" s="896" t="s">
        <v>258</v>
      </c>
      <c r="C76" s="899" t="s">
        <v>1136</v>
      </c>
    </row>
    <row r="77" spans="2:3" ht="13.2" x14ac:dyDescent="0.25">
      <c r="B77" s="896" t="s">
        <v>259</v>
      </c>
      <c r="C77" s="899" t="s">
        <v>1136</v>
      </c>
    </row>
    <row r="78" spans="2:3" ht="13.2" x14ac:dyDescent="0.25">
      <c r="B78" s="896" t="s">
        <v>198</v>
      </c>
      <c r="C78" s="899" t="s">
        <v>1136</v>
      </c>
    </row>
    <row r="79" spans="2:3" ht="13.2" x14ac:dyDescent="0.25">
      <c r="B79" s="896" t="s">
        <v>260</v>
      </c>
      <c r="C79" s="899" t="s">
        <v>1136</v>
      </c>
    </row>
    <row r="80" spans="2:3" ht="13.2" x14ac:dyDescent="0.25">
      <c r="B80" s="896" t="s">
        <v>261</v>
      </c>
      <c r="C80" s="899" t="s">
        <v>1136</v>
      </c>
    </row>
    <row r="81" spans="2:3" ht="13.2" x14ac:dyDescent="0.25">
      <c r="B81" s="896" t="s">
        <v>262</v>
      </c>
      <c r="C81" s="899" t="s">
        <v>1136</v>
      </c>
    </row>
    <row r="82" spans="2:3" ht="13.2" x14ac:dyDescent="0.25">
      <c r="B82" s="896" t="s">
        <v>263</v>
      </c>
      <c r="C82" s="899" t="s">
        <v>1136</v>
      </c>
    </row>
    <row r="83" spans="2:3" ht="13.2" x14ac:dyDescent="0.25">
      <c r="B83" s="896" t="s">
        <v>264</v>
      </c>
      <c r="C83" s="899" t="s">
        <v>1136</v>
      </c>
    </row>
    <row r="84" spans="2:3" ht="13.2" x14ac:dyDescent="0.25">
      <c r="B84" s="896" t="s">
        <v>1087</v>
      </c>
      <c r="C84" s="899" t="s">
        <v>1136</v>
      </c>
    </row>
    <row r="85" spans="2:3" ht="13.2" x14ac:dyDescent="0.25">
      <c r="B85" s="896" t="s">
        <v>199</v>
      </c>
      <c r="C85" s="899" t="s">
        <v>1136</v>
      </c>
    </row>
    <row r="86" spans="2:3" ht="13.2" x14ac:dyDescent="0.25">
      <c r="B86" s="896" t="s">
        <v>265</v>
      </c>
      <c r="C86" s="899" t="s">
        <v>1136</v>
      </c>
    </row>
    <row r="87" spans="2:3" ht="13.2" x14ac:dyDescent="0.25">
      <c r="B87" s="896" t="s">
        <v>266</v>
      </c>
      <c r="C87" s="899" t="s">
        <v>1136</v>
      </c>
    </row>
    <row r="88" spans="2:3" ht="13.2" x14ac:dyDescent="0.25">
      <c r="B88" s="896" t="s">
        <v>267</v>
      </c>
      <c r="C88" s="899" t="s">
        <v>1136</v>
      </c>
    </row>
    <row r="89" spans="2:3" ht="13.2" x14ac:dyDescent="0.25">
      <c r="B89" s="896" t="s">
        <v>268</v>
      </c>
      <c r="C89" s="899" t="s">
        <v>1136</v>
      </c>
    </row>
    <row r="90" spans="2:3" ht="13.2" x14ac:dyDescent="0.25">
      <c r="B90" s="896" t="s">
        <v>200</v>
      </c>
      <c r="C90" s="899" t="s">
        <v>1136</v>
      </c>
    </row>
    <row r="91" spans="2:3" ht="13.2" x14ac:dyDescent="0.25">
      <c r="B91" s="896" t="s">
        <v>1093</v>
      </c>
      <c r="C91" s="899" t="s">
        <v>1137</v>
      </c>
    </row>
    <row r="92" spans="2:3" ht="13.2" x14ac:dyDescent="0.25">
      <c r="B92" s="896" t="s">
        <v>1094</v>
      </c>
      <c r="C92" s="899" t="s">
        <v>1137</v>
      </c>
    </row>
    <row r="93" spans="2:3" ht="13.2" x14ac:dyDescent="0.25">
      <c r="B93" s="896" t="s">
        <v>1095</v>
      </c>
      <c r="C93" s="899" t="s">
        <v>1137</v>
      </c>
    </row>
    <row r="94" spans="2:3" ht="13.2" x14ac:dyDescent="0.25">
      <c r="B94" s="896" t="s">
        <v>269</v>
      </c>
      <c r="C94" s="899" t="s">
        <v>1137</v>
      </c>
    </row>
    <row r="95" spans="2:3" ht="13.2" x14ac:dyDescent="0.25">
      <c r="B95" s="896" t="s">
        <v>270</v>
      </c>
      <c r="C95" s="899" t="s">
        <v>1137</v>
      </c>
    </row>
    <row r="96" spans="2:3" ht="13.2" x14ac:dyDescent="0.25">
      <c r="B96" s="896" t="s">
        <v>271</v>
      </c>
      <c r="C96" s="899" t="s">
        <v>1137</v>
      </c>
    </row>
    <row r="97" spans="2:3" ht="13.2" x14ac:dyDescent="0.25">
      <c r="B97" s="896" t="s">
        <v>222</v>
      </c>
      <c r="C97" s="899" t="s">
        <v>1137</v>
      </c>
    </row>
    <row r="98" spans="2:3" ht="13.2" x14ac:dyDescent="0.25">
      <c r="B98" s="896" t="s">
        <v>272</v>
      </c>
      <c r="C98" s="899" t="s">
        <v>1137</v>
      </c>
    </row>
    <row r="99" spans="2:3" ht="13.2" x14ac:dyDescent="0.25">
      <c r="B99" s="896" t="s">
        <v>1008</v>
      </c>
      <c r="C99" s="899" t="s">
        <v>1137</v>
      </c>
    </row>
    <row r="100" spans="2:3" ht="13.2" x14ac:dyDescent="0.25">
      <c r="B100" s="927" t="s">
        <v>1127</v>
      </c>
      <c r="C100" s="899" t="s">
        <v>1137</v>
      </c>
    </row>
    <row r="101" spans="2:3" ht="13.2" x14ac:dyDescent="0.25">
      <c r="B101" s="896" t="s">
        <v>224</v>
      </c>
      <c r="C101" s="899" t="s">
        <v>1137</v>
      </c>
    </row>
    <row r="102" spans="2:3" ht="13.2" x14ac:dyDescent="0.25">
      <c r="B102" s="896" t="s">
        <v>1096</v>
      </c>
      <c r="C102" s="899" t="s">
        <v>1138</v>
      </c>
    </row>
    <row r="103" spans="2:3" ht="13.2" x14ac:dyDescent="0.25">
      <c r="B103" s="896" t="s">
        <v>273</v>
      </c>
      <c r="C103" s="899" t="s">
        <v>1138</v>
      </c>
    </row>
    <row r="104" spans="2:3" ht="13.2" x14ac:dyDescent="0.25">
      <c r="B104" s="896" t="s">
        <v>274</v>
      </c>
      <c r="C104" s="899" t="s">
        <v>1138</v>
      </c>
    </row>
    <row r="105" spans="2:3" ht="13.2" x14ac:dyDescent="0.25">
      <c r="B105" s="896" t="s">
        <v>275</v>
      </c>
      <c r="C105" s="899" t="s">
        <v>1138</v>
      </c>
    </row>
    <row r="106" spans="2:3" ht="13.2" x14ac:dyDescent="0.25">
      <c r="B106" s="896" t="s">
        <v>1155</v>
      </c>
      <c r="C106" s="899" t="s">
        <v>1138</v>
      </c>
    </row>
    <row r="107" spans="2:3" ht="13.2" x14ac:dyDescent="0.25">
      <c r="B107" s="896" t="s">
        <v>201</v>
      </c>
      <c r="C107" s="899" t="s">
        <v>1138</v>
      </c>
    </row>
    <row r="108" spans="2:3" ht="13.2" x14ac:dyDescent="0.25">
      <c r="B108" s="896" t="s">
        <v>276</v>
      </c>
      <c r="C108" s="899" t="s">
        <v>1138</v>
      </c>
    </row>
    <row r="109" spans="2:3" ht="13.2" x14ac:dyDescent="0.25">
      <c r="B109" s="896" t="s">
        <v>277</v>
      </c>
      <c r="C109" s="899" t="s">
        <v>1138</v>
      </c>
    </row>
    <row r="110" spans="2:3" ht="13.2" x14ac:dyDescent="0.25">
      <c r="B110" s="896" t="s">
        <v>278</v>
      </c>
      <c r="C110" s="899" t="s">
        <v>1138</v>
      </c>
    </row>
    <row r="111" spans="2:3" ht="13.2" x14ac:dyDescent="0.25">
      <c r="B111" s="896" t="s">
        <v>279</v>
      </c>
      <c r="C111" s="899" t="s">
        <v>1138</v>
      </c>
    </row>
    <row r="112" spans="2:3" ht="13.2" x14ac:dyDescent="0.25">
      <c r="B112" s="896" t="s">
        <v>280</v>
      </c>
      <c r="C112" s="897" t="s">
        <v>1138</v>
      </c>
    </row>
    <row r="113" spans="2:3" ht="13.2" x14ac:dyDescent="0.25">
      <c r="B113" s="896" t="s">
        <v>281</v>
      </c>
      <c r="C113" s="897" t="s">
        <v>1138</v>
      </c>
    </row>
    <row r="114" spans="2:3" ht="13.2" x14ac:dyDescent="0.25">
      <c r="B114" s="896" t="s">
        <v>282</v>
      </c>
      <c r="C114" s="897" t="s">
        <v>1138</v>
      </c>
    </row>
    <row r="115" spans="2:3" ht="13.2" x14ac:dyDescent="0.25">
      <c r="B115" s="896" t="s">
        <v>202</v>
      </c>
      <c r="C115" s="897" t="s">
        <v>1138</v>
      </c>
    </row>
    <row r="116" spans="2:3" ht="13.2" x14ac:dyDescent="0.25">
      <c r="B116" s="896" t="s">
        <v>283</v>
      </c>
      <c r="C116" s="897" t="s">
        <v>1138</v>
      </c>
    </row>
    <row r="117" spans="2:3" ht="13.2" x14ac:dyDescent="0.25">
      <c r="B117" s="926" t="s">
        <v>1148</v>
      </c>
      <c r="C117" s="897" t="s">
        <v>1138</v>
      </c>
    </row>
    <row r="118" spans="2:3" ht="13.2" x14ac:dyDescent="0.25">
      <c r="B118" s="926" t="s">
        <v>1149</v>
      </c>
      <c r="C118" s="897" t="s">
        <v>1138</v>
      </c>
    </row>
    <row r="119" spans="2:3" ht="13.2" x14ac:dyDescent="0.25">
      <c r="B119" s="896" t="s">
        <v>203</v>
      </c>
      <c r="C119" s="897" t="s">
        <v>1138</v>
      </c>
    </row>
    <row r="120" spans="2:3" ht="13.2" x14ac:dyDescent="0.25">
      <c r="B120" s="896" t="s">
        <v>284</v>
      </c>
      <c r="C120" s="897" t="s">
        <v>1138</v>
      </c>
    </row>
    <row r="121" spans="2:3" ht="13.2" x14ac:dyDescent="0.25">
      <c r="B121" s="896" t="s">
        <v>285</v>
      </c>
      <c r="C121" s="897" t="s">
        <v>1138</v>
      </c>
    </row>
    <row r="122" spans="2:3" ht="13.2" x14ac:dyDescent="0.25">
      <c r="B122" s="896" t="s">
        <v>286</v>
      </c>
      <c r="C122" s="897" t="s">
        <v>1138</v>
      </c>
    </row>
    <row r="123" spans="2:3" ht="13.2" x14ac:dyDescent="0.25">
      <c r="B123" s="896" t="s">
        <v>288</v>
      </c>
      <c r="C123" s="897" t="s">
        <v>1138</v>
      </c>
    </row>
    <row r="124" spans="2:3" ht="13.2" x14ac:dyDescent="0.25">
      <c r="B124" s="896" t="s">
        <v>204</v>
      </c>
      <c r="C124" s="897" t="s">
        <v>1138</v>
      </c>
    </row>
    <row r="125" spans="2:3" ht="13.2" x14ac:dyDescent="0.25">
      <c r="B125" s="896" t="s">
        <v>289</v>
      </c>
      <c r="C125" s="897" t="s">
        <v>1138</v>
      </c>
    </row>
    <row r="126" spans="2:3" ht="13.2" x14ac:dyDescent="0.25">
      <c r="B126" s="896" t="s">
        <v>290</v>
      </c>
      <c r="C126" s="897" t="s">
        <v>1138</v>
      </c>
    </row>
    <row r="127" spans="2:3" ht="13.2" x14ac:dyDescent="0.25">
      <c r="B127" s="896" t="s">
        <v>291</v>
      </c>
      <c r="C127" s="897" t="s">
        <v>1138</v>
      </c>
    </row>
    <row r="128" spans="2:3" ht="13.2" x14ac:dyDescent="0.25">
      <c r="B128" s="896" t="s">
        <v>205</v>
      </c>
      <c r="C128" s="897" t="s">
        <v>1138</v>
      </c>
    </row>
    <row r="129" spans="2:3" ht="13.2" x14ac:dyDescent="0.25">
      <c r="B129" s="896" t="s">
        <v>292</v>
      </c>
      <c r="C129" s="897" t="s">
        <v>1138</v>
      </c>
    </row>
    <row r="130" spans="2:3" ht="13.2" x14ac:dyDescent="0.25">
      <c r="B130" s="896" t="s">
        <v>293</v>
      </c>
      <c r="C130" s="897" t="s">
        <v>1138</v>
      </c>
    </row>
    <row r="131" spans="2:3" ht="13.2" x14ac:dyDescent="0.25">
      <c r="B131" s="896" t="s">
        <v>294</v>
      </c>
      <c r="C131" s="897" t="s">
        <v>1138</v>
      </c>
    </row>
    <row r="132" spans="2:3" ht="13.2" x14ac:dyDescent="0.25">
      <c r="B132" s="896" t="s">
        <v>295</v>
      </c>
      <c r="C132" s="899" t="s">
        <v>1138</v>
      </c>
    </row>
    <row r="133" spans="2:3" ht="13.2" x14ac:dyDescent="0.25">
      <c r="B133" s="896" t="s">
        <v>296</v>
      </c>
      <c r="C133" s="899" t="s">
        <v>1138</v>
      </c>
    </row>
    <row r="134" spans="2:3" ht="13.2" x14ac:dyDescent="0.25">
      <c r="B134" s="896" t="s">
        <v>206</v>
      </c>
      <c r="C134" s="899" t="s">
        <v>1138</v>
      </c>
    </row>
    <row r="135" spans="2:3" ht="13.2" x14ac:dyDescent="0.25">
      <c r="B135" s="896" t="s">
        <v>297</v>
      </c>
      <c r="C135" s="899" t="s">
        <v>1138</v>
      </c>
    </row>
    <row r="136" spans="2:3" ht="13.2" x14ac:dyDescent="0.25">
      <c r="B136" s="896" t="s">
        <v>298</v>
      </c>
      <c r="C136" s="899" t="s">
        <v>1138</v>
      </c>
    </row>
    <row r="137" spans="2:3" ht="13.2" x14ac:dyDescent="0.25">
      <c r="B137" s="896" t="s">
        <v>299</v>
      </c>
      <c r="C137" s="899" t="s">
        <v>1138</v>
      </c>
    </row>
    <row r="138" spans="2:3" ht="13.2" x14ac:dyDescent="0.25">
      <c r="B138" s="926" t="s">
        <v>1150</v>
      </c>
      <c r="C138" s="899" t="s">
        <v>1138</v>
      </c>
    </row>
    <row r="139" spans="2:3" ht="13.2" x14ac:dyDescent="0.25">
      <c r="B139" s="896" t="s">
        <v>207</v>
      </c>
      <c r="C139" s="899" t="s">
        <v>1138</v>
      </c>
    </row>
    <row r="140" spans="2:3" ht="13.2" x14ac:dyDescent="0.25">
      <c r="B140" s="896" t="s">
        <v>1009</v>
      </c>
      <c r="C140" s="899" t="s">
        <v>1138</v>
      </c>
    </row>
    <row r="141" spans="2:3" ht="13.2" x14ac:dyDescent="0.25">
      <c r="B141" s="896" t="s">
        <v>300</v>
      </c>
      <c r="C141" s="899" t="s">
        <v>1138</v>
      </c>
    </row>
    <row r="142" spans="2:3" ht="13.2" x14ac:dyDescent="0.25">
      <c r="B142" s="896" t="s">
        <v>1010</v>
      </c>
      <c r="C142" s="900" t="s">
        <v>1138</v>
      </c>
    </row>
    <row r="143" spans="2:3" ht="13.2" x14ac:dyDescent="0.25">
      <c r="B143" s="896" t="s">
        <v>301</v>
      </c>
      <c r="C143" s="900" t="s">
        <v>1138</v>
      </c>
    </row>
    <row r="144" spans="2:3" ht="13.2" x14ac:dyDescent="0.25">
      <c r="B144" s="896" t="s">
        <v>302</v>
      </c>
      <c r="C144" s="900" t="s">
        <v>1138</v>
      </c>
    </row>
    <row r="145" spans="2:3" ht="13.2" x14ac:dyDescent="0.25">
      <c r="B145" s="896" t="s">
        <v>1151</v>
      </c>
      <c r="C145" s="900" t="s">
        <v>1138</v>
      </c>
    </row>
    <row r="146" spans="2:3" ht="13.2" x14ac:dyDescent="0.25">
      <c r="B146" s="896" t="s">
        <v>303</v>
      </c>
      <c r="C146" s="900" t="s">
        <v>1138</v>
      </c>
    </row>
    <row r="147" spans="2:3" ht="13.2" x14ac:dyDescent="0.25">
      <c r="B147" s="896" t="s">
        <v>304</v>
      </c>
      <c r="C147" s="900" t="s">
        <v>1138</v>
      </c>
    </row>
    <row r="148" spans="2:3" ht="13.2" x14ac:dyDescent="0.25">
      <c r="B148" s="896" t="s">
        <v>305</v>
      </c>
      <c r="C148" s="900" t="s">
        <v>1138</v>
      </c>
    </row>
    <row r="149" spans="2:3" ht="13.2" x14ac:dyDescent="0.25">
      <c r="B149" s="896" t="s">
        <v>306</v>
      </c>
      <c r="C149" s="900" t="s">
        <v>1138</v>
      </c>
    </row>
    <row r="150" spans="2:3" ht="13.2" x14ac:dyDescent="0.25">
      <c r="B150" s="896" t="s">
        <v>208</v>
      </c>
      <c r="C150" s="900" t="s">
        <v>1138</v>
      </c>
    </row>
    <row r="151" spans="2:3" ht="13.2" x14ac:dyDescent="0.25">
      <c r="B151" s="896" t="s">
        <v>307</v>
      </c>
      <c r="C151" s="900" t="s">
        <v>1138</v>
      </c>
    </row>
    <row r="152" spans="2:3" ht="13.2" x14ac:dyDescent="0.25">
      <c r="B152" s="896" t="s">
        <v>308</v>
      </c>
      <c r="C152" s="900" t="s">
        <v>1138</v>
      </c>
    </row>
    <row r="153" spans="2:3" ht="13.2" x14ac:dyDescent="0.25">
      <c r="B153" s="896" t="s">
        <v>309</v>
      </c>
      <c r="C153" s="900" t="s">
        <v>1138</v>
      </c>
    </row>
    <row r="154" spans="2:3" ht="13.2" x14ac:dyDescent="0.25">
      <c r="B154" s="926" t="s">
        <v>1152</v>
      </c>
      <c r="C154" s="900" t="s">
        <v>1138</v>
      </c>
    </row>
    <row r="155" spans="2:3" ht="13.2" x14ac:dyDescent="0.25">
      <c r="B155" s="896" t="s">
        <v>1128</v>
      </c>
      <c r="C155" s="900" t="s">
        <v>1138</v>
      </c>
    </row>
    <row r="156" spans="2:3" ht="13.2" x14ac:dyDescent="0.25">
      <c r="B156" s="896" t="s">
        <v>310</v>
      </c>
      <c r="C156" s="900" t="s">
        <v>1139</v>
      </c>
    </row>
    <row r="157" spans="2:3" ht="13.2" x14ac:dyDescent="0.25">
      <c r="B157" s="896" t="s">
        <v>311</v>
      </c>
      <c r="C157" s="900" t="s">
        <v>1139</v>
      </c>
    </row>
    <row r="158" spans="2:3" ht="13.2" x14ac:dyDescent="0.25">
      <c r="B158" s="896" t="s">
        <v>312</v>
      </c>
      <c r="C158" s="900" t="s">
        <v>1139</v>
      </c>
    </row>
    <row r="159" spans="2:3" ht="13.2" x14ac:dyDescent="0.25">
      <c r="B159" s="896" t="s">
        <v>313</v>
      </c>
      <c r="C159" s="900" t="s">
        <v>1139</v>
      </c>
    </row>
    <row r="160" spans="2:3" ht="13.2" x14ac:dyDescent="0.25">
      <c r="B160" s="896" t="s">
        <v>314</v>
      </c>
      <c r="C160" s="900" t="s">
        <v>1139</v>
      </c>
    </row>
    <row r="161" spans="2:3" ht="13.2" x14ac:dyDescent="0.25">
      <c r="B161" s="896" t="s">
        <v>213</v>
      </c>
      <c r="C161" s="900" t="s">
        <v>1139</v>
      </c>
    </row>
    <row r="162" spans="2:3" ht="13.2" x14ac:dyDescent="0.25">
      <c r="B162" s="896" t="s">
        <v>315</v>
      </c>
      <c r="C162" s="900" t="s">
        <v>1139</v>
      </c>
    </row>
    <row r="163" spans="2:3" ht="13.2" x14ac:dyDescent="0.25">
      <c r="B163" s="896" t="s">
        <v>316</v>
      </c>
      <c r="C163" s="900" t="s">
        <v>1139</v>
      </c>
    </row>
    <row r="164" spans="2:3" ht="13.2" x14ac:dyDescent="0.25">
      <c r="B164" s="896" t="s">
        <v>317</v>
      </c>
      <c r="C164" s="900" t="s">
        <v>1139</v>
      </c>
    </row>
    <row r="165" spans="2:3" ht="13.2" x14ac:dyDescent="0.25">
      <c r="B165" s="927" t="s">
        <v>1129</v>
      </c>
      <c r="C165" s="900" t="s">
        <v>1139</v>
      </c>
    </row>
    <row r="166" spans="2:3" ht="13.2" x14ac:dyDescent="0.25">
      <c r="B166" s="896" t="s">
        <v>214</v>
      </c>
      <c r="C166" s="900" t="s">
        <v>1139</v>
      </c>
    </row>
    <row r="167" spans="2:3" ht="13.2" x14ac:dyDescent="0.25">
      <c r="B167" s="896" t="s">
        <v>318</v>
      </c>
      <c r="C167" s="900" t="s">
        <v>1139</v>
      </c>
    </row>
    <row r="168" spans="2:3" ht="13.2" x14ac:dyDescent="0.25">
      <c r="B168" s="896" t="s">
        <v>319</v>
      </c>
      <c r="C168" s="900" t="s">
        <v>1139</v>
      </c>
    </row>
    <row r="169" spans="2:3" ht="13.2" x14ac:dyDescent="0.25">
      <c r="B169" s="896" t="s">
        <v>320</v>
      </c>
      <c r="C169" s="900" t="s">
        <v>1139</v>
      </c>
    </row>
    <row r="170" spans="2:3" ht="13.2" x14ac:dyDescent="0.25">
      <c r="B170" s="896" t="s">
        <v>321</v>
      </c>
      <c r="C170" s="900" t="s">
        <v>1139</v>
      </c>
    </row>
    <row r="171" spans="2:3" ht="13.2" x14ac:dyDescent="0.25">
      <c r="B171" s="896" t="s">
        <v>215</v>
      </c>
      <c r="C171" s="900" t="s">
        <v>1139</v>
      </c>
    </row>
    <row r="172" spans="2:3" ht="13.2" x14ac:dyDescent="0.25">
      <c r="B172" s="896" t="s">
        <v>322</v>
      </c>
      <c r="C172" s="900" t="s">
        <v>1139</v>
      </c>
    </row>
    <row r="173" spans="2:3" ht="13.2" x14ac:dyDescent="0.25">
      <c r="B173" s="896" t="s">
        <v>323</v>
      </c>
      <c r="C173" s="900" t="s">
        <v>1139</v>
      </c>
    </row>
    <row r="174" spans="2:3" ht="13.2" x14ac:dyDescent="0.25">
      <c r="B174" s="896" t="s">
        <v>324</v>
      </c>
      <c r="C174" s="900" t="s">
        <v>1139</v>
      </c>
    </row>
    <row r="175" spans="2:3" ht="13.2" x14ac:dyDescent="0.25">
      <c r="B175" s="896" t="s">
        <v>325</v>
      </c>
      <c r="C175" s="900" t="s">
        <v>1139</v>
      </c>
    </row>
    <row r="176" spans="2:3" ht="13.2" x14ac:dyDescent="0.25">
      <c r="B176" s="927" t="s">
        <v>1130</v>
      </c>
      <c r="C176" s="900" t="s">
        <v>1139</v>
      </c>
    </row>
    <row r="177" spans="2:3" ht="13.2" x14ac:dyDescent="0.25">
      <c r="B177" s="896" t="s">
        <v>216</v>
      </c>
      <c r="C177" s="900" t="s">
        <v>1139</v>
      </c>
    </row>
    <row r="178" spans="2:3" ht="13.2" x14ac:dyDescent="0.25">
      <c r="B178" s="896" t="s">
        <v>1011</v>
      </c>
      <c r="C178" s="900" t="s">
        <v>1139</v>
      </c>
    </row>
    <row r="179" spans="2:3" ht="13.2" x14ac:dyDescent="0.25">
      <c r="B179" s="896" t="s">
        <v>326</v>
      </c>
      <c r="C179" s="900" t="s">
        <v>1139</v>
      </c>
    </row>
    <row r="180" spans="2:3" ht="13.2" x14ac:dyDescent="0.25">
      <c r="B180" s="896" t="s">
        <v>1012</v>
      </c>
      <c r="C180" s="900" t="s">
        <v>1139</v>
      </c>
    </row>
    <row r="181" spans="2:3" ht="13.2" x14ac:dyDescent="0.25">
      <c r="B181" s="927" t="s">
        <v>1131</v>
      </c>
      <c r="C181" s="900" t="s">
        <v>1139</v>
      </c>
    </row>
    <row r="182" spans="2:3" ht="13.2" x14ac:dyDescent="0.25">
      <c r="B182" s="896" t="s">
        <v>1083</v>
      </c>
      <c r="C182" s="900" t="s">
        <v>1139</v>
      </c>
    </row>
    <row r="183" spans="2:3" ht="13.2" x14ac:dyDescent="0.25">
      <c r="B183" s="896" t="s">
        <v>327</v>
      </c>
      <c r="C183" s="900" t="s">
        <v>1140</v>
      </c>
    </row>
    <row r="184" spans="2:3" ht="13.2" x14ac:dyDescent="0.25">
      <c r="B184" s="896" t="s">
        <v>328</v>
      </c>
      <c r="C184" s="900" t="s">
        <v>1140</v>
      </c>
    </row>
    <row r="185" spans="2:3" ht="13.2" x14ac:dyDescent="0.25">
      <c r="B185" s="896" t="s">
        <v>329</v>
      </c>
      <c r="C185" s="900" t="s">
        <v>1140</v>
      </c>
    </row>
    <row r="186" spans="2:3" ht="13.2" x14ac:dyDescent="0.25">
      <c r="B186" s="896" t="s">
        <v>1013</v>
      </c>
      <c r="C186" s="900" t="s">
        <v>1140</v>
      </c>
    </row>
    <row r="187" spans="2:3" ht="13.2" x14ac:dyDescent="0.25">
      <c r="B187" s="896" t="s">
        <v>330</v>
      </c>
      <c r="C187" s="900" t="s">
        <v>1140</v>
      </c>
    </row>
    <row r="188" spans="2:3" ht="13.2" x14ac:dyDescent="0.25">
      <c r="B188" s="896" t="s">
        <v>331</v>
      </c>
      <c r="C188" s="900" t="s">
        <v>1140</v>
      </c>
    </row>
    <row r="189" spans="2:3" ht="13.2" x14ac:dyDescent="0.25">
      <c r="B189" s="896" t="s">
        <v>332</v>
      </c>
      <c r="C189" s="900" t="s">
        <v>1140</v>
      </c>
    </row>
    <row r="190" spans="2:3" ht="13.2" x14ac:dyDescent="0.25">
      <c r="B190" s="896" t="s">
        <v>210</v>
      </c>
      <c r="C190" s="900" t="s">
        <v>1140</v>
      </c>
    </row>
    <row r="191" spans="2:3" ht="13.2" x14ac:dyDescent="0.25">
      <c r="B191" s="896" t="s">
        <v>1014</v>
      </c>
      <c r="C191" s="900" t="s">
        <v>1140</v>
      </c>
    </row>
    <row r="192" spans="2:3" ht="13.2" x14ac:dyDescent="0.25">
      <c r="B192" s="896" t="s">
        <v>1088</v>
      </c>
      <c r="C192" s="900" t="s">
        <v>1140</v>
      </c>
    </row>
    <row r="193" spans="2:3" ht="13.2" x14ac:dyDescent="0.25">
      <c r="B193" s="896" t="s">
        <v>333</v>
      </c>
      <c r="C193" s="899" t="s">
        <v>1140</v>
      </c>
    </row>
    <row r="194" spans="2:3" ht="13.2" x14ac:dyDescent="0.25">
      <c r="B194" s="896" t="s">
        <v>334</v>
      </c>
      <c r="C194" s="899" t="s">
        <v>1140</v>
      </c>
    </row>
    <row r="195" spans="2:3" ht="13.2" x14ac:dyDescent="0.25">
      <c r="B195" s="896" t="s">
        <v>1089</v>
      </c>
      <c r="C195" s="899" t="s">
        <v>1140</v>
      </c>
    </row>
    <row r="196" spans="2:3" ht="13.2" x14ac:dyDescent="0.25">
      <c r="B196" s="896" t="s">
        <v>335</v>
      </c>
      <c r="C196" s="899" t="s">
        <v>1140</v>
      </c>
    </row>
    <row r="197" spans="2:3" ht="13.2" x14ac:dyDescent="0.25">
      <c r="B197" s="896" t="s">
        <v>211</v>
      </c>
      <c r="C197" s="899" t="s">
        <v>1140</v>
      </c>
    </row>
    <row r="198" spans="2:3" ht="13.2" x14ac:dyDescent="0.25">
      <c r="B198" s="896" t="s">
        <v>336</v>
      </c>
      <c r="C198" s="899" t="s">
        <v>1140</v>
      </c>
    </row>
    <row r="199" spans="2:3" ht="13.2" x14ac:dyDescent="0.25">
      <c r="B199" s="896" t="s">
        <v>337</v>
      </c>
      <c r="C199" s="899" t="s">
        <v>1140</v>
      </c>
    </row>
    <row r="200" spans="2:3" ht="13.2" x14ac:dyDescent="0.25">
      <c r="B200" s="896" t="s">
        <v>338</v>
      </c>
      <c r="C200" s="899" t="s">
        <v>1140</v>
      </c>
    </row>
    <row r="201" spans="2:3" ht="13.2" x14ac:dyDescent="0.25">
      <c r="B201" s="926" t="s">
        <v>1153</v>
      </c>
      <c r="C201" s="899" t="s">
        <v>1140</v>
      </c>
    </row>
    <row r="202" spans="2:3" ht="13.2" x14ac:dyDescent="0.25">
      <c r="B202" s="896" t="s">
        <v>212</v>
      </c>
      <c r="C202" s="899" t="s">
        <v>1140</v>
      </c>
    </row>
    <row r="203" spans="2:3" ht="13.2" x14ac:dyDescent="0.25">
      <c r="B203" s="896" t="s">
        <v>1015</v>
      </c>
      <c r="C203" s="899" t="s">
        <v>1141</v>
      </c>
    </row>
    <row r="204" spans="2:3" ht="13.2" x14ac:dyDescent="0.25">
      <c r="B204" s="896" t="s">
        <v>395</v>
      </c>
      <c r="C204" s="899" t="s">
        <v>1141</v>
      </c>
    </row>
    <row r="205" spans="2:3" ht="13.2" x14ac:dyDescent="0.25">
      <c r="B205" s="896" t="s">
        <v>396</v>
      </c>
      <c r="C205" s="899" t="s">
        <v>1141</v>
      </c>
    </row>
    <row r="206" spans="2:3" ht="13.2" x14ac:dyDescent="0.25">
      <c r="B206" s="896" t="s">
        <v>1006</v>
      </c>
      <c r="C206" s="899" t="s">
        <v>1141</v>
      </c>
    </row>
    <row r="207" spans="2:3" ht="13.2" x14ac:dyDescent="0.25">
      <c r="B207" s="896" t="s">
        <v>339</v>
      </c>
      <c r="C207" s="899" t="s">
        <v>1141</v>
      </c>
    </row>
    <row r="208" spans="2:3" ht="13.2" x14ac:dyDescent="0.25">
      <c r="B208" s="896" t="s">
        <v>340</v>
      </c>
      <c r="C208" s="899" t="s">
        <v>1141</v>
      </c>
    </row>
    <row r="209" spans="2:3" ht="13.2" x14ac:dyDescent="0.25">
      <c r="B209" s="896" t="s">
        <v>341</v>
      </c>
      <c r="C209" s="899" t="s">
        <v>1141</v>
      </c>
    </row>
    <row r="210" spans="2:3" ht="13.2" x14ac:dyDescent="0.25">
      <c r="B210" s="896" t="s">
        <v>342</v>
      </c>
      <c r="C210" s="899" t="s">
        <v>1141</v>
      </c>
    </row>
    <row r="211" spans="2:3" ht="13.2" x14ac:dyDescent="0.25">
      <c r="B211" s="896" t="s">
        <v>343</v>
      </c>
      <c r="C211" s="899" t="s">
        <v>1141</v>
      </c>
    </row>
    <row r="212" spans="2:3" ht="13.2" x14ac:dyDescent="0.25">
      <c r="B212" s="896" t="s">
        <v>344</v>
      </c>
      <c r="C212" s="899" t="s">
        <v>1141</v>
      </c>
    </row>
    <row r="213" spans="2:3" ht="13.2" x14ac:dyDescent="0.25">
      <c r="B213" s="896" t="s">
        <v>226</v>
      </c>
      <c r="C213" s="899" t="s">
        <v>1141</v>
      </c>
    </row>
    <row r="214" spans="2:3" ht="13.2" x14ac:dyDescent="0.25">
      <c r="B214" s="896" t="s">
        <v>345</v>
      </c>
      <c r="C214" s="899" t="s">
        <v>1141</v>
      </c>
    </row>
    <row r="215" spans="2:3" ht="13.2" x14ac:dyDescent="0.25">
      <c r="B215" s="896" t="s">
        <v>346</v>
      </c>
      <c r="C215" s="899" t="s">
        <v>1141</v>
      </c>
    </row>
    <row r="216" spans="2:3" ht="13.2" x14ac:dyDescent="0.25">
      <c r="B216" s="896" t="s">
        <v>347</v>
      </c>
      <c r="C216" s="899" t="s">
        <v>1141</v>
      </c>
    </row>
    <row r="217" spans="2:3" ht="13.2" x14ac:dyDescent="0.25">
      <c r="B217" s="896" t="s">
        <v>382</v>
      </c>
      <c r="C217" s="899" t="s">
        <v>1141</v>
      </c>
    </row>
    <row r="218" spans="2:3" ht="13.2" x14ac:dyDescent="0.25">
      <c r="B218" s="896" t="s">
        <v>383</v>
      </c>
      <c r="C218" s="899" t="s">
        <v>1141</v>
      </c>
    </row>
    <row r="219" spans="2:3" ht="13.2" x14ac:dyDescent="0.25">
      <c r="B219" s="896" t="s">
        <v>384</v>
      </c>
      <c r="C219" s="899" t="s">
        <v>1141</v>
      </c>
    </row>
    <row r="220" spans="2:3" ht="13.2" x14ac:dyDescent="0.25">
      <c r="B220" s="896" t="s">
        <v>385</v>
      </c>
      <c r="C220" s="899" t="s">
        <v>1141</v>
      </c>
    </row>
    <row r="221" spans="2:3" ht="13.2" x14ac:dyDescent="0.25">
      <c r="B221" s="896" t="s">
        <v>386</v>
      </c>
      <c r="C221" s="899" t="s">
        <v>1141</v>
      </c>
    </row>
    <row r="222" spans="2:3" ht="13.2" x14ac:dyDescent="0.25">
      <c r="B222" s="896" t="s">
        <v>1084</v>
      </c>
      <c r="C222" s="899" t="s">
        <v>1141</v>
      </c>
    </row>
    <row r="223" spans="2:3" ht="13.2" x14ac:dyDescent="0.25">
      <c r="B223" s="896" t="s">
        <v>387</v>
      </c>
      <c r="C223" s="899" t="s">
        <v>1141</v>
      </c>
    </row>
    <row r="224" spans="2:3" ht="13.2" x14ac:dyDescent="0.25">
      <c r="B224" s="896" t="s">
        <v>388</v>
      </c>
      <c r="C224" s="899" t="s">
        <v>1141</v>
      </c>
    </row>
    <row r="225" spans="2:3" ht="13.2" x14ac:dyDescent="0.25">
      <c r="B225" s="896" t="s">
        <v>389</v>
      </c>
      <c r="C225" s="899" t="s">
        <v>1141</v>
      </c>
    </row>
    <row r="226" spans="2:3" ht="13.2" x14ac:dyDescent="0.25">
      <c r="B226" s="896" t="s">
        <v>390</v>
      </c>
      <c r="C226" s="899" t="s">
        <v>1141</v>
      </c>
    </row>
    <row r="227" spans="2:3" ht="13.2" x14ac:dyDescent="0.25">
      <c r="B227" s="926" t="s">
        <v>1154</v>
      </c>
      <c r="C227" s="899" t="s">
        <v>1141</v>
      </c>
    </row>
    <row r="228" spans="2:3" ht="13.2" x14ac:dyDescent="0.25">
      <c r="B228" s="896" t="s">
        <v>1132</v>
      </c>
      <c r="C228" s="899" t="s">
        <v>1141</v>
      </c>
    </row>
    <row r="229" spans="2:3" ht="13.2" x14ac:dyDescent="0.25">
      <c r="B229" s="896" t="s">
        <v>391</v>
      </c>
      <c r="C229" s="899" t="s">
        <v>1141</v>
      </c>
    </row>
    <row r="230" spans="2:3" ht="13.2" x14ac:dyDescent="0.25">
      <c r="B230" s="896" t="s">
        <v>392</v>
      </c>
      <c r="C230" s="899" t="s">
        <v>1141</v>
      </c>
    </row>
    <row r="231" spans="2:3" ht="13.2" x14ac:dyDescent="0.25">
      <c r="B231" s="896" t="s">
        <v>393</v>
      </c>
      <c r="C231" s="899" t="s">
        <v>1141</v>
      </c>
    </row>
    <row r="232" spans="2:3" ht="13.2" x14ac:dyDescent="0.25">
      <c r="B232" s="896" t="s">
        <v>394</v>
      </c>
      <c r="C232" s="899" t="s">
        <v>1141</v>
      </c>
    </row>
    <row r="233" spans="2:3" ht="13.2" x14ac:dyDescent="0.25">
      <c r="B233" s="896" t="s">
        <v>227</v>
      </c>
      <c r="C233" s="899" t="s">
        <v>1141</v>
      </c>
    </row>
    <row r="234" spans="2:3" ht="13.2" x14ac:dyDescent="0.25">
      <c r="B234" s="896" t="s">
        <v>397</v>
      </c>
      <c r="C234" s="899" t="s">
        <v>1142</v>
      </c>
    </row>
    <row r="235" spans="2:3" ht="13.2" x14ac:dyDescent="0.25">
      <c r="B235" s="896" t="s">
        <v>398</v>
      </c>
      <c r="C235" s="899" t="s">
        <v>1142</v>
      </c>
    </row>
    <row r="236" spans="2:3" ht="13.2" x14ac:dyDescent="0.25">
      <c r="B236" s="896" t="s">
        <v>399</v>
      </c>
      <c r="C236" s="899" t="s">
        <v>1142</v>
      </c>
    </row>
    <row r="237" spans="2:3" ht="13.2" x14ac:dyDescent="0.25">
      <c r="B237" s="896" t="s">
        <v>400</v>
      </c>
      <c r="C237" s="899" t="s">
        <v>1142</v>
      </c>
    </row>
    <row r="238" spans="2:3" ht="13.2" x14ac:dyDescent="0.25">
      <c r="B238" s="896" t="s">
        <v>401</v>
      </c>
      <c r="C238" s="899" t="s">
        <v>1142</v>
      </c>
    </row>
    <row r="239" spans="2:3" ht="13.2" x14ac:dyDescent="0.25">
      <c r="B239" s="896" t="s">
        <v>217</v>
      </c>
      <c r="C239" s="899" t="s">
        <v>1142</v>
      </c>
    </row>
    <row r="240" spans="2:3" ht="13.2" x14ac:dyDescent="0.25">
      <c r="B240" s="896" t="s">
        <v>402</v>
      </c>
      <c r="C240" s="899" t="s">
        <v>1142</v>
      </c>
    </row>
    <row r="241" spans="2:3" ht="13.2" x14ac:dyDescent="0.25">
      <c r="B241" s="896" t="s">
        <v>403</v>
      </c>
      <c r="C241" s="899" t="s">
        <v>1142</v>
      </c>
    </row>
    <row r="242" spans="2:3" ht="13.2" x14ac:dyDescent="0.25">
      <c r="B242" s="896" t="s">
        <v>404</v>
      </c>
      <c r="C242" s="899" t="s">
        <v>1142</v>
      </c>
    </row>
    <row r="243" spans="2:3" ht="13.2" x14ac:dyDescent="0.25">
      <c r="B243" s="896" t="s">
        <v>405</v>
      </c>
      <c r="C243" s="899" t="s">
        <v>1142</v>
      </c>
    </row>
    <row r="244" spans="2:3" ht="13.2" x14ac:dyDescent="0.25">
      <c r="B244" s="896" t="s">
        <v>406</v>
      </c>
      <c r="C244" s="899" t="s">
        <v>1142</v>
      </c>
    </row>
    <row r="245" spans="2:3" ht="13.2" x14ac:dyDescent="0.25">
      <c r="B245" s="896" t="s">
        <v>218</v>
      </c>
      <c r="C245" s="899" t="s">
        <v>1142</v>
      </c>
    </row>
    <row r="246" spans="2:3" ht="13.2" x14ac:dyDescent="0.25">
      <c r="B246" s="896" t="s">
        <v>407</v>
      </c>
      <c r="C246" s="899" t="s">
        <v>1142</v>
      </c>
    </row>
    <row r="247" spans="2:3" ht="13.2" x14ac:dyDescent="0.25">
      <c r="B247" s="896" t="s">
        <v>408</v>
      </c>
      <c r="C247" s="899" t="s">
        <v>1142</v>
      </c>
    </row>
    <row r="248" spans="2:3" ht="13.2" x14ac:dyDescent="0.25">
      <c r="B248" s="896" t="s">
        <v>409</v>
      </c>
      <c r="C248" s="899" t="s">
        <v>1142</v>
      </c>
    </row>
    <row r="249" spans="2:3" ht="13.2" x14ac:dyDescent="0.25">
      <c r="B249" s="896" t="s">
        <v>410</v>
      </c>
      <c r="C249" s="899" t="s">
        <v>1142</v>
      </c>
    </row>
    <row r="250" spans="2:3" ht="13.2" x14ac:dyDescent="0.25">
      <c r="B250" s="896" t="s">
        <v>1133</v>
      </c>
      <c r="C250" s="899" t="s">
        <v>1142</v>
      </c>
    </row>
    <row r="251" spans="2:3" ht="13.2" x14ac:dyDescent="0.25">
      <c r="B251" s="896" t="s">
        <v>219</v>
      </c>
      <c r="C251" s="899" t="s">
        <v>1142</v>
      </c>
    </row>
    <row r="252" spans="2:3" ht="13.2" x14ac:dyDescent="0.25">
      <c r="B252" s="896" t="s">
        <v>411</v>
      </c>
      <c r="C252" s="899" t="s">
        <v>1142</v>
      </c>
    </row>
    <row r="253" spans="2:3" ht="13.2" x14ac:dyDescent="0.25">
      <c r="B253" s="896" t="s">
        <v>412</v>
      </c>
      <c r="C253" s="899" t="s">
        <v>1142</v>
      </c>
    </row>
    <row r="254" spans="2:3" ht="13.2" x14ac:dyDescent="0.25">
      <c r="B254" s="927" t="s">
        <v>1134</v>
      </c>
      <c r="C254" s="899" t="s">
        <v>1142</v>
      </c>
    </row>
    <row r="255" spans="2:3" ht="13.2" x14ac:dyDescent="0.25">
      <c r="B255" s="896" t="s">
        <v>221</v>
      </c>
      <c r="C255" s="899" t="s">
        <v>1142</v>
      </c>
    </row>
    <row r="256" spans="2:3" ht="13.2" x14ac:dyDescent="0.25">
      <c r="B256" s="896" t="s">
        <v>1097</v>
      </c>
      <c r="C256" s="899" t="s">
        <v>1143</v>
      </c>
    </row>
    <row r="257" spans="2:3" ht="13.2" x14ac:dyDescent="0.25">
      <c r="B257" s="896" t="s">
        <v>413</v>
      </c>
      <c r="C257" s="899" t="s">
        <v>1143</v>
      </c>
    </row>
    <row r="258" spans="2:3" ht="13.2" x14ac:dyDescent="0.25">
      <c r="B258" s="896" t="s">
        <v>414</v>
      </c>
      <c r="C258" s="899" t="s">
        <v>1143</v>
      </c>
    </row>
    <row r="259" spans="2:3" ht="13.2" x14ac:dyDescent="0.25">
      <c r="B259" s="896" t="s">
        <v>415</v>
      </c>
      <c r="C259" s="899" t="s">
        <v>1143</v>
      </c>
    </row>
    <row r="260" spans="2:3" ht="13.2" x14ac:dyDescent="0.25">
      <c r="B260" s="896" t="s">
        <v>416</v>
      </c>
      <c r="C260" s="899" t="s">
        <v>1143</v>
      </c>
    </row>
    <row r="261" spans="2:3" ht="13.2" x14ac:dyDescent="0.25">
      <c r="B261" s="896" t="s">
        <v>417</v>
      </c>
      <c r="C261" s="899" t="s">
        <v>1143</v>
      </c>
    </row>
    <row r="262" spans="2:3" ht="13.2" x14ac:dyDescent="0.25">
      <c r="B262" s="896" t="s">
        <v>193</v>
      </c>
      <c r="C262" s="899" t="s">
        <v>1143</v>
      </c>
    </row>
    <row r="263" spans="2:3" ht="13.2" x14ac:dyDescent="0.25">
      <c r="B263" s="896" t="s">
        <v>418</v>
      </c>
      <c r="C263" s="899" t="s">
        <v>1143</v>
      </c>
    </row>
    <row r="264" spans="2:3" ht="13.2" x14ac:dyDescent="0.25">
      <c r="B264" s="896" t="s">
        <v>419</v>
      </c>
      <c r="C264" s="899" t="s">
        <v>1143</v>
      </c>
    </row>
    <row r="265" spans="2:3" ht="13.2" x14ac:dyDescent="0.25">
      <c r="B265" s="896" t="s">
        <v>420</v>
      </c>
      <c r="C265" s="899" t="s">
        <v>1143</v>
      </c>
    </row>
    <row r="266" spans="2:3" ht="13.2" x14ac:dyDescent="0.25">
      <c r="B266" s="896" t="s">
        <v>421</v>
      </c>
      <c r="C266" s="899" t="s">
        <v>1143</v>
      </c>
    </row>
    <row r="267" spans="2:3" ht="13.2" x14ac:dyDescent="0.25">
      <c r="B267" s="896" t="s">
        <v>1016</v>
      </c>
      <c r="C267" s="899" t="s">
        <v>1143</v>
      </c>
    </row>
    <row r="268" spans="2:3" ht="13.2" x14ac:dyDescent="0.25">
      <c r="B268" s="896" t="s">
        <v>1082</v>
      </c>
      <c r="C268" s="899" t="s">
        <v>1143</v>
      </c>
    </row>
    <row r="269" spans="2:3" ht="13.2" x14ac:dyDescent="0.25">
      <c r="B269" s="896" t="s">
        <v>422</v>
      </c>
      <c r="C269" s="899" t="s">
        <v>1143</v>
      </c>
    </row>
    <row r="270" spans="2:3" ht="13.2" x14ac:dyDescent="0.25">
      <c r="B270" s="896" t="s">
        <v>423</v>
      </c>
      <c r="C270" s="899" t="s">
        <v>1143</v>
      </c>
    </row>
    <row r="271" spans="2:3" ht="13.2" x14ac:dyDescent="0.25">
      <c r="B271" s="896" t="s">
        <v>424</v>
      </c>
      <c r="C271" s="899" t="s">
        <v>1143</v>
      </c>
    </row>
    <row r="272" spans="2:3" ht="13.2" x14ac:dyDescent="0.25">
      <c r="B272" s="896" t="s">
        <v>425</v>
      </c>
      <c r="C272" s="899" t="s">
        <v>1143</v>
      </c>
    </row>
    <row r="273" spans="2:3" ht="13.2" x14ac:dyDescent="0.25">
      <c r="B273" s="896" t="s">
        <v>209</v>
      </c>
      <c r="C273" s="899" t="s">
        <v>1143</v>
      </c>
    </row>
    <row r="274" spans="2:3" ht="13.2" x14ac:dyDescent="0.25">
      <c r="B274" s="896" t="s">
        <v>426</v>
      </c>
      <c r="C274" s="899" t="s">
        <v>1143</v>
      </c>
    </row>
    <row r="275" spans="2:3" ht="13.2" x14ac:dyDescent="0.25">
      <c r="B275" s="896" t="s">
        <v>427</v>
      </c>
      <c r="C275" s="899" t="s">
        <v>1143</v>
      </c>
    </row>
    <row r="276" spans="2:3" ht="13.2" x14ac:dyDescent="0.25">
      <c r="B276" s="896" t="s">
        <v>428</v>
      </c>
      <c r="C276" s="899" t="s">
        <v>1143</v>
      </c>
    </row>
    <row r="277" spans="2:3" ht="13.2" x14ac:dyDescent="0.25">
      <c r="B277" s="896" t="s">
        <v>429</v>
      </c>
      <c r="C277" s="899" t="s">
        <v>1143</v>
      </c>
    </row>
    <row r="278" spans="2:3" ht="13.2" x14ac:dyDescent="0.25">
      <c r="B278" s="896" t="s">
        <v>430</v>
      </c>
      <c r="C278" s="899" t="s">
        <v>1143</v>
      </c>
    </row>
    <row r="279" spans="2:3" ht="13.2" x14ac:dyDescent="0.25">
      <c r="B279" s="896" t="s">
        <v>431</v>
      </c>
      <c r="C279" s="899" t="s">
        <v>1143</v>
      </c>
    </row>
    <row r="280" spans="2:3" ht="13.2" x14ac:dyDescent="0.25">
      <c r="B280" s="896" t="s">
        <v>432</v>
      </c>
      <c r="C280" s="899" t="s">
        <v>1143</v>
      </c>
    </row>
    <row r="281" spans="2:3" ht="13.2" x14ac:dyDescent="0.25">
      <c r="B281" s="896" t="s">
        <v>220</v>
      </c>
      <c r="C281" s="899" t="s">
        <v>1143</v>
      </c>
    </row>
    <row r="282" spans="2:3" ht="13.2" x14ac:dyDescent="0.25">
      <c r="B282" s="896" t="s">
        <v>433</v>
      </c>
      <c r="C282" s="899" t="s">
        <v>1143</v>
      </c>
    </row>
    <row r="283" spans="2:3" ht="13.2" x14ac:dyDescent="0.25">
      <c r="B283" s="896" t="s">
        <v>434</v>
      </c>
      <c r="C283" s="899" t="s">
        <v>1143</v>
      </c>
    </row>
    <row r="284" spans="2:3" ht="13.2" x14ac:dyDescent="0.25">
      <c r="B284" s="896" t="s">
        <v>435</v>
      </c>
      <c r="C284" s="899" t="s">
        <v>1143</v>
      </c>
    </row>
    <row r="285" spans="2:3" ht="13.2" x14ac:dyDescent="0.25">
      <c r="B285" s="896" t="s">
        <v>225</v>
      </c>
      <c r="C285" s="899" t="s">
        <v>1143</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4" zoomScaleNormal="100" workbookViewId="0">
      <selection activeCell="E56" sqref="E56"/>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1600</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54" workbookViewId="0">
      <selection activeCell="C109" sqref="C109:D109"/>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348</v>
      </c>
      <c r="B3" s="827"/>
      <c r="C3" s="824"/>
      <c r="D3" s="824"/>
    </row>
    <row r="4" spans="1:17" ht="13.5" customHeight="1" thickTop="1" x14ac:dyDescent="0.3">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352</v>
      </c>
      <c r="B8" s="849" t="str">
        <f>IF(B4&gt;" ",VLOOKUP(B4,'Lookup and lists'!B28:C311,2, FALSE)," ")</f>
        <v>Limpopo</v>
      </c>
      <c r="C8" s="994"/>
      <c r="D8" s="994"/>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353</v>
      </c>
      <c r="B10" s="957" t="s">
        <v>1514</v>
      </c>
      <c r="C10" s="854"/>
      <c r="D10" s="855"/>
      <c r="F10" s="833"/>
      <c r="G10" s="832"/>
      <c r="H10" s="833"/>
      <c r="I10" s="833"/>
      <c r="J10" s="832"/>
      <c r="K10" s="834"/>
      <c r="L10" s="834"/>
      <c r="M10" s="834"/>
      <c r="N10" s="834"/>
      <c r="O10" s="834"/>
      <c r="P10" s="835"/>
      <c r="Q10" s="836"/>
    </row>
    <row r="11" spans="1:17" ht="13.5" customHeight="1" x14ac:dyDescent="0.3">
      <c r="A11" s="856"/>
      <c r="B11" s="857"/>
      <c r="C11" s="995"/>
      <c r="D11" s="996"/>
      <c r="F11" s="833"/>
      <c r="G11" s="832"/>
      <c r="H11" s="833"/>
      <c r="I11" s="833"/>
      <c r="J11" s="832"/>
      <c r="K11" s="834"/>
      <c r="L11" s="834"/>
      <c r="M11" s="834"/>
      <c r="N11" s="834"/>
      <c r="O11" s="834"/>
      <c r="P11" s="835"/>
      <c r="Q11" s="839"/>
    </row>
    <row r="12" spans="1:17" ht="13.5" customHeight="1" x14ac:dyDescent="0.3">
      <c r="A12" s="853" t="s">
        <v>354</v>
      </c>
      <c r="B12" s="858"/>
      <c r="C12" s="859"/>
      <c r="D12" s="859"/>
      <c r="F12" s="833"/>
      <c r="G12" s="833"/>
      <c r="H12" s="833"/>
      <c r="I12" s="833"/>
      <c r="J12" s="832"/>
      <c r="K12" s="834"/>
      <c r="L12" s="834"/>
      <c r="M12" s="834"/>
      <c r="N12" s="834"/>
      <c r="O12" s="834"/>
      <c r="P12" s="835"/>
      <c r="Q12" s="836"/>
    </row>
    <row r="13" spans="1:17" ht="13.5" customHeight="1" x14ac:dyDescent="0.3">
      <c r="A13" s="860"/>
      <c r="B13" s="861"/>
      <c r="C13" s="997"/>
      <c r="D13" s="997"/>
      <c r="F13" s="833"/>
      <c r="G13" s="833"/>
      <c r="H13" s="833"/>
      <c r="I13" s="862"/>
      <c r="J13" s="833"/>
      <c r="K13" s="834"/>
      <c r="L13" s="834"/>
      <c r="M13" s="834"/>
      <c r="N13" s="834"/>
      <c r="O13" s="834"/>
      <c r="P13" s="835"/>
    </row>
    <row r="14" spans="1:17" ht="13.5" customHeight="1" thickBot="1" x14ac:dyDescent="0.35">
      <c r="A14" s="998" t="s">
        <v>355</v>
      </c>
      <c r="B14" s="999"/>
      <c r="C14" s="844"/>
      <c r="D14" s="844"/>
      <c r="F14" s="833"/>
      <c r="G14" s="833"/>
      <c r="H14" s="862"/>
      <c r="I14" s="863"/>
      <c r="J14" s="833"/>
      <c r="K14" s="834"/>
      <c r="L14" s="834"/>
      <c r="M14" s="834"/>
      <c r="N14" s="834"/>
      <c r="O14" s="834"/>
      <c r="P14" s="835"/>
    </row>
    <row r="15" spans="1:17" ht="13.5" customHeight="1" thickTop="1" x14ac:dyDescent="0.3">
      <c r="A15" s="864" t="s">
        <v>356</v>
      </c>
      <c r="B15" s="865"/>
      <c r="F15" s="862"/>
      <c r="G15" s="833"/>
      <c r="H15" s="863"/>
      <c r="I15" s="863"/>
      <c r="J15" s="833"/>
      <c r="K15" s="834"/>
      <c r="L15" s="834"/>
      <c r="M15" s="834"/>
      <c r="N15" s="834"/>
      <c r="O15" s="834"/>
      <c r="P15" s="835"/>
    </row>
    <row r="16" spans="1:17" s="845" customFormat="1" ht="13.5" customHeight="1" x14ac:dyDescent="0.3">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358</v>
      </c>
      <c r="B17" s="929" t="s">
        <v>1513</v>
      </c>
      <c r="F17" s="863"/>
      <c r="G17" s="863"/>
      <c r="H17" s="863"/>
      <c r="I17" s="863"/>
      <c r="J17" s="862"/>
      <c r="K17" s="834"/>
      <c r="L17" s="834"/>
      <c r="M17" s="834"/>
      <c r="N17" s="834"/>
      <c r="O17" s="834"/>
      <c r="P17" s="835"/>
    </row>
    <row r="18" spans="1:17" ht="13.5" customHeight="1" x14ac:dyDescent="0.3">
      <c r="A18" s="868" t="s">
        <v>359</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360</v>
      </c>
      <c r="B20" s="872"/>
      <c r="F20" s="863"/>
      <c r="G20" s="863"/>
      <c r="H20" s="863"/>
      <c r="I20" s="863"/>
      <c r="J20" s="863"/>
      <c r="K20" s="834"/>
      <c r="L20" s="834"/>
      <c r="M20" s="834"/>
      <c r="N20" s="834"/>
      <c r="O20" s="834"/>
      <c r="P20" s="835"/>
    </row>
    <row r="21" spans="1:17" ht="13.5" customHeight="1" x14ac:dyDescent="0.3">
      <c r="A21" s="866" t="s">
        <v>361</v>
      </c>
      <c r="B21" s="929" t="s">
        <v>1515</v>
      </c>
      <c r="F21" s="863"/>
      <c r="G21" s="863"/>
      <c r="H21" s="863"/>
      <c r="I21" s="863"/>
      <c r="J21" s="863"/>
      <c r="K21" s="834"/>
      <c r="L21" s="834"/>
      <c r="M21" s="834"/>
      <c r="N21" s="834"/>
      <c r="O21" s="834"/>
      <c r="P21" s="835"/>
    </row>
    <row r="22" spans="1:17" ht="13.5" customHeight="1" x14ac:dyDescent="0.3">
      <c r="A22" s="866" t="s">
        <v>362</v>
      </c>
      <c r="B22" s="929" t="s">
        <v>1516</v>
      </c>
      <c r="F22" s="863"/>
      <c r="G22" s="863"/>
      <c r="H22" s="863"/>
      <c r="I22" s="863"/>
      <c r="J22" s="863"/>
      <c r="K22" s="834"/>
      <c r="L22" s="834"/>
      <c r="M22" s="834"/>
      <c r="N22" s="834"/>
      <c r="O22" s="834"/>
      <c r="P22" s="835"/>
    </row>
    <row r="23" spans="1:17" ht="13.5" customHeight="1" x14ac:dyDescent="0.3">
      <c r="A23" s="866" t="s">
        <v>358</v>
      </c>
      <c r="B23" s="929" t="s">
        <v>1513</v>
      </c>
      <c r="F23" s="863"/>
      <c r="G23" s="863"/>
      <c r="H23" s="863"/>
      <c r="I23" s="863"/>
      <c r="J23" s="863"/>
      <c r="K23" s="834"/>
      <c r="L23" s="834"/>
      <c r="M23" s="834"/>
      <c r="N23" s="834"/>
      <c r="O23" s="834"/>
      <c r="P23" s="835"/>
    </row>
    <row r="24" spans="1:17" ht="13.5" customHeight="1" x14ac:dyDescent="0.3">
      <c r="A24" s="868" t="s">
        <v>359</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363</v>
      </c>
      <c r="B26" s="874"/>
      <c r="F26" s="863"/>
      <c r="G26" s="863"/>
      <c r="H26" s="863"/>
      <c r="I26" s="863"/>
      <c r="J26" s="863"/>
      <c r="K26" s="834"/>
      <c r="L26" s="834"/>
      <c r="M26" s="834"/>
      <c r="N26" s="834"/>
      <c r="O26" s="834"/>
      <c r="P26" s="835"/>
    </row>
    <row r="27" spans="1:17" ht="13.5" customHeight="1" x14ac:dyDescent="0.3">
      <c r="A27" s="866" t="s">
        <v>364</v>
      </c>
      <c r="B27" s="929" t="s">
        <v>1517</v>
      </c>
      <c r="F27" s="863"/>
      <c r="G27" s="863"/>
      <c r="H27" s="863"/>
      <c r="I27" s="863"/>
      <c r="J27" s="863"/>
      <c r="K27" s="834"/>
      <c r="L27" s="834"/>
      <c r="M27" s="834"/>
      <c r="N27" s="834"/>
      <c r="O27" s="834"/>
      <c r="P27" s="835"/>
    </row>
    <row r="28" spans="1:17" ht="13.5" customHeight="1" x14ac:dyDescent="0.3">
      <c r="A28" s="868" t="s">
        <v>365</v>
      </c>
      <c r="B28" s="875"/>
      <c r="J28" s="863"/>
      <c r="K28" s="863"/>
      <c r="L28" s="863"/>
      <c r="M28" s="863"/>
      <c r="N28" s="863"/>
      <c r="O28" s="863"/>
      <c r="P28" s="835"/>
    </row>
    <row r="29" spans="1:17" ht="13.5" customHeight="1" x14ac:dyDescent="0.3">
      <c r="A29" s="869"/>
      <c r="B29" s="876"/>
      <c r="P29" s="835"/>
    </row>
    <row r="30" spans="1:17" ht="13.5" customHeight="1" thickBot="1" x14ac:dyDescent="0.35">
      <c r="A30" s="1000" t="s">
        <v>366</v>
      </c>
      <c r="B30" s="1001"/>
      <c r="C30" s="992"/>
      <c r="D30" s="1002"/>
      <c r="P30" s="835"/>
    </row>
    <row r="31" spans="1:17" ht="13.5" customHeight="1" thickTop="1" x14ac:dyDescent="0.3">
      <c r="A31" s="871" t="s">
        <v>367</v>
      </c>
      <c r="B31" s="872"/>
      <c r="C31" s="982" t="s">
        <v>368</v>
      </c>
      <c r="D31" s="988"/>
      <c r="P31" s="835"/>
    </row>
    <row r="32" spans="1:17" s="933" customFormat="1" ht="13.5" customHeight="1" x14ac:dyDescent="0.3">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3">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3">
      <c r="A34" s="866" t="s">
        <v>369</v>
      </c>
      <c r="B34" s="929" t="s">
        <v>1520</v>
      </c>
      <c r="C34" s="866" t="s">
        <v>369</v>
      </c>
      <c r="D34" s="929" t="s">
        <v>1532</v>
      </c>
      <c r="P34" s="835"/>
    </row>
    <row r="35" spans="1:17" ht="13.5" customHeight="1" x14ac:dyDescent="0.3">
      <c r="A35" s="866" t="s">
        <v>364</v>
      </c>
      <c r="B35" s="929" t="s">
        <v>1521</v>
      </c>
      <c r="C35" s="866" t="s">
        <v>364</v>
      </c>
      <c r="D35" s="929" t="s">
        <v>1533</v>
      </c>
      <c r="F35" s="832"/>
      <c r="G35" s="834"/>
      <c r="P35" s="835"/>
    </row>
    <row r="36" spans="1:17" ht="13.5" customHeight="1" x14ac:dyDescent="0.3">
      <c r="A36" s="866" t="s">
        <v>370</v>
      </c>
      <c r="B36" s="929" t="s">
        <v>1522</v>
      </c>
      <c r="C36" s="866" t="s">
        <v>370</v>
      </c>
      <c r="D36" s="929" t="s">
        <v>1534</v>
      </c>
      <c r="F36" s="832"/>
      <c r="G36" s="834"/>
      <c r="P36" s="835"/>
    </row>
    <row r="37" spans="1:17" ht="13.5" customHeight="1" x14ac:dyDescent="0.3">
      <c r="A37" s="866" t="s">
        <v>365</v>
      </c>
      <c r="B37" s="929" t="s">
        <v>1523</v>
      </c>
      <c r="C37" s="866" t="s">
        <v>365</v>
      </c>
      <c r="D37" s="929" t="s">
        <v>1535</v>
      </c>
      <c r="F37" s="833"/>
      <c r="G37" s="834"/>
      <c r="P37" s="835"/>
    </row>
    <row r="38" spans="1:17" ht="13.5" customHeight="1" x14ac:dyDescent="0.3">
      <c r="A38" s="866" t="s">
        <v>371</v>
      </c>
      <c r="B38" s="929" t="s">
        <v>1524</v>
      </c>
      <c r="C38" s="866" t="s">
        <v>371</v>
      </c>
      <c r="D38" s="929" t="s">
        <v>1536</v>
      </c>
      <c r="F38" s="833"/>
      <c r="G38" s="834"/>
      <c r="P38" s="835"/>
    </row>
    <row r="39" spans="1:17" ht="13.5" customHeight="1" x14ac:dyDescent="0.3">
      <c r="A39" s="866"/>
      <c r="B39" s="877"/>
      <c r="C39" s="866"/>
      <c r="D39" s="877"/>
      <c r="F39" s="833"/>
      <c r="G39" s="834"/>
      <c r="P39" s="835"/>
    </row>
    <row r="40" spans="1:17" ht="13.5" customHeight="1" x14ac:dyDescent="0.3">
      <c r="A40" s="984" t="s">
        <v>372</v>
      </c>
      <c r="B40" s="989"/>
      <c r="C40" s="984" t="s">
        <v>373</v>
      </c>
      <c r="D40" s="989"/>
      <c r="F40" s="833"/>
      <c r="G40" s="834"/>
      <c r="P40" s="835"/>
    </row>
    <row r="41" spans="1:17" s="933" customFormat="1" ht="13.5" customHeight="1" x14ac:dyDescent="0.3">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3">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3">
      <c r="A43" s="866" t="s">
        <v>369</v>
      </c>
      <c r="B43" s="929" t="s">
        <v>1527</v>
      </c>
      <c r="C43" s="866" t="s">
        <v>369</v>
      </c>
      <c r="D43" s="929" t="s">
        <v>1538</v>
      </c>
      <c r="F43" s="833"/>
      <c r="G43" s="834"/>
      <c r="P43" s="835"/>
    </row>
    <row r="44" spans="1:17" ht="13.5" customHeight="1" x14ac:dyDescent="0.3">
      <c r="A44" s="866" t="s">
        <v>364</v>
      </c>
      <c r="B44" s="929" t="s">
        <v>1528</v>
      </c>
      <c r="C44" s="866" t="s">
        <v>364</v>
      </c>
      <c r="D44" s="929" t="s">
        <v>1539</v>
      </c>
      <c r="F44" s="862"/>
      <c r="G44" s="834"/>
      <c r="P44" s="835"/>
    </row>
    <row r="45" spans="1:17" ht="13.5" customHeight="1" x14ac:dyDescent="0.3">
      <c r="A45" s="866" t="s">
        <v>370</v>
      </c>
      <c r="B45" s="929" t="s">
        <v>1529</v>
      </c>
      <c r="C45" s="866" t="s">
        <v>370</v>
      </c>
      <c r="D45" s="929" t="s">
        <v>1540</v>
      </c>
      <c r="F45" s="863"/>
      <c r="G45" s="834"/>
      <c r="P45" s="835"/>
    </row>
    <row r="46" spans="1:17" ht="13.5" customHeight="1" x14ac:dyDescent="0.3">
      <c r="A46" s="866" t="s">
        <v>365</v>
      </c>
      <c r="B46" s="929" t="s">
        <v>1523</v>
      </c>
      <c r="C46" s="866" t="s">
        <v>365</v>
      </c>
      <c r="D46" s="929" t="s">
        <v>1523</v>
      </c>
      <c r="F46" s="863"/>
      <c r="G46" s="834"/>
      <c r="P46" s="835"/>
    </row>
    <row r="47" spans="1:17" ht="13.5" customHeight="1" x14ac:dyDescent="0.3">
      <c r="A47" s="878" t="s">
        <v>371</v>
      </c>
      <c r="B47" s="958" t="s">
        <v>1530</v>
      </c>
      <c r="C47" s="878" t="s">
        <v>371</v>
      </c>
      <c r="D47" s="958" t="s">
        <v>1541</v>
      </c>
      <c r="F47" s="863"/>
      <c r="G47" s="834"/>
      <c r="P47" s="835"/>
    </row>
    <row r="48" spans="1:17" ht="13.5" customHeight="1" x14ac:dyDescent="0.3">
      <c r="A48" s="869"/>
      <c r="B48" s="876"/>
      <c r="C48" s="869"/>
      <c r="D48" s="876"/>
      <c r="F48" s="863"/>
      <c r="G48" s="834"/>
      <c r="P48" s="835"/>
    </row>
    <row r="49" spans="1:17" ht="13.5" customHeight="1" x14ac:dyDescent="0.3">
      <c r="A49" s="984" t="s">
        <v>374</v>
      </c>
      <c r="B49" s="989"/>
      <c r="C49" s="984" t="s">
        <v>375</v>
      </c>
      <c r="D49" s="989"/>
      <c r="F49" s="863"/>
      <c r="G49" s="834"/>
      <c r="P49" s="835"/>
    </row>
    <row r="50" spans="1:17" s="933" customFormat="1" ht="13.5" customHeight="1" x14ac:dyDescent="0.3">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3">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3">
      <c r="A52" s="866" t="s">
        <v>369</v>
      </c>
      <c r="B52" s="867"/>
      <c r="C52" s="866" t="s">
        <v>369</v>
      </c>
      <c r="D52" s="867"/>
      <c r="F52" s="863"/>
      <c r="G52" s="834"/>
      <c r="P52" s="835"/>
    </row>
    <row r="53" spans="1:17" ht="13.5" customHeight="1" x14ac:dyDescent="0.3">
      <c r="A53" s="866" t="s">
        <v>364</v>
      </c>
      <c r="B53" s="867"/>
      <c r="C53" s="866" t="s">
        <v>364</v>
      </c>
      <c r="D53" s="867"/>
      <c r="F53" s="863"/>
      <c r="G53" s="834"/>
      <c r="P53" s="835"/>
    </row>
    <row r="54" spans="1:17" ht="13.5" customHeight="1" x14ac:dyDescent="0.3">
      <c r="A54" s="866" t="s">
        <v>370</v>
      </c>
      <c r="B54" s="867"/>
      <c r="C54" s="866" t="s">
        <v>370</v>
      </c>
      <c r="D54" s="867"/>
      <c r="F54" s="863"/>
      <c r="G54" s="834"/>
      <c r="P54" s="835"/>
    </row>
    <row r="55" spans="1:17" s="823" customFormat="1" ht="13.5" customHeight="1" x14ac:dyDescent="0.3">
      <c r="A55" s="866" t="s">
        <v>365</v>
      </c>
      <c r="B55" s="867"/>
      <c r="C55" s="866" t="s">
        <v>365</v>
      </c>
      <c r="D55" s="867"/>
      <c r="E55" s="822"/>
      <c r="F55" s="863"/>
      <c r="G55" s="834"/>
      <c r="P55" s="835"/>
    </row>
    <row r="56" spans="1:17" s="823" customFormat="1" ht="13.5" customHeight="1" x14ac:dyDescent="0.3">
      <c r="A56" s="868" t="s">
        <v>371</v>
      </c>
      <c r="B56" s="875"/>
      <c r="C56" s="868" t="s">
        <v>371</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990" t="s">
        <v>376</v>
      </c>
      <c r="B58" s="991"/>
      <c r="C58" s="992"/>
      <c r="D58" s="993"/>
      <c r="E58" s="822"/>
      <c r="F58" s="863"/>
      <c r="G58" s="834"/>
      <c r="P58" s="835"/>
    </row>
    <row r="59" spans="1:17" s="881" customFormat="1" ht="13.5" customHeight="1" thickTop="1" x14ac:dyDescent="0.3">
      <c r="A59" s="871" t="s">
        <v>377</v>
      </c>
      <c r="B59" s="872"/>
      <c r="C59" s="982" t="s">
        <v>378</v>
      </c>
      <c r="D59" s="983"/>
      <c r="E59" s="824"/>
      <c r="F59" s="879"/>
      <c r="G59" s="880"/>
      <c r="P59" s="835"/>
      <c r="Q59" s="823"/>
    </row>
    <row r="60" spans="1:17" s="933" customFormat="1" ht="13.5" customHeight="1" x14ac:dyDescent="0.3">
      <c r="A60" s="928" t="s">
        <v>1156</v>
      </c>
      <c r="B60" s="929" t="s">
        <v>1542</v>
      </c>
      <c r="C60" s="928" t="s">
        <v>1156</v>
      </c>
      <c r="D60" s="929" t="s">
        <v>1623</v>
      </c>
      <c r="E60" s="930"/>
      <c r="F60" s="931"/>
      <c r="G60" s="931"/>
      <c r="H60" s="931"/>
      <c r="I60" s="655"/>
      <c r="J60" s="655"/>
      <c r="K60" s="655"/>
      <c r="L60" s="655"/>
      <c r="M60" s="655"/>
      <c r="N60" s="655"/>
      <c r="O60" s="655"/>
      <c r="P60" s="932"/>
      <c r="Q60" s="655"/>
    </row>
    <row r="61" spans="1:17" s="933" customFormat="1" ht="13.5" customHeight="1" x14ac:dyDescent="0.3">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3">
      <c r="A62" s="866" t="s">
        <v>369</v>
      </c>
      <c r="B62" s="929" t="s">
        <v>1543</v>
      </c>
      <c r="C62" s="866" t="s">
        <v>369</v>
      </c>
      <c r="D62" s="929" t="s">
        <v>1624</v>
      </c>
      <c r="E62" s="824"/>
      <c r="F62" s="879"/>
      <c r="G62" s="880"/>
      <c r="P62" s="835"/>
      <c r="Q62" s="823"/>
    </row>
    <row r="63" spans="1:17" s="823" customFormat="1" ht="13.5" customHeight="1" x14ac:dyDescent="0.3">
      <c r="A63" s="866" t="s">
        <v>364</v>
      </c>
      <c r="B63" s="929" t="s">
        <v>1528</v>
      </c>
      <c r="C63" s="866" t="s">
        <v>364</v>
      </c>
      <c r="D63" s="929" t="s">
        <v>1528</v>
      </c>
      <c r="E63" s="822"/>
      <c r="F63" s="863"/>
      <c r="G63" s="834"/>
      <c r="P63" s="835"/>
    </row>
    <row r="64" spans="1:17" s="823" customFormat="1" ht="13.5" customHeight="1" x14ac:dyDescent="0.3">
      <c r="A64" s="866" t="s">
        <v>370</v>
      </c>
      <c r="B64" s="929" t="s">
        <v>1544</v>
      </c>
      <c r="C64" s="866" t="s">
        <v>370</v>
      </c>
      <c r="D64" s="929" t="s">
        <v>1625</v>
      </c>
      <c r="E64" s="822"/>
      <c r="F64" s="863"/>
      <c r="G64" s="834"/>
      <c r="P64" s="835"/>
    </row>
    <row r="65" spans="1:17" s="823" customFormat="1" ht="13.5" customHeight="1" x14ac:dyDescent="0.3">
      <c r="A65" s="866" t="s">
        <v>365</v>
      </c>
      <c r="B65" s="929" t="s">
        <v>1523</v>
      </c>
      <c r="C65" s="866" t="s">
        <v>365</v>
      </c>
      <c r="D65" s="929" t="s">
        <v>1523</v>
      </c>
      <c r="E65" s="822"/>
      <c r="F65" s="863"/>
      <c r="G65" s="834"/>
      <c r="P65" s="835"/>
    </row>
    <row r="66" spans="1:17" ht="13.5" customHeight="1" x14ac:dyDescent="0.3">
      <c r="A66" s="868" t="s">
        <v>371</v>
      </c>
      <c r="B66" s="959" t="s">
        <v>1545</v>
      </c>
      <c r="C66" s="868" t="s">
        <v>371</v>
      </c>
      <c r="D66" s="956" t="s">
        <v>1626</v>
      </c>
      <c r="F66" s="863"/>
      <c r="G66" s="834"/>
      <c r="P66" s="835"/>
    </row>
    <row r="67" spans="1:17" ht="13.5" customHeight="1" x14ac:dyDescent="0.3">
      <c r="A67" s="869"/>
      <c r="B67" s="876"/>
      <c r="C67" s="869"/>
      <c r="D67" s="876"/>
      <c r="F67" s="863"/>
      <c r="G67" s="834"/>
      <c r="P67" s="835"/>
    </row>
    <row r="68" spans="1:17" ht="13.5" customHeight="1" x14ac:dyDescent="0.3">
      <c r="A68" s="882" t="s">
        <v>379</v>
      </c>
      <c r="B68" s="874"/>
      <c r="C68" s="984" t="s">
        <v>380</v>
      </c>
      <c r="D68" s="985"/>
      <c r="F68" s="863"/>
      <c r="G68" s="834"/>
      <c r="P68" s="835"/>
    </row>
    <row r="69" spans="1:17" s="933" customFormat="1" ht="13.5" customHeight="1" x14ac:dyDescent="0.3">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3">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3">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3">
      <c r="A72" s="866" t="s">
        <v>364</v>
      </c>
      <c r="B72" s="929" t="s">
        <v>1548</v>
      </c>
      <c r="C72" s="866" t="s">
        <v>364</v>
      </c>
      <c r="D72" s="929" t="s">
        <v>1548</v>
      </c>
      <c r="F72" s="863"/>
      <c r="G72" s="834"/>
      <c r="P72" s="835"/>
    </row>
    <row r="73" spans="1:17" ht="13.5" customHeight="1" x14ac:dyDescent="0.3">
      <c r="A73" s="866" t="s">
        <v>370</v>
      </c>
      <c r="B73" s="929" t="s">
        <v>1549</v>
      </c>
      <c r="C73" s="866" t="s">
        <v>370</v>
      </c>
      <c r="D73" s="929" t="s">
        <v>1553</v>
      </c>
      <c r="F73" s="863"/>
      <c r="G73" s="834"/>
      <c r="P73" s="835"/>
    </row>
    <row r="74" spans="1:17" ht="13.5" customHeight="1" x14ac:dyDescent="0.3">
      <c r="A74" s="866" t="s">
        <v>365</v>
      </c>
      <c r="B74" s="929" t="s">
        <v>1535</v>
      </c>
      <c r="C74" s="866" t="s">
        <v>365</v>
      </c>
      <c r="D74" s="929" t="s">
        <v>1535</v>
      </c>
      <c r="F74" s="863"/>
      <c r="G74" s="834"/>
      <c r="P74" s="835"/>
    </row>
    <row r="75" spans="1:17" ht="13.5" customHeight="1" x14ac:dyDescent="0.3">
      <c r="A75" s="868" t="s">
        <v>371</v>
      </c>
      <c r="B75" s="959" t="s">
        <v>1550</v>
      </c>
      <c r="C75" s="868" t="s">
        <v>371</v>
      </c>
      <c r="D75" s="956" t="s">
        <v>1554</v>
      </c>
      <c r="F75" s="863"/>
      <c r="G75" s="834"/>
      <c r="P75" s="835"/>
    </row>
    <row r="76" spans="1:17" ht="13.5" customHeight="1" x14ac:dyDescent="0.3">
      <c r="A76" s="869"/>
      <c r="B76" s="876"/>
      <c r="C76" s="869"/>
      <c r="D76" s="876"/>
      <c r="F76" s="863"/>
      <c r="G76" s="834"/>
      <c r="P76" s="835"/>
    </row>
    <row r="77" spans="1:17" s="933" customFormat="1" ht="13.5" customHeight="1" x14ac:dyDescent="0.3">
      <c r="A77" s="986" t="s">
        <v>381</v>
      </c>
      <c r="B77" s="987"/>
      <c r="C77" s="986" t="s">
        <v>381</v>
      </c>
      <c r="D77" s="987"/>
      <c r="E77" s="930"/>
      <c r="F77" s="934"/>
      <c r="G77" s="935"/>
      <c r="H77" s="931"/>
      <c r="I77" s="655"/>
      <c r="J77" s="655"/>
      <c r="K77" s="655"/>
      <c r="L77" s="655"/>
      <c r="M77" s="655"/>
      <c r="N77" s="655"/>
      <c r="O77" s="655"/>
      <c r="P77" s="932"/>
      <c r="Q77" s="931"/>
    </row>
    <row r="78" spans="1:17" s="933" customFormat="1" ht="13.5" customHeight="1" x14ac:dyDescent="0.3">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3">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3">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3">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3">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3">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3">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3">
      <c r="A85" s="986" t="s">
        <v>381</v>
      </c>
      <c r="B85" s="987"/>
      <c r="C85" s="986" t="s">
        <v>381</v>
      </c>
      <c r="D85" s="987"/>
      <c r="E85" s="930"/>
      <c r="F85" s="934"/>
      <c r="G85" s="935"/>
      <c r="H85" s="931"/>
      <c r="I85" s="655"/>
      <c r="J85" s="655"/>
      <c r="K85" s="655"/>
      <c r="L85" s="655"/>
      <c r="M85" s="655"/>
      <c r="N85" s="655"/>
      <c r="O85" s="655"/>
      <c r="P85" s="932"/>
      <c r="Q85" s="931"/>
    </row>
    <row r="86" spans="1:17" s="933" customFormat="1" ht="13.5" customHeight="1" x14ac:dyDescent="0.3">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3">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3">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3">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3">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3">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3">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3">
      <c r="A93" s="986" t="s">
        <v>381</v>
      </c>
      <c r="B93" s="987"/>
      <c r="C93" s="986" t="s">
        <v>381</v>
      </c>
      <c r="D93" s="987"/>
      <c r="E93" s="930"/>
      <c r="F93" s="934"/>
      <c r="G93" s="935"/>
      <c r="I93" s="655"/>
      <c r="J93" s="655"/>
      <c r="K93" s="655"/>
      <c r="L93" s="655"/>
      <c r="M93" s="655"/>
      <c r="N93" s="655"/>
      <c r="O93" s="655"/>
      <c r="P93" s="932"/>
    </row>
    <row r="94" spans="1:17" s="933" customFormat="1" ht="13.5" customHeight="1" x14ac:dyDescent="0.3">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3">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3">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3">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3">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3">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3">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3">
      <c r="A101" s="986" t="s">
        <v>381</v>
      </c>
      <c r="B101" s="987"/>
      <c r="C101" s="986" t="s">
        <v>381</v>
      </c>
      <c r="D101" s="987"/>
      <c r="E101" s="930"/>
      <c r="F101" s="934"/>
      <c r="G101" s="935"/>
      <c r="I101" s="655"/>
      <c r="J101" s="655"/>
      <c r="K101" s="655"/>
      <c r="L101" s="655"/>
      <c r="M101" s="655"/>
      <c r="N101" s="655"/>
      <c r="O101" s="655"/>
      <c r="P101" s="932"/>
    </row>
    <row r="102" spans="1:17" s="933" customFormat="1" ht="13.5" customHeight="1" x14ac:dyDescent="0.3">
      <c r="A102" s="928" t="s">
        <v>1156</v>
      </c>
      <c r="B102" s="929" t="s">
        <v>1627</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3">
      <c r="A104" s="928" t="s">
        <v>369</v>
      </c>
      <c r="B104" s="929" t="s">
        <v>1628</v>
      </c>
      <c r="C104" s="928" t="s">
        <v>369</v>
      </c>
      <c r="D104" s="929"/>
      <c r="E104" s="930"/>
      <c r="F104" s="934"/>
      <c r="G104" s="935"/>
      <c r="I104" s="655"/>
      <c r="J104" s="655"/>
      <c r="K104" s="655"/>
      <c r="L104" s="655"/>
      <c r="M104" s="655"/>
      <c r="N104" s="655"/>
      <c r="O104" s="655"/>
      <c r="P104" s="932"/>
    </row>
    <row r="105" spans="1:17" s="931" customFormat="1" ht="12.75" customHeight="1" x14ac:dyDescent="0.3">
      <c r="A105" s="928" t="s">
        <v>364</v>
      </c>
      <c r="B105" s="971" t="s">
        <v>1629</v>
      </c>
      <c r="C105" s="928" t="s">
        <v>364</v>
      </c>
      <c r="D105" s="929"/>
      <c r="E105" s="930"/>
      <c r="F105" s="934"/>
      <c r="G105" s="935"/>
      <c r="I105" s="655"/>
      <c r="J105" s="655"/>
      <c r="K105" s="655"/>
      <c r="L105" s="655"/>
      <c r="M105" s="655"/>
      <c r="N105" s="655"/>
      <c r="O105" s="655"/>
      <c r="P105" s="932"/>
    </row>
    <row r="106" spans="1:17" s="943" customFormat="1" ht="12.75" customHeight="1" x14ac:dyDescent="0.3">
      <c r="A106" s="928" t="s">
        <v>370</v>
      </c>
      <c r="B106" s="971" t="s">
        <v>1630</v>
      </c>
      <c r="C106" s="928" t="s">
        <v>370</v>
      </c>
      <c r="D106" s="929"/>
      <c r="E106" s="942"/>
      <c r="F106" s="934"/>
      <c r="G106" s="935"/>
      <c r="I106" s="655"/>
      <c r="J106" s="655"/>
      <c r="K106" s="655"/>
      <c r="L106" s="655"/>
      <c r="M106" s="655"/>
      <c r="N106" s="655"/>
      <c r="O106" s="655"/>
      <c r="P106" s="932"/>
      <c r="Q106" s="931"/>
    </row>
    <row r="107" spans="1:17" s="655" customFormat="1" ht="12.75" customHeight="1" x14ac:dyDescent="0.3">
      <c r="A107" s="928" t="s">
        <v>365</v>
      </c>
      <c r="B107" s="929"/>
      <c r="C107" s="928" t="s">
        <v>365</v>
      </c>
      <c r="D107" s="929"/>
      <c r="E107" s="944"/>
      <c r="F107" s="934"/>
      <c r="G107" s="935"/>
      <c r="P107" s="932"/>
      <c r="Q107" s="931"/>
    </row>
    <row r="108" spans="1:17" s="655" customFormat="1" ht="12.75" customHeight="1" x14ac:dyDescent="0.3">
      <c r="A108" s="928" t="s">
        <v>371</v>
      </c>
      <c r="B108" s="972" t="s">
        <v>1631</v>
      </c>
      <c r="C108" s="928" t="s">
        <v>371</v>
      </c>
      <c r="D108" s="929"/>
      <c r="E108" s="944"/>
      <c r="F108" s="934"/>
      <c r="G108" s="935"/>
      <c r="P108" s="932"/>
      <c r="Q108" s="931"/>
    </row>
    <row r="109" spans="1:17" s="931" customFormat="1" ht="12.75" customHeight="1" x14ac:dyDescent="0.3">
      <c r="A109" s="986" t="s">
        <v>381</v>
      </c>
      <c r="B109" s="987"/>
      <c r="C109" s="986" t="s">
        <v>381</v>
      </c>
      <c r="D109" s="987"/>
      <c r="E109" s="930"/>
      <c r="I109" s="655"/>
      <c r="J109" s="655"/>
      <c r="K109" s="655"/>
      <c r="L109" s="655"/>
      <c r="M109" s="655"/>
      <c r="N109" s="655"/>
      <c r="O109" s="655"/>
      <c r="P109" s="932"/>
    </row>
    <row r="110" spans="1:17" s="933" customFormat="1" ht="13.5" customHeight="1" x14ac:dyDescent="0.3">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1157</v>
      </c>
      <c r="B111" s="929"/>
      <c r="C111" s="928" t="s">
        <v>1157</v>
      </c>
      <c r="D111" s="929"/>
      <c r="E111" s="930"/>
      <c r="I111" s="655"/>
      <c r="J111" s="655"/>
      <c r="K111" s="655"/>
      <c r="L111" s="655"/>
      <c r="M111" s="655"/>
      <c r="N111" s="655"/>
      <c r="O111" s="655"/>
      <c r="P111" s="932"/>
    </row>
    <row r="112" spans="1:17" s="931" customFormat="1" ht="12.75" customHeight="1" x14ac:dyDescent="0.3">
      <c r="A112" s="928" t="s">
        <v>369</v>
      </c>
      <c r="B112" s="929"/>
      <c r="C112" s="928" t="s">
        <v>369</v>
      </c>
      <c r="D112" s="929"/>
      <c r="E112" s="930"/>
      <c r="I112" s="655"/>
      <c r="J112" s="655"/>
      <c r="K112" s="655"/>
      <c r="L112" s="655"/>
      <c r="M112" s="655"/>
      <c r="N112" s="655"/>
      <c r="O112" s="655"/>
      <c r="P112" s="932"/>
    </row>
    <row r="113" spans="1:25" s="931" customFormat="1" ht="12.75" customHeight="1" x14ac:dyDescent="0.3">
      <c r="A113" s="928" t="s">
        <v>364</v>
      </c>
      <c r="B113" s="929"/>
      <c r="C113" s="928" t="s">
        <v>364</v>
      </c>
      <c r="D113" s="929"/>
      <c r="E113" s="930"/>
      <c r="I113" s="655"/>
      <c r="J113" s="655"/>
      <c r="K113" s="655"/>
      <c r="L113" s="655"/>
      <c r="M113" s="655"/>
      <c r="N113" s="655"/>
      <c r="O113" s="655"/>
      <c r="P113" s="932"/>
    </row>
    <row r="114" spans="1:25" s="933" customFormat="1" ht="12.75" customHeight="1" x14ac:dyDescent="0.3">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86" t="s">
        <v>381</v>
      </c>
      <c r="B117" s="987"/>
      <c r="C117" s="986" t="s">
        <v>381</v>
      </c>
      <c r="D117" s="987"/>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86" t="s">
        <v>381</v>
      </c>
      <c r="B125" s="987"/>
      <c r="C125" s="986" t="s">
        <v>381</v>
      </c>
      <c r="D125" s="987"/>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86" t="s">
        <v>381</v>
      </c>
      <c r="B133" s="987"/>
      <c r="C133" s="1003"/>
      <c r="D133" s="1004"/>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5"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G12" sqref="G12"/>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M04 October</v>
      </c>
      <c r="B1" s="349"/>
      <c r="C1" s="349"/>
      <c r="D1" s="349"/>
      <c r="E1" s="349"/>
      <c r="F1" s="349"/>
      <c r="G1" s="349"/>
      <c r="H1" s="349"/>
      <c r="I1" s="349"/>
      <c r="J1" s="349"/>
    </row>
    <row r="2" spans="1:10" x14ac:dyDescent="0.2">
      <c r="A2" s="1006" t="str">
        <f>desc</f>
        <v>Description</v>
      </c>
      <c r="B2" s="159" t="str">
        <f>Head1</f>
        <v>2016/17</v>
      </c>
      <c r="C2" s="1008" t="str">
        <f>Head2</f>
        <v>Budget Year 2017/18</v>
      </c>
      <c r="D2" s="1009"/>
      <c r="E2" s="1009"/>
      <c r="F2" s="1009"/>
      <c r="G2" s="1009"/>
      <c r="H2" s="1009"/>
      <c r="I2" s="1009"/>
      <c r="J2" s="1010"/>
    </row>
    <row r="3" spans="1:10" ht="20.399999999999999" x14ac:dyDescent="0.2">
      <c r="A3" s="1007"/>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688</v>
      </c>
      <c r="B4" s="19"/>
      <c r="C4" s="223"/>
      <c r="D4" s="83"/>
      <c r="E4" s="83"/>
      <c r="F4" s="83"/>
      <c r="G4" s="83"/>
      <c r="H4" s="83"/>
      <c r="I4" s="243" t="s">
        <v>595</v>
      </c>
      <c r="J4" s="224"/>
    </row>
    <row r="5" spans="1:10" ht="12.75" customHeight="1" x14ac:dyDescent="0.2">
      <c r="A5" s="156" t="s">
        <v>771</v>
      </c>
      <c r="B5" s="173"/>
      <c r="C5" s="192"/>
      <c r="D5" s="193"/>
      <c r="E5" s="193"/>
      <c r="F5" s="193"/>
      <c r="G5" s="193"/>
      <c r="H5" s="193"/>
      <c r="I5" s="201"/>
      <c r="J5" s="194"/>
    </row>
    <row r="6" spans="1:10" ht="12.75" customHeight="1" x14ac:dyDescent="0.2">
      <c r="A6" s="153" t="s">
        <v>962</v>
      </c>
      <c r="B6" s="657">
        <f>SUM('C4-FinPerf RE'!C6:C6)</f>
        <v>299935075.72000003</v>
      </c>
      <c r="C6" s="658">
        <f>SUM('C4-FinPerf RE'!D6:D6)</f>
        <v>388192000</v>
      </c>
      <c r="D6" s="411">
        <f>SUM('C4-FinPerf RE'!E6:E6)</f>
        <v>0</v>
      </c>
      <c r="E6" s="411">
        <f>SUM('C4-FinPerf RE'!F6:F6)</f>
        <v>29208700.530000001</v>
      </c>
      <c r="F6" s="411">
        <f>SUM('C4-FinPerf RE'!G6:G6)</f>
        <v>114054234.83000921</v>
      </c>
      <c r="G6" s="659">
        <f>SUM('C4-FinPerf RE'!H6:H6)</f>
        <v>129397333.33333333</v>
      </c>
      <c r="H6" s="411">
        <f>F6-G6</f>
        <v>-15343098.503324121</v>
      </c>
      <c r="I6" s="600">
        <f>IF(H6=0,"",H6/G6)</f>
        <v>-0.11857352936168794</v>
      </c>
      <c r="J6" s="651">
        <f>SUM('C4-FinPerf RE'!K6:K6)</f>
        <v>388192000</v>
      </c>
    </row>
    <row r="7" spans="1:10" ht="12.75" customHeight="1" x14ac:dyDescent="0.2">
      <c r="A7" s="153" t="s">
        <v>993</v>
      </c>
      <c r="B7" s="657">
        <f>SUM('C4-FinPerf RE'!C7:C11)</f>
        <v>1207106650.1800003</v>
      </c>
      <c r="C7" s="658">
        <f>SUM('C4-FinPerf RE'!D7:D11)</f>
        <v>1484279000.0000002</v>
      </c>
      <c r="D7" s="411">
        <f>SUM('C4-FinPerf RE'!E7:E11)</f>
        <v>0</v>
      </c>
      <c r="E7" s="411">
        <f>SUM('C4-FinPerf RE'!F7:F11)</f>
        <v>99168203.799999997</v>
      </c>
      <c r="F7" s="411">
        <f>SUM('C4-FinPerf RE'!G7:G11)</f>
        <v>413802692.63</v>
      </c>
      <c r="G7" s="659">
        <f>SUM('C4-FinPerf RE'!H7:H11)</f>
        <v>494759666.66666669</v>
      </c>
      <c r="H7" s="411">
        <f>F7-G7</f>
        <v>-80956974.036666691</v>
      </c>
      <c r="I7" s="208">
        <f>IF(H7=0,"",H7/G7)</f>
        <v>-0.16362888790449778</v>
      </c>
      <c r="J7" s="651">
        <f>SUM('C4-FinPerf RE'!K7:K11)</f>
        <v>1484279000.0000002</v>
      </c>
    </row>
    <row r="8" spans="1:10" ht="12.75" customHeight="1" x14ac:dyDescent="0.2">
      <c r="A8" s="153" t="s">
        <v>510</v>
      </c>
      <c r="B8" s="657">
        <f>'C4-FinPerf RE'!C13</f>
        <v>26966349.300000001</v>
      </c>
      <c r="C8" s="658">
        <f>'C4-FinPerf RE'!D13</f>
        <v>44944000</v>
      </c>
      <c r="D8" s="411">
        <f>'C4-FinPerf RE'!E13</f>
        <v>0</v>
      </c>
      <c r="E8" s="411">
        <f>'C4-FinPerf RE'!F13</f>
        <v>1336827.6499999999</v>
      </c>
      <c r="F8" s="411">
        <f>'C4-FinPerf RE'!G13</f>
        <v>13403449.119999999</v>
      </c>
      <c r="G8" s="659">
        <f>'C4-FinPerf RE'!H13</f>
        <v>14981333.333333334</v>
      </c>
      <c r="H8" s="411">
        <f>F8-G8</f>
        <v>-1577884.2133333348</v>
      </c>
      <c r="I8" s="208">
        <f>IF(H8=0,"",H8/G8)</f>
        <v>-0.10532334994660031</v>
      </c>
      <c r="J8" s="651">
        <f>'C4-FinPerf RE'!K13</f>
        <v>44944000</v>
      </c>
    </row>
    <row r="9" spans="1:10" ht="12.75" customHeight="1" x14ac:dyDescent="0.2">
      <c r="A9" s="153" t="s">
        <v>1159</v>
      </c>
      <c r="B9" s="657">
        <f>'C4-FinPerf RE'!C19</f>
        <v>743575754</v>
      </c>
      <c r="C9" s="658">
        <f>'C4-FinPerf RE'!D19</f>
        <v>968911000.36500001</v>
      </c>
      <c r="D9" s="411">
        <f>'C4-FinPerf RE'!E19</f>
        <v>0</v>
      </c>
      <c r="E9" s="411">
        <f>'C4-FinPerf RE'!F19</f>
        <v>72508700</v>
      </c>
      <c r="F9" s="411">
        <f>'C4-FinPerf RE'!G19</f>
        <v>611025720.37430596</v>
      </c>
      <c r="G9" s="659">
        <f>'C4-FinPerf RE'!H19</f>
        <v>322970333.45499998</v>
      </c>
      <c r="H9" s="411">
        <f>F9-G9</f>
        <v>288055386.91930598</v>
      </c>
      <c r="I9" s="208">
        <f>IF(H9=0,"",H9/G9)</f>
        <v>0.89189426111621872</v>
      </c>
      <c r="J9" s="651">
        <f>'C4-FinPerf RE'!K19</f>
        <v>968911000.36500001</v>
      </c>
    </row>
    <row r="10" spans="1:10" ht="12.75" customHeight="1" x14ac:dyDescent="0.2">
      <c r="A10" s="233" t="s">
        <v>508</v>
      </c>
      <c r="B10" s="660">
        <f>'C4-FinPerf RE'!C12+'C4-FinPerf RE'!C14+'C4-FinPerf RE'!C15+'C4-FinPerf RE'!C16+'C4-FinPerf RE'!C17+'C4-FinPerf RE'!C18+'C4-FinPerf RE'!C20+'C4-FinPerf RE'!C21</f>
        <v>368676025.00999922</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24663834.18</v>
      </c>
      <c r="F10" s="412">
        <f>'C4-FinPerf RE'!G12+'C4-FinPerf RE'!G14+'C4-FinPerf RE'!G15+'C4-FinPerf RE'!G16+'C4-FinPerf RE'!G17+'C4-FinPerf RE'!G18+'C4-FinPerf RE'!G20+'C4-FinPerf RE'!G21</f>
        <v>159011111.04899999</v>
      </c>
      <c r="G10" s="662">
        <f>'C4-FinPerf RE'!H12+'C4-FinPerf RE'!H14+'C4-FinPerf RE'!H15+'C4-FinPerf RE'!H16+'C4-FinPerf RE'!H17+'C4-FinPerf RE'!H18+'C4-FinPerf RE'!H20+'C4-FinPerf RE'!H21</f>
        <v>135312000.22333333</v>
      </c>
      <c r="H10" s="412">
        <f>F10-G10</f>
        <v>23699110.825666666</v>
      </c>
      <c r="I10" s="209">
        <f>IF(H10=0,"",H10/G10)</f>
        <v>0.17514419110316254</v>
      </c>
      <c r="J10" s="663">
        <f>'C4-FinPerf RE'!K12+'C4-FinPerf RE'!K14+'C4-FinPerf RE'!K15+'C4-FinPerf RE'!K16+'C4-FinPerf RE'!K17+'C4-FinPerf RE'!K18+'C4-FinPerf RE'!K20+'C4-FinPerf RE'!K21</f>
        <v>405936000.66999996</v>
      </c>
    </row>
    <row r="11" spans="1:10" ht="23.25" customHeight="1" x14ac:dyDescent="0.2">
      <c r="A11" s="591" t="s">
        <v>141</v>
      </c>
      <c r="B11" s="664">
        <f t="shared" ref="B11:J11" si="0">SUM(B6:B10)</f>
        <v>2646259854.2099996</v>
      </c>
      <c r="C11" s="665">
        <f t="shared" si="0"/>
        <v>3292262001.0350003</v>
      </c>
      <c r="D11" s="666">
        <f t="shared" si="0"/>
        <v>0</v>
      </c>
      <c r="E11" s="666">
        <f t="shared" si="0"/>
        <v>226886266.16000003</v>
      </c>
      <c r="F11" s="666">
        <f t="shared" si="0"/>
        <v>1311297208.0033152</v>
      </c>
      <c r="G11" s="667">
        <f t="shared" si="0"/>
        <v>1097420667.0116668</v>
      </c>
      <c r="H11" s="666">
        <f t="shared" ref="H11:H25" si="1">F11-G11</f>
        <v>213876540.99164844</v>
      </c>
      <c r="I11" s="602">
        <f t="shared" ref="I11:I25" si="2">IF(H11=0,"",H11/G11)</f>
        <v>0.19489020702885551</v>
      </c>
      <c r="J11" s="668">
        <f t="shared" si="0"/>
        <v>3292262001.0350003</v>
      </c>
    </row>
    <row r="12" spans="1:10" ht="12.75" customHeight="1" x14ac:dyDescent="0.2">
      <c r="A12" s="153" t="s">
        <v>488</v>
      </c>
      <c r="B12" s="657">
        <f>'C4-FinPerf RE'!C25</f>
        <v>651251445.15999997</v>
      </c>
      <c r="C12" s="658">
        <f>'C4-FinPerf RE'!D25</f>
        <v>743621830.66886926</v>
      </c>
      <c r="D12" s="411">
        <f>'C4-FinPerf RE'!E25</f>
        <v>0</v>
      </c>
      <c r="E12" s="411">
        <f>'C4-FinPerf RE'!F25</f>
        <v>56246992.139999986</v>
      </c>
      <c r="F12" s="411">
        <f>'C4-FinPerf RE'!G25</f>
        <v>220542512.98419997</v>
      </c>
      <c r="G12" s="659">
        <f>'C4-FinPerf RE'!H25</f>
        <v>247873943.55628976</v>
      </c>
      <c r="H12" s="411">
        <f t="shared" si="1"/>
        <v>-27331430.572089791</v>
      </c>
      <c r="I12" s="208">
        <f t="shared" si="2"/>
        <v>-0.11026342736941645</v>
      </c>
      <c r="J12" s="651">
        <f>'C4-FinPerf RE'!K25</f>
        <v>743621830.66886926</v>
      </c>
    </row>
    <row r="13" spans="1:10" ht="12.75" customHeight="1" x14ac:dyDescent="0.2">
      <c r="A13" s="153" t="s">
        <v>868</v>
      </c>
      <c r="B13" s="657">
        <f>'C4-FinPerf RE'!C26</f>
        <v>31845968.25</v>
      </c>
      <c r="C13" s="658">
        <f>'C4-FinPerf RE'!D26</f>
        <v>38152000</v>
      </c>
      <c r="D13" s="411">
        <f>'C4-FinPerf RE'!E26</f>
        <v>0</v>
      </c>
      <c r="E13" s="411">
        <f>'C4-FinPerf RE'!F26</f>
        <v>2762827.52</v>
      </c>
      <c r="F13" s="411">
        <f>'C4-FinPerf RE'!G26</f>
        <v>10994804.359999999</v>
      </c>
      <c r="G13" s="659">
        <f>'C4-FinPerf RE'!H26</f>
        <v>12717333.333333334</v>
      </c>
      <c r="H13" s="411">
        <f t="shared" si="1"/>
        <v>-1722528.9733333346</v>
      </c>
      <c r="I13" s="208">
        <f t="shared" si="2"/>
        <v>-0.13544734011323137</v>
      </c>
      <c r="J13" s="651">
        <f>'C4-FinPerf RE'!K26</f>
        <v>38152000</v>
      </c>
    </row>
    <row r="14" spans="1:10" ht="12.75" customHeight="1" x14ac:dyDescent="0.2">
      <c r="A14" s="590" t="s">
        <v>685</v>
      </c>
      <c r="B14" s="657">
        <f>'C4-FinPerf RE'!C28</f>
        <v>749627746.87</v>
      </c>
      <c r="C14" s="658">
        <f>'C4-FinPerf RE'!D28</f>
        <v>185000000</v>
      </c>
      <c r="D14" s="411">
        <f>'C4-FinPerf RE'!E28</f>
        <v>0</v>
      </c>
      <c r="E14" s="411">
        <f>'C4-FinPerf RE'!F28</f>
        <v>15416666.6666667</v>
      </c>
      <c r="F14" s="411">
        <f>'C4-FinPerf RE'!G28</f>
        <v>61666666.666666701</v>
      </c>
      <c r="G14" s="659">
        <f>'C4-FinPerf RE'!H28</f>
        <v>61666666.666666664</v>
      </c>
      <c r="H14" s="411">
        <f t="shared" si="1"/>
        <v>0</v>
      </c>
      <c r="I14" s="208" t="str">
        <f t="shared" si="2"/>
        <v/>
      </c>
      <c r="J14" s="651">
        <f>'C4-FinPerf RE'!K28</f>
        <v>185000000</v>
      </c>
    </row>
    <row r="15" spans="1:10" ht="12.75" customHeight="1" x14ac:dyDescent="0.2">
      <c r="A15" s="153" t="s">
        <v>463</v>
      </c>
      <c r="B15" s="657">
        <f>'C4-FinPerf RE'!C29</f>
        <v>37501259.159999996</v>
      </c>
      <c r="C15" s="658">
        <f>'C4-FinPerf RE'!D29</f>
        <v>80000000</v>
      </c>
      <c r="D15" s="411">
        <f>'C4-FinPerf RE'!E29</f>
        <v>0</v>
      </c>
      <c r="E15" s="411">
        <f>'C4-FinPerf RE'!F29</f>
        <v>0</v>
      </c>
      <c r="F15" s="411">
        <f>'C4-FinPerf RE'!G29</f>
        <v>10179890.960000001</v>
      </c>
      <c r="G15" s="659">
        <f>'C4-FinPerf RE'!H29</f>
        <v>26666666.666666668</v>
      </c>
      <c r="H15" s="411">
        <f t="shared" si="1"/>
        <v>-16486775.706666667</v>
      </c>
      <c r="I15" s="208">
        <f t="shared" si="2"/>
        <v>-0.61825408900000001</v>
      </c>
      <c r="J15" s="651">
        <f>'C4-FinPerf RE'!K29</f>
        <v>80000000</v>
      </c>
    </row>
    <row r="16" spans="1:10" ht="12.75" customHeight="1" x14ac:dyDescent="0.2">
      <c r="A16" s="153" t="s">
        <v>509</v>
      </c>
      <c r="B16" s="657">
        <f>SUM('C4-FinPerf RE'!C30:C31)</f>
        <v>1048437043.5999999</v>
      </c>
      <c r="C16" s="658">
        <f>SUM('C4-FinPerf RE'!D30:D31)</f>
        <v>1059289000</v>
      </c>
      <c r="D16" s="411">
        <f>SUM('C4-FinPerf RE'!E30:E31)</f>
        <v>0</v>
      </c>
      <c r="E16" s="411">
        <f>SUM('C4-FinPerf RE'!F30:F31)</f>
        <v>74524353.680000007</v>
      </c>
      <c r="F16" s="411">
        <f>SUM('C4-FinPerf RE'!G30:G31)</f>
        <v>328706705.17000002</v>
      </c>
      <c r="G16" s="659">
        <f>SUM('C4-FinPerf RE'!H30:H31)</f>
        <v>353096333.33333331</v>
      </c>
      <c r="H16" s="411">
        <f t="shared" si="1"/>
        <v>-24389628.163333297</v>
      </c>
      <c r="I16" s="600">
        <f t="shared" si="2"/>
        <v>-6.9073580949108218E-2</v>
      </c>
      <c r="J16" s="651">
        <f>SUM('C4-FinPerf RE'!K30:K31)</f>
        <v>1059289000</v>
      </c>
    </row>
    <row r="17" spans="1:11" ht="12.75" customHeight="1" x14ac:dyDescent="0.2">
      <c r="A17" s="153" t="s">
        <v>1159</v>
      </c>
      <c r="B17" s="657">
        <f>'C4-FinPerf RE'!C33</f>
        <v>15500000</v>
      </c>
      <c r="C17" s="658">
        <f>'C4-FinPerf RE'!D33</f>
        <v>5720000</v>
      </c>
      <c r="D17" s="411">
        <f>'C4-FinPerf RE'!E33</f>
        <v>0</v>
      </c>
      <c r="E17" s="411">
        <f>'C4-FinPerf RE'!F33</f>
        <v>40000</v>
      </c>
      <c r="F17" s="411">
        <f>'C4-FinPerf RE'!G33</f>
        <v>4020000</v>
      </c>
      <c r="G17" s="659">
        <f>'C4-FinPerf RE'!H33</f>
        <v>1906666.6666666667</v>
      </c>
      <c r="H17" s="411">
        <f t="shared" si="1"/>
        <v>2113333.333333333</v>
      </c>
      <c r="I17" s="208">
        <f t="shared" si="2"/>
        <v>1.1083916083916081</v>
      </c>
      <c r="J17" s="651">
        <f>'C4-FinPerf RE'!K33</f>
        <v>5720000</v>
      </c>
    </row>
    <row r="18" spans="1:11" ht="12.75" customHeight="1" x14ac:dyDescent="0.2">
      <c r="A18" s="153" t="s">
        <v>444</v>
      </c>
      <c r="B18" s="657">
        <f>'C4-FinPerf RE'!C36-SUM('C1-Sum'!B12:B17)</f>
        <v>593572982.08999968</v>
      </c>
      <c r="C18" s="658">
        <f>'C4-FinPerf RE'!D36-SUM('C1-Sum'!C12:C17)</f>
        <v>790474887.44099927</v>
      </c>
      <c r="D18" s="411">
        <f>'C4-FinPerf RE'!E36-SUM('C1-Sum'!D12:D17)</f>
        <v>0</v>
      </c>
      <c r="E18" s="411">
        <f>'C4-FinPerf RE'!F36-SUM('C1-Sum'!E12:E17)</f>
        <v>76826288.333333313</v>
      </c>
      <c r="F18" s="411">
        <f>'C4-FinPerf RE'!G36-SUM('C1-Sum'!F12:F17)</f>
        <v>251206366.50333333</v>
      </c>
      <c r="G18" s="659">
        <f>'C4-FinPerf RE'!H36-SUM('C1-Sum'!G12:G17)</f>
        <v>263491629.14699984</v>
      </c>
      <c r="H18" s="411">
        <f t="shared" si="1"/>
        <v>-12285262.643666506</v>
      </c>
      <c r="I18" s="208">
        <f t="shared" si="2"/>
        <v>-4.6624868818176603E-2</v>
      </c>
      <c r="J18" s="651">
        <f>'C4-FinPerf RE'!K36-SUM('C1-Sum'!J12:J17)</f>
        <v>790474887.44099927</v>
      </c>
    </row>
    <row r="19" spans="1:11" ht="12.75" customHeight="1" x14ac:dyDescent="0.2">
      <c r="A19" s="592" t="s">
        <v>502</v>
      </c>
      <c r="B19" s="669">
        <f t="shared" ref="B19:G19" si="3">SUM(B12:B18)</f>
        <v>3127736445.1299996</v>
      </c>
      <c r="C19" s="670">
        <f t="shared" si="3"/>
        <v>2902257718.1098685</v>
      </c>
      <c r="D19" s="671">
        <f t="shared" si="3"/>
        <v>0</v>
      </c>
      <c r="E19" s="671">
        <f t="shared" si="3"/>
        <v>225817128.34</v>
      </c>
      <c r="F19" s="671">
        <f t="shared" si="3"/>
        <v>887316946.64419997</v>
      </c>
      <c r="G19" s="672">
        <f t="shared" si="3"/>
        <v>967419239.36995625</v>
      </c>
      <c r="H19" s="671">
        <f t="shared" si="1"/>
        <v>-80102292.725756288</v>
      </c>
      <c r="I19" s="385">
        <f t="shared" si="2"/>
        <v>-8.2799979022459697E-2</v>
      </c>
      <c r="J19" s="673">
        <f>SUM(J12:J18)</f>
        <v>2902257718.1098685</v>
      </c>
    </row>
    <row r="20" spans="1:11" ht="12.75" customHeight="1" x14ac:dyDescent="0.2">
      <c r="A20" s="154" t="s">
        <v>503</v>
      </c>
      <c r="B20" s="674">
        <f t="shared" ref="B20:G20" si="4">B11-B19</f>
        <v>-481476590.92000008</v>
      </c>
      <c r="C20" s="675">
        <f t="shared" si="4"/>
        <v>390004282.9251318</v>
      </c>
      <c r="D20" s="646">
        <f t="shared" si="4"/>
        <v>0</v>
      </c>
      <c r="E20" s="646">
        <f t="shared" si="4"/>
        <v>1069137.8200000226</v>
      </c>
      <c r="F20" s="646">
        <f t="shared" si="4"/>
        <v>423980261.35911524</v>
      </c>
      <c r="G20" s="676">
        <f t="shared" si="4"/>
        <v>130001427.64171052</v>
      </c>
      <c r="H20" s="646">
        <f t="shared" si="1"/>
        <v>293978833.71740472</v>
      </c>
      <c r="I20" s="207">
        <f t="shared" si="2"/>
        <v>2.2613508101435849</v>
      </c>
      <c r="J20" s="650">
        <f>J11-J19</f>
        <v>390004282.9251318</v>
      </c>
    </row>
    <row r="21" spans="1:11" ht="12.75" customHeight="1" x14ac:dyDescent="0.2">
      <c r="A21" s="153" t="str">
        <f>'C4-FinPerf RE'!A39</f>
        <v>Transfers and subsidies - capital (monetary allocations) (National / Provincial and District)</v>
      </c>
      <c r="B21" s="657">
        <f>'C4-FinPerf RE'!C39</f>
        <v>581015839.45028496</v>
      </c>
      <c r="C21" s="658">
        <f>'C4-FinPerf RE'!D39</f>
        <v>650954999.63499999</v>
      </c>
      <c r="D21" s="411">
        <f>'C4-FinPerf RE'!E39</f>
        <v>0</v>
      </c>
      <c r="E21" s="411">
        <f>'C4-FinPerf RE'!F39</f>
        <v>18085560</v>
      </c>
      <c r="F21" s="411">
        <f>'C4-FinPerf RE'!G39</f>
        <v>275608564.630279</v>
      </c>
      <c r="G21" s="659">
        <f>'C4-FinPerf RE'!H39</f>
        <v>216984999.87833333</v>
      </c>
      <c r="H21" s="411">
        <f t="shared" si="1"/>
        <v>58623564.751945674</v>
      </c>
      <c r="I21" s="208">
        <f t="shared" si="2"/>
        <v>0.27017335200505455</v>
      </c>
      <c r="J21" s="651">
        <f>'C4-FinPerf RE'!K39</f>
        <v>650954999.63499999</v>
      </c>
    </row>
    <row r="22" spans="1:11" ht="12.75" customHeight="1" x14ac:dyDescent="0.2">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775</v>
      </c>
      <c r="B23" s="664">
        <f t="shared" ref="B23:G23" si="5">B20+B21+B22</f>
        <v>99539248.530284882</v>
      </c>
      <c r="C23" s="665">
        <f t="shared" si="5"/>
        <v>1040959282.5601318</v>
      </c>
      <c r="D23" s="666">
        <f t="shared" si="5"/>
        <v>0</v>
      </c>
      <c r="E23" s="666">
        <f t="shared" si="5"/>
        <v>19154697.820000023</v>
      </c>
      <c r="F23" s="666">
        <f t="shared" si="5"/>
        <v>699588825.98939419</v>
      </c>
      <c r="G23" s="667">
        <f t="shared" si="5"/>
        <v>346986427.52004385</v>
      </c>
      <c r="H23" s="666">
        <f t="shared" si="1"/>
        <v>352602398.46935034</v>
      </c>
      <c r="I23" s="601">
        <f t="shared" si="2"/>
        <v>1.0161849873767241</v>
      </c>
      <c r="J23" s="668">
        <f>J20+J21+J22</f>
        <v>1040959282.5601318</v>
      </c>
    </row>
    <row r="24" spans="1:11" ht="12.75" customHeight="1" x14ac:dyDescent="0.2">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923</v>
      </c>
      <c r="B25" s="674">
        <f t="shared" ref="B25:G25" si="6">B23+B24</f>
        <v>99539248.530284882</v>
      </c>
      <c r="C25" s="675">
        <f t="shared" si="6"/>
        <v>1040959282.5601318</v>
      </c>
      <c r="D25" s="646">
        <f t="shared" si="6"/>
        <v>0</v>
      </c>
      <c r="E25" s="646">
        <f t="shared" si="6"/>
        <v>19154697.820000023</v>
      </c>
      <c r="F25" s="646">
        <f t="shared" si="6"/>
        <v>699588825.98939419</v>
      </c>
      <c r="G25" s="676">
        <f t="shared" si="6"/>
        <v>346986427.52004385</v>
      </c>
      <c r="H25" s="646">
        <f t="shared" si="1"/>
        <v>352602398.46935034</v>
      </c>
      <c r="I25" s="207">
        <f t="shared" si="2"/>
        <v>1.0161849873767241</v>
      </c>
      <c r="J25" s="650">
        <f>J23+J24</f>
        <v>1040959282.5601318</v>
      </c>
    </row>
    <row r="26" spans="1:11" ht="5.0999999999999996" customHeight="1" x14ac:dyDescent="0.2">
      <c r="A26" s="155"/>
      <c r="B26" s="210"/>
      <c r="C26" s="211"/>
      <c r="D26" s="33"/>
      <c r="E26" s="33"/>
      <c r="F26" s="33"/>
      <c r="G26" s="33"/>
      <c r="H26" s="33"/>
      <c r="I26" s="212"/>
      <c r="J26" s="213"/>
    </row>
    <row r="27" spans="1:11" ht="12.75" customHeight="1" x14ac:dyDescent="0.2">
      <c r="A27" s="152" t="s">
        <v>958</v>
      </c>
      <c r="B27" s="214"/>
      <c r="C27" s="215"/>
      <c r="D27" s="31"/>
      <c r="E27" s="31"/>
      <c r="F27" s="31"/>
      <c r="G27" s="31"/>
      <c r="H27" s="31"/>
      <c r="I27" s="216"/>
      <c r="J27" s="217"/>
    </row>
    <row r="28" spans="1:11" ht="12.75" customHeight="1" x14ac:dyDescent="0.2">
      <c r="A28" s="154" t="s">
        <v>602</v>
      </c>
      <c r="B28" s="669">
        <f>'C5-Capex'!C40</f>
        <v>815422957.62549996</v>
      </c>
      <c r="C28" s="670">
        <f>'C5-Capex'!D40</f>
        <v>1230118000</v>
      </c>
      <c r="D28" s="671">
        <f>'C5-Capex'!E40</f>
        <v>0</v>
      </c>
      <c r="E28" s="671">
        <f>'C5-Capex'!F40</f>
        <v>69191121.855599985</v>
      </c>
      <c r="F28" s="671">
        <f>'C5-Capex'!G40</f>
        <v>275937384.91538501</v>
      </c>
      <c r="G28" s="672">
        <f>'C5-Capex'!H40</f>
        <v>410039333.33333325</v>
      </c>
      <c r="H28" s="671">
        <f t="shared" ref="H28:H33" si="7">F28-G28</f>
        <v>-134101948.41794825</v>
      </c>
      <c r="I28" s="385">
        <f t="shared" ref="I28:I33" si="8">IF(H28=0,"",H28/G28)</f>
        <v>-0.32704654777333947</v>
      </c>
      <c r="J28" s="673">
        <f>'C5-Capex'!K40</f>
        <v>1230118000</v>
      </c>
    </row>
    <row r="29" spans="1:11" ht="12.75" customHeight="1" x14ac:dyDescent="0.2">
      <c r="A29" s="153" t="s">
        <v>513</v>
      </c>
      <c r="B29" s="657">
        <f>'C5-Capex'!C70</f>
        <v>569507215.12131</v>
      </c>
      <c r="C29" s="658">
        <f>'C5-Capex'!D70</f>
        <v>650955000</v>
      </c>
      <c r="D29" s="411">
        <f>'C5-Capex'!E70</f>
        <v>0</v>
      </c>
      <c r="E29" s="411">
        <f>'C5-Capex'!F70</f>
        <v>18085560.814200003</v>
      </c>
      <c r="F29" s="411">
        <f>'C5-Capex'!G70</f>
        <v>152451493.922185</v>
      </c>
      <c r="G29" s="659">
        <f>'C5-Capex'!H70</f>
        <v>216985000</v>
      </c>
      <c r="H29" s="411">
        <f t="shared" si="7"/>
        <v>-64533506.077814996</v>
      </c>
      <c r="I29" s="600">
        <f t="shared" si="8"/>
        <v>-0.29740998722407075</v>
      </c>
      <c r="J29" s="651">
        <f>'C5-Capex'!K70</f>
        <v>650955000</v>
      </c>
      <c r="K29" s="157"/>
    </row>
    <row r="30" spans="1:11" ht="12.75" customHeight="1" x14ac:dyDescent="0.2">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802</v>
      </c>
      <c r="B31" s="657">
        <f>'C5-Capex'!C72</f>
        <v>143573637.00059998</v>
      </c>
      <c r="C31" s="658">
        <f>'C5-Capex'!D72</f>
        <v>239000000</v>
      </c>
      <c r="D31" s="411">
        <f>'C5-Capex'!E72</f>
        <v>0</v>
      </c>
      <c r="E31" s="411">
        <f>'C5-Capex'!F72</f>
        <v>29983931.695799999</v>
      </c>
      <c r="F31" s="411">
        <f>'C5-Capex'!G72</f>
        <v>62254272.471599996</v>
      </c>
      <c r="G31" s="659">
        <f>'C5-Capex'!H72</f>
        <v>79666666.666666672</v>
      </c>
      <c r="H31" s="411">
        <f t="shared" si="7"/>
        <v>-17412394.195066676</v>
      </c>
      <c r="I31" s="208">
        <f t="shared" si="8"/>
        <v>-0.21856561751129716</v>
      </c>
      <c r="J31" s="651">
        <f>'C5-Capex'!K72</f>
        <v>239000000</v>
      </c>
      <c r="K31" s="157"/>
    </row>
    <row r="32" spans="1:11" ht="12.75" customHeight="1" x14ac:dyDescent="0.2">
      <c r="A32" s="153" t="s">
        <v>485</v>
      </c>
      <c r="B32" s="669">
        <f>'C5-Capex'!C73</f>
        <v>102342106.84980011</v>
      </c>
      <c r="C32" s="670">
        <f>'C5-Capex'!D73</f>
        <v>340163000</v>
      </c>
      <c r="D32" s="671">
        <f>'C5-Capex'!E73</f>
        <v>0</v>
      </c>
      <c r="E32" s="671">
        <f>'C5-Capex'!F73</f>
        <v>21121629.345600002</v>
      </c>
      <c r="F32" s="671">
        <f>'C5-Capex'!G73</f>
        <v>61231619.011799999</v>
      </c>
      <c r="G32" s="672">
        <f>'C5-Capex'!H73</f>
        <v>113387666.66666667</v>
      </c>
      <c r="H32" s="671">
        <f t="shared" si="7"/>
        <v>-52156047.654866673</v>
      </c>
      <c r="I32" s="385">
        <f t="shared" si="8"/>
        <v>-0.45997990070818995</v>
      </c>
      <c r="J32" s="673">
        <f>'C5-Capex'!K73</f>
        <v>340163000</v>
      </c>
      <c r="K32" s="157"/>
    </row>
    <row r="33" spans="1:10" ht="12.75" customHeight="1" x14ac:dyDescent="0.2">
      <c r="A33" s="592" t="s">
        <v>144</v>
      </c>
      <c r="B33" s="677">
        <f t="shared" ref="B33:J33" si="9">SUM(B29:B32)</f>
        <v>815422958.97171009</v>
      </c>
      <c r="C33" s="622">
        <f t="shared" si="9"/>
        <v>1230118000</v>
      </c>
      <c r="D33" s="620">
        <f t="shared" si="9"/>
        <v>0</v>
      </c>
      <c r="E33" s="620">
        <f>SUM(E29:E32)</f>
        <v>69191121.855599999</v>
      </c>
      <c r="F33" s="620">
        <f>SUM(F29:F32)</f>
        <v>275937385.40558499</v>
      </c>
      <c r="G33" s="621">
        <f>SUM(G29:G32)</f>
        <v>410039333.33333337</v>
      </c>
      <c r="H33" s="620">
        <f t="shared" si="7"/>
        <v>-134101947.92774838</v>
      </c>
      <c r="I33" s="603">
        <f t="shared" si="8"/>
        <v>-0.32704654657784465</v>
      </c>
      <c r="J33" s="623">
        <f t="shared" si="9"/>
        <v>1230118000</v>
      </c>
    </row>
    <row r="34" spans="1:10" ht="5.0999999999999996" customHeight="1" x14ac:dyDescent="0.2">
      <c r="A34" s="352"/>
      <c r="B34" s="210"/>
      <c r="C34" s="211"/>
      <c r="D34" s="33"/>
      <c r="E34" s="33"/>
      <c r="F34" s="33"/>
      <c r="G34" s="33"/>
      <c r="H34" s="33"/>
      <c r="I34" s="212"/>
      <c r="J34" s="213"/>
    </row>
    <row r="35" spans="1:10" ht="12.75" customHeight="1" x14ac:dyDescent="0.2">
      <c r="A35" s="156" t="s">
        <v>506</v>
      </c>
      <c r="B35" s="198"/>
      <c r="C35" s="197"/>
      <c r="D35" s="30"/>
      <c r="E35" s="30"/>
      <c r="F35" s="30"/>
      <c r="G35" s="218"/>
      <c r="H35" s="218"/>
      <c r="I35" s="220"/>
      <c r="J35" s="202"/>
    </row>
    <row r="36" spans="1:10" ht="12.75" customHeight="1" x14ac:dyDescent="0.2">
      <c r="A36" s="153" t="s">
        <v>653</v>
      </c>
      <c r="B36" s="657">
        <f>'C6-FinPos'!C13</f>
        <v>936687140.40247059</v>
      </c>
      <c r="C36" s="658">
        <f>'C6-FinPos'!D13</f>
        <v>794480530.25045133</v>
      </c>
      <c r="D36" s="411">
        <f>'C6-FinPos'!E13</f>
        <v>0</v>
      </c>
      <c r="E36" s="411"/>
      <c r="F36" s="411">
        <f>'C6-FinPos'!F13</f>
        <v>1316147736.26</v>
      </c>
      <c r="G36" s="218"/>
      <c r="H36" s="218"/>
      <c r="I36" s="220"/>
      <c r="J36" s="651">
        <f>'C6-FinPos'!G13</f>
        <v>794480530.25045133</v>
      </c>
    </row>
    <row r="37" spans="1:10" ht="12.75" customHeight="1" x14ac:dyDescent="0.2">
      <c r="A37" s="153" t="s">
        <v>652</v>
      </c>
      <c r="B37" s="657">
        <f>'C6-FinPos'!C25</f>
        <v>14046265467.197527</v>
      </c>
      <c r="C37" s="658">
        <f>'C6-FinPos'!D25</f>
        <v>11116514947.523993</v>
      </c>
      <c r="D37" s="411">
        <f>'C6-FinPos'!E25</f>
        <v>0</v>
      </c>
      <c r="E37" s="411"/>
      <c r="F37" s="411">
        <f>'C6-FinPos'!F25</f>
        <v>14452612747.360001</v>
      </c>
      <c r="G37" s="218"/>
      <c r="H37" s="218"/>
      <c r="I37" s="220"/>
      <c r="J37" s="651">
        <f>'C6-FinPos'!G25</f>
        <v>11116514947.523993</v>
      </c>
    </row>
    <row r="38" spans="1:10" ht="12.75" customHeight="1" x14ac:dyDescent="0.2">
      <c r="A38" s="153" t="s">
        <v>470</v>
      </c>
      <c r="B38" s="657">
        <f>'C6-FinPos'!C35</f>
        <v>727116008.46000004</v>
      </c>
      <c r="C38" s="658">
        <f>'C6-FinPos'!D35</f>
        <v>672322029</v>
      </c>
      <c r="D38" s="411">
        <f>'C6-FinPos'!E35</f>
        <v>0</v>
      </c>
      <c r="E38" s="411"/>
      <c r="F38" s="411">
        <f>'C6-FinPos'!F35</f>
        <v>674662607.99452996</v>
      </c>
      <c r="G38" s="218"/>
      <c r="H38" s="218"/>
      <c r="I38" s="220"/>
      <c r="J38" s="651">
        <f>'C6-FinPos'!G35</f>
        <v>672322029</v>
      </c>
    </row>
    <row r="39" spans="1:10" ht="12.75" customHeight="1" x14ac:dyDescent="0.2">
      <c r="A39" s="153" t="s">
        <v>469</v>
      </c>
      <c r="B39" s="657">
        <f>'C6-FinPos'!C40</f>
        <v>621625367.13999999</v>
      </c>
      <c r="C39" s="658">
        <f>'C6-FinPos'!D40</f>
        <v>708883400</v>
      </c>
      <c r="D39" s="411">
        <f>'C6-FinPos'!E40</f>
        <v>0</v>
      </c>
      <c r="E39" s="411"/>
      <c r="F39" s="411">
        <f>'C6-FinPos'!F40</f>
        <v>826625367.13999999</v>
      </c>
      <c r="G39" s="218"/>
      <c r="H39" s="218"/>
      <c r="I39" s="220"/>
      <c r="J39" s="651">
        <f>'C6-FinPos'!G40</f>
        <v>708883400</v>
      </c>
    </row>
    <row r="40" spans="1:10" ht="12.75" customHeight="1" x14ac:dyDescent="0.2">
      <c r="A40" s="592" t="s">
        <v>143</v>
      </c>
      <c r="B40" s="674">
        <f>'C6-FinPos'!C48</f>
        <v>13634211232</v>
      </c>
      <c r="C40" s="675">
        <f>'C6-FinPos'!D48</f>
        <v>10529790048.774445</v>
      </c>
      <c r="D40" s="646">
        <f>'C6-FinPos'!E48</f>
        <v>0</v>
      </c>
      <c r="E40" s="411"/>
      <c r="F40" s="646">
        <f>'C6-FinPos'!F48</f>
        <v>14267472508.48547</v>
      </c>
      <c r="G40" s="604"/>
      <c r="H40" s="604"/>
      <c r="I40" s="605"/>
      <c r="J40" s="650">
        <f>'C6-FinPos'!G48</f>
        <v>10529790048.774445</v>
      </c>
    </row>
    <row r="41" spans="1:10" ht="5.0999999999999996" customHeight="1" x14ac:dyDescent="0.2">
      <c r="A41" s="155"/>
      <c r="B41" s="210"/>
      <c r="C41" s="211"/>
      <c r="D41" s="33"/>
      <c r="E41" s="33"/>
      <c r="F41" s="33"/>
      <c r="G41" s="219"/>
      <c r="H41" s="219"/>
      <c r="I41" s="221"/>
      <c r="J41" s="213"/>
    </row>
    <row r="42" spans="1:10" ht="12.75" customHeight="1" x14ac:dyDescent="0.2">
      <c r="A42" s="152" t="s">
        <v>507</v>
      </c>
      <c r="B42" s="214"/>
      <c r="C42" s="215"/>
      <c r="D42" s="31"/>
      <c r="E42" s="31"/>
      <c r="F42" s="31"/>
      <c r="G42" s="31"/>
      <c r="H42" s="31"/>
      <c r="I42" s="216"/>
      <c r="J42" s="217"/>
    </row>
    <row r="43" spans="1:10" ht="12.75" customHeight="1" x14ac:dyDescent="0.2">
      <c r="A43" s="153" t="s">
        <v>669</v>
      </c>
      <c r="B43" s="657">
        <f>'C7-CFlow'!C18</f>
        <v>1283550435.5699992</v>
      </c>
      <c r="C43" s="658">
        <f>'C7-CFlow'!D18</f>
        <v>1146590408.4207249</v>
      </c>
      <c r="D43" s="411">
        <f>'C7-CFlow'!E18</f>
        <v>0</v>
      </c>
      <c r="E43" s="411">
        <f>'C7-CFlow'!F18</f>
        <v>58761342.350000024</v>
      </c>
      <c r="F43" s="411">
        <f>'C7-CFlow'!G18</f>
        <v>358255372.68378568</v>
      </c>
      <c r="G43" s="659">
        <f>'C7-CFlow'!H18</f>
        <v>382196802.80690813</v>
      </c>
      <c r="H43" s="411">
        <f>G43-F43</f>
        <v>23941430.123122454</v>
      </c>
      <c r="I43" s="208">
        <f>IF(H43=0,"",H43/G43)</f>
        <v>6.2641628468090668E-2</v>
      </c>
      <c r="J43" s="651">
        <f>'C7-CFlow'!K18</f>
        <v>1146590408.4207249</v>
      </c>
    </row>
    <row r="44" spans="1:10" ht="12.75" customHeight="1" x14ac:dyDescent="0.2">
      <c r="A44" s="153" t="s">
        <v>670</v>
      </c>
      <c r="B44" s="657">
        <f>'C7-CFlow'!C28</f>
        <v>-1416980706.1475291</v>
      </c>
      <c r="C44" s="658">
        <f>'C7-CFlow'!D28</f>
        <v>-1139912100</v>
      </c>
      <c r="D44" s="411">
        <f>'C7-CFlow'!E28</f>
        <v>0</v>
      </c>
      <c r="E44" s="411">
        <f>'C7-CFlow'!F28</f>
        <v>-72089857.840000004</v>
      </c>
      <c r="F44" s="411">
        <f>'C7-CFlow'!G28</f>
        <v>-278836120.86378497</v>
      </c>
      <c r="G44" s="659">
        <f>'C7-CFlow'!H28</f>
        <v>-379970700</v>
      </c>
      <c r="H44" s="411">
        <f>G44-F44</f>
        <v>-101134579.13621503</v>
      </c>
      <c r="I44" s="208">
        <f>IF(H44=0,"",H44/G44)</f>
        <v>0.26616415196280929</v>
      </c>
      <c r="J44" s="651">
        <f>'C7-CFlow'!K28</f>
        <v>-1139912100</v>
      </c>
    </row>
    <row r="45" spans="1:10" ht="12.75" customHeight="1" x14ac:dyDescent="0.2">
      <c r="A45" s="153" t="s">
        <v>668</v>
      </c>
      <c r="B45" s="657">
        <f>'C7-CFlow'!C37</f>
        <v>145243217.22999999</v>
      </c>
      <c r="C45" s="658">
        <f>'C7-CFlow'!D37</f>
        <v>199000000</v>
      </c>
      <c r="D45" s="411">
        <f>'C7-CFlow'!E37</f>
        <v>0</v>
      </c>
      <c r="E45" s="411">
        <f>'C7-CFlow'!F37</f>
        <v>164482.18</v>
      </c>
      <c r="F45" s="411">
        <f>'C7-CFlow'!G37</f>
        <v>205580274.99000001</v>
      </c>
      <c r="G45" s="659">
        <f>'C7-CFlow'!H37</f>
        <v>66333333.333333321</v>
      </c>
      <c r="H45" s="411">
        <f>G45-F45</f>
        <v>-139246941.6566667</v>
      </c>
      <c r="I45" s="208">
        <f>IF(H45=0,"",H45/G45)</f>
        <v>-2.0992001254773878</v>
      </c>
      <c r="J45" s="651">
        <f>'C7-CFlow'!K37</f>
        <v>199000000</v>
      </c>
    </row>
    <row r="46" spans="1:10" ht="12.75" customHeight="1" x14ac:dyDescent="0.2">
      <c r="A46" s="154" t="s">
        <v>54</v>
      </c>
      <c r="B46" s="674">
        <f>'C7-CFlow'!C41</f>
        <v>98037995.372470096</v>
      </c>
      <c r="C46" s="675">
        <f>'C7-CFlow'!D41</f>
        <v>266470910.87045139</v>
      </c>
      <c r="D46" s="646">
        <f>'C7-CFlow'!E41</f>
        <v>0</v>
      </c>
      <c r="E46" s="646">
        <f>'C7-CFlow'!F41</f>
        <v>0</v>
      </c>
      <c r="F46" s="646">
        <f>'C7-CFlow'!G41</f>
        <v>303012447.17000073</v>
      </c>
      <c r="G46" s="676">
        <f>'C7-CFlow'!H41</f>
        <v>129352038.58996797</v>
      </c>
      <c r="H46" s="646">
        <f>G46-F46</f>
        <v>-173660408.58003277</v>
      </c>
      <c r="I46" s="207">
        <f>IF(H46=0,"",H46/G46)</f>
        <v>-1.3425409485081063</v>
      </c>
      <c r="J46" s="650">
        <f>'C7-CFlow'!K41</f>
        <v>223691228.78072488</v>
      </c>
    </row>
    <row r="47" spans="1:10" ht="5.0999999999999996" customHeight="1" x14ac:dyDescent="0.2">
      <c r="A47" s="178"/>
      <c r="B47" s="210"/>
      <c r="C47" s="211"/>
      <c r="D47" s="33"/>
      <c r="E47" s="33"/>
      <c r="F47" s="33"/>
      <c r="G47" s="33"/>
      <c r="H47" s="33"/>
      <c r="I47" s="212"/>
      <c r="J47" s="213"/>
    </row>
    <row r="48" spans="1:10" ht="25.5" customHeight="1" x14ac:dyDescent="0.2">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8486102.75</v>
      </c>
      <c r="C50" s="658">
        <f>'SC3'!D14</f>
        <v>44066377.43</v>
      </c>
      <c r="D50" s="411">
        <f>'SC3'!E14</f>
        <v>27887899.230000004</v>
      </c>
      <c r="E50" s="411">
        <f>'SC3'!F14</f>
        <v>26023182.029999994</v>
      </c>
      <c r="F50" s="411">
        <f>'SC3'!G14</f>
        <v>24614292.260000002</v>
      </c>
      <c r="G50" s="659">
        <f>'SC3'!H14</f>
        <v>16055422.440000001</v>
      </c>
      <c r="H50" s="411">
        <f>'SC3'!I14</f>
        <v>91947904.500000015</v>
      </c>
      <c r="I50" s="659">
        <f>'SC3'!J14</f>
        <v>600953921.09000003</v>
      </c>
      <c r="J50" s="651">
        <f>'SC3'!K14</f>
        <v>840035101.73000002</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467</v>
      </c>
      <c r="B52" s="657">
        <f>'SC4'!C15</f>
        <v>69789031.079999998</v>
      </c>
      <c r="C52" s="658">
        <f>'SC4'!D15</f>
        <v>0</v>
      </c>
      <c r="D52" s="411">
        <f>'SC4'!E15</f>
        <v>0</v>
      </c>
      <c r="E52" s="411">
        <f>'SC4'!F15</f>
        <v>0</v>
      </c>
      <c r="F52" s="411">
        <f>'SC4'!G15</f>
        <v>0</v>
      </c>
      <c r="G52" s="659">
        <f>'SC4'!H15</f>
        <v>0</v>
      </c>
      <c r="H52" s="411">
        <f>'SC4'!I15</f>
        <v>0</v>
      </c>
      <c r="I52" s="659">
        <f>'SC4'!J15</f>
        <v>0</v>
      </c>
      <c r="J52" s="651">
        <f>'SC4'!K15</f>
        <v>69789031.079999998</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05"/>
      <c r="B55" s="1005"/>
      <c r="C55" s="1005"/>
      <c r="D55" s="1005"/>
      <c r="E55" s="1005"/>
      <c r="F55" s="1005"/>
      <c r="G55" s="1005"/>
      <c r="H55" s="1005"/>
      <c r="I55" s="1005"/>
      <c r="J55" s="1005"/>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4" activePane="bottomRight" state="frozen"/>
      <selection pane="topRight"/>
      <selection pane="bottomLeft"/>
      <selection pane="bottomRight" activeCell="K53" sqref="K53"/>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15" t="str">
        <f>muni&amp; " - "&amp;S71A&amp; " - "&amp;date</f>
        <v>LIM354 Polokwane - Table C2 Monthly Budget Statement - Financial Performance (functional classification) - M04 October</v>
      </c>
      <c r="B1" s="1015"/>
      <c r="C1" s="1015"/>
      <c r="D1" s="1015"/>
      <c r="E1" s="1015"/>
      <c r="F1" s="1015"/>
      <c r="G1" s="1015"/>
      <c r="H1" s="1015"/>
      <c r="I1" s="1015"/>
      <c r="J1" s="1015"/>
      <c r="K1" s="1015"/>
    </row>
    <row r="2" spans="1:18" x14ac:dyDescent="0.2">
      <c r="A2" s="1013" t="str">
        <f>desc</f>
        <v>Description</v>
      </c>
      <c r="B2" s="1011" t="str">
        <f>head27</f>
        <v>Ref</v>
      </c>
      <c r="C2" s="24" t="str">
        <f>Head1</f>
        <v>2016/17</v>
      </c>
      <c r="D2" s="232" t="str">
        <f>Head2</f>
        <v>Budget Year 2017/18</v>
      </c>
      <c r="E2" s="230"/>
      <c r="F2" s="230"/>
      <c r="G2" s="230"/>
      <c r="H2" s="230"/>
      <c r="I2" s="230"/>
      <c r="J2" s="230"/>
      <c r="K2" s="231"/>
    </row>
    <row r="3" spans="1:18" ht="20.399999999999999" x14ac:dyDescent="0.2">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688</v>
      </c>
      <c r="B4" s="428">
        <v>1</v>
      </c>
      <c r="C4" s="426"/>
      <c r="D4" s="241"/>
      <c r="E4" s="242"/>
      <c r="F4" s="83"/>
      <c r="G4" s="83"/>
      <c r="H4" s="83"/>
      <c r="I4" s="83"/>
      <c r="J4" s="243" t="s">
        <v>595</v>
      </c>
      <c r="K4" s="224"/>
    </row>
    <row r="5" spans="1:18" ht="12.75" customHeight="1" x14ac:dyDescent="0.2">
      <c r="A5" s="36" t="s">
        <v>1178</v>
      </c>
      <c r="B5" s="429"/>
      <c r="C5" s="227"/>
      <c r="D5" s="435"/>
      <c r="E5" s="239"/>
      <c r="F5" s="239"/>
      <c r="G5" s="239"/>
      <c r="H5" s="239"/>
      <c r="I5" s="239"/>
      <c r="J5" s="239"/>
      <c r="K5" s="240"/>
      <c r="L5" s="101"/>
    </row>
    <row r="6" spans="1:18" ht="12.75" customHeight="1" x14ac:dyDescent="0.2">
      <c r="A6" s="417" t="s">
        <v>145</v>
      </c>
      <c r="B6" s="418"/>
      <c r="C6" s="650">
        <f t="shared" ref="C6:H6" si="0">SUM(C7:C9)</f>
        <v>0</v>
      </c>
      <c r="D6" s="678">
        <f t="shared" si="0"/>
        <v>2302077628.802</v>
      </c>
      <c r="E6" s="646">
        <f t="shared" si="0"/>
        <v>0</v>
      </c>
      <c r="F6" s="646">
        <f t="shared" si="0"/>
        <v>0</v>
      </c>
      <c r="G6" s="646">
        <f t="shared" si="0"/>
        <v>0</v>
      </c>
      <c r="H6" s="646">
        <f t="shared" si="0"/>
        <v>767359209.60066664</v>
      </c>
      <c r="I6" s="48">
        <f t="shared" ref="I6:I13" si="1">G6-H6</f>
        <v>-767359209.60066664</v>
      </c>
      <c r="J6" s="201">
        <f>IF(I6=0,"",I6/H6)</f>
        <v>-1</v>
      </c>
      <c r="K6" s="650">
        <f>SUM(K7:K9)</f>
        <v>2302077628.802</v>
      </c>
      <c r="L6" s="101"/>
      <c r="Q6" s="70"/>
      <c r="R6" s="71"/>
    </row>
    <row r="7" spans="1:18" ht="12.75" customHeight="1" x14ac:dyDescent="0.2">
      <c r="A7" s="419" t="s">
        <v>113</v>
      </c>
      <c r="B7" s="418"/>
      <c r="C7" s="651">
        <f>'C2C'!C7</f>
        <v>0</v>
      </c>
      <c r="D7" s="679">
        <f>'C2C'!D7</f>
        <v>5017082.82</v>
      </c>
      <c r="E7" s="411">
        <f>'C2C'!E7</f>
        <v>0</v>
      </c>
      <c r="F7" s="411">
        <f>'C2C'!F7</f>
        <v>0</v>
      </c>
      <c r="G7" s="411">
        <f>'C2C'!G7</f>
        <v>0</v>
      </c>
      <c r="H7" s="411">
        <f>'C2C'!H7</f>
        <v>1672360.9400000002</v>
      </c>
      <c r="I7" s="48">
        <f t="shared" si="1"/>
        <v>-1672360.9400000002</v>
      </c>
      <c r="J7" s="201">
        <f t="shared" ref="J7:J26" si="2">IF(I7=0,"",I7/H7)</f>
        <v>-1</v>
      </c>
      <c r="K7" s="651">
        <f>'C2C'!K7</f>
        <v>5017082.82</v>
      </c>
      <c r="L7" s="101"/>
      <c r="Q7" s="70"/>
      <c r="R7" s="71"/>
    </row>
    <row r="8" spans="1:18" ht="12.75" customHeight="1" x14ac:dyDescent="0.2">
      <c r="A8" s="419" t="s">
        <v>1164</v>
      </c>
      <c r="B8" s="418"/>
      <c r="C8" s="652">
        <f>'C2C'!C10</f>
        <v>0</v>
      </c>
      <c r="D8" s="680">
        <f>'C2C'!D10</f>
        <v>2297060545.9819999</v>
      </c>
      <c r="E8" s="681">
        <f>'C2C'!E10</f>
        <v>0</v>
      </c>
      <c r="F8" s="681">
        <f>'C2C'!F10</f>
        <v>0</v>
      </c>
      <c r="G8" s="681">
        <f>'C2C'!G10</f>
        <v>0</v>
      </c>
      <c r="H8" s="681">
        <f>'C2C'!H10</f>
        <v>765686848.66066658</v>
      </c>
      <c r="I8" s="48">
        <f t="shared" si="1"/>
        <v>-765686848.66066658</v>
      </c>
      <c r="J8" s="201">
        <f t="shared" si="2"/>
        <v>-1</v>
      </c>
      <c r="K8" s="682">
        <f>'C2C'!K10</f>
        <v>2297060545.9819999</v>
      </c>
      <c r="L8" s="101"/>
      <c r="Q8" s="70"/>
      <c r="R8" s="71"/>
    </row>
    <row r="9" spans="1:18" ht="12.75" customHeight="1" x14ac:dyDescent="0.2">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
      <c r="A10" s="417" t="s">
        <v>114</v>
      </c>
      <c r="B10" s="418"/>
      <c r="C10" s="650">
        <f t="shared" ref="C10:H10" si="3">SUM(C11:C15)</f>
        <v>0</v>
      </c>
      <c r="D10" s="678">
        <f t="shared" si="3"/>
        <v>45391521.737999991</v>
      </c>
      <c r="E10" s="646">
        <f t="shared" si="3"/>
        <v>0</v>
      </c>
      <c r="F10" s="646">
        <f t="shared" si="3"/>
        <v>0</v>
      </c>
      <c r="G10" s="646">
        <f t="shared" si="3"/>
        <v>0</v>
      </c>
      <c r="H10" s="646">
        <f t="shared" si="3"/>
        <v>15130507.245999997</v>
      </c>
      <c r="I10" s="48">
        <f t="shared" si="1"/>
        <v>-15130507.245999997</v>
      </c>
      <c r="J10" s="201">
        <f t="shared" si="2"/>
        <v>-1</v>
      </c>
      <c r="K10" s="650">
        <f>SUM(K11:K15)</f>
        <v>45391521.737999991</v>
      </c>
      <c r="L10" s="101"/>
      <c r="Q10" s="70"/>
      <c r="R10" s="71"/>
    </row>
    <row r="11" spans="1:18" ht="12.75" customHeight="1" x14ac:dyDescent="0.2">
      <c r="A11" s="419" t="s">
        <v>115</v>
      </c>
      <c r="B11" s="418"/>
      <c r="C11" s="651">
        <f>'C2C'!C28</f>
        <v>0</v>
      </c>
      <c r="D11" s="679">
        <f>'C2C'!D28</f>
        <v>5074923.9159999993</v>
      </c>
      <c r="E11" s="411">
        <f>'C2C'!E28</f>
        <v>0</v>
      </c>
      <c r="F11" s="411">
        <f>'C2C'!F28</f>
        <v>0</v>
      </c>
      <c r="G11" s="411">
        <f>'C2C'!G28</f>
        <v>0</v>
      </c>
      <c r="H11" s="411">
        <f>'C2C'!H28</f>
        <v>1691641.3053333331</v>
      </c>
      <c r="I11" s="48">
        <f t="shared" si="1"/>
        <v>-1691641.3053333331</v>
      </c>
      <c r="J11" s="201">
        <f t="shared" si="2"/>
        <v>-1</v>
      </c>
      <c r="K11" s="651">
        <f>'C2C'!K28</f>
        <v>5074923.9159999993</v>
      </c>
      <c r="L11" s="101"/>
      <c r="Q11" s="70"/>
      <c r="R11" s="71"/>
    </row>
    <row r="12" spans="1:18" ht="12.75" customHeight="1" x14ac:dyDescent="0.2">
      <c r="A12" s="419" t="s">
        <v>116</v>
      </c>
      <c r="B12" s="418"/>
      <c r="C12" s="651">
        <f>'C2C'!C50</f>
        <v>0</v>
      </c>
      <c r="D12" s="679">
        <f>'C2C'!D50</f>
        <v>9438617.5199999977</v>
      </c>
      <c r="E12" s="411">
        <f>'C2C'!E50</f>
        <v>0</v>
      </c>
      <c r="F12" s="411">
        <f>'C2C'!F50</f>
        <v>0</v>
      </c>
      <c r="G12" s="411">
        <f>'C2C'!G50</f>
        <v>0</v>
      </c>
      <c r="H12" s="411">
        <f>'C2C'!H50</f>
        <v>3146205.8399999994</v>
      </c>
      <c r="I12" s="48">
        <f t="shared" si="1"/>
        <v>-3146205.8399999994</v>
      </c>
      <c r="J12" s="201">
        <f t="shared" si="2"/>
        <v>-1</v>
      </c>
      <c r="K12" s="651">
        <f>'C2C'!K50</f>
        <v>9438617.5199999977</v>
      </c>
      <c r="L12" s="101"/>
      <c r="Q12" s="70"/>
      <c r="R12" s="71"/>
    </row>
    <row r="13" spans="1:18" ht="12.75" customHeight="1" x14ac:dyDescent="0.2">
      <c r="A13" s="419" t="s">
        <v>117</v>
      </c>
      <c r="B13" s="418"/>
      <c r="C13" s="651">
        <f>'C2C'!C56</f>
        <v>0</v>
      </c>
      <c r="D13" s="679">
        <f>'C2C'!D56</f>
        <v>30844459.817999996</v>
      </c>
      <c r="E13" s="411">
        <f>'C2C'!E56</f>
        <v>0</v>
      </c>
      <c r="F13" s="411">
        <f>'C2C'!F56</f>
        <v>0</v>
      </c>
      <c r="G13" s="411">
        <f>'C2C'!G56</f>
        <v>0</v>
      </c>
      <c r="H13" s="411">
        <f>'C2C'!H56</f>
        <v>10281486.605999999</v>
      </c>
      <c r="I13" s="48">
        <f t="shared" si="1"/>
        <v>-10281486.605999999</v>
      </c>
      <c r="J13" s="201">
        <f t="shared" si="2"/>
        <v>-1</v>
      </c>
      <c r="K13" s="651">
        <f>'C2C'!K56</f>
        <v>30844459.817999996</v>
      </c>
      <c r="L13" s="101"/>
      <c r="Q13" s="70"/>
      <c r="R13" s="71"/>
    </row>
    <row r="14" spans="1:18" ht="12.75" customHeight="1" x14ac:dyDescent="0.2">
      <c r="A14" s="419" t="s">
        <v>734</v>
      </c>
      <c r="B14" s="418"/>
      <c r="C14" s="651">
        <f>'C2C'!C63</f>
        <v>0</v>
      </c>
      <c r="D14" s="679">
        <f>'C2C'!D63</f>
        <v>33520.483999999997</v>
      </c>
      <c r="E14" s="411">
        <f>'C2C'!E63</f>
        <v>0</v>
      </c>
      <c r="F14" s="411">
        <f>'C2C'!F63</f>
        <v>0</v>
      </c>
      <c r="G14" s="411">
        <f>'C2C'!G63</f>
        <v>0</v>
      </c>
      <c r="H14" s="411">
        <f>'C2C'!H63</f>
        <v>11173.494666666666</v>
      </c>
      <c r="I14" s="48">
        <f t="shared" ref="I14:I19" si="4">G14-H14</f>
        <v>-11173.494666666666</v>
      </c>
      <c r="J14" s="201">
        <f t="shared" ref="J14:J19" si="5">IF(I14=0,"",I14/H14)</f>
        <v>-1</v>
      </c>
      <c r="K14" s="651">
        <f>'C2C'!K63</f>
        <v>33520.483999999997</v>
      </c>
      <c r="L14" s="101"/>
      <c r="Q14" s="70"/>
      <c r="R14" s="71"/>
    </row>
    <row r="15" spans="1:18" ht="12.75" customHeight="1" x14ac:dyDescent="0.2">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
      <c r="A16" s="417" t="s">
        <v>118</v>
      </c>
      <c r="B16" s="420"/>
      <c r="C16" s="650">
        <f t="shared" ref="C16:H16" si="6">SUM(C17:C19)</f>
        <v>0</v>
      </c>
      <c r="D16" s="678">
        <f t="shared" si="6"/>
        <v>109119293.37</v>
      </c>
      <c r="E16" s="646">
        <f t="shared" si="6"/>
        <v>0</v>
      </c>
      <c r="F16" s="646">
        <f t="shared" si="6"/>
        <v>0</v>
      </c>
      <c r="G16" s="646">
        <f t="shared" si="6"/>
        <v>0</v>
      </c>
      <c r="H16" s="646">
        <f t="shared" si="6"/>
        <v>36373097.789999999</v>
      </c>
      <c r="I16" s="48">
        <f t="shared" si="4"/>
        <v>-36373097.789999999</v>
      </c>
      <c r="J16" s="201">
        <f t="shared" si="5"/>
        <v>-1</v>
      </c>
      <c r="K16" s="650">
        <f>SUM(K17:K19)</f>
        <v>109119293.37</v>
      </c>
      <c r="L16" s="101"/>
      <c r="Q16" s="70"/>
      <c r="R16" s="71"/>
    </row>
    <row r="17" spans="1:18" ht="12.75" customHeight="1" x14ac:dyDescent="0.2">
      <c r="A17" s="419" t="s">
        <v>119</v>
      </c>
      <c r="B17" s="418"/>
      <c r="C17" s="651">
        <f>'C2C'!C75</f>
        <v>0</v>
      </c>
      <c r="D17" s="679">
        <f>'C2C'!D75</f>
        <v>92875779.931999996</v>
      </c>
      <c r="E17" s="411">
        <f>'C2C'!E75</f>
        <v>0</v>
      </c>
      <c r="F17" s="411">
        <f>'C2C'!F75</f>
        <v>0</v>
      </c>
      <c r="G17" s="411">
        <f>'C2C'!G75</f>
        <v>0</v>
      </c>
      <c r="H17" s="411">
        <f>'C2C'!H75</f>
        <v>30958593.310666665</v>
      </c>
      <c r="I17" s="48">
        <f t="shared" si="4"/>
        <v>-30958593.310666665</v>
      </c>
      <c r="J17" s="201">
        <f t="shared" si="5"/>
        <v>-1</v>
      </c>
      <c r="K17" s="651">
        <f>'C2C'!K75</f>
        <v>92875779.931999996</v>
      </c>
      <c r="L17" s="101"/>
      <c r="Q17" s="70"/>
      <c r="R17" s="71"/>
    </row>
    <row r="18" spans="1:18" ht="12.75" customHeight="1" x14ac:dyDescent="0.2">
      <c r="A18" s="419" t="s">
        <v>120</v>
      </c>
      <c r="B18" s="418"/>
      <c r="C18" s="651">
        <f>'C2C'!C86</f>
        <v>0</v>
      </c>
      <c r="D18" s="679">
        <f>'C2C'!D86</f>
        <v>13615080.979999997</v>
      </c>
      <c r="E18" s="411">
        <f>'C2C'!E86</f>
        <v>0</v>
      </c>
      <c r="F18" s="411">
        <f>'C2C'!F86</f>
        <v>0</v>
      </c>
      <c r="G18" s="411">
        <f>'C2C'!G86</f>
        <v>0</v>
      </c>
      <c r="H18" s="411">
        <f>'C2C'!H86</f>
        <v>4538360.3266666653</v>
      </c>
      <c r="I18" s="48">
        <f t="shared" si="4"/>
        <v>-4538360.3266666653</v>
      </c>
      <c r="J18" s="201">
        <f t="shared" si="5"/>
        <v>-1</v>
      </c>
      <c r="K18" s="651">
        <f>'C2C'!K86</f>
        <v>13615080.979999997</v>
      </c>
      <c r="L18" s="101"/>
      <c r="Q18" s="70"/>
      <c r="R18" s="71"/>
    </row>
    <row r="19" spans="1:18" ht="12.75" customHeight="1" x14ac:dyDescent="0.2">
      <c r="A19" s="419" t="s">
        <v>121</v>
      </c>
      <c r="B19" s="418"/>
      <c r="C19" s="651">
        <f>'C2C'!C93</f>
        <v>0</v>
      </c>
      <c r="D19" s="679">
        <f>'C2C'!D93</f>
        <v>2628432.4580000006</v>
      </c>
      <c r="E19" s="411">
        <f>'C2C'!E93</f>
        <v>0</v>
      </c>
      <c r="F19" s="411">
        <f>'C2C'!F93</f>
        <v>0</v>
      </c>
      <c r="G19" s="411">
        <f>'C2C'!G93</f>
        <v>0</v>
      </c>
      <c r="H19" s="411">
        <f>'C2C'!H93</f>
        <v>876144.15266666689</v>
      </c>
      <c r="I19" s="48">
        <f t="shared" si="4"/>
        <v>-876144.15266666689</v>
      </c>
      <c r="J19" s="201">
        <f t="shared" si="5"/>
        <v>-1</v>
      </c>
      <c r="K19" s="651">
        <f>'C2C'!K93</f>
        <v>2628432.4580000006</v>
      </c>
      <c r="L19" s="101"/>
      <c r="Q19" s="70"/>
      <c r="R19" s="71"/>
    </row>
    <row r="20" spans="1:18" ht="12.75" customHeight="1" x14ac:dyDescent="0.2">
      <c r="A20" s="417" t="s">
        <v>122</v>
      </c>
      <c r="B20" s="420"/>
      <c r="C20" s="650">
        <f>SUM(C21:C24)</f>
        <v>0</v>
      </c>
      <c r="D20" s="678">
        <f t="shared" ref="D20:I20" si="7">SUM(D21:D24)</f>
        <v>1486627295.3600001</v>
      </c>
      <c r="E20" s="646">
        <f t="shared" si="7"/>
        <v>0</v>
      </c>
      <c r="F20" s="646">
        <f t="shared" si="7"/>
        <v>0</v>
      </c>
      <c r="G20" s="646">
        <f t="shared" si="7"/>
        <v>0</v>
      </c>
      <c r="H20" s="646">
        <f t="shared" si="7"/>
        <v>495542431.78666669</v>
      </c>
      <c r="I20" s="48">
        <f t="shared" si="7"/>
        <v>-495542431.78666669</v>
      </c>
      <c r="J20" s="201">
        <f t="shared" si="2"/>
        <v>-1</v>
      </c>
      <c r="K20" s="650">
        <f>SUM(K21:K24)</f>
        <v>1486627295.3600001</v>
      </c>
      <c r="L20" s="101"/>
      <c r="Q20" s="70"/>
      <c r="R20" s="71"/>
    </row>
    <row r="21" spans="1:18" ht="12.75" customHeight="1" x14ac:dyDescent="0.2">
      <c r="A21" s="419" t="s">
        <v>1233</v>
      </c>
      <c r="B21" s="418"/>
      <c r="C21" s="651">
        <f>'C2C'!C101</f>
        <v>0</v>
      </c>
      <c r="D21" s="679">
        <f>'C2C'!D101</f>
        <v>972479635.82000017</v>
      </c>
      <c r="E21" s="411">
        <f>'C2C'!E101</f>
        <v>0</v>
      </c>
      <c r="F21" s="411">
        <f>'C2C'!F101</f>
        <v>0</v>
      </c>
      <c r="G21" s="411">
        <f>'C2C'!G101</f>
        <v>0</v>
      </c>
      <c r="H21" s="411">
        <f>'C2C'!H101</f>
        <v>324159878.60666674</v>
      </c>
      <c r="I21" s="48">
        <f>G21-H21</f>
        <v>-324159878.60666674</v>
      </c>
      <c r="J21" s="201">
        <f t="shared" si="2"/>
        <v>-1</v>
      </c>
      <c r="K21" s="651">
        <f>'C2C'!K101</f>
        <v>972479635.82000017</v>
      </c>
      <c r="L21" s="101"/>
      <c r="Q21" s="70"/>
      <c r="R21" s="71"/>
    </row>
    <row r="22" spans="1:18" ht="12.75" customHeight="1" x14ac:dyDescent="0.2">
      <c r="A22" s="419" t="s">
        <v>1237</v>
      </c>
      <c r="B22" s="418"/>
      <c r="C22" s="651">
        <f>'C2C'!C105</f>
        <v>0</v>
      </c>
      <c r="D22" s="679">
        <f>'C2C'!D105</f>
        <v>313506426.09999996</v>
      </c>
      <c r="E22" s="411">
        <f>'C2C'!E105</f>
        <v>0</v>
      </c>
      <c r="F22" s="411">
        <f>'C2C'!F105</f>
        <v>0</v>
      </c>
      <c r="G22" s="411">
        <f>'C2C'!G105</f>
        <v>0</v>
      </c>
      <c r="H22" s="411">
        <f>'C2C'!H105</f>
        <v>104502142.03333332</v>
      </c>
      <c r="I22" s="48">
        <f>G22-H22</f>
        <v>-104502142.03333332</v>
      </c>
      <c r="J22" s="201">
        <f t="shared" si="2"/>
        <v>-1</v>
      </c>
      <c r="K22" s="651">
        <f>'C2C'!K105</f>
        <v>313506426.09999996</v>
      </c>
      <c r="L22" s="101"/>
      <c r="Q22" s="70"/>
      <c r="R22" s="71"/>
    </row>
    <row r="23" spans="1:18" ht="12.75" customHeight="1" x14ac:dyDescent="0.2">
      <c r="A23" s="419" t="s">
        <v>123</v>
      </c>
      <c r="B23" s="418"/>
      <c r="C23" s="652">
        <f>'C2C'!C109</f>
        <v>0</v>
      </c>
      <c r="D23" s="680">
        <f>'C2C'!D109</f>
        <v>94495999.900000006</v>
      </c>
      <c r="E23" s="681">
        <f>'C2C'!E109</f>
        <v>0</v>
      </c>
      <c r="F23" s="681">
        <f>'C2C'!F109</f>
        <v>0</v>
      </c>
      <c r="G23" s="681">
        <f>'C2C'!G109</f>
        <v>0</v>
      </c>
      <c r="H23" s="681">
        <f>'C2C'!H109</f>
        <v>31498666.633333337</v>
      </c>
      <c r="I23" s="48">
        <f>G23-H23</f>
        <v>-31498666.633333337</v>
      </c>
      <c r="J23" s="201">
        <f t="shared" si="2"/>
        <v>-1</v>
      </c>
      <c r="K23" s="682">
        <f>'C2C'!K109</f>
        <v>94495999.900000006</v>
      </c>
      <c r="L23" s="101"/>
      <c r="Q23" s="70"/>
      <c r="R23" s="71"/>
    </row>
    <row r="24" spans="1:18" ht="12.75" customHeight="1" x14ac:dyDescent="0.2">
      <c r="A24" s="419" t="s">
        <v>124</v>
      </c>
      <c r="B24" s="418"/>
      <c r="C24" s="651">
        <f>'C2C'!C114</f>
        <v>0</v>
      </c>
      <c r="D24" s="679">
        <f>'C2C'!D114</f>
        <v>106145233.53999999</v>
      </c>
      <c r="E24" s="411">
        <f>'C2C'!E114</f>
        <v>0</v>
      </c>
      <c r="F24" s="411">
        <f>'C2C'!F114</f>
        <v>0</v>
      </c>
      <c r="G24" s="411">
        <f>'C2C'!G114</f>
        <v>0</v>
      </c>
      <c r="H24" s="411">
        <f>'C2C'!H114</f>
        <v>35381744.513333328</v>
      </c>
      <c r="I24" s="48">
        <f>G24-H24</f>
        <v>-35381744.513333328</v>
      </c>
      <c r="J24" s="201">
        <f t="shared" si="2"/>
        <v>-1</v>
      </c>
      <c r="K24" s="651">
        <f>'C2C'!K114</f>
        <v>106145233.53999999</v>
      </c>
      <c r="L24" s="101"/>
      <c r="Q24" s="70"/>
      <c r="R24" s="71"/>
    </row>
    <row r="25" spans="1:18" ht="12.75" customHeight="1" x14ac:dyDescent="0.2">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1250</v>
      </c>
      <c r="B26" s="594">
        <v>2</v>
      </c>
      <c r="C26" s="653">
        <f>C6+C10+C16+C20+C25</f>
        <v>0</v>
      </c>
      <c r="D26" s="607">
        <f t="shared" ref="D26:I26" si="8">D6+D10+D16+D20+D25</f>
        <v>3943215739.27</v>
      </c>
      <c r="E26" s="549">
        <f t="shared" si="8"/>
        <v>0</v>
      </c>
      <c r="F26" s="549">
        <f t="shared" si="8"/>
        <v>0</v>
      </c>
      <c r="G26" s="549">
        <f t="shared" si="8"/>
        <v>0</v>
      </c>
      <c r="H26" s="549">
        <f t="shared" si="8"/>
        <v>1314405246.4233334</v>
      </c>
      <c r="I26" s="549">
        <f t="shared" si="8"/>
        <v>-1314405246.4233334</v>
      </c>
      <c r="J26" s="608">
        <f t="shared" si="2"/>
        <v>-1</v>
      </c>
      <c r="K26" s="606">
        <f>K6+K10+K16+K20+K25</f>
        <v>3943215739.27</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1246</v>
      </c>
      <c r="B28" s="430"/>
      <c r="C28" s="654"/>
      <c r="D28" s="535"/>
      <c r="E28" s="48"/>
      <c r="F28" s="48"/>
      <c r="G28" s="48"/>
      <c r="H28" s="48"/>
      <c r="I28" s="48"/>
      <c r="J28" s="48"/>
      <c r="K28" s="388"/>
      <c r="L28" s="101"/>
      <c r="Q28" s="67"/>
    </row>
    <row r="29" spans="1:18" ht="12.75" customHeight="1" x14ac:dyDescent="0.2">
      <c r="A29" s="417" t="s">
        <v>145</v>
      </c>
      <c r="B29" s="431"/>
      <c r="C29" s="650">
        <f t="shared" ref="C29:H29" si="9">SUM(C30:C32)</f>
        <v>0</v>
      </c>
      <c r="D29" s="678">
        <f t="shared" si="9"/>
        <v>972459714.0492301</v>
      </c>
      <c r="E29" s="646">
        <f t="shared" si="9"/>
        <v>0</v>
      </c>
      <c r="F29" s="646">
        <f t="shared" si="9"/>
        <v>0</v>
      </c>
      <c r="G29" s="646">
        <f t="shared" si="9"/>
        <v>0</v>
      </c>
      <c r="H29" s="646">
        <f t="shared" si="9"/>
        <v>324153238.01640999</v>
      </c>
      <c r="I29" s="48">
        <f t="shared" ref="I29:I48" si="10">G29-H29</f>
        <v>-324153238.01640999</v>
      </c>
      <c r="J29" s="201">
        <f>IF(I29=0,"",I29/H29)</f>
        <v>-1</v>
      </c>
      <c r="K29" s="650">
        <f>SUM(K30:K32)</f>
        <v>972459714.0492301</v>
      </c>
      <c r="L29" s="101"/>
      <c r="Q29" s="70"/>
    </row>
    <row r="30" spans="1:18" ht="12.75" customHeight="1" x14ac:dyDescent="0.2">
      <c r="A30" s="419" t="s">
        <v>113</v>
      </c>
      <c r="B30" s="431"/>
      <c r="C30" s="651">
        <f>'C2C'!C130</f>
        <v>0</v>
      </c>
      <c r="D30" s="679">
        <f>'C2C'!D130</f>
        <v>243014135.97386989</v>
      </c>
      <c r="E30" s="411">
        <f>'C2C'!E130</f>
        <v>0</v>
      </c>
      <c r="F30" s="411">
        <f>'C2C'!F130</f>
        <v>0</v>
      </c>
      <c r="G30" s="411">
        <f>'C2C'!G130</f>
        <v>0</v>
      </c>
      <c r="H30" s="411">
        <f>'C2C'!H130</f>
        <v>81004711.991289973</v>
      </c>
      <c r="I30" s="48">
        <f t="shared" si="10"/>
        <v>-81004711.991289973</v>
      </c>
      <c r="J30" s="201">
        <f t="shared" ref="J30:J49" si="11">IF(I30=0,"",I30/H30)</f>
        <v>-1</v>
      </c>
      <c r="K30" s="651">
        <f>'C2C'!K130</f>
        <v>243014135.97386989</v>
      </c>
      <c r="L30" s="101"/>
      <c r="Q30" s="70"/>
    </row>
    <row r="31" spans="1:18" ht="12.75" customHeight="1" x14ac:dyDescent="0.2">
      <c r="A31" s="419" t="s">
        <v>1164</v>
      </c>
      <c r="B31" s="431"/>
      <c r="C31" s="652">
        <f>'C2C'!C133</f>
        <v>0</v>
      </c>
      <c r="D31" s="680">
        <f>'C2C'!D133</f>
        <v>717755713.96596014</v>
      </c>
      <c r="E31" s="681">
        <f>'C2C'!E133</f>
        <v>0</v>
      </c>
      <c r="F31" s="681">
        <f>'C2C'!F133</f>
        <v>0</v>
      </c>
      <c r="G31" s="681">
        <f>'C2C'!G133</f>
        <v>0</v>
      </c>
      <c r="H31" s="681">
        <f>'C2C'!H133</f>
        <v>239251904.65532005</v>
      </c>
      <c r="I31" s="48">
        <f t="shared" si="10"/>
        <v>-239251904.65532005</v>
      </c>
      <c r="J31" s="201">
        <f t="shared" si="11"/>
        <v>-1</v>
      </c>
      <c r="K31" s="682">
        <f>'C2C'!K133</f>
        <v>717755713.96596014</v>
      </c>
      <c r="L31" s="101"/>
      <c r="Q31" s="70"/>
    </row>
    <row r="32" spans="1:18" ht="12.75" customHeight="1" x14ac:dyDescent="0.2">
      <c r="A32" s="419" t="s">
        <v>1176</v>
      </c>
      <c r="B32" s="431"/>
      <c r="C32" s="651">
        <f>'C2C'!C148</f>
        <v>0</v>
      </c>
      <c r="D32" s="679">
        <f>'C2C'!D148</f>
        <v>11689864.1094</v>
      </c>
      <c r="E32" s="411">
        <f>'C2C'!E148</f>
        <v>0</v>
      </c>
      <c r="F32" s="411">
        <f>'C2C'!F148</f>
        <v>0</v>
      </c>
      <c r="G32" s="411">
        <f>'C2C'!G148</f>
        <v>0</v>
      </c>
      <c r="H32" s="411">
        <f>'C2C'!H148</f>
        <v>3896621.3698</v>
      </c>
      <c r="I32" s="48">
        <f t="shared" si="10"/>
        <v>-3896621.3698</v>
      </c>
      <c r="J32" s="201">
        <f t="shared" si="11"/>
        <v>-1</v>
      </c>
      <c r="K32" s="651">
        <f>'C2C'!K148</f>
        <v>11689864.1094</v>
      </c>
      <c r="L32" s="101"/>
      <c r="Q32" s="70"/>
    </row>
    <row r="33" spans="1:17" ht="12.75" customHeight="1" x14ac:dyDescent="0.2">
      <c r="A33" s="417" t="s">
        <v>114</v>
      </c>
      <c r="B33" s="431"/>
      <c r="C33" s="650">
        <f t="shared" ref="C33:H33" si="12">SUM(C34:C38)</f>
        <v>0</v>
      </c>
      <c r="D33" s="678">
        <f t="shared" si="12"/>
        <v>272490692.16644627</v>
      </c>
      <c r="E33" s="646">
        <f t="shared" si="12"/>
        <v>0</v>
      </c>
      <c r="F33" s="646">
        <f t="shared" si="12"/>
        <v>0</v>
      </c>
      <c r="G33" s="646">
        <f t="shared" si="12"/>
        <v>0</v>
      </c>
      <c r="H33" s="646">
        <f t="shared" si="12"/>
        <v>90830230.722148761</v>
      </c>
      <c r="I33" s="48">
        <f t="shared" si="10"/>
        <v>-90830230.722148761</v>
      </c>
      <c r="J33" s="201">
        <f t="shared" si="11"/>
        <v>-1</v>
      </c>
      <c r="K33" s="650">
        <f>SUM(K34:K38)</f>
        <v>272490692.16644627</v>
      </c>
      <c r="L33" s="101"/>
      <c r="Q33" s="70"/>
    </row>
    <row r="34" spans="1:17" ht="12.75" customHeight="1" x14ac:dyDescent="0.2">
      <c r="A34" s="419" t="s">
        <v>115</v>
      </c>
      <c r="B34" s="431"/>
      <c r="C34" s="651">
        <f>'C2C'!C151</f>
        <v>0</v>
      </c>
      <c r="D34" s="679">
        <f>'C2C'!D151</f>
        <v>64740869.648413382</v>
      </c>
      <c r="E34" s="411">
        <f>'C2C'!E151</f>
        <v>0</v>
      </c>
      <c r="F34" s="411">
        <f>'C2C'!F151</f>
        <v>0</v>
      </c>
      <c r="G34" s="411">
        <f>'C2C'!G151</f>
        <v>0</v>
      </c>
      <c r="H34" s="411">
        <f>'C2C'!H151</f>
        <v>21580289.882804461</v>
      </c>
      <c r="I34" s="48">
        <f t="shared" si="10"/>
        <v>-21580289.882804461</v>
      </c>
      <c r="J34" s="201">
        <f t="shared" si="11"/>
        <v>-1</v>
      </c>
      <c r="K34" s="651">
        <f>'C2C'!K151</f>
        <v>64740869.648413382</v>
      </c>
      <c r="L34" s="101"/>
      <c r="Q34" s="70"/>
    </row>
    <row r="35" spans="1:17" ht="12.75" customHeight="1" x14ac:dyDescent="0.2">
      <c r="A35" s="419" t="s">
        <v>116</v>
      </c>
      <c r="B35" s="431"/>
      <c r="C35" s="651">
        <f>'C2C'!C173</f>
        <v>0</v>
      </c>
      <c r="D35" s="679">
        <f>'C2C'!D173</f>
        <v>159913595.18891329</v>
      </c>
      <c r="E35" s="411">
        <f>'C2C'!E173</f>
        <v>0</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
      <c r="A36" s="419" t="s">
        <v>117</v>
      </c>
      <c r="B36" s="429"/>
      <c r="C36" s="651">
        <f>'C2C'!C179</f>
        <v>0</v>
      </c>
      <c r="D36" s="679">
        <f>'C2C'!D179</f>
        <v>34933954.660792001</v>
      </c>
      <c r="E36" s="411">
        <f>'C2C'!E179</f>
        <v>0</v>
      </c>
      <c r="F36" s="411">
        <f>'C2C'!F179</f>
        <v>0</v>
      </c>
      <c r="G36" s="411">
        <f>'C2C'!G179</f>
        <v>0</v>
      </c>
      <c r="H36" s="411">
        <f>'C2C'!H179</f>
        <v>11644651.553597333</v>
      </c>
      <c r="I36" s="48">
        <f t="shared" si="10"/>
        <v>-11644651.553597333</v>
      </c>
      <c r="J36" s="201">
        <f t="shared" si="11"/>
        <v>-1</v>
      </c>
      <c r="K36" s="651">
        <f>'C2C'!K179</f>
        <v>34933954.660792001</v>
      </c>
      <c r="L36" s="101"/>
      <c r="Q36" s="71"/>
    </row>
    <row r="37" spans="1:17" ht="12.75" customHeight="1" x14ac:dyDescent="0.2">
      <c r="A37" s="419" t="s">
        <v>734</v>
      </c>
      <c r="B37" s="429"/>
      <c r="C37" s="651">
        <f>'C2C'!C186</f>
        <v>0</v>
      </c>
      <c r="D37" s="679">
        <f>'C2C'!D186</f>
        <v>8235242.4949999992</v>
      </c>
      <c r="E37" s="411">
        <f>'C2C'!E186</f>
        <v>0</v>
      </c>
      <c r="F37" s="411">
        <f>'C2C'!F186</f>
        <v>0</v>
      </c>
      <c r="G37" s="411">
        <f>'C2C'!G186</f>
        <v>0</v>
      </c>
      <c r="H37" s="411">
        <f>'C2C'!H186</f>
        <v>2745080.8316666665</v>
      </c>
      <c r="I37" s="48">
        <f t="shared" si="10"/>
        <v>-2745080.8316666665</v>
      </c>
      <c r="J37" s="201">
        <f t="shared" si="11"/>
        <v>-1</v>
      </c>
      <c r="K37" s="651">
        <f>'C2C'!K186</f>
        <v>8235242.4949999992</v>
      </c>
      <c r="L37" s="101"/>
      <c r="Q37" s="71"/>
    </row>
    <row r="38" spans="1:17" ht="12.75" customHeight="1" x14ac:dyDescent="0.2">
      <c r="A38" s="419" t="s">
        <v>631</v>
      </c>
      <c r="B38" s="429"/>
      <c r="C38" s="652">
        <f>'C2C'!C189</f>
        <v>0</v>
      </c>
      <c r="D38" s="680">
        <f>'C2C'!D189</f>
        <v>4667030.1733276211</v>
      </c>
      <c r="E38" s="681">
        <f>'C2C'!E189</f>
        <v>0</v>
      </c>
      <c r="F38" s="681">
        <f>'C2C'!F189</f>
        <v>0</v>
      </c>
      <c r="G38" s="681">
        <f>'C2C'!G189</f>
        <v>0</v>
      </c>
      <c r="H38" s="681">
        <f>'C2C'!H189</f>
        <v>1555676.7244425404</v>
      </c>
      <c r="I38" s="48">
        <f t="shared" si="10"/>
        <v>-1555676.7244425404</v>
      </c>
      <c r="J38" s="201">
        <f t="shared" si="11"/>
        <v>-1</v>
      </c>
      <c r="K38" s="682">
        <f>'C2C'!K189</f>
        <v>4667030.1733276211</v>
      </c>
      <c r="L38" s="101"/>
      <c r="Q38" s="71"/>
    </row>
    <row r="39" spans="1:17" ht="12.75" customHeight="1" x14ac:dyDescent="0.2">
      <c r="A39" s="417" t="s">
        <v>118</v>
      </c>
      <c r="B39" s="429"/>
      <c r="C39" s="650">
        <f t="shared" ref="C39:H39" si="13">SUM(C40:C42)</f>
        <v>0</v>
      </c>
      <c r="D39" s="678">
        <f t="shared" si="13"/>
        <v>384562510.14376897</v>
      </c>
      <c r="E39" s="646">
        <f t="shared" si="13"/>
        <v>0</v>
      </c>
      <c r="F39" s="646">
        <f t="shared" si="13"/>
        <v>0</v>
      </c>
      <c r="G39" s="646">
        <f t="shared" si="13"/>
        <v>0</v>
      </c>
      <c r="H39" s="646">
        <f t="shared" si="13"/>
        <v>128187503.38125633</v>
      </c>
      <c r="I39" s="48">
        <f t="shared" si="10"/>
        <v>-128187503.38125633</v>
      </c>
      <c r="J39" s="201">
        <f t="shared" si="11"/>
        <v>-1</v>
      </c>
      <c r="K39" s="650">
        <f>SUM(K40:K42)</f>
        <v>384562510.14376897</v>
      </c>
      <c r="L39" s="101"/>
      <c r="Q39" s="71"/>
    </row>
    <row r="40" spans="1:17" ht="12.75" customHeight="1" x14ac:dyDescent="0.2">
      <c r="A40" s="419" t="s">
        <v>119</v>
      </c>
      <c r="B40" s="429"/>
      <c r="C40" s="651">
        <f>'C2C'!C198</f>
        <v>0</v>
      </c>
      <c r="D40" s="679">
        <f>'C2C'!D198</f>
        <v>92826287.846174791</v>
      </c>
      <c r="E40" s="411">
        <f>'C2C'!E198</f>
        <v>0</v>
      </c>
      <c r="F40" s="411">
        <f>'C2C'!F198</f>
        <v>0</v>
      </c>
      <c r="G40" s="411">
        <f>'C2C'!G198</f>
        <v>0</v>
      </c>
      <c r="H40" s="411">
        <f>'C2C'!H198</f>
        <v>30942095.948724929</v>
      </c>
      <c r="I40" s="48">
        <f t="shared" si="10"/>
        <v>-30942095.948724929</v>
      </c>
      <c r="J40" s="201">
        <f t="shared" si="11"/>
        <v>-1</v>
      </c>
      <c r="K40" s="651">
        <f>'C2C'!K198</f>
        <v>92826287.846174791</v>
      </c>
      <c r="L40" s="101"/>
      <c r="Q40" s="71"/>
    </row>
    <row r="41" spans="1:17" ht="12.75" customHeight="1" x14ac:dyDescent="0.2">
      <c r="A41" s="419" t="s">
        <v>120</v>
      </c>
      <c r="B41" s="429"/>
      <c r="C41" s="651">
        <f>'C2C'!C209</f>
        <v>0</v>
      </c>
      <c r="D41" s="679">
        <f>'C2C'!D209</f>
        <v>291054903.62188417</v>
      </c>
      <c r="E41" s="411">
        <f>'C2C'!E209</f>
        <v>0</v>
      </c>
      <c r="F41" s="411">
        <f>'C2C'!F209</f>
        <v>0</v>
      </c>
      <c r="G41" s="411">
        <f>'C2C'!G209</f>
        <v>0</v>
      </c>
      <c r="H41" s="411">
        <f>'C2C'!H209</f>
        <v>97018301.207294732</v>
      </c>
      <c r="I41" s="48">
        <f t="shared" si="10"/>
        <v>-97018301.207294732</v>
      </c>
      <c r="J41" s="201">
        <f t="shared" si="11"/>
        <v>-1</v>
      </c>
      <c r="K41" s="651">
        <f>'C2C'!K209</f>
        <v>291054903.62188417</v>
      </c>
      <c r="L41" s="101"/>
      <c r="Q41" s="71"/>
    </row>
    <row r="42" spans="1:17" ht="12.75" customHeight="1" x14ac:dyDescent="0.2">
      <c r="A42" s="419" t="s">
        <v>121</v>
      </c>
      <c r="B42" s="429"/>
      <c r="C42" s="651">
        <f>'C2C'!C216</f>
        <v>0</v>
      </c>
      <c r="D42" s="679">
        <f>'C2C'!D216</f>
        <v>681318.6757100001</v>
      </c>
      <c r="E42" s="411">
        <f>'C2C'!E216</f>
        <v>0</v>
      </c>
      <c r="F42" s="411">
        <f>'C2C'!F216</f>
        <v>0</v>
      </c>
      <c r="G42" s="411">
        <f>'C2C'!G216</f>
        <v>0</v>
      </c>
      <c r="H42" s="411">
        <f>'C2C'!H216</f>
        <v>227106.22523666671</v>
      </c>
      <c r="I42" s="48">
        <f t="shared" si="10"/>
        <v>-227106.22523666671</v>
      </c>
      <c r="J42" s="201">
        <f t="shared" si="11"/>
        <v>-1</v>
      </c>
      <c r="K42" s="651">
        <f>'C2C'!K216</f>
        <v>681318.6757100001</v>
      </c>
      <c r="L42" s="101"/>
      <c r="Q42" s="71"/>
    </row>
    <row r="43" spans="1:17" ht="12.75" customHeight="1" x14ac:dyDescent="0.2">
      <c r="A43" s="417" t="s">
        <v>122</v>
      </c>
      <c r="B43" s="429"/>
      <c r="C43" s="650">
        <f>SUM(C44:C47)</f>
        <v>0</v>
      </c>
      <c r="D43" s="678">
        <f t="shared" ref="D43:I43" si="14">SUM(D44:D47)</f>
        <v>1272744801.750423</v>
      </c>
      <c r="E43" s="646">
        <f t="shared" si="14"/>
        <v>0</v>
      </c>
      <c r="F43" s="646">
        <f t="shared" si="14"/>
        <v>0</v>
      </c>
      <c r="G43" s="646">
        <f t="shared" si="14"/>
        <v>0</v>
      </c>
      <c r="H43" s="646">
        <f t="shared" si="14"/>
        <v>424248267.25014096</v>
      </c>
      <c r="I43" s="48">
        <f t="shared" si="14"/>
        <v>-424248267.25014096</v>
      </c>
      <c r="J43" s="201">
        <f t="shared" si="11"/>
        <v>-1</v>
      </c>
      <c r="K43" s="650">
        <f>SUM(K44:K47)</f>
        <v>1272744801.750423</v>
      </c>
      <c r="L43" s="101"/>
      <c r="Q43" s="71"/>
    </row>
    <row r="44" spans="1:17" ht="12.75" customHeight="1" x14ac:dyDescent="0.2">
      <c r="A44" s="419" t="s">
        <v>1233</v>
      </c>
      <c r="B44" s="429"/>
      <c r="C44" s="651">
        <f>'C2C'!C224</f>
        <v>0</v>
      </c>
      <c r="D44" s="679">
        <f>'C2C'!D224</f>
        <v>806231197.92631733</v>
      </c>
      <c r="E44" s="411">
        <f>'C2C'!E224</f>
        <v>0</v>
      </c>
      <c r="F44" s="411">
        <f>'C2C'!F224</f>
        <v>0</v>
      </c>
      <c r="G44" s="411">
        <f>'C2C'!G224</f>
        <v>0</v>
      </c>
      <c r="H44" s="411">
        <f>'C2C'!H224</f>
        <v>268743732.64210576</v>
      </c>
      <c r="I44" s="48">
        <f t="shared" si="10"/>
        <v>-268743732.64210576</v>
      </c>
      <c r="J44" s="201">
        <f t="shared" si="11"/>
        <v>-1</v>
      </c>
      <c r="K44" s="651">
        <f>'C2C'!K224</f>
        <v>806231197.92631733</v>
      </c>
      <c r="L44" s="101"/>
      <c r="Q44" s="71"/>
    </row>
    <row r="45" spans="1:17" ht="12.75" customHeight="1" x14ac:dyDescent="0.2">
      <c r="A45" s="419" t="s">
        <v>1237</v>
      </c>
      <c r="B45" s="429"/>
      <c r="C45" s="651">
        <f>'C2C'!C228</f>
        <v>0</v>
      </c>
      <c r="D45" s="679">
        <f>'C2C'!D228</f>
        <v>301176991.19435531</v>
      </c>
      <c r="E45" s="411">
        <f>'C2C'!E228</f>
        <v>0</v>
      </c>
      <c r="F45" s="411">
        <f>'C2C'!F228</f>
        <v>0</v>
      </c>
      <c r="G45" s="411">
        <f>'C2C'!G228</f>
        <v>0</v>
      </c>
      <c r="H45" s="411">
        <f>'C2C'!H228</f>
        <v>100392330.39811844</v>
      </c>
      <c r="I45" s="48">
        <f t="shared" si="10"/>
        <v>-100392330.39811844</v>
      </c>
      <c r="J45" s="201">
        <f t="shared" si="11"/>
        <v>-1</v>
      </c>
      <c r="K45" s="651">
        <f>'C2C'!K228</f>
        <v>301176991.19435531</v>
      </c>
      <c r="L45" s="101"/>
      <c r="Q45" s="71"/>
    </row>
    <row r="46" spans="1:17" ht="12.75" customHeight="1" x14ac:dyDescent="0.2">
      <c r="A46" s="419" t="s">
        <v>123</v>
      </c>
      <c r="B46" s="429"/>
      <c r="C46" s="652">
        <f>'C2C'!C232</f>
        <v>0</v>
      </c>
      <c r="D46" s="680">
        <f>'C2C'!D232</f>
        <v>100352696.60291024</v>
      </c>
      <c r="E46" s="681">
        <f>'C2C'!E232</f>
        <v>0</v>
      </c>
      <c r="F46" s="681">
        <f>'C2C'!F232</f>
        <v>0</v>
      </c>
      <c r="G46" s="681">
        <f>'C2C'!G232</f>
        <v>0</v>
      </c>
      <c r="H46" s="681">
        <f>'C2C'!H232</f>
        <v>33450898.867636744</v>
      </c>
      <c r="I46" s="48">
        <f t="shared" si="10"/>
        <v>-33450898.867636744</v>
      </c>
      <c r="J46" s="201">
        <f t="shared" si="11"/>
        <v>-1</v>
      </c>
      <c r="K46" s="682">
        <f>'C2C'!K232</f>
        <v>100352696.60291024</v>
      </c>
      <c r="L46" s="101"/>
      <c r="Q46" s="71"/>
    </row>
    <row r="47" spans="1:17" ht="12.75" customHeight="1" x14ac:dyDescent="0.2">
      <c r="A47" s="419" t="s">
        <v>124</v>
      </c>
      <c r="B47" s="429"/>
      <c r="C47" s="651">
        <f>'C2C'!C237</f>
        <v>0</v>
      </c>
      <c r="D47" s="679">
        <f>'C2C'!D237</f>
        <v>64983916.026840009</v>
      </c>
      <c r="E47" s="411">
        <f>'C2C'!E237</f>
        <v>0</v>
      </c>
      <c r="F47" s="411">
        <f>'C2C'!F237</f>
        <v>0</v>
      </c>
      <c r="G47" s="411">
        <f>'C2C'!G237</f>
        <v>0</v>
      </c>
      <c r="H47" s="411">
        <f>'C2C'!H237</f>
        <v>21661305.342280004</v>
      </c>
      <c r="I47" s="48">
        <f t="shared" si="10"/>
        <v>-21661305.342280004</v>
      </c>
      <c r="J47" s="201">
        <f t="shared" si="11"/>
        <v>-1</v>
      </c>
      <c r="K47" s="651">
        <f>'C2C'!K237</f>
        <v>64983916.026840009</v>
      </c>
      <c r="L47" s="101"/>
      <c r="Q47" s="71"/>
    </row>
    <row r="48" spans="1:17" ht="12.75" customHeight="1" x14ac:dyDescent="0.2">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1251</v>
      </c>
      <c r="B49" s="425">
        <v>3</v>
      </c>
      <c r="C49" s="609">
        <f>C29+C33+C39+C43+C48</f>
        <v>0</v>
      </c>
      <c r="D49" s="607">
        <f t="shared" ref="D49:I49" si="15">D29+D33+D39+D43+D48</f>
        <v>2902257718.109868</v>
      </c>
      <c r="E49" s="549">
        <f t="shared" si="15"/>
        <v>0</v>
      </c>
      <c r="F49" s="549">
        <f t="shared" si="15"/>
        <v>0</v>
      </c>
      <c r="G49" s="549">
        <f t="shared" si="15"/>
        <v>0</v>
      </c>
      <c r="H49" s="549">
        <f t="shared" si="15"/>
        <v>967419239.36995602</v>
      </c>
      <c r="I49" s="549">
        <f t="shared" si="15"/>
        <v>-967419239.36995602</v>
      </c>
      <c r="J49" s="608">
        <f t="shared" si="11"/>
        <v>-1</v>
      </c>
      <c r="K49" s="730">
        <f>K29+K33+K39+K43+K48</f>
        <v>2902257718.109868</v>
      </c>
      <c r="L49" s="101"/>
      <c r="Q49" s="76"/>
    </row>
    <row r="50" spans="1:17" ht="12.75" customHeight="1" x14ac:dyDescent="0.2">
      <c r="A50" s="95" t="s">
        <v>923</v>
      </c>
      <c r="B50" s="432"/>
      <c r="C50" s="544">
        <f t="shared" ref="C50:H50" si="16">C26-C49</f>
        <v>0</v>
      </c>
      <c r="D50" s="649">
        <f t="shared" si="16"/>
        <v>1040958021.1601319</v>
      </c>
      <c r="E50" s="643">
        <f t="shared" si="16"/>
        <v>0</v>
      </c>
      <c r="F50" s="643">
        <f t="shared" si="16"/>
        <v>0</v>
      </c>
      <c r="G50" s="643">
        <f t="shared" si="16"/>
        <v>0</v>
      </c>
      <c r="H50" s="643">
        <f t="shared" si="16"/>
        <v>346986007.05337739</v>
      </c>
      <c r="I50" s="643">
        <f>I26-I49</f>
        <v>-346986007.05337739</v>
      </c>
      <c r="J50" s="647">
        <f>IF(I50=0,"",I50/H50)</f>
        <v>-1</v>
      </c>
      <c r="K50" s="648">
        <f>K26-K49</f>
        <v>1040958021.1601319</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146</v>
      </c>
      <c r="B52" s="65"/>
      <c r="C52" s="80"/>
      <c r="D52" s="80"/>
      <c r="E52" s="80"/>
      <c r="F52" s="80"/>
      <c r="G52" s="80"/>
      <c r="H52" s="80"/>
      <c r="I52" s="80"/>
      <c r="J52" s="80"/>
      <c r="K52" s="80"/>
    </row>
    <row r="53" spans="1:17" ht="11.25" customHeight="1" x14ac:dyDescent="0.2">
      <c r="A53" s="61" t="s">
        <v>1252</v>
      </c>
      <c r="B53" s="65"/>
      <c r="C53" s="80"/>
      <c r="D53" s="80"/>
      <c r="E53" s="80"/>
      <c r="F53" s="80"/>
      <c r="G53" s="80"/>
      <c r="H53" s="80"/>
      <c r="I53" s="80"/>
      <c r="J53" s="80"/>
      <c r="K53" s="80"/>
    </row>
    <row r="54" spans="1:17" ht="11.25" customHeight="1" x14ac:dyDescent="0.2">
      <c r="A54" s="81" t="s">
        <v>1253</v>
      </c>
      <c r="B54" s="65"/>
      <c r="C54" s="80"/>
      <c r="D54" s="80"/>
      <c r="E54" s="80"/>
      <c r="F54" s="80"/>
      <c r="G54" s="80"/>
      <c r="H54" s="80"/>
      <c r="I54" s="80"/>
      <c r="J54" s="80"/>
      <c r="K54" s="80"/>
    </row>
    <row r="55" spans="1:17" ht="27.75" customHeight="1" x14ac:dyDescent="0.2">
      <c r="A55" s="1016" t="s">
        <v>1254</v>
      </c>
      <c r="B55" s="1016"/>
      <c r="C55" s="1016"/>
      <c r="D55" s="1016"/>
      <c r="E55" s="1016"/>
      <c r="F55" s="1016"/>
      <c r="G55" s="1016"/>
      <c r="H55" s="1016"/>
      <c r="I55" s="1016"/>
      <c r="J55" s="1016"/>
      <c r="K55" s="1016"/>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42" activePane="bottomRight" state="frozen"/>
      <selection pane="topRight"/>
      <selection pane="bottomLeft"/>
      <selection pane="bottomRight" activeCell="H238" sqref="H238:H241"/>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15" t="str">
        <f>muni&amp; " - "&amp;S71A&amp; " - "&amp;date</f>
        <v>LIM354 Polokwane - Table C2 Monthly Budget Statement - Financial Performance (functional classification) - M04 October</v>
      </c>
      <c r="B1" s="1015"/>
      <c r="C1" s="1015"/>
      <c r="D1" s="1015"/>
      <c r="E1" s="1015"/>
      <c r="F1" s="1015"/>
      <c r="G1" s="1015"/>
      <c r="H1" s="1015"/>
      <c r="I1" s="1015"/>
      <c r="J1" s="1015"/>
      <c r="K1" s="1015"/>
    </row>
    <row r="2" spans="1:12" ht="13.5" customHeight="1" x14ac:dyDescent="0.25">
      <c r="A2" s="1013" t="str">
        <f>desc</f>
        <v>Description</v>
      </c>
      <c r="B2" s="1011" t="str">
        <f>head27</f>
        <v>Ref</v>
      </c>
      <c r="C2" s="24" t="str">
        <f>Head1</f>
        <v>2016/17</v>
      </c>
      <c r="D2" s="232" t="str">
        <f>Head2</f>
        <v>Budget Year 2017/18</v>
      </c>
      <c r="E2" s="230"/>
      <c r="F2" s="230"/>
      <c r="G2" s="230"/>
      <c r="H2" s="230"/>
      <c r="I2" s="230"/>
      <c r="J2" s="230"/>
      <c r="K2" s="231"/>
    </row>
    <row r="3" spans="1:12" ht="20.399999999999999" x14ac:dyDescent="0.25">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0</v>
      </c>
      <c r="F6" s="614">
        <f t="shared" si="0"/>
        <v>0</v>
      </c>
      <c r="G6" s="614">
        <f t="shared" si="0"/>
        <v>0</v>
      </c>
      <c r="H6" s="614">
        <f t="shared" si="0"/>
        <v>767359209.60066664</v>
      </c>
      <c r="I6" s="641">
        <f>G6-H6</f>
        <v>-767359209.60066664</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1672360.9400000002</v>
      </c>
      <c r="I7" s="617">
        <f t="shared" ref="I7:I124" si="2">G7-H7</f>
        <v>-1672360.9400000002</v>
      </c>
      <c r="J7" s="617">
        <f t="shared" ref="J7:J124" si="3">IF(I7=0,"",I7/H7)</f>
        <v>-1</v>
      </c>
      <c r="K7" s="619">
        <f t="shared" si="1"/>
        <v>5017082.82</v>
      </c>
      <c r="L7" s="101"/>
    </row>
    <row r="8" spans="1:12" x14ac:dyDescent="0.25">
      <c r="A8" s="704" t="s">
        <v>168</v>
      </c>
      <c r="B8" s="418"/>
      <c r="C8" s="743"/>
      <c r="D8" s="743">
        <v>5017082.82</v>
      </c>
      <c r="E8" s="743"/>
      <c r="F8" s="743"/>
      <c r="G8" s="743"/>
      <c r="H8" s="743">
        <f>D8/12*4</f>
        <v>1672360.9400000002</v>
      </c>
      <c r="I8" s="411">
        <f t="shared" si="2"/>
        <v>-1672360.9400000002</v>
      </c>
      <c r="J8" s="411">
        <f t="shared" si="3"/>
        <v>-1</v>
      </c>
      <c r="K8" s="745">
        <f>D8</f>
        <v>5017082.82</v>
      </c>
      <c r="L8" s="101"/>
    </row>
    <row r="9" spans="1:12" ht="20.399999999999999" x14ac:dyDescent="0.25">
      <c r="A9" s="704" t="s">
        <v>1163</v>
      </c>
      <c r="B9" s="418"/>
      <c r="C9" s="743"/>
      <c r="D9" s="743"/>
      <c r="E9" s="743"/>
      <c r="F9" s="743"/>
      <c r="G9" s="743"/>
      <c r="H9" s="743">
        <f>D9/12*2</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0</v>
      </c>
      <c r="F10" s="617">
        <f t="shared" si="4"/>
        <v>0</v>
      </c>
      <c r="G10" s="617">
        <f t="shared" si="4"/>
        <v>0</v>
      </c>
      <c r="H10" s="617">
        <f t="shared" si="4"/>
        <v>765686848.66066658</v>
      </c>
      <c r="I10" s="617">
        <f>G10-H10</f>
        <v>-765686848.66066658</v>
      </c>
      <c r="J10" s="617">
        <f>IF(I10=0,"",I10/H10)</f>
        <v>-1</v>
      </c>
      <c r="K10" s="617">
        <f>SUM(K11:K24)</f>
        <v>2297060545.9819999</v>
      </c>
      <c r="L10" s="101"/>
    </row>
    <row r="11" spans="1:12" x14ac:dyDescent="0.25">
      <c r="A11" s="704" t="s">
        <v>1165</v>
      </c>
      <c r="B11" s="418"/>
      <c r="C11" s="743"/>
      <c r="D11" s="743"/>
      <c r="E11" s="743"/>
      <c r="F11" s="743"/>
      <c r="G11" s="743"/>
      <c r="H11" s="743">
        <f t="shared" ref="H11:H24" si="5">D11/12*4</f>
        <v>0</v>
      </c>
      <c r="I11" s="411">
        <f t="shared" ref="I11:I16" si="6">G11-H11</f>
        <v>0</v>
      </c>
      <c r="J11" s="411" t="str">
        <f t="shared" ref="J11:J16" si="7">IF(I11=0,"",I11/H11)</f>
        <v/>
      </c>
      <c r="K11" s="745">
        <f>D11</f>
        <v>0</v>
      </c>
      <c r="L11" s="101"/>
    </row>
    <row r="12" spans="1:12" x14ac:dyDescent="0.25">
      <c r="A12" s="704" t="s">
        <v>1166</v>
      </c>
      <c r="B12" s="418"/>
      <c r="C12" s="743"/>
      <c r="D12" s="743"/>
      <c r="E12" s="743"/>
      <c r="F12" s="743"/>
      <c r="G12" s="743"/>
      <c r="H12" s="743">
        <f t="shared" si="5"/>
        <v>0</v>
      </c>
      <c r="I12" s="411">
        <f t="shared" si="6"/>
        <v>0</v>
      </c>
      <c r="J12" s="411" t="str">
        <f t="shared" si="7"/>
        <v/>
      </c>
      <c r="K12" s="745">
        <f t="shared" ref="K12:K24" si="8">D12</f>
        <v>0</v>
      </c>
      <c r="L12" s="101"/>
    </row>
    <row r="13" spans="1:12" x14ac:dyDescent="0.25">
      <c r="A13" s="704" t="s">
        <v>1167</v>
      </c>
      <c r="B13" s="418"/>
      <c r="C13" s="743"/>
      <c r="D13" s="743">
        <v>2297060545.9819999</v>
      </c>
      <c r="E13" s="743"/>
      <c r="F13" s="743"/>
      <c r="G13" s="743"/>
      <c r="H13" s="743">
        <f t="shared" si="5"/>
        <v>765686848.66066658</v>
      </c>
      <c r="I13" s="411">
        <f t="shared" si="6"/>
        <v>-765686848.66066658</v>
      </c>
      <c r="J13" s="411">
        <f t="shared" si="7"/>
        <v>-1</v>
      </c>
      <c r="K13" s="745">
        <f t="shared" si="8"/>
        <v>2297060545.9819999</v>
      </c>
      <c r="L13" s="101"/>
    </row>
    <row r="14" spans="1:12" x14ac:dyDescent="0.25">
      <c r="A14" s="704" t="s">
        <v>1168</v>
      </c>
      <c r="B14" s="418"/>
      <c r="C14" s="743"/>
      <c r="D14" s="743"/>
      <c r="E14" s="743"/>
      <c r="F14" s="743"/>
      <c r="G14" s="743"/>
      <c r="H14" s="743">
        <f t="shared" si="5"/>
        <v>0</v>
      </c>
      <c r="I14" s="411">
        <f t="shared" si="6"/>
        <v>0</v>
      </c>
      <c r="J14" s="411" t="str">
        <f t="shared" si="7"/>
        <v/>
      </c>
      <c r="K14" s="745">
        <f t="shared" si="8"/>
        <v>0</v>
      </c>
      <c r="L14" s="101"/>
    </row>
    <row r="15" spans="1:12" x14ac:dyDescent="0.25">
      <c r="A15" s="704" t="s">
        <v>1169</v>
      </c>
      <c r="B15" s="418"/>
      <c r="C15" s="743"/>
      <c r="D15" s="743"/>
      <c r="E15" s="743"/>
      <c r="F15" s="743"/>
      <c r="G15" s="743"/>
      <c r="H15" s="743">
        <f t="shared" si="5"/>
        <v>0</v>
      </c>
      <c r="I15" s="411">
        <f t="shared" si="6"/>
        <v>0</v>
      </c>
      <c r="J15" s="411" t="str">
        <f t="shared" si="7"/>
        <v/>
      </c>
      <c r="K15" s="745">
        <f t="shared" si="8"/>
        <v>0</v>
      </c>
      <c r="L15" s="101"/>
    </row>
    <row r="16" spans="1:12" x14ac:dyDescent="0.25">
      <c r="A16" s="704" t="s">
        <v>169</v>
      </c>
      <c r="B16" s="418"/>
      <c r="C16" s="743"/>
      <c r="D16" s="743"/>
      <c r="E16" s="743"/>
      <c r="F16" s="743"/>
      <c r="G16" s="743"/>
      <c r="H16" s="743">
        <f t="shared" si="5"/>
        <v>0</v>
      </c>
      <c r="I16" s="411">
        <f t="shared" si="6"/>
        <v>0</v>
      </c>
      <c r="J16" s="411" t="str">
        <f t="shared" si="7"/>
        <v/>
      </c>
      <c r="K16" s="745">
        <f t="shared" si="8"/>
        <v>0</v>
      </c>
      <c r="L16" s="101"/>
    </row>
    <row r="17" spans="1:12" x14ac:dyDescent="0.25">
      <c r="A17" s="704" t="s">
        <v>170</v>
      </c>
      <c r="B17" s="418"/>
      <c r="C17" s="743"/>
      <c r="D17" s="743"/>
      <c r="E17" s="743"/>
      <c r="F17" s="743"/>
      <c r="G17" s="743"/>
      <c r="H17" s="743">
        <f t="shared" si="5"/>
        <v>0</v>
      </c>
      <c r="I17" s="411">
        <f t="shared" ref="I17:I24" si="9">G17-H17</f>
        <v>0</v>
      </c>
      <c r="J17" s="411" t="str">
        <f t="shared" ref="J17:J24" si="10">IF(I17=0,"",I17/H17)</f>
        <v/>
      </c>
      <c r="K17" s="745">
        <f t="shared" si="8"/>
        <v>0</v>
      </c>
      <c r="L17" s="101"/>
    </row>
    <row r="18" spans="1:12" x14ac:dyDescent="0.25">
      <c r="A18" s="704" t="s">
        <v>1170</v>
      </c>
      <c r="B18" s="418"/>
      <c r="C18" s="743"/>
      <c r="D18" s="743"/>
      <c r="E18" s="743"/>
      <c r="F18" s="743"/>
      <c r="G18" s="743"/>
      <c r="H18" s="743">
        <f t="shared" si="5"/>
        <v>0</v>
      </c>
      <c r="I18" s="411">
        <f t="shared" si="9"/>
        <v>0</v>
      </c>
      <c r="J18" s="411" t="str">
        <f t="shared" si="10"/>
        <v/>
      </c>
      <c r="K18" s="745">
        <f t="shared" si="8"/>
        <v>0</v>
      </c>
      <c r="L18" s="101"/>
    </row>
    <row r="19" spans="1:12" ht="20.399999999999999" x14ac:dyDescent="0.25">
      <c r="A19" s="704" t="s">
        <v>1171</v>
      </c>
      <c r="B19" s="418"/>
      <c r="C19" s="743"/>
      <c r="D19" s="743"/>
      <c r="E19" s="743"/>
      <c r="F19" s="743"/>
      <c r="G19" s="743"/>
      <c r="H19" s="743">
        <f t="shared" si="5"/>
        <v>0</v>
      </c>
      <c r="I19" s="411">
        <f t="shared" si="9"/>
        <v>0</v>
      </c>
      <c r="J19" s="411" t="str">
        <f t="shared" si="10"/>
        <v/>
      </c>
      <c r="K19" s="745">
        <f t="shared" si="8"/>
        <v>0</v>
      </c>
      <c r="L19" s="101"/>
    </row>
    <row r="20" spans="1:12" x14ac:dyDescent="0.25">
      <c r="A20" s="704" t="s">
        <v>171</v>
      </c>
      <c r="B20" s="418"/>
      <c r="C20" s="743"/>
      <c r="D20" s="743"/>
      <c r="E20" s="743"/>
      <c r="F20" s="743"/>
      <c r="G20" s="743"/>
      <c r="H20" s="743">
        <f t="shared" si="5"/>
        <v>0</v>
      </c>
      <c r="I20" s="411">
        <f t="shared" si="9"/>
        <v>0</v>
      </c>
      <c r="J20" s="411" t="str">
        <f t="shared" si="10"/>
        <v/>
      </c>
      <c r="K20" s="745">
        <f t="shared" si="8"/>
        <v>0</v>
      </c>
      <c r="L20" s="101"/>
    </row>
    <row r="21" spans="1:12" x14ac:dyDescent="0.25">
      <c r="A21" s="704" t="s">
        <v>1172</v>
      </c>
      <c r="B21" s="418"/>
      <c r="C21" s="743"/>
      <c r="D21" s="743"/>
      <c r="E21" s="743"/>
      <c r="F21" s="743"/>
      <c r="G21" s="743"/>
      <c r="H21" s="743">
        <f t="shared" si="5"/>
        <v>0</v>
      </c>
      <c r="I21" s="411">
        <f t="shared" si="9"/>
        <v>0</v>
      </c>
      <c r="J21" s="411" t="str">
        <f t="shared" si="10"/>
        <v/>
      </c>
      <c r="K21" s="745">
        <f t="shared" si="8"/>
        <v>0</v>
      </c>
      <c r="L21" s="101"/>
    </row>
    <row r="22" spans="1:12" x14ac:dyDescent="0.25">
      <c r="A22" s="704" t="s">
        <v>1173</v>
      </c>
      <c r="B22" s="418"/>
      <c r="C22" s="743"/>
      <c r="D22" s="743"/>
      <c r="E22" s="743"/>
      <c r="F22" s="743"/>
      <c r="G22" s="743"/>
      <c r="H22" s="743">
        <f t="shared" si="5"/>
        <v>0</v>
      </c>
      <c r="I22" s="411">
        <f t="shared" si="9"/>
        <v>0</v>
      </c>
      <c r="J22" s="411" t="str">
        <f t="shared" si="10"/>
        <v/>
      </c>
      <c r="K22" s="745">
        <f t="shared" si="8"/>
        <v>0</v>
      </c>
      <c r="L22" s="101"/>
    </row>
    <row r="23" spans="1:12" x14ac:dyDescent="0.25">
      <c r="A23" s="704" t="s">
        <v>1174</v>
      </c>
      <c r="B23" s="418"/>
      <c r="C23" s="743"/>
      <c r="D23" s="743"/>
      <c r="E23" s="743"/>
      <c r="F23" s="743"/>
      <c r="G23" s="743"/>
      <c r="H23" s="743">
        <f t="shared" si="5"/>
        <v>0</v>
      </c>
      <c r="I23" s="411">
        <f t="shared" si="9"/>
        <v>0</v>
      </c>
      <c r="J23" s="411" t="str">
        <f t="shared" si="10"/>
        <v/>
      </c>
      <c r="K23" s="745">
        <f t="shared" si="8"/>
        <v>0</v>
      </c>
      <c r="L23" s="101"/>
    </row>
    <row r="24" spans="1:12" x14ac:dyDescent="0.25">
      <c r="A24" s="704" t="s">
        <v>1175</v>
      </c>
      <c r="B24" s="418"/>
      <c r="C24" s="743"/>
      <c r="D24" s="743"/>
      <c r="E24" s="743"/>
      <c r="F24" s="743"/>
      <c r="G24" s="743"/>
      <c r="H24" s="743">
        <f t="shared" si="5"/>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0</v>
      </c>
      <c r="F27" s="614">
        <f t="shared" si="12"/>
        <v>0</v>
      </c>
      <c r="G27" s="614">
        <f t="shared" si="12"/>
        <v>0</v>
      </c>
      <c r="H27" s="614">
        <f t="shared" si="12"/>
        <v>15130507.245999997</v>
      </c>
      <c r="I27" s="614">
        <f t="shared" si="2"/>
        <v>-15130507.245999997</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0</v>
      </c>
      <c r="F28" s="620">
        <f t="shared" si="13"/>
        <v>0</v>
      </c>
      <c r="G28" s="620">
        <f t="shared" si="13"/>
        <v>0</v>
      </c>
      <c r="H28" s="620">
        <f t="shared" si="13"/>
        <v>1691641.3053333331</v>
      </c>
      <c r="I28" s="620">
        <f t="shared" si="2"/>
        <v>-1691641.3053333331</v>
      </c>
      <c r="J28" s="620">
        <f t="shared" si="3"/>
        <v>-1</v>
      </c>
      <c r="K28" s="620">
        <f>SUM(K29:K49)</f>
        <v>5074923.9159999993</v>
      </c>
      <c r="L28" s="101"/>
    </row>
    <row r="29" spans="1:12" x14ac:dyDescent="0.25">
      <c r="A29" s="704" t="s">
        <v>173</v>
      </c>
      <c r="B29" s="418"/>
      <c r="C29" s="743"/>
      <c r="D29" s="743">
        <v>2692891.9159999997</v>
      </c>
      <c r="E29" s="743"/>
      <c r="F29" s="743"/>
      <c r="G29" s="743"/>
      <c r="H29" s="743">
        <f t="shared" ref="H29:H49" si="14">D29/12*4</f>
        <v>897630.63866666658</v>
      </c>
      <c r="I29" s="411">
        <f t="shared" ref="I29:I35" si="15">G29-H29</f>
        <v>-897630.63866666658</v>
      </c>
      <c r="J29" s="411">
        <f t="shared" ref="J29:J35" si="16">IF(I29=0,"",I29/H29)</f>
        <v>-1</v>
      </c>
      <c r="K29" s="745">
        <f>D29</f>
        <v>2692891.9159999997</v>
      </c>
      <c r="L29" s="101"/>
    </row>
    <row r="30" spans="1:12" x14ac:dyDescent="0.25">
      <c r="A30" s="704" t="s">
        <v>735</v>
      </c>
      <c r="B30" s="418"/>
      <c r="C30" s="743"/>
      <c r="D30" s="743"/>
      <c r="E30" s="743"/>
      <c r="F30" s="743"/>
      <c r="G30" s="743"/>
      <c r="H30" s="743">
        <f t="shared" si="14"/>
        <v>0</v>
      </c>
      <c r="I30" s="411">
        <f t="shared" si="15"/>
        <v>0</v>
      </c>
      <c r="J30" s="411" t="str">
        <f t="shared" si="16"/>
        <v/>
      </c>
      <c r="K30" s="745">
        <f t="shared" ref="K30:K49" si="17">D30</f>
        <v>0</v>
      </c>
      <c r="L30" s="101"/>
    </row>
    <row r="31" spans="1:12" x14ac:dyDescent="0.25">
      <c r="A31" s="704" t="s">
        <v>1179</v>
      </c>
      <c r="B31" s="418"/>
      <c r="C31" s="743"/>
      <c r="D31" s="743"/>
      <c r="E31" s="743"/>
      <c r="F31" s="743"/>
      <c r="G31" s="743"/>
      <c r="H31" s="743">
        <f t="shared" si="14"/>
        <v>0</v>
      </c>
      <c r="I31" s="411">
        <f t="shared" si="15"/>
        <v>0</v>
      </c>
      <c r="J31" s="411" t="str">
        <f t="shared" si="16"/>
        <v/>
      </c>
      <c r="K31" s="745">
        <f t="shared" si="17"/>
        <v>0</v>
      </c>
      <c r="L31" s="101"/>
    </row>
    <row r="32" spans="1:12" x14ac:dyDescent="0.25">
      <c r="A32" s="704" t="s">
        <v>1180</v>
      </c>
      <c r="B32" s="418"/>
      <c r="C32" s="743"/>
      <c r="D32" s="743"/>
      <c r="E32" s="743"/>
      <c r="F32" s="743"/>
      <c r="G32" s="743"/>
      <c r="H32" s="743">
        <f t="shared" si="14"/>
        <v>0</v>
      </c>
      <c r="I32" s="411">
        <f t="shared" si="15"/>
        <v>0</v>
      </c>
      <c r="J32" s="411" t="str">
        <f t="shared" si="16"/>
        <v/>
      </c>
      <c r="K32" s="745">
        <f t="shared" si="17"/>
        <v>0</v>
      </c>
      <c r="L32" s="101"/>
    </row>
    <row r="33" spans="1:12" x14ac:dyDescent="0.25">
      <c r="A33" s="704" t="s">
        <v>1181</v>
      </c>
      <c r="B33" s="418"/>
      <c r="C33" s="743"/>
      <c r="D33" s="743">
        <v>2382032</v>
      </c>
      <c r="E33" s="743"/>
      <c r="F33" s="743"/>
      <c r="G33" s="743"/>
      <c r="H33" s="743">
        <f t="shared" si="14"/>
        <v>794010.66666666663</v>
      </c>
      <c r="I33" s="411">
        <f t="shared" si="15"/>
        <v>-794010.66666666663</v>
      </c>
      <c r="J33" s="411">
        <f t="shared" si="16"/>
        <v>-1</v>
      </c>
      <c r="K33" s="745">
        <f t="shared" si="17"/>
        <v>2382032</v>
      </c>
      <c r="L33" s="101"/>
    </row>
    <row r="34" spans="1:12" x14ac:dyDescent="0.25">
      <c r="A34" s="704" t="s">
        <v>1182</v>
      </c>
      <c r="B34" s="418"/>
      <c r="C34" s="743"/>
      <c r="D34" s="743"/>
      <c r="E34" s="743"/>
      <c r="F34" s="743"/>
      <c r="G34" s="743"/>
      <c r="H34" s="743">
        <f t="shared" si="14"/>
        <v>0</v>
      </c>
      <c r="I34" s="411">
        <f t="shared" si="15"/>
        <v>0</v>
      </c>
      <c r="J34" s="411" t="str">
        <f t="shared" si="16"/>
        <v/>
      </c>
      <c r="K34" s="745">
        <f t="shared" si="17"/>
        <v>0</v>
      </c>
      <c r="L34" s="101"/>
    </row>
    <row r="35" spans="1:12" x14ac:dyDescent="0.25">
      <c r="A35" s="704" t="s">
        <v>1183</v>
      </c>
      <c r="B35" s="418"/>
      <c r="C35" s="743"/>
      <c r="D35" s="743"/>
      <c r="E35" s="743"/>
      <c r="F35" s="743"/>
      <c r="G35" s="743"/>
      <c r="H35" s="743">
        <f t="shared" si="14"/>
        <v>0</v>
      </c>
      <c r="I35" s="411">
        <f t="shared" si="15"/>
        <v>0</v>
      </c>
      <c r="J35" s="411" t="str">
        <f t="shared" si="16"/>
        <v/>
      </c>
      <c r="K35" s="745">
        <f t="shared" si="17"/>
        <v>0</v>
      </c>
      <c r="L35" s="101"/>
    </row>
    <row r="36" spans="1:12" x14ac:dyDescent="0.25">
      <c r="A36" s="704" t="s">
        <v>1184</v>
      </c>
      <c r="B36" s="418"/>
      <c r="C36" s="743"/>
      <c r="D36" s="743"/>
      <c r="E36" s="743"/>
      <c r="F36" s="743"/>
      <c r="G36" s="743"/>
      <c r="H36" s="743">
        <f t="shared" si="14"/>
        <v>0</v>
      </c>
      <c r="I36" s="411">
        <f t="shared" ref="I36:I41" si="18">G36-H36</f>
        <v>0</v>
      </c>
      <c r="J36" s="411" t="str">
        <f t="shared" ref="J36:J41" si="19">IF(I36=0,"",I36/H36)</f>
        <v/>
      </c>
      <c r="K36" s="745">
        <f t="shared" si="17"/>
        <v>0</v>
      </c>
      <c r="L36" s="101"/>
    </row>
    <row r="37" spans="1:12" x14ac:dyDescent="0.25">
      <c r="A37" s="704" t="s">
        <v>1185</v>
      </c>
      <c r="B37" s="418"/>
      <c r="C37" s="743"/>
      <c r="D37" s="743"/>
      <c r="E37" s="743"/>
      <c r="F37" s="743"/>
      <c r="G37" s="743"/>
      <c r="H37" s="743">
        <f t="shared" si="14"/>
        <v>0</v>
      </c>
      <c r="I37" s="411">
        <f t="shared" si="18"/>
        <v>0</v>
      </c>
      <c r="J37" s="411" t="str">
        <f t="shared" si="19"/>
        <v/>
      </c>
      <c r="K37" s="745">
        <f t="shared" si="17"/>
        <v>0</v>
      </c>
      <c r="L37" s="101"/>
    </row>
    <row r="38" spans="1:12" x14ac:dyDescent="0.25">
      <c r="A38" s="704" t="s">
        <v>1035</v>
      </c>
      <c r="B38" s="418"/>
      <c r="C38" s="743"/>
      <c r="D38" s="743"/>
      <c r="E38" s="743"/>
      <c r="F38" s="743"/>
      <c r="G38" s="743"/>
      <c r="H38" s="743">
        <f t="shared" si="14"/>
        <v>0</v>
      </c>
      <c r="I38" s="411">
        <f t="shared" si="18"/>
        <v>0</v>
      </c>
      <c r="J38" s="411" t="str">
        <f t="shared" si="19"/>
        <v/>
      </c>
      <c r="K38" s="745">
        <f t="shared" si="17"/>
        <v>0</v>
      </c>
      <c r="L38" s="101"/>
    </row>
    <row r="39" spans="1:12" x14ac:dyDescent="0.25">
      <c r="A39" s="704" t="s">
        <v>1186</v>
      </c>
      <c r="B39" s="418"/>
      <c r="C39" s="743"/>
      <c r="D39" s="743"/>
      <c r="E39" s="743"/>
      <c r="F39" s="743"/>
      <c r="G39" s="743"/>
      <c r="H39" s="743">
        <f t="shared" si="14"/>
        <v>0</v>
      </c>
      <c r="I39" s="411">
        <f t="shared" si="18"/>
        <v>0</v>
      </c>
      <c r="J39" s="411" t="str">
        <f t="shared" si="19"/>
        <v/>
      </c>
      <c r="K39" s="745">
        <f t="shared" si="17"/>
        <v>0</v>
      </c>
      <c r="L39" s="101"/>
    </row>
    <row r="40" spans="1:12" x14ac:dyDescent="0.25">
      <c r="A40" s="704" t="s">
        <v>1187</v>
      </c>
      <c r="B40" s="418"/>
      <c r="C40" s="743"/>
      <c r="D40" s="743"/>
      <c r="E40" s="743"/>
      <c r="F40" s="743"/>
      <c r="G40" s="743"/>
      <c r="H40" s="743">
        <f t="shared" si="14"/>
        <v>0</v>
      </c>
      <c r="I40" s="411">
        <f t="shared" si="18"/>
        <v>0</v>
      </c>
      <c r="J40" s="411" t="str">
        <f t="shared" si="19"/>
        <v/>
      </c>
      <c r="K40" s="745">
        <f t="shared" si="17"/>
        <v>0</v>
      </c>
      <c r="L40" s="101"/>
    </row>
    <row r="41" spans="1:12" x14ac:dyDescent="0.25">
      <c r="A41" s="704" t="s">
        <v>1188</v>
      </c>
      <c r="B41" s="418"/>
      <c r="C41" s="743"/>
      <c r="D41" s="743"/>
      <c r="E41" s="743"/>
      <c r="F41" s="743"/>
      <c r="G41" s="743"/>
      <c r="H41" s="743">
        <f t="shared" si="14"/>
        <v>0</v>
      </c>
      <c r="I41" s="411">
        <f t="shared" si="18"/>
        <v>0</v>
      </c>
      <c r="J41" s="411" t="str">
        <f t="shared" si="19"/>
        <v/>
      </c>
      <c r="K41" s="745">
        <f t="shared" si="17"/>
        <v>0</v>
      </c>
      <c r="L41" s="101"/>
    </row>
    <row r="42" spans="1:12" x14ac:dyDescent="0.25">
      <c r="A42" s="704" t="s">
        <v>172</v>
      </c>
      <c r="B42" s="418"/>
      <c r="C42" s="743"/>
      <c r="D42" s="743"/>
      <c r="E42" s="743"/>
      <c r="F42" s="743"/>
      <c r="G42" s="743"/>
      <c r="H42" s="743">
        <f t="shared" si="14"/>
        <v>0</v>
      </c>
      <c r="I42" s="411">
        <f t="shared" si="2"/>
        <v>0</v>
      </c>
      <c r="J42" s="411" t="str">
        <f t="shared" si="3"/>
        <v/>
      </c>
      <c r="K42" s="745">
        <f t="shared" si="17"/>
        <v>0</v>
      </c>
      <c r="L42" s="101"/>
    </row>
    <row r="43" spans="1:12" x14ac:dyDescent="0.25">
      <c r="A43" s="704" t="s">
        <v>1189</v>
      </c>
      <c r="B43" s="418"/>
      <c r="C43" s="743"/>
      <c r="D43" s="743"/>
      <c r="E43" s="743"/>
      <c r="F43" s="743"/>
      <c r="G43" s="743"/>
      <c r="H43" s="743">
        <f t="shared" si="14"/>
        <v>0</v>
      </c>
      <c r="I43" s="411">
        <f t="shared" si="2"/>
        <v>0</v>
      </c>
      <c r="J43" s="411" t="str">
        <f t="shared" si="3"/>
        <v/>
      </c>
      <c r="K43" s="745">
        <f t="shared" si="17"/>
        <v>0</v>
      </c>
      <c r="L43" s="101"/>
    </row>
    <row r="44" spans="1:12" x14ac:dyDescent="0.25">
      <c r="A44" s="704" t="s">
        <v>1190</v>
      </c>
      <c r="B44" s="418"/>
      <c r="C44" s="743"/>
      <c r="D44" s="743"/>
      <c r="E44" s="743"/>
      <c r="F44" s="743"/>
      <c r="G44" s="743"/>
      <c r="H44" s="743">
        <f t="shared" si="14"/>
        <v>0</v>
      </c>
      <c r="I44" s="411">
        <f t="shared" si="2"/>
        <v>0</v>
      </c>
      <c r="J44" s="411" t="str">
        <f t="shared" si="3"/>
        <v/>
      </c>
      <c r="K44" s="745">
        <f t="shared" si="17"/>
        <v>0</v>
      </c>
      <c r="L44" s="101"/>
    </row>
    <row r="45" spans="1:12" x14ac:dyDescent="0.25">
      <c r="A45" s="704" t="s">
        <v>1191</v>
      </c>
      <c r="B45" s="418"/>
      <c r="C45" s="743"/>
      <c r="D45" s="743"/>
      <c r="E45" s="743"/>
      <c r="F45" s="743"/>
      <c r="G45" s="743"/>
      <c r="H45" s="743">
        <f t="shared" si="14"/>
        <v>0</v>
      </c>
      <c r="I45" s="411">
        <f t="shared" si="2"/>
        <v>0</v>
      </c>
      <c r="J45" s="411" t="str">
        <f t="shared" si="3"/>
        <v/>
      </c>
      <c r="K45" s="745">
        <f t="shared" si="17"/>
        <v>0</v>
      </c>
      <c r="L45" s="101"/>
    </row>
    <row r="46" spans="1:12" x14ac:dyDescent="0.25">
      <c r="A46" s="704" t="s">
        <v>1192</v>
      </c>
      <c r="B46" s="418"/>
      <c r="C46" s="743"/>
      <c r="D46" s="743"/>
      <c r="E46" s="743"/>
      <c r="F46" s="743"/>
      <c r="G46" s="743"/>
      <c r="H46" s="743">
        <f t="shared" si="14"/>
        <v>0</v>
      </c>
      <c r="I46" s="411">
        <f t="shared" si="2"/>
        <v>0</v>
      </c>
      <c r="J46" s="411" t="str">
        <f t="shared" si="3"/>
        <v/>
      </c>
      <c r="K46" s="745">
        <f t="shared" si="17"/>
        <v>0</v>
      </c>
      <c r="L46" s="101"/>
    </row>
    <row r="47" spans="1:12" x14ac:dyDescent="0.25">
      <c r="A47" s="704" t="s">
        <v>1193</v>
      </c>
      <c r="B47" s="418"/>
      <c r="C47" s="743"/>
      <c r="D47" s="743"/>
      <c r="E47" s="743"/>
      <c r="F47" s="743"/>
      <c r="G47" s="743"/>
      <c r="H47" s="743">
        <f t="shared" si="14"/>
        <v>0</v>
      </c>
      <c r="I47" s="411">
        <f t="shared" si="2"/>
        <v>0</v>
      </c>
      <c r="J47" s="411" t="str">
        <f t="shared" si="3"/>
        <v/>
      </c>
      <c r="K47" s="745">
        <f t="shared" si="17"/>
        <v>0</v>
      </c>
      <c r="L47" s="101"/>
    </row>
    <row r="48" spans="1:12" x14ac:dyDescent="0.25">
      <c r="A48" s="704" t="s">
        <v>1194</v>
      </c>
      <c r="B48" s="418"/>
      <c r="C48" s="743"/>
      <c r="D48" s="743"/>
      <c r="E48" s="743"/>
      <c r="F48" s="743"/>
      <c r="G48" s="743"/>
      <c r="H48" s="743">
        <f t="shared" si="14"/>
        <v>0</v>
      </c>
      <c r="I48" s="411">
        <f t="shared" si="2"/>
        <v>0</v>
      </c>
      <c r="J48" s="411" t="str">
        <f t="shared" si="3"/>
        <v/>
      </c>
      <c r="K48" s="745">
        <f t="shared" si="17"/>
        <v>0</v>
      </c>
      <c r="L48" s="101"/>
    </row>
    <row r="49" spans="1:12" x14ac:dyDescent="0.25">
      <c r="A49" s="704" t="s">
        <v>1195</v>
      </c>
      <c r="B49" s="418"/>
      <c r="C49" s="743"/>
      <c r="D49" s="743"/>
      <c r="E49" s="743"/>
      <c r="F49" s="743"/>
      <c r="G49" s="743"/>
      <c r="H49" s="743">
        <f t="shared" si="14"/>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0</v>
      </c>
      <c r="F50" s="620">
        <f t="shared" si="20"/>
        <v>0</v>
      </c>
      <c r="G50" s="620">
        <f t="shared" si="20"/>
        <v>0</v>
      </c>
      <c r="H50" s="620">
        <f t="shared" si="20"/>
        <v>3146205.8399999994</v>
      </c>
      <c r="I50" s="620">
        <f t="shared" ref="I50:I55" si="21">G50-H50</f>
        <v>-3146205.8399999994</v>
      </c>
      <c r="J50" s="620">
        <f t="shared" ref="J50:J55" si="22">IF(I50=0,"",I50/H50)</f>
        <v>-1</v>
      </c>
      <c r="K50" s="623">
        <f t="shared" si="20"/>
        <v>9438617.5199999977</v>
      </c>
      <c r="L50" s="101"/>
    </row>
    <row r="51" spans="1:12" x14ac:dyDescent="0.25">
      <c r="A51" s="704" t="s">
        <v>1196</v>
      </c>
      <c r="B51" s="418"/>
      <c r="C51" s="743"/>
      <c r="D51" s="743"/>
      <c r="E51" s="743"/>
      <c r="F51" s="743"/>
      <c r="G51" s="743"/>
      <c r="H51" s="743">
        <f t="shared" ref="H51:H55" si="23">D51/12*4</f>
        <v>0</v>
      </c>
      <c r="I51" s="411">
        <f t="shared" si="21"/>
        <v>0</v>
      </c>
      <c r="J51" s="411" t="str">
        <f t="shared" si="22"/>
        <v/>
      </c>
      <c r="K51" s="745">
        <f>D51</f>
        <v>0</v>
      </c>
      <c r="L51" s="101"/>
    </row>
    <row r="52" spans="1:12" x14ac:dyDescent="0.25">
      <c r="A52" s="704" t="s">
        <v>1197</v>
      </c>
      <c r="B52" s="418"/>
      <c r="C52" s="743"/>
      <c r="D52" s="743"/>
      <c r="E52" s="743"/>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c r="F54" s="743"/>
      <c r="G54" s="743"/>
      <c r="H54" s="743">
        <f t="shared" si="23"/>
        <v>3146205.8399999994</v>
      </c>
      <c r="I54" s="411">
        <f t="shared" si="21"/>
        <v>-3146205.8399999994</v>
      </c>
      <c r="J54" s="411">
        <f t="shared" si="22"/>
        <v>-1</v>
      </c>
      <c r="K54" s="745">
        <f t="shared" si="24"/>
        <v>9438617.5199999977</v>
      </c>
      <c r="L54" s="101"/>
    </row>
    <row r="55" spans="1:12" x14ac:dyDescent="0.25">
      <c r="A55" s="704" t="s">
        <v>1200</v>
      </c>
      <c r="B55" s="418"/>
      <c r="C55" s="743"/>
      <c r="D55" s="743"/>
      <c r="E55" s="743"/>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0</v>
      </c>
      <c r="F56" s="620">
        <f t="shared" si="25"/>
        <v>0</v>
      </c>
      <c r="G56" s="620">
        <f t="shared" si="25"/>
        <v>0</v>
      </c>
      <c r="H56" s="620">
        <f t="shared" si="25"/>
        <v>10281486.605999999</v>
      </c>
      <c r="I56" s="620">
        <f t="shared" si="2"/>
        <v>-10281486.605999999</v>
      </c>
      <c r="J56" s="620">
        <f t="shared" si="3"/>
        <v>-1</v>
      </c>
      <c r="K56" s="623">
        <f t="shared" si="25"/>
        <v>30844459.817999996</v>
      </c>
      <c r="L56" s="101"/>
    </row>
    <row r="57" spans="1:12" x14ac:dyDescent="0.25">
      <c r="A57" s="704" t="s">
        <v>175</v>
      </c>
      <c r="B57" s="418"/>
      <c r="C57" s="743"/>
      <c r="D57" s="743">
        <v>30844459.817999996</v>
      </c>
      <c r="E57" s="743"/>
      <c r="F57" s="743"/>
      <c r="G57" s="743"/>
      <c r="H57" s="743">
        <f t="shared" ref="H57:H62" si="26">D57/12*4</f>
        <v>10281486.605999999</v>
      </c>
      <c r="I57" s="411">
        <f t="shared" si="2"/>
        <v>-10281486.605999999</v>
      </c>
      <c r="J57" s="411">
        <f t="shared" si="3"/>
        <v>-1</v>
      </c>
      <c r="K57" s="745">
        <f>D57</f>
        <v>30844459.817999996</v>
      </c>
      <c r="L57" s="101"/>
    </row>
    <row r="58" spans="1:12" x14ac:dyDescent="0.25">
      <c r="A58" s="704" t="s">
        <v>1201</v>
      </c>
      <c r="B58" s="418"/>
      <c r="C58" s="743"/>
      <c r="D58" s="743"/>
      <c r="E58" s="743"/>
      <c r="F58" s="743"/>
      <c r="G58" s="743"/>
      <c r="H58" s="743">
        <f t="shared" si="26"/>
        <v>0</v>
      </c>
      <c r="I58" s="411">
        <f t="shared" si="2"/>
        <v>0</v>
      </c>
      <c r="J58" s="411" t="str">
        <f t="shared" si="3"/>
        <v/>
      </c>
      <c r="K58" s="745">
        <f t="shared" ref="K58:K62" si="27">D58</f>
        <v>0</v>
      </c>
      <c r="L58" s="101"/>
    </row>
    <row r="59" spans="1:12" x14ac:dyDescent="0.25">
      <c r="A59" s="704" t="s">
        <v>1202</v>
      </c>
      <c r="B59" s="418"/>
      <c r="C59" s="743"/>
      <c r="D59" s="743"/>
      <c r="E59" s="743"/>
      <c r="F59" s="743"/>
      <c r="G59" s="743"/>
      <c r="H59" s="743">
        <f t="shared" si="26"/>
        <v>0</v>
      </c>
      <c r="I59" s="411">
        <f>G59-H59</f>
        <v>0</v>
      </c>
      <c r="J59" s="411" t="str">
        <f>IF(I59=0,"",I59/H59)</f>
        <v/>
      </c>
      <c r="K59" s="745">
        <f t="shared" si="27"/>
        <v>0</v>
      </c>
      <c r="L59" s="101"/>
    </row>
    <row r="60" spans="1:12" x14ac:dyDescent="0.25">
      <c r="A60" s="704" t="s">
        <v>1203</v>
      </c>
      <c r="B60" s="418"/>
      <c r="C60" s="743"/>
      <c r="D60" s="743"/>
      <c r="E60" s="743"/>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0</v>
      </c>
      <c r="F63" s="620">
        <f t="shared" si="28"/>
        <v>0</v>
      </c>
      <c r="G63" s="620">
        <f t="shared" si="28"/>
        <v>0</v>
      </c>
      <c r="H63" s="620">
        <f t="shared" si="28"/>
        <v>11173.494666666666</v>
      </c>
      <c r="I63" s="620">
        <f>G63-H63</f>
        <v>-11173.494666666666</v>
      </c>
      <c r="J63" s="620">
        <f>IF(I63=0,"",I63/H63)</f>
        <v>-1</v>
      </c>
      <c r="K63" s="623">
        <f>SUM(K64:K65)</f>
        <v>33520.483999999997</v>
      </c>
      <c r="L63" s="101"/>
    </row>
    <row r="64" spans="1:12" x14ac:dyDescent="0.25">
      <c r="A64" s="704" t="s">
        <v>734</v>
      </c>
      <c r="B64" s="418"/>
      <c r="C64" s="743"/>
      <c r="D64" s="743">
        <v>33520.483999999997</v>
      </c>
      <c r="E64" s="743"/>
      <c r="F64" s="743"/>
      <c r="G64" s="743"/>
      <c r="H64" s="743">
        <f t="shared" ref="H64:H65" si="29">D64/12*4</f>
        <v>11173.494666666666</v>
      </c>
      <c r="I64" s="411">
        <f>G64-H64</f>
        <v>-11173.494666666666</v>
      </c>
      <c r="J64" s="411">
        <f>IF(I64=0,"",I64/H64)</f>
        <v>-1</v>
      </c>
      <c r="K64" s="745">
        <f>D64</f>
        <v>33520.483999999997</v>
      </c>
      <c r="L64" s="101"/>
    </row>
    <row r="65" spans="1:12" x14ac:dyDescent="0.25">
      <c r="A65" s="704" t="s">
        <v>1206</v>
      </c>
      <c r="B65" s="418"/>
      <c r="C65" s="743"/>
      <c r="D65" s="743"/>
      <c r="E65" s="743"/>
      <c r="F65" s="743"/>
      <c r="G65" s="743"/>
      <c r="H65" s="743">
        <f t="shared" si="29"/>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20.399999999999999"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0</v>
      </c>
      <c r="F74" s="614">
        <f t="shared" si="31"/>
        <v>0</v>
      </c>
      <c r="G74" s="614">
        <f t="shared" si="31"/>
        <v>0</v>
      </c>
      <c r="H74" s="614">
        <f t="shared" si="31"/>
        <v>36373097.789999999</v>
      </c>
      <c r="I74" s="614">
        <f t="shared" si="2"/>
        <v>-36373097.789999999</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0</v>
      </c>
      <c r="F75" s="620">
        <f t="shared" si="32"/>
        <v>0</v>
      </c>
      <c r="G75" s="620">
        <f t="shared" si="32"/>
        <v>0</v>
      </c>
      <c r="H75" s="620">
        <f t="shared" si="32"/>
        <v>30958593.310666665</v>
      </c>
      <c r="I75" s="620">
        <f t="shared" si="2"/>
        <v>-30958593.310666665</v>
      </c>
      <c r="J75" s="620">
        <f t="shared" si="3"/>
        <v>-1</v>
      </c>
      <c r="K75" s="620">
        <f>SUM(K76:K85)</f>
        <v>92875779.931999996</v>
      </c>
      <c r="L75" s="101"/>
    </row>
    <row r="76" spans="1:12" x14ac:dyDescent="0.25">
      <c r="A76" s="704" t="s">
        <v>1213</v>
      </c>
      <c r="B76" s="420"/>
      <c r="C76" s="743"/>
      <c r="D76" s="743">
        <v>92875779.931999996</v>
      </c>
      <c r="E76" s="743"/>
      <c r="F76" s="743"/>
      <c r="G76" s="743"/>
      <c r="H76" s="743">
        <f t="shared" ref="H76:H85" si="33">D76/12*4</f>
        <v>30958593.310666665</v>
      </c>
      <c r="I76" s="411">
        <f>G76-H76</f>
        <v>-30958593.310666665</v>
      </c>
      <c r="J76" s="411">
        <f>IF(I76=0,"",I76/H76)</f>
        <v>-1</v>
      </c>
      <c r="K76" s="745">
        <f>D76</f>
        <v>92875779.931999996</v>
      </c>
      <c r="L76" s="101"/>
    </row>
    <row r="77" spans="1:12" x14ac:dyDescent="0.25">
      <c r="A77" s="704" t="s">
        <v>1214</v>
      </c>
      <c r="B77" s="420"/>
      <c r="C77" s="743"/>
      <c r="D77" s="743"/>
      <c r="E77" s="743"/>
      <c r="F77" s="743"/>
      <c r="G77" s="743"/>
      <c r="H77" s="743">
        <f t="shared" si="33"/>
        <v>0</v>
      </c>
      <c r="I77" s="411">
        <f t="shared" si="2"/>
        <v>0</v>
      </c>
      <c r="J77" s="411" t="str">
        <f t="shared" si="3"/>
        <v/>
      </c>
      <c r="K77" s="745">
        <f t="shared" ref="K77:K85" si="34">D77</f>
        <v>0</v>
      </c>
      <c r="L77" s="101"/>
    </row>
    <row r="78" spans="1:12" x14ac:dyDescent="0.25">
      <c r="A78" s="704" t="s">
        <v>1215</v>
      </c>
      <c r="B78" s="420"/>
      <c r="C78" s="743"/>
      <c r="D78" s="743"/>
      <c r="E78" s="743"/>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c r="F79" s="743"/>
      <c r="G79" s="743"/>
      <c r="H79" s="743">
        <f t="shared" si="33"/>
        <v>0</v>
      </c>
      <c r="I79" s="411">
        <f>G79-H79</f>
        <v>0</v>
      </c>
      <c r="J79" s="411" t="str">
        <f>IF(I79=0,"",I79/H79)</f>
        <v/>
      </c>
      <c r="K79" s="745">
        <f t="shared" si="34"/>
        <v>0</v>
      </c>
      <c r="L79" s="101"/>
    </row>
    <row r="80" spans="1:12" x14ac:dyDescent="0.25">
      <c r="A80" s="704" t="s">
        <v>1217</v>
      </c>
      <c r="B80" s="420"/>
      <c r="C80" s="743"/>
      <c r="D80" s="743"/>
      <c r="E80" s="743"/>
      <c r="F80" s="743"/>
      <c r="G80" s="743"/>
      <c r="H80" s="743">
        <f t="shared" si="33"/>
        <v>0</v>
      </c>
      <c r="I80" s="411">
        <f>G80-H80</f>
        <v>0</v>
      </c>
      <c r="J80" s="411" t="str">
        <f>IF(I80=0,"",I80/H80)</f>
        <v/>
      </c>
      <c r="K80" s="745">
        <f t="shared" si="34"/>
        <v>0</v>
      </c>
      <c r="L80" s="101"/>
    </row>
    <row r="81" spans="1:12" x14ac:dyDescent="0.25">
      <c r="A81" s="704" t="s">
        <v>1218</v>
      </c>
      <c r="B81" s="420"/>
      <c r="C81" s="743"/>
      <c r="D81" s="743"/>
      <c r="E81" s="743"/>
      <c r="F81" s="743"/>
      <c r="G81" s="743"/>
      <c r="H81" s="743">
        <f t="shared" si="33"/>
        <v>0</v>
      </c>
      <c r="I81" s="411">
        <f>G81-H81</f>
        <v>0</v>
      </c>
      <c r="J81" s="411" t="str">
        <f>IF(I81=0,"",I81/H81)</f>
        <v/>
      </c>
      <c r="K81" s="745">
        <f t="shared" si="34"/>
        <v>0</v>
      </c>
      <c r="L81" s="101"/>
    </row>
    <row r="82" spans="1:12" ht="20.399999999999999" x14ac:dyDescent="0.25">
      <c r="A82" s="704" t="s">
        <v>1219</v>
      </c>
      <c r="B82" s="420"/>
      <c r="C82" s="743"/>
      <c r="D82" s="743"/>
      <c r="E82" s="743"/>
      <c r="F82" s="743"/>
      <c r="G82" s="743"/>
      <c r="H82" s="743">
        <f t="shared" si="33"/>
        <v>0</v>
      </c>
      <c r="I82" s="411">
        <f>G82-H82</f>
        <v>0</v>
      </c>
      <c r="J82" s="411" t="str">
        <f>IF(I82=0,"",I82/H82)</f>
        <v/>
      </c>
      <c r="K82" s="745">
        <f t="shared" si="34"/>
        <v>0</v>
      </c>
      <c r="L82" s="101"/>
    </row>
    <row r="83" spans="1:12" x14ac:dyDescent="0.25">
      <c r="A83" s="704" t="s">
        <v>1220</v>
      </c>
      <c r="B83" s="420"/>
      <c r="C83" s="743"/>
      <c r="D83" s="743"/>
      <c r="E83" s="743"/>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0</v>
      </c>
      <c r="F86" s="620">
        <f t="shared" si="35"/>
        <v>0</v>
      </c>
      <c r="G86" s="620">
        <f t="shared" si="35"/>
        <v>0</v>
      </c>
      <c r="H86" s="620">
        <f t="shared" si="35"/>
        <v>4538360.3266666653</v>
      </c>
      <c r="I86" s="620">
        <f t="shared" si="2"/>
        <v>-4538360.3266666653</v>
      </c>
      <c r="J86" s="620">
        <f t="shared" si="3"/>
        <v>-1</v>
      </c>
      <c r="K86" s="623">
        <f t="shared" si="35"/>
        <v>13615080.979999997</v>
      </c>
      <c r="L86" s="101"/>
    </row>
    <row r="87" spans="1:12" x14ac:dyDescent="0.25">
      <c r="A87" s="704" t="s">
        <v>1223</v>
      </c>
      <c r="B87" s="420"/>
      <c r="C87" s="743"/>
      <c r="D87" s="743"/>
      <c r="E87" s="743"/>
      <c r="F87" s="743"/>
      <c r="G87" s="743"/>
      <c r="H87" s="743">
        <f t="shared" ref="H87:H92" si="36">D87/12*4</f>
        <v>0</v>
      </c>
      <c r="I87" s="411">
        <f t="shared" si="2"/>
        <v>0</v>
      </c>
      <c r="J87" s="411" t="str">
        <f t="shared" si="3"/>
        <v/>
      </c>
      <c r="K87" s="745">
        <f>D87</f>
        <v>0</v>
      </c>
      <c r="L87" s="101"/>
    </row>
    <row r="88" spans="1:12" x14ac:dyDescent="0.25">
      <c r="A88" s="704" t="s">
        <v>1224</v>
      </c>
      <c r="B88" s="420"/>
      <c r="C88" s="743"/>
      <c r="D88" s="743"/>
      <c r="E88" s="743"/>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c r="F90" s="743"/>
      <c r="G90" s="743"/>
      <c r="H90" s="743">
        <f t="shared" si="36"/>
        <v>4538360.3266666653</v>
      </c>
      <c r="I90" s="411">
        <f t="shared" si="2"/>
        <v>-4538360.3266666653</v>
      </c>
      <c r="J90" s="411">
        <f t="shared" si="3"/>
        <v>-1</v>
      </c>
      <c r="K90" s="745">
        <f t="shared" si="37"/>
        <v>13615080.979999997</v>
      </c>
      <c r="L90" s="101"/>
    </row>
    <row r="91" spans="1:12" x14ac:dyDescent="0.25">
      <c r="A91" s="704" t="s">
        <v>176</v>
      </c>
      <c r="B91" s="420"/>
      <c r="C91" s="743"/>
      <c r="D91" s="743"/>
      <c r="E91" s="743"/>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0</v>
      </c>
      <c r="F93" s="620">
        <f t="shared" si="38"/>
        <v>0</v>
      </c>
      <c r="G93" s="620">
        <f t="shared" si="38"/>
        <v>0</v>
      </c>
      <c r="H93" s="620">
        <f t="shared" si="38"/>
        <v>876144.15266666689</v>
      </c>
      <c r="I93" s="620">
        <f t="shared" si="2"/>
        <v>-876144.15266666689</v>
      </c>
      <c r="J93" s="620">
        <f t="shared" si="3"/>
        <v>-1</v>
      </c>
      <c r="K93" s="623">
        <f t="shared" si="38"/>
        <v>2628432.4580000006</v>
      </c>
      <c r="L93" s="101"/>
    </row>
    <row r="94" spans="1:12" x14ac:dyDescent="0.25">
      <c r="A94" s="704" t="s">
        <v>1228</v>
      </c>
      <c r="B94" s="420"/>
      <c r="C94" s="743"/>
      <c r="D94" s="743">
        <v>2628432.4580000006</v>
      </c>
      <c r="E94" s="743"/>
      <c r="F94" s="743"/>
      <c r="G94" s="743"/>
      <c r="H94" s="743">
        <f t="shared" ref="H94:H99" si="39">D94/12*4</f>
        <v>876144.15266666689</v>
      </c>
      <c r="I94" s="411">
        <f t="shared" si="2"/>
        <v>-876144.15266666689</v>
      </c>
      <c r="J94" s="411">
        <f t="shared" si="3"/>
        <v>-1</v>
      </c>
      <c r="K94" s="745">
        <f>D94</f>
        <v>2628432.4580000006</v>
      </c>
      <c r="L94" s="101"/>
    </row>
    <row r="95" spans="1:12" x14ac:dyDescent="0.25">
      <c r="A95" s="704" t="s">
        <v>1229</v>
      </c>
      <c r="B95" s="420"/>
      <c r="C95" s="743"/>
      <c r="D95" s="743"/>
      <c r="E95" s="743"/>
      <c r="F95" s="743"/>
      <c r="G95" s="743"/>
      <c r="H95" s="743">
        <f t="shared" si="39"/>
        <v>0</v>
      </c>
      <c r="I95" s="411">
        <f t="shared" si="2"/>
        <v>0</v>
      </c>
      <c r="J95" s="411" t="str">
        <f t="shared" si="3"/>
        <v/>
      </c>
      <c r="K95" s="745">
        <f t="shared" ref="K95:K99" si="40">D95</f>
        <v>0</v>
      </c>
      <c r="L95" s="101"/>
    </row>
    <row r="96" spans="1:12" x14ac:dyDescent="0.25">
      <c r="A96" s="704" t="s">
        <v>1230</v>
      </c>
      <c r="B96" s="420"/>
      <c r="C96" s="743"/>
      <c r="D96" s="743"/>
      <c r="E96" s="743"/>
      <c r="F96" s="743"/>
      <c r="G96" s="743"/>
      <c r="H96" s="743">
        <f t="shared" si="39"/>
        <v>0</v>
      </c>
      <c r="I96" s="411">
        <f>G96-H96</f>
        <v>0</v>
      </c>
      <c r="J96" s="411" t="str">
        <f>IF(I96=0,"",I96/H96)</f>
        <v/>
      </c>
      <c r="K96" s="745">
        <f t="shared" si="40"/>
        <v>0</v>
      </c>
      <c r="L96" s="101"/>
    </row>
    <row r="97" spans="1:12" x14ac:dyDescent="0.25">
      <c r="A97" s="704" t="s">
        <v>1231</v>
      </c>
      <c r="B97" s="420"/>
      <c r="C97" s="743"/>
      <c r="D97" s="743"/>
      <c r="E97" s="743"/>
      <c r="F97" s="743"/>
      <c r="G97" s="743"/>
      <c r="H97" s="743">
        <f t="shared" si="39"/>
        <v>0</v>
      </c>
      <c r="I97" s="411">
        <f>G97-H97</f>
        <v>0</v>
      </c>
      <c r="J97" s="411" t="str">
        <f>IF(I97=0,"",I97/H97)</f>
        <v/>
      </c>
      <c r="K97" s="745">
        <f t="shared" si="40"/>
        <v>0</v>
      </c>
      <c r="L97" s="101"/>
    </row>
    <row r="98" spans="1:12" x14ac:dyDescent="0.25">
      <c r="A98" s="704" t="s">
        <v>177</v>
      </c>
      <c r="B98" s="420"/>
      <c r="C98" s="743"/>
      <c r="D98" s="743"/>
      <c r="E98" s="743"/>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0</v>
      </c>
      <c r="F100" s="614">
        <f t="shared" si="41"/>
        <v>0</v>
      </c>
      <c r="G100" s="614">
        <f t="shared" si="41"/>
        <v>0</v>
      </c>
      <c r="H100" s="614">
        <f t="shared" si="41"/>
        <v>495542431.78666669</v>
      </c>
      <c r="I100" s="614">
        <f t="shared" si="41"/>
        <v>-495542431.78666669</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0</v>
      </c>
      <c r="F101" s="620">
        <f t="shared" si="42"/>
        <v>0</v>
      </c>
      <c r="G101" s="620">
        <f t="shared" si="42"/>
        <v>0</v>
      </c>
      <c r="H101" s="620">
        <f t="shared" si="42"/>
        <v>324159878.60666674</v>
      </c>
      <c r="I101" s="620">
        <f t="shared" si="2"/>
        <v>-324159878.60666674</v>
      </c>
      <c r="J101" s="620">
        <f t="shared" si="3"/>
        <v>-1</v>
      </c>
      <c r="K101" s="623">
        <f t="shared" si="42"/>
        <v>972479635.82000017</v>
      </c>
      <c r="L101" s="101"/>
    </row>
    <row r="102" spans="1:12" x14ac:dyDescent="0.25">
      <c r="A102" s="704" t="s">
        <v>1234</v>
      </c>
      <c r="B102" s="420"/>
      <c r="C102" s="743"/>
      <c r="D102" s="743">
        <v>972479635.82000017</v>
      </c>
      <c r="E102" s="743"/>
      <c r="F102" s="743"/>
      <c r="G102" s="743"/>
      <c r="H102" s="743">
        <f t="shared" ref="H102:H104" si="43">D102/12*4</f>
        <v>324159878.60666674</v>
      </c>
      <c r="I102" s="411">
        <f t="shared" si="2"/>
        <v>-324159878.60666674</v>
      </c>
      <c r="J102" s="411">
        <f t="shared" si="3"/>
        <v>-1</v>
      </c>
      <c r="K102" s="745">
        <f>D102</f>
        <v>972479635.82000017</v>
      </c>
      <c r="L102" s="101"/>
    </row>
    <row r="103" spans="1:12" x14ac:dyDescent="0.25">
      <c r="A103" s="704" t="s">
        <v>1235</v>
      </c>
      <c r="B103" s="420"/>
      <c r="C103" s="743"/>
      <c r="D103" s="743"/>
      <c r="E103" s="743"/>
      <c r="F103" s="743"/>
      <c r="G103" s="743"/>
      <c r="H103" s="743">
        <f t="shared" si="43"/>
        <v>0</v>
      </c>
      <c r="I103" s="411">
        <f>G103-H103</f>
        <v>0</v>
      </c>
      <c r="J103" s="411" t="str">
        <f>IF(I103=0,"",I103/H103)</f>
        <v/>
      </c>
      <c r="K103" s="745">
        <f t="shared" ref="K103:K104" si="44">D103</f>
        <v>0</v>
      </c>
      <c r="L103" s="101"/>
    </row>
    <row r="104" spans="1:12" x14ac:dyDescent="0.25">
      <c r="A104" s="704" t="s">
        <v>1236</v>
      </c>
      <c r="B104" s="420"/>
      <c r="C104" s="743"/>
      <c r="D104" s="743"/>
      <c r="E104" s="743"/>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0</v>
      </c>
      <c r="F105" s="620">
        <f t="shared" si="45"/>
        <v>0</v>
      </c>
      <c r="G105" s="620">
        <f t="shared" si="45"/>
        <v>0</v>
      </c>
      <c r="H105" s="620">
        <f t="shared" si="45"/>
        <v>104502142.03333332</v>
      </c>
      <c r="I105" s="620">
        <f t="shared" si="2"/>
        <v>-104502142.03333332</v>
      </c>
      <c r="J105" s="620">
        <f t="shared" si="3"/>
        <v>-1</v>
      </c>
      <c r="K105" s="623">
        <f t="shared" si="45"/>
        <v>313506426.09999996</v>
      </c>
      <c r="L105" s="101"/>
    </row>
    <row r="106" spans="1:12" x14ac:dyDescent="0.25">
      <c r="A106" s="704" t="s">
        <v>1238</v>
      </c>
      <c r="B106" s="420"/>
      <c r="C106" s="743"/>
      <c r="D106" s="743"/>
      <c r="E106" s="743"/>
      <c r="F106" s="743"/>
      <c r="G106" s="743"/>
      <c r="H106" s="743">
        <f t="shared" ref="H106:H108" si="46">D106/12*4</f>
        <v>0</v>
      </c>
      <c r="I106" s="411">
        <f t="shared" si="2"/>
        <v>0</v>
      </c>
      <c r="J106" s="411" t="str">
        <f t="shared" si="3"/>
        <v/>
      </c>
      <c r="K106" s="745">
        <f>D106</f>
        <v>0</v>
      </c>
      <c r="L106" s="101"/>
    </row>
    <row r="107" spans="1:12" x14ac:dyDescent="0.25">
      <c r="A107" s="704" t="s">
        <v>178</v>
      </c>
      <c r="B107" s="420"/>
      <c r="C107" s="743"/>
      <c r="D107" s="743">
        <v>313506426.09999996</v>
      </c>
      <c r="E107" s="743"/>
      <c r="F107" s="743"/>
      <c r="G107" s="743"/>
      <c r="H107" s="743">
        <f t="shared" si="46"/>
        <v>104502142.03333332</v>
      </c>
      <c r="I107" s="411">
        <f>G107-H107</f>
        <v>-104502142.03333332</v>
      </c>
      <c r="J107" s="411">
        <f>IF(I107=0,"",I107/H107)</f>
        <v>-1</v>
      </c>
      <c r="K107" s="745">
        <f t="shared" ref="K107:K108" si="47">D107</f>
        <v>313506426.09999996</v>
      </c>
      <c r="L107" s="101"/>
    </row>
    <row r="108" spans="1:12" x14ac:dyDescent="0.25">
      <c r="A108" s="704" t="s">
        <v>179</v>
      </c>
      <c r="B108" s="420"/>
      <c r="C108" s="743"/>
      <c r="D108" s="743"/>
      <c r="E108" s="743"/>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0</v>
      </c>
      <c r="F109" s="620">
        <f t="shared" si="48"/>
        <v>0</v>
      </c>
      <c r="G109" s="620">
        <f t="shared" si="48"/>
        <v>0</v>
      </c>
      <c r="H109" s="620">
        <f t="shared" si="48"/>
        <v>31498666.633333337</v>
      </c>
      <c r="I109" s="620">
        <f t="shared" si="2"/>
        <v>-31498666.633333337</v>
      </c>
      <c r="J109" s="620">
        <f t="shared" si="3"/>
        <v>-1</v>
      </c>
      <c r="K109" s="623">
        <f t="shared" si="48"/>
        <v>94495999.900000006</v>
      </c>
      <c r="L109" s="101"/>
    </row>
    <row r="110" spans="1:12" x14ac:dyDescent="0.25">
      <c r="A110" s="704" t="s">
        <v>182</v>
      </c>
      <c r="B110" s="420"/>
      <c r="C110" s="743"/>
      <c r="D110" s="743"/>
      <c r="E110" s="743"/>
      <c r="F110" s="743"/>
      <c r="G110" s="743"/>
      <c r="H110" s="743">
        <f t="shared" ref="H110:H113" si="49">D110/12*4</f>
        <v>0</v>
      </c>
      <c r="I110" s="411">
        <f t="shared" si="2"/>
        <v>0</v>
      </c>
      <c r="J110" s="411" t="str">
        <f t="shared" si="3"/>
        <v/>
      </c>
      <c r="K110" s="745">
        <f>D110</f>
        <v>0</v>
      </c>
      <c r="L110" s="101"/>
    </row>
    <row r="111" spans="1:12" x14ac:dyDescent="0.25">
      <c r="A111" s="704" t="s">
        <v>180</v>
      </c>
      <c r="B111" s="420"/>
      <c r="C111" s="743"/>
      <c r="D111" s="743">
        <v>94495999.900000006</v>
      </c>
      <c r="E111" s="743"/>
      <c r="F111" s="743"/>
      <c r="G111" s="743"/>
      <c r="H111" s="743">
        <f t="shared" si="49"/>
        <v>31498666.633333337</v>
      </c>
      <c r="I111" s="411">
        <f t="shared" si="2"/>
        <v>-31498666.633333337</v>
      </c>
      <c r="J111" s="411">
        <f t="shared" si="3"/>
        <v>-1</v>
      </c>
      <c r="K111" s="745">
        <f t="shared" ref="K111:K113" si="50">D111</f>
        <v>94495999.900000006</v>
      </c>
      <c r="L111" s="101"/>
    </row>
    <row r="112" spans="1:12" x14ac:dyDescent="0.25">
      <c r="A112" s="704" t="s">
        <v>181</v>
      </c>
      <c r="B112" s="420"/>
      <c r="C112" s="743"/>
      <c r="D112" s="743"/>
      <c r="E112" s="743"/>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0</v>
      </c>
      <c r="F114" s="620">
        <f t="shared" si="51"/>
        <v>0</v>
      </c>
      <c r="G114" s="620">
        <f t="shared" si="51"/>
        <v>0</v>
      </c>
      <c r="H114" s="620">
        <f t="shared" si="51"/>
        <v>35381744.513333328</v>
      </c>
      <c r="I114" s="620">
        <f t="shared" si="2"/>
        <v>-35381744.513333328</v>
      </c>
      <c r="J114" s="620">
        <f t="shared" si="3"/>
        <v>-1</v>
      </c>
      <c r="K114" s="620">
        <f>SUM(K115:K118)</f>
        <v>106145233.53999999</v>
      </c>
      <c r="L114" s="101"/>
    </row>
    <row r="115" spans="1:12" x14ac:dyDescent="0.25">
      <c r="A115" s="704" t="s">
        <v>1240</v>
      </c>
      <c r="B115" s="420"/>
      <c r="C115" s="743"/>
      <c r="D115" s="743"/>
      <c r="E115" s="743"/>
      <c r="F115" s="743"/>
      <c r="G115" s="743"/>
      <c r="H115" s="743">
        <f t="shared" ref="H115:H118" si="52">D115/12*4</f>
        <v>0</v>
      </c>
      <c r="I115" s="411">
        <f>G115-H115</f>
        <v>0</v>
      </c>
      <c r="J115" s="411" t="str">
        <f>IF(I115=0,"",I115/H115)</f>
        <v/>
      </c>
      <c r="K115" s="745">
        <f>D115</f>
        <v>0</v>
      </c>
      <c r="L115" s="101"/>
    </row>
    <row r="116" spans="1:12" x14ac:dyDescent="0.25">
      <c r="A116" s="704" t="s">
        <v>1241</v>
      </c>
      <c r="B116" s="420"/>
      <c r="C116" s="743"/>
      <c r="D116" s="743"/>
      <c r="E116" s="743"/>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c r="F117" s="743"/>
      <c r="G117" s="743"/>
      <c r="H117" s="743">
        <f t="shared" si="52"/>
        <v>35381744.513333328</v>
      </c>
      <c r="I117" s="411">
        <f t="shared" si="2"/>
        <v>-35381744.513333328</v>
      </c>
      <c r="J117" s="411">
        <f t="shared" si="3"/>
        <v>-1</v>
      </c>
      <c r="K117" s="745">
        <f t="shared" si="53"/>
        <v>106145233.53999999</v>
      </c>
      <c r="L117" s="101"/>
    </row>
    <row r="118" spans="1:12" x14ac:dyDescent="0.25">
      <c r="A118" s="704" t="s">
        <v>1243</v>
      </c>
      <c r="B118" s="420"/>
      <c r="C118" s="743"/>
      <c r="D118" s="743"/>
      <c r="E118" s="743"/>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0</v>
      </c>
      <c r="F126" s="625">
        <f t="shared" si="55"/>
        <v>0</v>
      </c>
      <c r="G126" s="625">
        <f t="shared" si="55"/>
        <v>0</v>
      </c>
      <c r="H126" s="625">
        <f t="shared" si="55"/>
        <v>1314405246.4233334</v>
      </c>
      <c r="I126" s="625">
        <f>G126-H126</f>
        <v>-1314405246.4233334</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0</v>
      </c>
      <c r="F129" s="614">
        <f t="shared" si="56"/>
        <v>0</v>
      </c>
      <c r="G129" s="614">
        <f t="shared" si="56"/>
        <v>0</v>
      </c>
      <c r="H129" s="614">
        <f t="shared" si="56"/>
        <v>324153238.01640999</v>
      </c>
      <c r="I129" s="614">
        <f t="shared" ref="I129:I246" si="57">G129-H129</f>
        <v>-324153238.01640999</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0</v>
      </c>
      <c r="F130" s="617">
        <f t="shared" si="59"/>
        <v>0</v>
      </c>
      <c r="G130" s="617">
        <f t="shared" si="59"/>
        <v>0</v>
      </c>
      <c r="H130" s="617">
        <f t="shared" si="59"/>
        <v>81004711.991289973</v>
      </c>
      <c r="I130" s="617">
        <f t="shared" si="57"/>
        <v>-81004711.991289973</v>
      </c>
      <c r="J130" s="617">
        <f t="shared" si="58"/>
        <v>-1</v>
      </c>
      <c r="K130" s="619">
        <f t="shared" si="59"/>
        <v>243014135.97386989</v>
      </c>
      <c r="L130" s="101"/>
    </row>
    <row r="131" spans="1:12" x14ac:dyDescent="0.25">
      <c r="A131" s="704" t="str">
        <f>A8</f>
        <v>Mayor and Council</v>
      </c>
      <c r="B131" s="629"/>
      <c r="C131" s="743"/>
      <c r="D131" s="743">
        <v>202689023.0588699</v>
      </c>
      <c r="E131" s="743"/>
      <c r="F131" s="743"/>
      <c r="G131" s="743"/>
      <c r="H131" s="743">
        <f t="shared" ref="H131:H132" si="60">D131/12*4</f>
        <v>67563007.686289966</v>
      </c>
      <c r="I131" s="411">
        <f t="shared" si="57"/>
        <v>-67563007.686289966</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c r="F132" s="743"/>
      <c r="G132" s="743"/>
      <c r="H132" s="743">
        <f t="shared" si="60"/>
        <v>13441704.305</v>
      </c>
      <c r="I132" s="411">
        <f t="shared" si="57"/>
        <v>-13441704.305</v>
      </c>
      <c r="J132" s="411">
        <f t="shared" si="58"/>
        <v>-1</v>
      </c>
      <c r="K132" s="745">
        <f>D132</f>
        <v>40325112.914999999</v>
      </c>
      <c r="L132" s="101"/>
    </row>
    <row r="133" spans="1:12" x14ac:dyDescent="0.25">
      <c r="A133" s="616" t="str">
        <f>A10</f>
        <v>Finance and administration</v>
      </c>
      <c r="B133" s="629"/>
      <c r="C133" s="617">
        <f t="shared" ref="C133:H133" si="61">SUM(C134:C147)</f>
        <v>0</v>
      </c>
      <c r="D133" s="617">
        <f t="shared" si="61"/>
        <v>717755713.96596014</v>
      </c>
      <c r="E133" s="617">
        <f t="shared" si="61"/>
        <v>0</v>
      </c>
      <c r="F133" s="617">
        <f t="shared" si="61"/>
        <v>0</v>
      </c>
      <c r="G133" s="617">
        <f t="shared" si="61"/>
        <v>0</v>
      </c>
      <c r="H133" s="617">
        <f t="shared" si="61"/>
        <v>239251904.65532005</v>
      </c>
      <c r="I133" s="617">
        <f t="shared" si="57"/>
        <v>-239251904.65532005</v>
      </c>
      <c r="J133" s="617">
        <f t="shared" si="58"/>
        <v>-1</v>
      </c>
      <c r="K133" s="617">
        <f>SUM(K134:K147)</f>
        <v>717755713.96596014</v>
      </c>
      <c r="L133" s="101"/>
    </row>
    <row r="134" spans="1:12" x14ac:dyDescent="0.25">
      <c r="A134" s="704" t="str">
        <f t="shared" ref="A134:A147" si="62">A11</f>
        <v>Administrative and Corporate Support</v>
      </c>
      <c r="B134" s="418"/>
      <c r="C134" s="743"/>
      <c r="D134" s="743">
        <v>21944388.875</v>
      </c>
      <c r="E134" s="743"/>
      <c r="F134" s="743"/>
      <c r="G134" s="743"/>
      <c r="H134" s="743">
        <f t="shared" ref="H134:H147" si="63">D134/12*4</f>
        <v>7314796.291666667</v>
      </c>
      <c r="I134" s="411">
        <f t="shared" si="57"/>
        <v>-7314796.291666667</v>
      </c>
      <c r="J134" s="411">
        <f t="shared" si="58"/>
        <v>-1</v>
      </c>
      <c r="K134" s="745">
        <f>D134</f>
        <v>21944388.875</v>
      </c>
      <c r="L134" s="101"/>
    </row>
    <row r="135" spans="1:12" x14ac:dyDescent="0.25">
      <c r="A135" s="704" t="str">
        <f t="shared" si="62"/>
        <v>Asset Management</v>
      </c>
      <c r="B135" s="418"/>
      <c r="C135" s="743"/>
      <c r="D135" s="743"/>
      <c r="E135" s="743"/>
      <c r="F135" s="743"/>
      <c r="G135" s="743"/>
      <c r="H135" s="743">
        <f t="shared" si="63"/>
        <v>0</v>
      </c>
      <c r="I135" s="411">
        <f t="shared" si="57"/>
        <v>0</v>
      </c>
      <c r="J135" s="411" t="str">
        <f t="shared" si="58"/>
        <v/>
      </c>
      <c r="K135" s="745">
        <f t="shared" ref="K135:K147" si="64">D135</f>
        <v>0</v>
      </c>
      <c r="L135" s="101"/>
    </row>
    <row r="136" spans="1:12" x14ac:dyDescent="0.25">
      <c r="A136" s="704" t="str">
        <f t="shared" si="62"/>
        <v>Budget and Treasury Office</v>
      </c>
      <c r="B136" s="418"/>
      <c r="C136" s="743"/>
      <c r="D136" s="743">
        <v>375711198.89372301</v>
      </c>
      <c r="E136" s="743"/>
      <c r="F136" s="743"/>
      <c r="G136" s="743"/>
      <c r="H136" s="743">
        <f t="shared" si="63"/>
        <v>125237066.29790767</v>
      </c>
      <c r="I136" s="411">
        <f t="shared" si="57"/>
        <v>-125237066.29790767</v>
      </c>
      <c r="J136" s="411">
        <f t="shared" si="58"/>
        <v>-1</v>
      </c>
      <c r="K136" s="745">
        <f t="shared" si="64"/>
        <v>375711198.89372301</v>
      </c>
      <c r="L136" s="101"/>
    </row>
    <row r="137" spans="1:12" x14ac:dyDescent="0.25">
      <c r="A137" s="704" t="str">
        <f t="shared" si="62"/>
        <v>Finance</v>
      </c>
      <c r="B137" s="418"/>
      <c r="C137" s="743"/>
      <c r="D137" s="743"/>
      <c r="E137" s="743"/>
      <c r="F137" s="743"/>
      <c r="G137" s="743"/>
      <c r="H137" s="743">
        <f t="shared" si="63"/>
        <v>0</v>
      </c>
      <c r="I137" s="411">
        <f t="shared" si="57"/>
        <v>0</v>
      </c>
      <c r="J137" s="411" t="str">
        <f t="shared" si="58"/>
        <v/>
      </c>
      <c r="K137" s="745">
        <f t="shared" si="64"/>
        <v>0</v>
      </c>
      <c r="L137" s="101"/>
    </row>
    <row r="138" spans="1:12" x14ac:dyDescent="0.25">
      <c r="A138" s="704" t="str">
        <f t="shared" si="62"/>
        <v>Fleet Management</v>
      </c>
      <c r="B138" s="418"/>
      <c r="C138" s="743"/>
      <c r="D138" s="743">
        <v>48513984.466049984</v>
      </c>
      <c r="E138" s="743"/>
      <c r="F138" s="743"/>
      <c r="G138" s="743"/>
      <c r="H138" s="743">
        <f t="shared" si="63"/>
        <v>16171328.155349994</v>
      </c>
      <c r="I138" s="411">
        <f t="shared" si="57"/>
        <v>-16171328.155349994</v>
      </c>
      <c r="J138" s="411">
        <f t="shared" si="58"/>
        <v>-1</v>
      </c>
      <c r="K138" s="745">
        <f t="shared" si="64"/>
        <v>48513984.466049984</v>
      </c>
      <c r="L138" s="101"/>
    </row>
    <row r="139" spans="1:12" x14ac:dyDescent="0.25">
      <c r="A139" s="704" t="str">
        <f t="shared" si="62"/>
        <v>Human Resources</v>
      </c>
      <c r="B139" s="418"/>
      <c r="C139" s="743"/>
      <c r="D139" s="743">
        <v>51391833.97552</v>
      </c>
      <c r="E139" s="743"/>
      <c r="F139" s="743"/>
      <c r="G139" s="743"/>
      <c r="H139" s="743">
        <f t="shared" si="63"/>
        <v>17130611.325173333</v>
      </c>
      <c r="I139" s="411">
        <f t="shared" si="57"/>
        <v>-17130611.325173333</v>
      </c>
      <c r="J139" s="411">
        <f t="shared" si="58"/>
        <v>-1</v>
      </c>
      <c r="K139" s="745">
        <f t="shared" si="64"/>
        <v>51391833.97552</v>
      </c>
      <c r="L139" s="101"/>
    </row>
    <row r="140" spans="1:12" x14ac:dyDescent="0.25">
      <c r="A140" s="704" t="str">
        <f t="shared" si="62"/>
        <v>Information Technology</v>
      </c>
      <c r="B140" s="418"/>
      <c r="C140" s="743"/>
      <c r="D140" s="743">
        <v>42978961.669411547</v>
      </c>
      <c r="E140" s="743"/>
      <c r="F140" s="743"/>
      <c r="G140" s="743"/>
      <c r="H140" s="743">
        <f t="shared" si="63"/>
        <v>14326320.556470515</v>
      </c>
      <c r="I140" s="411">
        <f t="shared" si="57"/>
        <v>-14326320.556470515</v>
      </c>
      <c r="J140" s="411">
        <f t="shared" si="58"/>
        <v>-1</v>
      </c>
      <c r="K140" s="745">
        <f t="shared" si="64"/>
        <v>42978961.669411547</v>
      </c>
      <c r="L140" s="101"/>
    </row>
    <row r="141" spans="1:12" x14ac:dyDescent="0.25">
      <c r="A141" s="704" t="str">
        <f t="shared" si="62"/>
        <v>Legal Services</v>
      </c>
      <c r="B141" s="418"/>
      <c r="C141" s="743"/>
      <c r="D141" s="743">
        <v>10524837.795</v>
      </c>
      <c r="E141" s="743"/>
      <c r="F141" s="743"/>
      <c r="G141" s="743"/>
      <c r="H141" s="743">
        <f t="shared" si="63"/>
        <v>3508279.2650000001</v>
      </c>
      <c r="I141" s="411">
        <f t="shared" si="57"/>
        <v>-3508279.2650000001</v>
      </c>
      <c r="J141" s="411">
        <f t="shared" si="58"/>
        <v>-1</v>
      </c>
      <c r="K141" s="745">
        <f t="shared" si="64"/>
        <v>10524837.795</v>
      </c>
      <c r="L141" s="101"/>
    </row>
    <row r="142" spans="1:12" ht="20.399999999999999" x14ac:dyDescent="0.25">
      <c r="A142" s="704" t="str">
        <f t="shared" si="62"/>
        <v>Marketing, Customer Relations, Publicity and Media Co-ordination</v>
      </c>
      <c r="B142" s="418"/>
      <c r="C142" s="743"/>
      <c r="D142" s="743">
        <v>11702351.614999998</v>
      </c>
      <c r="E142" s="743"/>
      <c r="F142" s="743"/>
      <c r="G142" s="743"/>
      <c r="H142" s="743">
        <f t="shared" si="63"/>
        <v>3900783.8716666661</v>
      </c>
      <c r="I142" s="411">
        <f t="shared" si="57"/>
        <v>-3900783.8716666661</v>
      </c>
      <c r="J142" s="411">
        <f t="shared" si="58"/>
        <v>-1</v>
      </c>
      <c r="K142" s="745">
        <f t="shared" si="64"/>
        <v>11702351.614999998</v>
      </c>
      <c r="L142" s="101"/>
    </row>
    <row r="143" spans="1:12" x14ac:dyDescent="0.25">
      <c r="A143" s="704" t="str">
        <f t="shared" si="62"/>
        <v>Property Services</v>
      </c>
      <c r="B143" s="418"/>
      <c r="C143" s="743"/>
      <c r="D143" s="743">
        <v>56445853.272780158</v>
      </c>
      <c r="E143" s="743"/>
      <c r="F143" s="743"/>
      <c r="G143" s="743"/>
      <c r="H143" s="743">
        <f t="shared" si="63"/>
        <v>18815284.424260054</v>
      </c>
      <c r="I143" s="411">
        <f t="shared" si="57"/>
        <v>-18815284.424260054</v>
      </c>
      <c r="J143" s="411">
        <f t="shared" si="58"/>
        <v>-1</v>
      </c>
      <c r="K143" s="745">
        <f t="shared" si="64"/>
        <v>56445853.272780158</v>
      </c>
      <c r="L143" s="101"/>
    </row>
    <row r="144" spans="1:12" x14ac:dyDescent="0.25">
      <c r="A144" s="704" t="str">
        <f t="shared" si="62"/>
        <v>Risk Management</v>
      </c>
      <c r="B144" s="418"/>
      <c r="C144" s="743"/>
      <c r="D144" s="743">
        <v>3632725.8050000002</v>
      </c>
      <c r="E144" s="743"/>
      <c r="F144" s="743"/>
      <c r="G144" s="743"/>
      <c r="H144" s="743">
        <f t="shared" si="63"/>
        <v>1210908.6016666668</v>
      </c>
      <c r="I144" s="411">
        <f t="shared" si="57"/>
        <v>-1210908.6016666668</v>
      </c>
      <c r="J144" s="411">
        <f t="shared" si="58"/>
        <v>-1</v>
      </c>
      <c r="K144" s="745">
        <f t="shared" si="64"/>
        <v>3632725.8050000002</v>
      </c>
      <c r="L144" s="101"/>
    </row>
    <row r="145" spans="1:12" x14ac:dyDescent="0.25">
      <c r="A145" s="704" t="str">
        <f t="shared" si="62"/>
        <v>Security Services</v>
      </c>
      <c r="B145" s="418"/>
      <c r="C145" s="743"/>
      <c r="D145" s="743">
        <v>75670535.804429382</v>
      </c>
      <c r="E145" s="743"/>
      <c r="F145" s="743"/>
      <c r="G145" s="743"/>
      <c r="H145" s="743">
        <f t="shared" si="63"/>
        <v>25223511.934809793</v>
      </c>
      <c r="I145" s="411">
        <f t="shared" si="57"/>
        <v>-25223511.934809793</v>
      </c>
      <c r="J145" s="411">
        <f t="shared" si="58"/>
        <v>-1</v>
      </c>
      <c r="K145" s="745">
        <f t="shared" si="64"/>
        <v>75670535.804429382</v>
      </c>
      <c r="L145" s="101"/>
    </row>
    <row r="146" spans="1:12" x14ac:dyDescent="0.25">
      <c r="A146" s="704" t="str">
        <f t="shared" si="62"/>
        <v xml:space="preserve">Supply Chain Management </v>
      </c>
      <c r="B146" s="418"/>
      <c r="C146" s="743"/>
      <c r="D146" s="743">
        <v>19239041.794046</v>
      </c>
      <c r="E146" s="743"/>
      <c r="F146" s="743"/>
      <c r="G146" s="743"/>
      <c r="H146" s="743">
        <f t="shared" si="63"/>
        <v>6413013.9313486665</v>
      </c>
      <c r="I146" s="411">
        <f t="shared" si="57"/>
        <v>-6413013.9313486665</v>
      </c>
      <c r="J146" s="411">
        <f t="shared" si="58"/>
        <v>-1</v>
      </c>
      <c r="K146" s="745">
        <f t="shared" si="64"/>
        <v>19239041.794046</v>
      </c>
      <c r="L146" s="101"/>
    </row>
    <row r="147" spans="1:12" x14ac:dyDescent="0.25">
      <c r="A147" s="704" t="str">
        <f t="shared" si="62"/>
        <v>Valuation Service</v>
      </c>
      <c r="B147" s="418"/>
      <c r="C147" s="743"/>
      <c r="D147" s="743"/>
      <c r="E147" s="743"/>
      <c r="F147" s="743"/>
      <c r="G147" s="743"/>
      <c r="H147" s="743">
        <f t="shared" si="63"/>
        <v>0</v>
      </c>
      <c r="I147" s="411">
        <f t="shared" si="57"/>
        <v>0</v>
      </c>
      <c r="J147" s="411" t="str">
        <f t="shared" si="58"/>
        <v/>
      </c>
      <c r="K147" s="745">
        <f t="shared" si="64"/>
        <v>0</v>
      </c>
      <c r="L147" s="101"/>
    </row>
    <row r="148" spans="1:12" x14ac:dyDescent="0.25">
      <c r="A148" s="616" t="str">
        <f>A25</f>
        <v>Internal audit</v>
      </c>
      <c r="B148" s="629"/>
      <c r="C148" s="617">
        <f t="shared" ref="C148:H148" si="65">SUM(C149:C149)</f>
        <v>0</v>
      </c>
      <c r="D148" s="617">
        <f t="shared" si="65"/>
        <v>11689864.1094</v>
      </c>
      <c r="E148" s="617">
        <f t="shared" si="65"/>
        <v>0</v>
      </c>
      <c r="F148" s="617">
        <f t="shared" si="65"/>
        <v>0</v>
      </c>
      <c r="G148" s="617">
        <f t="shared" si="65"/>
        <v>0</v>
      </c>
      <c r="H148" s="617">
        <f t="shared" si="65"/>
        <v>3896621.3698</v>
      </c>
      <c r="I148" s="617">
        <f t="shared" si="57"/>
        <v>-3896621.3698</v>
      </c>
      <c r="J148" s="617">
        <f t="shared" si="58"/>
        <v>-1</v>
      </c>
      <c r="K148" s="619">
        <f>SUM(K149:K149)</f>
        <v>11689864.1094</v>
      </c>
      <c r="L148" s="101"/>
    </row>
    <row r="149" spans="1:12" x14ac:dyDescent="0.25">
      <c r="A149" s="704" t="str">
        <f>A26</f>
        <v>Governance Function</v>
      </c>
      <c r="B149" s="629"/>
      <c r="C149" s="743"/>
      <c r="D149" s="743">
        <v>11689864.1094</v>
      </c>
      <c r="E149" s="743"/>
      <c r="F149" s="743"/>
      <c r="G149" s="743"/>
      <c r="H149" s="743">
        <f>D149/12*4</f>
        <v>3896621.3698</v>
      </c>
      <c r="I149" s="411">
        <f t="shared" si="57"/>
        <v>-3896621.3698</v>
      </c>
      <c r="J149" s="411">
        <f t="shared" si="58"/>
        <v>-1</v>
      </c>
      <c r="K149" s="745">
        <f>D149</f>
        <v>11689864.1094</v>
      </c>
      <c r="L149" s="101"/>
    </row>
    <row r="150" spans="1:12" x14ac:dyDescent="0.25">
      <c r="A150" s="417" t="str">
        <f>A27</f>
        <v>Community and public safety</v>
      </c>
      <c r="B150" s="629"/>
      <c r="C150" s="614">
        <f t="shared" ref="C150:H150" si="66">C151+C173+C179+C186+C189</f>
        <v>0</v>
      </c>
      <c r="D150" s="614">
        <f t="shared" si="66"/>
        <v>272490692.16644627</v>
      </c>
      <c r="E150" s="614">
        <f t="shared" si="66"/>
        <v>0</v>
      </c>
      <c r="F150" s="614">
        <f t="shared" si="66"/>
        <v>0</v>
      </c>
      <c r="G150" s="614">
        <f t="shared" si="66"/>
        <v>0</v>
      </c>
      <c r="H150" s="614">
        <f t="shared" si="66"/>
        <v>90830230.722148761</v>
      </c>
      <c r="I150" s="614">
        <f t="shared" si="57"/>
        <v>-90830230.722148761</v>
      </c>
      <c r="J150" s="614">
        <f t="shared" si="58"/>
        <v>-1</v>
      </c>
      <c r="K150" s="615">
        <f>K151+K173+K179+K186+K189</f>
        <v>272490692.16644627</v>
      </c>
      <c r="L150" s="101"/>
    </row>
    <row r="151" spans="1:12" x14ac:dyDescent="0.25">
      <c r="A151" s="616" t="str">
        <f>A28</f>
        <v>Community and social services</v>
      </c>
      <c r="B151" s="629"/>
      <c r="C151" s="620">
        <f t="shared" ref="C151:H151" si="67">SUM(C152:C172)</f>
        <v>0</v>
      </c>
      <c r="D151" s="620">
        <f t="shared" si="67"/>
        <v>64740869.648413382</v>
      </c>
      <c r="E151" s="620">
        <f t="shared" si="67"/>
        <v>0</v>
      </c>
      <c r="F151" s="620">
        <f t="shared" si="67"/>
        <v>0</v>
      </c>
      <c r="G151" s="620">
        <f t="shared" si="67"/>
        <v>0</v>
      </c>
      <c r="H151" s="620">
        <f t="shared" si="67"/>
        <v>21580289.882804461</v>
      </c>
      <c r="I151" s="620">
        <f t="shared" si="57"/>
        <v>-21580289.882804461</v>
      </c>
      <c r="J151" s="620">
        <f t="shared" si="58"/>
        <v>-1</v>
      </c>
      <c r="K151" s="623">
        <f>SUM(K152:K172)</f>
        <v>64740869.648413382</v>
      </c>
      <c r="L151" s="101"/>
    </row>
    <row r="152" spans="1:12" x14ac:dyDescent="0.25">
      <c r="A152" s="704" t="str">
        <f t="shared" ref="A152:A172" si="68">A29</f>
        <v>Aged Care</v>
      </c>
      <c r="B152" s="629"/>
      <c r="C152" s="743"/>
      <c r="D152" s="743"/>
      <c r="E152" s="743"/>
      <c r="F152" s="743"/>
      <c r="G152" s="743"/>
      <c r="H152" s="743">
        <f t="shared" ref="H152:H178" si="69">D152/12*4</f>
        <v>0</v>
      </c>
      <c r="I152" s="411">
        <f t="shared" si="57"/>
        <v>0</v>
      </c>
      <c r="J152" s="411" t="str">
        <f t="shared" si="58"/>
        <v/>
      </c>
      <c r="K152" s="745">
        <f>D152</f>
        <v>0</v>
      </c>
      <c r="L152" s="101"/>
    </row>
    <row r="153" spans="1:12" x14ac:dyDescent="0.25">
      <c r="A153" s="704" t="str">
        <f t="shared" si="68"/>
        <v>Agricultural</v>
      </c>
      <c r="B153" s="629"/>
      <c r="C153" s="743"/>
      <c r="D153" s="743"/>
      <c r="E153" s="743"/>
      <c r="F153" s="743"/>
      <c r="G153" s="743"/>
      <c r="H153" s="743">
        <f t="shared" si="69"/>
        <v>0</v>
      </c>
      <c r="I153" s="411">
        <f t="shared" si="57"/>
        <v>0</v>
      </c>
      <c r="J153" s="411" t="str">
        <f t="shared" si="58"/>
        <v/>
      </c>
      <c r="K153" s="745">
        <f t="shared" ref="K153:K172" si="70">D153</f>
        <v>0</v>
      </c>
      <c r="L153" s="101"/>
    </row>
    <row r="154" spans="1:12" x14ac:dyDescent="0.25">
      <c r="A154" s="704" t="str">
        <f t="shared" si="68"/>
        <v>Animal Care and Diseases</v>
      </c>
      <c r="B154" s="629"/>
      <c r="C154" s="743"/>
      <c r="D154" s="743"/>
      <c r="E154" s="743"/>
      <c r="F154" s="743"/>
      <c r="G154" s="743"/>
      <c r="H154" s="743">
        <f t="shared" si="69"/>
        <v>0</v>
      </c>
      <c r="I154" s="411">
        <f t="shared" si="57"/>
        <v>0</v>
      </c>
      <c r="J154" s="411" t="str">
        <f t="shared" si="58"/>
        <v/>
      </c>
      <c r="K154" s="745">
        <f t="shared" si="70"/>
        <v>0</v>
      </c>
      <c r="L154" s="101"/>
    </row>
    <row r="155" spans="1:12" x14ac:dyDescent="0.25">
      <c r="A155" s="704" t="str">
        <f t="shared" si="68"/>
        <v>Cemeteries, Funeral Parlours and Crematoriums</v>
      </c>
      <c r="B155" s="629"/>
      <c r="C155" s="743"/>
      <c r="D155" s="743">
        <v>13037454.662158241</v>
      </c>
      <c r="E155" s="743"/>
      <c r="F155" s="743"/>
      <c r="G155" s="743"/>
      <c r="H155" s="743">
        <f t="shared" si="69"/>
        <v>4345818.2207194138</v>
      </c>
      <c r="I155" s="411">
        <f t="shared" si="57"/>
        <v>-4345818.2207194138</v>
      </c>
      <c r="J155" s="411">
        <f t="shared" si="58"/>
        <v>-1</v>
      </c>
      <c r="K155" s="745">
        <f t="shared" si="70"/>
        <v>13037454.662158241</v>
      </c>
      <c r="L155" s="101"/>
    </row>
    <row r="156" spans="1:12" x14ac:dyDescent="0.25">
      <c r="A156" s="704" t="str">
        <f t="shared" si="68"/>
        <v>Child Care Facilities</v>
      </c>
      <c r="B156" s="629"/>
      <c r="C156" s="743"/>
      <c r="D156" s="743"/>
      <c r="E156" s="743"/>
      <c r="F156" s="743"/>
      <c r="G156" s="743"/>
      <c r="H156" s="743">
        <f t="shared" si="69"/>
        <v>0</v>
      </c>
      <c r="I156" s="411">
        <f t="shared" si="57"/>
        <v>0</v>
      </c>
      <c r="J156" s="411" t="str">
        <f t="shared" si="58"/>
        <v/>
      </c>
      <c r="K156" s="745">
        <f t="shared" si="70"/>
        <v>0</v>
      </c>
      <c r="L156" s="101"/>
    </row>
    <row r="157" spans="1:12" x14ac:dyDescent="0.25">
      <c r="A157" s="704" t="str">
        <f t="shared" si="68"/>
        <v>Community Halls and Facilities</v>
      </c>
      <c r="B157" s="629"/>
      <c r="C157" s="743"/>
      <c r="D157" s="743">
        <v>12803060.186783144</v>
      </c>
      <c r="E157" s="743"/>
      <c r="F157" s="743"/>
      <c r="G157" s="743"/>
      <c r="H157" s="743">
        <f t="shared" si="69"/>
        <v>4267686.7289277148</v>
      </c>
      <c r="I157" s="411">
        <f t="shared" si="57"/>
        <v>-4267686.7289277148</v>
      </c>
      <c r="J157" s="411">
        <f t="shared" si="58"/>
        <v>-1</v>
      </c>
      <c r="K157" s="745">
        <f t="shared" si="70"/>
        <v>12803060.186783144</v>
      </c>
      <c r="L157" s="101"/>
    </row>
    <row r="158" spans="1:12" x14ac:dyDescent="0.25">
      <c r="A158" s="704" t="str">
        <f t="shared" si="68"/>
        <v>Consumer Protection</v>
      </c>
      <c r="B158" s="629"/>
      <c r="C158" s="743"/>
      <c r="D158" s="743"/>
      <c r="E158" s="743"/>
      <c r="F158" s="743"/>
      <c r="G158" s="743"/>
      <c r="H158" s="743">
        <f t="shared" si="69"/>
        <v>0</v>
      </c>
      <c r="I158" s="411">
        <f t="shared" si="57"/>
        <v>0</v>
      </c>
      <c r="J158" s="411" t="str">
        <f t="shared" si="58"/>
        <v/>
      </c>
      <c r="K158" s="745">
        <f t="shared" si="70"/>
        <v>0</v>
      </c>
      <c r="L158" s="101"/>
    </row>
    <row r="159" spans="1:12" x14ac:dyDescent="0.25">
      <c r="A159" s="704" t="str">
        <f t="shared" si="68"/>
        <v>Cultural Matters</v>
      </c>
      <c r="B159" s="629"/>
      <c r="C159" s="743"/>
      <c r="D159" s="743">
        <v>4257293.4650000008</v>
      </c>
      <c r="E159" s="743"/>
      <c r="F159" s="743"/>
      <c r="G159" s="743"/>
      <c r="H159" s="743">
        <f t="shared" si="69"/>
        <v>1419097.821666667</v>
      </c>
      <c r="I159" s="411">
        <f>G159-H159</f>
        <v>-1419097.821666667</v>
      </c>
      <c r="J159" s="411">
        <f>IF(I159=0,"",I159/H159)</f>
        <v>-1</v>
      </c>
      <c r="K159" s="745">
        <f t="shared" si="70"/>
        <v>4257293.4650000008</v>
      </c>
      <c r="L159" s="101"/>
    </row>
    <row r="160" spans="1:12" x14ac:dyDescent="0.25">
      <c r="A160" s="704" t="str">
        <f t="shared" si="68"/>
        <v>Disaster Management</v>
      </c>
      <c r="B160" s="629"/>
      <c r="C160" s="743"/>
      <c r="D160" s="743">
        <v>8161363.7118660007</v>
      </c>
      <c r="E160" s="743"/>
      <c r="F160" s="743"/>
      <c r="G160" s="743"/>
      <c r="H160" s="743">
        <f t="shared" si="69"/>
        <v>2720454.5706220004</v>
      </c>
      <c r="I160" s="411">
        <f>G160-H160</f>
        <v>-2720454.5706220004</v>
      </c>
      <c r="J160" s="411">
        <f>IF(I160=0,"",I160/H160)</f>
        <v>-1</v>
      </c>
      <c r="K160" s="745">
        <f t="shared" si="70"/>
        <v>8161363.7118660007</v>
      </c>
      <c r="L160" s="101"/>
    </row>
    <row r="161" spans="1:12" x14ac:dyDescent="0.25">
      <c r="A161" s="704" t="str">
        <f t="shared" si="68"/>
        <v>Education</v>
      </c>
      <c r="B161" s="629"/>
      <c r="C161" s="743"/>
      <c r="D161" s="743"/>
      <c r="E161" s="743"/>
      <c r="F161" s="743"/>
      <c r="G161" s="743"/>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c r="D162" s="743"/>
      <c r="E162" s="743"/>
      <c r="F162" s="743"/>
      <c r="G162" s="743"/>
      <c r="H162" s="743">
        <f t="shared" si="69"/>
        <v>0</v>
      </c>
      <c r="I162" s="411">
        <f t="shared" si="71"/>
        <v>0</v>
      </c>
      <c r="J162" s="411" t="str">
        <f t="shared" si="72"/>
        <v/>
      </c>
      <c r="K162" s="745">
        <f t="shared" si="70"/>
        <v>0</v>
      </c>
      <c r="L162" s="101"/>
    </row>
    <row r="163" spans="1:12" x14ac:dyDescent="0.25">
      <c r="A163" s="704" t="str">
        <f t="shared" si="68"/>
        <v>Industrial Promotion</v>
      </c>
      <c r="B163" s="629"/>
      <c r="C163" s="743"/>
      <c r="D163" s="743"/>
      <c r="E163" s="743"/>
      <c r="F163" s="743"/>
      <c r="G163" s="743"/>
      <c r="H163" s="743">
        <f t="shared" si="69"/>
        <v>0</v>
      </c>
      <c r="I163" s="411">
        <f t="shared" si="71"/>
        <v>0</v>
      </c>
      <c r="J163" s="411" t="str">
        <f t="shared" si="72"/>
        <v/>
      </c>
      <c r="K163" s="745">
        <f t="shared" si="70"/>
        <v>0</v>
      </c>
      <c r="L163" s="101"/>
    </row>
    <row r="164" spans="1:12" x14ac:dyDescent="0.25">
      <c r="A164" s="704" t="str">
        <f t="shared" si="68"/>
        <v>Language Policy</v>
      </c>
      <c r="B164" s="629"/>
      <c r="C164" s="743"/>
      <c r="D164" s="743"/>
      <c r="E164" s="743"/>
      <c r="F164" s="743"/>
      <c r="G164" s="743"/>
      <c r="H164" s="743">
        <f t="shared" si="69"/>
        <v>0</v>
      </c>
      <c r="I164" s="411">
        <f t="shared" si="71"/>
        <v>0</v>
      </c>
      <c r="J164" s="411" t="str">
        <f t="shared" si="72"/>
        <v/>
      </c>
      <c r="K164" s="745">
        <f t="shared" si="70"/>
        <v>0</v>
      </c>
      <c r="L164" s="101"/>
    </row>
    <row r="165" spans="1:12" x14ac:dyDescent="0.25">
      <c r="A165" s="704" t="str">
        <f t="shared" si="68"/>
        <v>Libraries and Archives</v>
      </c>
      <c r="B165" s="629"/>
      <c r="C165" s="743"/>
      <c r="D165" s="743">
        <v>17979201.288437992</v>
      </c>
      <c r="E165" s="743"/>
      <c r="F165" s="743"/>
      <c r="G165" s="743"/>
      <c r="H165" s="743">
        <f t="shared" si="69"/>
        <v>5993067.0961459978</v>
      </c>
      <c r="I165" s="411">
        <f t="shared" si="71"/>
        <v>-5993067.0961459978</v>
      </c>
      <c r="J165" s="411">
        <f t="shared" si="72"/>
        <v>-1</v>
      </c>
      <c r="K165" s="745">
        <f t="shared" si="70"/>
        <v>17979201.288437992</v>
      </c>
      <c r="L165" s="101"/>
    </row>
    <row r="166" spans="1:12" x14ac:dyDescent="0.25">
      <c r="A166" s="704" t="str">
        <f t="shared" si="68"/>
        <v>Literacy Programmes</v>
      </c>
      <c r="B166" s="629"/>
      <c r="C166" s="743"/>
      <c r="D166" s="743"/>
      <c r="E166" s="743"/>
      <c r="F166" s="743"/>
      <c r="G166" s="743"/>
      <c r="H166" s="743">
        <f t="shared" si="69"/>
        <v>0</v>
      </c>
      <c r="I166" s="411">
        <f t="shared" si="71"/>
        <v>0</v>
      </c>
      <c r="J166" s="411" t="str">
        <f t="shared" si="72"/>
        <v/>
      </c>
      <c r="K166" s="745">
        <f t="shared" si="70"/>
        <v>0</v>
      </c>
      <c r="L166" s="101"/>
    </row>
    <row r="167" spans="1:12" x14ac:dyDescent="0.25">
      <c r="A167" s="704" t="str">
        <f t="shared" si="68"/>
        <v>Media Services</v>
      </c>
      <c r="B167" s="629"/>
      <c r="C167" s="743"/>
      <c r="D167" s="743"/>
      <c r="E167" s="743"/>
      <c r="F167" s="743"/>
      <c r="G167" s="743"/>
      <c r="H167" s="743">
        <f t="shared" si="69"/>
        <v>0</v>
      </c>
      <c r="I167" s="411">
        <f t="shared" si="57"/>
        <v>0</v>
      </c>
      <c r="J167" s="411" t="str">
        <f t="shared" si="58"/>
        <v/>
      </c>
      <c r="K167" s="745">
        <f t="shared" si="70"/>
        <v>0</v>
      </c>
      <c r="L167" s="101"/>
    </row>
    <row r="168" spans="1:12" x14ac:dyDescent="0.25">
      <c r="A168" s="704" t="str">
        <f t="shared" si="68"/>
        <v>Museums and Art Galleries</v>
      </c>
      <c r="B168" s="629"/>
      <c r="C168" s="743"/>
      <c r="D168" s="743">
        <v>8502496.3341680001</v>
      </c>
      <c r="E168" s="743"/>
      <c r="F168" s="743"/>
      <c r="G168" s="743"/>
      <c r="H168" s="743">
        <f t="shared" si="69"/>
        <v>2834165.4447226669</v>
      </c>
      <c r="I168" s="411">
        <f t="shared" si="57"/>
        <v>-2834165.4447226669</v>
      </c>
      <c r="J168" s="411">
        <f t="shared" si="58"/>
        <v>-1</v>
      </c>
      <c r="K168" s="745">
        <f t="shared" si="70"/>
        <v>8502496.3341680001</v>
      </c>
      <c r="L168" s="101"/>
    </row>
    <row r="169" spans="1:12" x14ac:dyDescent="0.25">
      <c r="A169" s="704" t="str">
        <f t="shared" si="68"/>
        <v>Population Development</v>
      </c>
      <c r="B169" s="629"/>
      <c r="C169" s="743"/>
      <c r="D169" s="743"/>
      <c r="E169" s="743"/>
      <c r="F169" s="743"/>
      <c r="G169" s="743"/>
      <c r="H169" s="743">
        <f t="shared" si="69"/>
        <v>0</v>
      </c>
      <c r="I169" s="411">
        <f t="shared" si="57"/>
        <v>0</v>
      </c>
      <c r="J169" s="411" t="str">
        <f t="shared" si="58"/>
        <v/>
      </c>
      <c r="K169" s="745">
        <f t="shared" si="70"/>
        <v>0</v>
      </c>
      <c r="L169" s="101"/>
    </row>
    <row r="170" spans="1:12" x14ac:dyDescent="0.25">
      <c r="A170" s="704" t="str">
        <f t="shared" si="68"/>
        <v>Provincial Cultural Matters</v>
      </c>
      <c r="B170" s="629"/>
      <c r="C170" s="743"/>
      <c r="D170" s="743"/>
      <c r="E170" s="743"/>
      <c r="F170" s="743"/>
      <c r="G170" s="743"/>
      <c r="H170" s="743">
        <f t="shared" si="69"/>
        <v>0</v>
      </c>
      <c r="I170" s="411">
        <f t="shared" si="57"/>
        <v>0</v>
      </c>
      <c r="J170" s="411" t="str">
        <f t="shared" si="58"/>
        <v/>
      </c>
      <c r="K170" s="745">
        <f t="shared" si="70"/>
        <v>0</v>
      </c>
      <c r="L170" s="101"/>
    </row>
    <row r="171" spans="1:12" x14ac:dyDescent="0.25">
      <c r="A171" s="704" t="str">
        <f t="shared" si="68"/>
        <v>Theatres</v>
      </c>
      <c r="B171" s="629"/>
      <c r="C171" s="743"/>
      <c r="D171" s="743"/>
      <c r="E171" s="743"/>
      <c r="F171" s="743"/>
      <c r="G171" s="743"/>
      <c r="H171" s="743">
        <f t="shared" si="69"/>
        <v>0</v>
      </c>
      <c r="I171" s="411">
        <f t="shared" si="57"/>
        <v>0</v>
      </c>
      <c r="J171" s="411" t="str">
        <f t="shared" si="58"/>
        <v/>
      </c>
      <c r="K171" s="745">
        <f t="shared" si="70"/>
        <v>0</v>
      </c>
      <c r="L171" s="101"/>
    </row>
    <row r="172" spans="1:12" x14ac:dyDescent="0.25">
      <c r="A172" s="704" t="str">
        <f t="shared" si="68"/>
        <v>Zoo's</v>
      </c>
      <c r="B172" s="629"/>
      <c r="C172" s="743"/>
      <c r="D172" s="743"/>
      <c r="E172" s="743"/>
      <c r="F172" s="743"/>
      <c r="G172" s="743"/>
      <c r="H172" s="743">
        <f t="shared" si="69"/>
        <v>0</v>
      </c>
      <c r="I172" s="411">
        <f t="shared" si="57"/>
        <v>0</v>
      </c>
      <c r="J172" s="411" t="str">
        <f t="shared" si="58"/>
        <v/>
      </c>
      <c r="K172" s="745">
        <f t="shared" si="70"/>
        <v>0</v>
      </c>
      <c r="L172" s="101"/>
    </row>
    <row r="173" spans="1:12" x14ac:dyDescent="0.25">
      <c r="A173" s="616" t="str">
        <f t="shared" ref="A173:A181" si="73">A50</f>
        <v>Sport and recreation</v>
      </c>
      <c r="B173" s="629"/>
      <c r="C173" s="620">
        <f t="shared" ref="C173:K173" si="74">SUM(C174:C178)</f>
        <v>0</v>
      </c>
      <c r="D173" s="620">
        <f t="shared" si="74"/>
        <v>159913595.18891329</v>
      </c>
      <c r="E173" s="620">
        <f t="shared" si="74"/>
        <v>0</v>
      </c>
      <c r="F173" s="620">
        <f t="shared" si="74"/>
        <v>0</v>
      </c>
      <c r="G173" s="620">
        <f t="shared" si="74"/>
        <v>0</v>
      </c>
      <c r="H173" s="620">
        <f t="shared" si="69"/>
        <v>53304531.729637764</v>
      </c>
      <c r="I173" s="620">
        <f t="shared" ref="I173:I178" si="75">G173-H173</f>
        <v>-53304531.729637764</v>
      </c>
      <c r="J173" s="620">
        <f t="shared" ref="J173:J178" si="76">IF(I173=0,"",I173/H173)</f>
        <v>-1</v>
      </c>
      <c r="K173" s="623">
        <f t="shared" si="74"/>
        <v>159913595.18891329</v>
      </c>
      <c r="L173" s="101"/>
    </row>
    <row r="174" spans="1:12" x14ac:dyDescent="0.25">
      <c r="A174" s="704" t="str">
        <f t="shared" si="73"/>
        <v xml:space="preserve">Beaches and Jetties </v>
      </c>
      <c r="B174" s="629"/>
      <c r="C174" s="743"/>
      <c r="D174" s="743"/>
      <c r="E174" s="743"/>
      <c r="F174" s="743"/>
      <c r="G174" s="743"/>
      <c r="H174" s="743">
        <f t="shared" si="69"/>
        <v>0</v>
      </c>
      <c r="I174" s="411">
        <f t="shared" si="75"/>
        <v>0</v>
      </c>
      <c r="J174" s="411" t="str">
        <f t="shared" si="76"/>
        <v/>
      </c>
      <c r="K174" s="745">
        <f>D174</f>
        <v>0</v>
      </c>
      <c r="L174" s="101"/>
    </row>
    <row r="175" spans="1:12" x14ac:dyDescent="0.25">
      <c r="A175" s="704" t="str">
        <f t="shared" si="73"/>
        <v>Casinos, Racing, Gambling, Wagering</v>
      </c>
      <c r="B175" s="629"/>
      <c r="C175" s="743"/>
      <c r="D175" s="743"/>
      <c r="E175" s="743"/>
      <c r="F175" s="743"/>
      <c r="G175" s="743"/>
      <c r="H175" s="743">
        <f t="shared" si="69"/>
        <v>0</v>
      </c>
      <c r="I175" s="411">
        <f t="shared" si="75"/>
        <v>0</v>
      </c>
      <c r="J175" s="411" t="str">
        <f t="shared" si="76"/>
        <v/>
      </c>
      <c r="K175" s="745">
        <f t="shared" ref="K175:K178" si="77">D175</f>
        <v>0</v>
      </c>
      <c r="L175" s="101"/>
    </row>
    <row r="176" spans="1:12" x14ac:dyDescent="0.25">
      <c r="A176" s="704" t="str">
        <f t="shared" si="73"/>
        <v>Community Parks (including Nurseries)</v>
      </c>
      <c r="B176" s="629"/>
      <c r="C176" s="743"/>
      <c r="D176" s="743">
        <v>114158472.85563694</v>
      </c>
      <c r="E176" s="743"/>
      <c r="F176" s="743"/>
      <c r="G176" s="743"/>
      <c r="H176" s="743">
        <f t="shared" si="69"/>
        <v>38052824.285212316</v>
      </c>
      <c r="I176" s="411">
        <f t="shared" si="75"/>
        <v>-38052824.285212316</v>
      </c>
      <c r="J176" s="411">
        <f t="shared" si="76"/>
        <v>-1</v>
      </c>
      <c r="K176" s="745">
        <f t="shared" si="77"/>
        <v>114158472.85563694</v>
      </c>
      <c r="L176" s="101"/>
    </row>
    <row r="177" spans="1:12" x14ac:dyDescent="0.25">
      <c r="A177" s="704" t="str">
        <f t="shared" si="73"/>
        <v>Recreational Facilities</v>
      </c>
      <c r="B177" s="629"/>
      <c r="C177" s="743"/>
      <c r="D177" s="743"/>
      <c r="E177" s="743"/>
      <c r="F177" s="743"/>
      <c r="G177" s="743"/>
      <c r="H177" s="743">
        <f t="shared" si="69"/>
        <v>0</v>
      </c>
      <c r="I177" s="411">
        <f t="shared" si="75"/>
        <v>0</v>
      </c>
      <c r="J177" s="411" t="str">
        <f t="shared" si="76"/>
        <v/>
      </c>
      <c r="K177" s="745">
        <f t="shared" si="77"/>
        <v>0</v>
      </c>
      <c r="L177" s="101"/>
    </row>
    <row r="178" spans="1:12" x14ac:dyDescent="0.25">
      <c r="A178" s="704" t="str">
        <f t="shared" si="73"/>
        <v>Sports Grounds and Stadiums</v>
      </c>
      <c r="B178" s="629"/>
      <c r="C178" s="743"/>
      <c r="D178" s="743">
        <v>45755122.333276354</v>
      </c>
      <c r="E178" s="743"/>
      <c r="F178" s="743"/>
      <c r="G178" s="743"/>
      <c r="H178" s="743">
        <f t="shared" si="69"/>
        <v>15251707.444425451</v>
      </c>
      <c r="I178" s="411">
        <f t="shared" si="75"/>
        <v>-15251707.444425451</v>
      </c>
      <c r="J178" s="411">
        <f t="shared" si="76"/>
        <v>-1</v>
      </c>
      <c r="K178" s="745">
        <f t="shared" si="77"/>
        <v>45755122.333276354</v>
      </c>
      <c r="L178" s="101"/>
    </row>
    <row r="179" spans="1:12" x14ac:dyDescent="0.25">
      <c r="A179" s="616" t="str">
        <f t="shared" si="73"/>
        <v>Public safety</v>
      </c>
      <c r="B179" s="629"/>
      <c r="C179" s="620">
        <f t="shared" ref="C179:K179" si="78">SUM(C180:C185)</f>
        <v>0</v>
      </c>
      <c r="D179" s="620">
        <f t="shared" si="78"/>
        <v>34933954.660792001</v>
      </c>
      <c r="E179" s="620">
        <f t="shared" si="78"/>
        <v>0</v>
      </c>
      <c r="F179" s="620">
        <f t="shared" si="78"/>
        <v>0</v>
      </c>
      <c r="G179" s="620">
        <f t="shared" si="78"/>
        <v>0</v>
      </c>
      <c r="H179" s="620">
        <f t="shared" si="78"/>
        <v>11644651.553597333</v>
      </c>
      <c r="I179" s="620">
        <f t="shared" si="57"/>
        <v>-11644651.553597333</v>
      </c>
      <c r="J179" s="620">
        <f t="shared" si="58"/>
        <v>-1</v>
      </c>
      <c r="K179" s="623">
        <f t="shared" si="78"/>
        <v>34933954.660792001</v>
      </c>
      <c r="L179" s="101"/>
    </row>
    <row r="180" spans="1:12" x14ac:dyDescent="0.25">
      <c r="A180" s="704" t="str">
        <f t="shared" si="73"/>
        <v>Civil Defence</v>
      </c>
      <c r="B180" s="629"/>
      <c r="C180" s="743"/>
      <c r="D180" s="743"/>
      <c r="E180" s="743"/>
      <c r="F180" s="743"/>
      <c r="G180" s="743"/>
      <c r="H180" s="743">
        <f t="shared" ref="H180:H185" si="79">D180/12*4</f>
        <v>0</v>
      </c>
      <c r="I180" s="411">
        <f t="shared" si="57"/>
        <v>0</v>
      </c>
      <c r="J180" s="411" t="str">
        <f t="shared" si="58"/>
        <v/>
      </c>
      <c r="K180" s="745">
        <f>D180</f>
        <v>0</v>
      </c>
      <c r="L180" s="101"/>
    </row>
    <row r="181" spans="1:12" x14ac:dyDescent="0.25">
      <c r="A181" s="704" t="str">
        <f t="shared" si="73"/>
        <v>Cleansing</v>
      </c>
      <c r="B181" s="629"/>
      <c r="C181" s="743"/>
      <c r="D181" s="743"/>
      <c r="E181" s="743"/>
      <c r="F181" s="743"/>
      <c r="G181" s="743"/>
      <c r="H181" s="743">
        <f t="shared" si="79"/>
        <v>0</v>
      </c>
      <c r="I181" s="411">
        <f t="shared" si="57"/>
        <v>0</v>
      </c>
      <c r="J181" s="411" t="str">
        <f t="shared" si="58"/>
        <v/>
      </c>
      <c r="K181" s="745">
        <f t="shared" ref="K181:K185" si="80">D181</f>
        <v>0</v>
      </c>
      <c r="L181" s="101"/>
    </row>
    <row r="182" spans="1:12" x14ac:dyDescent="0.25">
      <c r="A182" s="704" t="str">
        <f t="shared" ref="A182:A189" si="81">A59</f>
        <v>Control of Public Nuisances</v>
      </c>
      <c r="B182" s="629"/>
      <c r="C182" s="743"/>
      <c r="D182" s="743"/>
      <c r="E182" s="743"/>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v>34933954.660792001</v>
      </c>
      <c r="E183" s="743"/>
      <c r="F183" s="743"/>
      <c r="G183" s="743"/>
      <c r="H183" s="743">
        <f t="shared" si="79"/>
        <v>11644651.553597333</v>
      </c>
      <c r="I183" s="411">
        <f t="shared" si="57"/>
        <v>-11644651.553597333</v>
      </c>
      <c r="J183" s="411">
        <f t="shared" si="58"/>
        <v>-1</v>
      </c>
      <c r="K183" s="745">
        <f t="shared" si="80"/>
        <v>34933954.660792001</v>
      </c>
      <c r="L183" s="101"/>
    </row>
    <row r="184" spans="1:12" x14ac:dyDescent="0.25">
      <c r="A184" s="704" t="str">
        <f t="shared" si="81"/>
        <v>Fire Fighting and Protection</v>
      </c>
      <c r="B184" s="629"/>
      <c r="C184" s="743"/>
      <c r="D184" s="743"/>
      <c r="E184" s="743"/>
      <c r="F184" s="743"/>
      <c r="G184" s="743"/>
      <c r="H184" s="743">
        <f t="shared" si="79"/>
        <v>0</v>
      </c>
      <c r="I184" s="411">
        <f t="shared" si="57"/>
        <v>0</v>
      </c>
      <c r="J184" s="411" t="str">
        <f t="shared" si="58"/>
        <v/>
      </c>
      <c r="K184" s="745">
        <f t="shared" si="80"/>
        <v>0</v>
      </c>
      <c r="L184" s="101"/>
    </row>
    <row r="185" spans="1:12" x14ac:dyDescent="0.25">
      <c r="A185" s="704" t="str">
        <f t="shared" si="81"/>
        <v>Licensing and Control of Animals</v>
      </c>
      <c r="B185" s="629"/>
      <c r="C185" s="743"/>
      <c r="D185" s="743"/>
      <c r="E185" s="743"/>
      <c r="F185" s="743"/>
      <c r="G185" s="743"/>
      <c r="H185" s="743">
        <f t="shared" si="79"/>
        <v>0</v>
      </c>
      <c r="I185" s="411">
        <f t="shared" si="57"/>
        <v>0</v>
      </c>
      <c r="J185" s="411" t="str">
        <f t="shared" si="58"/>
        <v/>
      </c>
      <c r="K185" s="745">
        <f t="shared" si="80"/>
        <v>0</v>
      </c>
      <c r="L185" s="101"/>
    </row>
    <row r="186" spans="1:12" x14ac:dyDescent="0.25">
      <c r="A186" s="616" t="str">
        <f t="shared" si="81"/>
        <v>Housing</v>
      </c>
      <c r="B186" s="629"/>
      <c r="C186" s="620">
        <f t="shared" ref="C186:H186" si="82">SUM(C187:C188)</f>
        <v>0</v>
      </c>
      <c r="D186" s="620">
        <f t="shared" si="82"/>
        <v>8235242.4949999992</v>
      </c>
      <c r="E186" s="620">
        <f t="shared" si="82"/>
        <v>0</v>
      </c>
      <c r="F186" s="620">
        <f t="shared" si="82"/>
        <v>0</v>
      </c>
      <c r="G186" s="620">
        <f t="shared" si="82"/>
        <v>0</v>
      </c>
      <c r="H186" s="620">
        <f t="shared" si="82"/>
        <v>2745080.8316666665</v>
      </c>
      <c r="I186" s="620">
        <f>G186-H186</f>
        <v>-2745080.8316666665</v>
      </c>
      <c r="J186" s="620">
        <f>IF(I186=0,"",I186/H186)</f>
        <v>-1</v>
      </c>
      <c r="K186" s="620">
        <f>SUM(K187:K188)</f>
        <v>8235242.4949999992</v>
      </c>
      <c r="L186" s="101"/>
    </row>
    <row r="187" spans="1:12" x14ac:dyDescent="0.25">
      <c r="A187" s="704" t="str">
        <f t="shared" si="81"/>
        <v>Housing</v>
      </c>
      <c r="B187" s="629"/>
      <c r="C187" s="743"/>
      <c r="D187" s="743">
        <v>8235242.4949999992</v>
      </c>
      <c r="E187" s="743"/>
      <c r="F187" s="743"/>
      <c r="G187" s="743"/>
      <c r="H187" s="743">
        <f t="shared" ref="H187:H188" si="83">D187/12*4</f>
        <v>2745080.8316666665</v>
      </c>
      <c r="I187" s="411">
        <f>G187-H187</f>
        <v>-2745080.8316666665</v>
      </c>
      <c r="J187" s="411">
        <f>IF(I187=0,"",I187/H187)</f>
        <v>-1</v>
      </c>
      <c r="K187" s="745">
        <f>D187</f>
        <v>8235242.4949999992</v>
      </c>
      <c r="L187" s="101"/>
    </row>
    <row r="188" spans="1:12" x14ac:dyDescent="0.25">
      <c r="A188" s="704" t="str">
        <f t="shared" si="81"/>
        <v>Informal Settlements</v>
      </c>
      <c r="B188" s="629"/>
      <c r="C188" s="743"/>
      <c r="D188" s="743"/>
      <c r="E188" s="743"/>
      <c r="F188" s="743"/>
      <c r="G188" s="743"/>
      <c r="H188" s="743">
        <f t="shared" si="83"/>
        <v>0</v>
      </c>
      <c r="I188" s="411">
        <f>G188-H188</f>
        <v>0</v>
      </c>
      <c r="J188" s="411" t="str">
        <f>IF(I188=0,"",I188/H188)</f>
        <v/>
      </c>
      <c r="K188" s="745">
        <f>D188</f>
        <v>0</v>
      </c>
      <c r="L188" s="101"/>
    </row>
    <row r="189" spans="1:12" x14ac:dyDescent="0.25">
      <c r="A189" s="616" t="str">
        <f t="shared" si="81"/>
        <v>Health</v>
      </c>
      <c r="B189" s="629"/>
      <c r="C189" s="620">
        <f t="shared" ref="C189:K189" si="84">SUM(C190:C196)</f>
        <v>0</v>
      </c>
      <c r="D189" s="620">
        <f t="shared" si="84"/>
        <v>4667030.1733276211</v>
      </c>
      <c r="E189" s="620">
        <f t="shared" si="84"/>
        <v>0</v>
      </c>
      <c r="F189" s="620">
        <f t="shared" si="84"/>
        <v>0</v>
      </c>
      <c r="G189" s="620">
        <f t="shared" si="84"/>
        <v>0</v>
      </c>
      <c r="H189" s="620">
        <f t="shared" si="84"/>
        <v>1555676.7244425404</v>
      </c>
      <c r="I189" s="620">
        <f t="shared" si="57"/>
        <v>-1555676.7244425404</v>
      </c>
      <c r="J189" s="620">
        <f t="shared" si="58"/>
        <v>-1</v>
      </c>
      <c r="K189" s="623">
        <f t="shared" si="84"/>
        <v>4667030.1733276211</v>
      </c>
      <c r="L189" s="101"/>
    </row>
    <row r="190" spans="1:12" x14ac:dyDescent="0.25">
      <c r="A190" s="704" t="str">
        <f t="shared" ref="A190:A208" si="85">A67</f>
        <v>Ambulance</v>
      </c>
      <c r="B190" s="629"/>
      <c r="C190" s="743"/>
      <c r="D190" s="743">
        <v>4667030.1733276211</v>
      </c>
      <c r="E190" s="743"/>
      <c r="F190" s="743"/>
      <c r="G190" s="743"/>
      <c r="H190" s="743">
        <f t="shared" ref="H190:H196" si="86">D190/12*4</f>
        <v>1555676.7244425404</v>
      </c>
      <c r="I190" s="411">
        <f t="shared" si="57"/>
        <v>-1555676.7244425404</v>
      </c>
      <c r="J190" s="411">
        <f t="shared" si="58"/>
        <v>-1</v>
      </c>
      <c r="K190" s="745">
        <f>D190</f>
        <v>4667030.1733276211</v>
      </c>
      <c r="L190" s="101"/>
    </row>
    <row r="191" spans="1:12" x14ac:dyDescent="0.25">
      <c r="A191" s="704" t="str">
        <f t="shared" si="85"/>
        <v>Health Services</v>
      </c>
      <c r="B191" s="629"/>
      <c r="C191" s="743"/>
      <c r="D191" s="743"/>
      <c r="E191" s="743"/>
      <c r="F191" s="743"/>
      <c r="G191" s="743"/>
      <c r="H191" s="743">
        <f t="shared" si="86"/>
        <v>0</v>
      </c>
      <c r="I191" s="411">
        <f t="shared" si="57"/>
        <v>0</v>
      </c>
      <c r="J191" s="411" t="str">
        <f t="shared" si="58"/>
        <v/>
      </c>
      <c r="K191" s="745">
        <f t="shared" ref="K191:K196" si="87">D191</f>
        <v>0</v>
      </c>
      <c r="L191" s="101"/>
    </row>
    <row r="192" spans="1:12" x14ac:dyDescent="0.25">
      <c r="A192" s="704" t="str">
        <f t="shared" si="85"/>
        <v>Laboratory Services</v>
      </c>
      <c r="B192" s="629"/>
      <c r="C192" s="743"/>
      <c r="D192" s="743"/>
      <c r="E192" s="743"/>
      <c r="F192" s="743"/>
      <c r="G192" s="743"/>
      <c r="H192" s="743">
        <f t="shared" si="86"/>
        <v>0</v>
      </c>
      <c r="I192" s="411">
        <f t="shared" si="57"/>
        <v>0</v>
      </c>
      <c r="J192" s="411" t="str">
        <f t="shared" si="58"/>
        <v/>
      </c>
      <c r="K192" s="745">
        <f t="shared" si="87"/>
        <v>0</v>
      </c>
      <c r="L192" s="101"/>
    </row>
    <row r="193" spans="1:12" x14ac:dyDescent="0.25">
      <c r="A193" s="704" t="str">
        <f t="shared" si="85"/>
        <v>Food Control</v>
      </c>
      <c r="B193" s="629"/>
      <c r="C193" s="743"/>
      <c r="D193" s="743"/>
      <c r="E193" s="743"/>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c r="F195" s="743"/>
      <c r="G195" s="743"/>
      <c r="H195" s="743">
        <f t="shared" si="86"/>
        <v>0</v>
      </c>
      <c r="I195" s="411">
        <f t="shared" si="57"/>
        <v>0</v>
      </c>
      <c r="J195" s="411" t="str">
        <f t="shared" si="58"/>
        <v/>
      </c>
      <c r="K195" s="745">
        <f t="shared" si="87"/>
        <v>0</v>
      </c>
      <c r="L195" s="101"/>
    </row>
    <row r="196" spans="1:12" x14ac:dyDescent="0.25">
      <c r="A196" s="704" t="str">
        <f t="shared" si="85"/>
        <v>Chemical Safety</v>
      </c>
      <c r="B196" s="629"/>
      <c r="C196" s="743"/>
      <c r="D196" s="743"/>
      <c r="E196" s="743"/>
      <c r="F196" s="743"/>
      <c r="G196" s="743"/>
      <c r="H196" s="743">
        <f t="shared" si="86"/>
        <v>0</v>
      </c>
      <c r="I196" s="411">
        <f t="shared" si="57"/>
        <v>0</v>
      </c>
      <c r="J196" s="411" t="str">
        <f t="shared" si="58"/>
        <v/>
      </c>
      <c r="K196" s="745">
        <f t="shared" si="87"/>
        <v>0</v>
      </c>
      <c r="L196" s="101"/>
    </row>
    <row r="197" spans="1:12" x14ac:dyDescent="0.25">
      <c r="A197" s="417" t="str">
        <f t="shared" si="85"/>
        <v>Economic and environmental services</v>
      </c>
      <c r="B197" s="629"/>
      <c r="C197" s="614">
        <f t="shared" ref="C197:K197" si="88">C198+C209+C216</f>
        <v>0</v>
      </c>
      <c r="D197" s="614">
        <f t="shared" si="88"/>
        <v>384562510.14376897</v>
      </c>
      <c r="E197" s="614">
        <f t="shared" si="88"/>
        <v>0</v>
      </c>
      <c r="F197" s="614">
        <f t="shared" si="88"/>
        <v>0</v>
      </c>
      <c r="G197" s="614">
        <f t="shared" si="88"/>
        <v>0</v>
      </c>
      <c r="H197" s="614">
        <f t="shared" si="88"/>
        <v>128187503.38125633</v>
      </c>
      <c r="I197" s="614">
        <f t="shared" si="57"/>
        <v>-128187503.38125633</v>
      </c>
      <c r="J197" s="614">
        <f t="shared" si="58"/>
        <v>-1</v>
      </c>
      <c r="K197" s="615">
        <f t="shared" si="88"/>
        <v>384562510.14376897</v>
      </c>
      <c r="L197" s="101"/>
    </row>
    <row r="198" spans="1:12" x14ac:dyDescent="0.25">
      <c r="A198" s="616" t="str">
        <f t="shared" si="85"/>
        <v>Planning and development</v>
      </c>
      <c r="B198" s="629"/>
      <c r="C198" s="620">
        <f t="shared" ref="C198:K198" si="89">SUM(C199:C208)</f>
        <v>0</v>
      </c>
      <c r="D198" s="620">
        <f t="shared" si="89"/>
        <v>92826287.846174791</v>
      </c>
      <c r="E198" s="620">
        <f t="shared" si="89"/>
        <v>0</v>
      </c>
      <c r="F198" s="620">
        <f t="shared" si="89"/>
        <v>0</v>
      </c>
      <c r="G198" s="620">
        <f t="shared" si="89"/>
        <v>0</v>
      </c>
      <c r="H198" s="620">
        <f t="shared" si="89"/>
        <v>30942095.948724929</v>
      </c>
      <c r="I198" s="620">
        <f t="shared" si="57"/>
        <v>-30942095.948724929</v>
      </c>
      <c r="J198" s="620">
        <f t="shared" si="58"/>
        <v>-1</v>
      </c>
      <c r="K198" s="623">
        <f t="shared" si="89"/>
        <v>92826287.846174791</v>
      </c>
      <c r="L198" s="101"/>
    </row>
    <row r="199" spans="1:12" x14ac:dyDescent="0.25">
      <c r="A199" s="704" t="str">
        <f t="shared" si="85"/>
        <v>Billboards</v>
      </c>
      <c r="B199" s="629"/>
      <c r="C199" s="743"/>
      <c r="D199" s="743"/>
      <c r="E199" s="743"/>
      <c r="F199" s="743"/>
      <c r="G199" s="743"/>
      <c r="H199" s="743">
        <f t="shared" ref="H199:H208" si="90">D199/12*4</f>
        <v>0</v>
      </c>
      <c r="I199" s="411">
        <f t="shared" si="57"/>
        <v>0</v>
      </c>
      <c r="J199" s="411" t="str">
        <f t="shared" si="58"/>
        <v/>
      </c>
      <c r="K199" s="745">
        <f>D199</f>
        <v>0</v>
      </c>
      <c r="L199" s="101"/>
    </row>
    <row r="200" spans="1:12" x14ac:dyDescent="0.25">
      <c r="A200" s="704" t="str">
        <f t="shared" si="85"/>
        <v>Corporate Wide Strategic Planning (IDPs, LEDs)</v>
      </c>
      <c r="B200" s="629"/>
      <c r="C200" s="743"/>
      <c r="D200" s="743">
        <v>14307845.517410805</v>
      </c>
      <c r="E200" s="743"/>
      <c r="F200" s="743"/>
      <c r="G200" s="743"/>
      <c r="H200" s="743">
        <f t="shared" si="90"/>
        <v>4769281.8391369348</v>
      </c>
      <c r="I200" s="411">
        <f t="shared" si="57"/>
        <v>-4769281.8391369348</v>
      </c>
      <c r="J200" s="411">
        <f t="shared" si="58"/>
        <v>-1</v>
      </c>
      <c r="K200" s="745">
        <f t="shared" ref="K200:K208" si="91">D200</f>
        <v>14307845.517410805</v>
      </c>
      <c r="L200" s="101"/>
    </row>
    <row r="201" spans="1:12" x14ac:dyDescent="0.25">
      <c r="A201" s="704" t="str">
        <f t="shared" si="85"/>
        <v>Central City Improvement District</v>
      </c>
      <c r="B201" s="629"/>
      <c r="C201" s="743"/>
      <c r="D201" s="743"/>
      <c r="E201" s="743"/>
      <c r="F201" s="743"/>
      <c r="G201" s="743"/>
      <c r="H201" s="743">
        <f t="shared" si="90"/>
        <v>0</v>
      </c>
      <c r="I201" s="411">
        <f t="shared" si="57"/>
        <v>0</v>
      </c>
      <c r="J201" s="411" t="str">
        <f t="shared" si="58"/>
        <v/>
      </c>
      <c r="K201" s="745">
        <f t="shared" si="91"/>
        <v>0</v>
      </c>
      <c r="L201" s="101"/>
    </row>
    <row r="202" spans="1:12" x14ac:dyDescent="0.25">
      <c r="A202" s="704" t="str">
        <f t="shared" si="85"/>
        <v>Development Facilitation</v>
      </c>
      <c r="B202" s="629"/>
      <c r="C202" s="743"/>
      <c r="D202" s="743"/>
      <c r="E202" s="743"/>
      <c r="F202" s="743"/>
      <c r="G202" s="743"/>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c r="D203" s="743">
        <v>16934245.245000001</v>
      </c>
      <c r="E203" s="743"/>
      <c r="F203" s="743"/>
      <c r="G203" s="743"/>
      <c r="H203" s="743">
        <f t="shared" si="90"/>
        <v>5644748.415</v>
      </c>
      <c r="I203" s="411">
        <f>G203-H203</f>
        <v>-5644748.415</v>
      </c>
      <c r="J203" s="411">
        <f>IF(I203=0,"",I203/H203)</f>
        <v>-1</v>
      </c>
      <c r="K203" s="745">
        <f t="shared" si="91"/>
        <v>16934245.245000001</v>
      </c>
      <c r="L203" s="101"/>
    </row>
    <row r="204" spans="1:12" x14ac:dyDescent="0.25">
      <c r="A204" s="704" t="str">
        <f t="shared" si="85"/>
        <v>Regional Planning and Development</v>
      </c>
      <c r="B204" s="629"/>
      <c r="C204" s="743"/>
      <c r="D204" s="743">
        <v>23929805.518763993</v>
      </c>
      <c r="E204" s="743"/>
      <c r="F204" s="743"/>
      <c r="G204" s="743"/>
      <c r="H204" s="743">
        <f t="shared" si="90"/>
        <v>7976601.8395879976</v>
      </c>
      <c r="I204" s="411">
        <f>G204-H204</f>
        <v>-7976601.8395879976</v>
      </c>
      <c r="J204" s="411">
        <f>IF(I204=0,"",I204/H204)</f>
        <v>-1</v>
      </c>
      <c r="K204" s="745">
        <f t="shared" si="91"/>
        <v>23929805.518763993</v>
      </c>
      <c r="L204" s="101"/>
    </row>
    <row r="205" spans="1:12" ht="20.399999999999999" x14ac:dyDescent="0.25">
      <c r="A205" s="704" t="str">
        <f t="shared" si="85"/>
        <v>Town Planning, Building Regulations and Enforcement, and City Engineer</v>
      </c>
      <c r="B205" s="629"/>
      <c r="C205" s="743"/>
      <c r="D205" s="743">
        <v>27643391.199999999</v>
      </c>
      <c r="E205" s="743"/>
      <c r="F205" s="743"/>
      <c r="G205" s="743"/>
      <c r="H205" s="743">
        <f t="shared" si="90"/>
        <v>9214463.7333333325</v>
      </c>
      <c r="I205" s="411">
        <f>G205-H205</f>
        <v>-9214463.7333333325</v>
      </c>
      <c r="J205" s="411">
        <f>IF(I205=0,"",I205/H205)</f>
        <v>-1</v>
      </c>
      <c r="K205" s="745">
        <f t="shared" si="91"/>
        <v>27643391.199999999</v>
      </c>
      <c r="L205" s="101"/>
    </row>
    <row r="206" spans="1:12" x14ac:dyDescent="0.25">
      <c r="A206" s="704" t="str">
        <f t="shared" si="85"/>
        <v>Project Management Unit</v>
      </c>
      <c r="B206" s="629"/>
      <c r="C206" s="743"/>
      <c r="D206" s="743">
        <v>10011000.364999998</v>
      </c>
      <c r="E206" s="743"/>
      <c r="F206" s="743"/>
      <c r="G206" s="743"/>
      <c r="H206" s="743">
        <f t="shared" si="90"/>
        <v>3337000.1216666661</v>
      </c>
      <c r="I206" s="411">
        <f>G206-H206</f>
        <v>-3337000.1216666661</v>
      </c>
      <c r="J206" s="411">
        <f>IF(I206=0,"",I206/H206)</f>
        <v>-1</v>
      </c>
      <c r="K206" s="745">
        <f t="shared" si="91"/>
        <v>10011000.364999998</v>
      </c>
      <c r="L206" s="101"/>
    </row>
    <row r="207" spans="1:12" x14ac:dyDescent="0.25">
      <c r="A207" s="704" t="str">
        <f t="shared" si="85"/>
        <v>Provincial Planning</v>
      </c>
      <c r="B207" s="629"/>
      <c r="C207" s="743"/>
      <c r="D207" s="743"/>
      <c r="E207" s="743"/>
      <c r="F207" s="743"/>
      <c r="G207" s="743"/>
      <c r="H207" s="743">
        <f t="shared" si="90"/>
        <v>0</v>
      </c>
      <c r="I207" s="411">
        <f t="shared" si="57"/>
        <v>0</v>
      </c>
      <c r="J207" s="411" t="str">
        <f t="shared" si="58"/>
        <v/>
      </c>
      <c r="K207" s="745">
        <f t="shared" si="91"/>
        <v>0</v>
      </c>
      <c r="L207" s="101"/>
    </row>
    <row r="208" spans="1:12" x14ac:dyDescent="0.25">
      <c r="A208" s="704" t="str">
        <f t="shared" si="85"/>
        <v>Support to Local Municipalities</v>
      </c>
      <c r="B208" s="629"/>
      <c r="C208" s="743"/>
      <c r="D208" s="743"/>
      <c r="E208" s="743"/>
      <c r="F208" s="743"/>
      <c r="G208" s="743"/>
      <c r="H208" s="743">
        <f t="shared" si="90"/>
        <v>0</v>
      </c>
      <c r="I208" s="411">
        <f t="shared" si="57"/>
        <v>0</v>
      </c>
      <c r="J208" s="411" t="str">
        <f t="shared" si="58"/>
        <v/>
      </c>
      <c r="K208" s="745">
        <f t="shared" si="91"/>
        <v>0</v>
      </c>
      <c r="L208" s="101"/>
    </row>
    <row r="209" spans="1:12" x14ac:dyDescent="0.25">
      <c r="A209" s="616" t="str">
        <f t="shared" ref="A209:A248" si="92">A86</f>
        <v>Road transport</v>
      </c>
      <c r="B209" s="629"/>
      <c r="C209" s="620">
        <f t="shared" ref="C209:K209" si="93">SUM(C210:C215)</f>
        <v>0</v>
      </c>
      <c r="D209" s="620">
        <f t="shared" si="93"/>
        <v>291054903.62188417</v>
      </c>
      <c r="E209" s="620">
        <f t="shared" si="93"/>
        <v>0</v>
      </c>
      <c r="F209" s="620">
        <f t="shared" si="93"/>
        <v>0</v>
      </c>
      <c r="G209" s="620">
        <f t="shared" si="93"/>
        <v>0</v>
      </c>
      <c r="H209" s="620">
        <f t="shared" si="93"/>
        <v>97018301.207294732</v>
      </c>
      <c r="I209" s="620">
        <f t="shared" si="57"/>
        <v>-97018301.207294732</v>
      </c>
      <c r="J209" s="620">
        <f t="shared" si="58"/>
        <v>-1</v>
      </c>
      <c r="K209" s="623">
        <f t="shared" si="93"/>
        <v>291054903.62188417</v>
      </c>
      <c r="L209" s="101"/>
    </row>
    <row r="210" spans="1:12" x14ac:dyDescent="0.25">
      <c r="A210" s="704" t="str">
        <f t="shared" si="92"/>
        <v>Police Forces, Traffic and Street Parking Control</v>
      </c>
      <c r="B210" s="629"/>
      <c r="C210" s="743"/>
      <c r="D210" s="743">
        <v>87491269.245747983</v>
      </c>
      <c r="E210" s="743"/>
      <c r="F210" s="743"/>
      <c r="G210" s="743"/>
      <c r="H210" s="743">
        <f t="shared" ref="H210:H215" si="94">D210/12*4</f>
        <v>29163756.415249329</v>
      </c>
      <c r="I210" s="411">
        <f t="shared" si="57"/>
        <v>-29163756.415249329</v>
      </c>
      <c r="J210" s="411">
        <f t="shared" si="58"/>
        <v>-1</v>
      </c>
      <c r="K210" s="745">
        <f>D210</f>
        <v>87491269.245747983</v>
      </c>
      <c r="L210" s="101"/>
    </row>
    <row r="211" spans="1:12" x14ac:dyDescent="0.25">
      <c r="A211" s="704" t="str">
        <f t="shared" si="92"/>
        <v>Pounds</v>
      </c>
      <c r="B211" s="629"/>
      <c r="C211" s="743"/>
      <c r="D211" s="743"/>
      <c r="E211" s="743"/>
      <c r="F211" s="743"/>
      <c r="G211" s="743"/>
      <c r="H211" s="743">
        <f t="shared" si="94"/>
        <v>0</v>
      </c>
      <c r="I211" s="411">
        <f t="shared" si="57"/>
        <v>0</v>
      </c>
      <c r="J211" s="411" t="str">
        <f t="shared" si="58"/>
        <v/>
      </c>
      <c r="K211" s="745">
        <f t="shared" ref="K211:K215" si="95">D211</f>
        <v>0</v>
      </c>
      <c r="L211" s="101"/>
    </row>
    <row r="212" spans="1:12" x14ac:dyDescent="0.25">
      <c r="A212" s="704" t="str">
        <f t="shared" si="92"/>
        <v>Public Transport</v>
      </c>
      <c r="B212" s="629"/>
      <c r="C212" s="743"/>
      <c r="D212" s="743">
        <v>95966650.669870242</v>
      </c>
      <c r="E212" s="743"/>
      <c r="F212" s="743"/>
      <c r="G212" s="743"/>
      <c r="H212" s="743">
        <f t="shared" si="94"/>
        <v>31988883.556623414</v>
      </c>
      <c r="I212" s="411">
        <f t="shared" si="57"/>
        <v>-31988883.556623414</v>
      </c>
      <c r="J212" s="411">
        <f t="shared" si="58"/>
        <v>-1</v>
      </c>
      <c r="K212" s="745">
        <f t="shared" si="95"/>
        <v>95966650.669870242</v>
      </c>
      <c r="L212" s="101"/>
    </row>
    <row r="213" spans="1:12" x14ac:dyDescent="0.25">
      <c r="A213" s="704" t="str">
        <f t="shared" si="92"/>
        <v>Road and Traffic Regulation</v>
      </c>
      <c r="B213" s="629"/>
      <c r="C213" s="743"/>
      <c r="D213" s="743">
        <v>107596983.70626593</v>
      </c>
      <c r="E213" s="743"/>
      <c r="F213" s="743"/>
      <c r="G213" s="743"/>
      <c r="H213" s="743">
        <f t="shared" si="94"/>
        <v>35865661.235421978</v>
      </c>
      <c r="I213" s="411">
        <f>G213-H213</f>
        <v>-35865661.235421978</v>
      </c>
      <c r="J213" s="411">
        <f>IF(I213=0,"",I213/H213)</f>
        <v>-1</v>
      </c>
      <c r="K213" s="745">
        <f t="shared" si="95"/>
        <v>107596983.70626593</v>
      </c>
      <c r="L213" s="101"/>
    </row>
    <row r="214" spans="1:12" x14ac:dyDescent="0.25">
      <c r="A214" s="704" t="str">
        <f t="shared" si="92"/>
        <v>Roads</v>
      </c>
      <c r="B214" s="629"/>
      <c r="C214" s="743"/>
      <c r="D214" s="743"/>
      <c r="E214" s="743"/>
      <c r="F214" s="743"/>
      <c r="G214" s="743"/>
      <c r="H214" s="743">
        <f t="shared" si="94"/>
        <v>0</v>
      </c>
      <c r="I214" s="411">
        <f t="shared" si="57"/>
        <v>0</v>
      </c>
      <c r="J214" s="411" t="str">
        <f t="shared" si="58"/>
        <v/>
      </c>
      <c r="K214" s="745">
        <f t="shared" si="95"/>
        <v>0</v>
      </c>
      <c r="L214" s="101"/>
    </row>
    <row r="215" spans="1:12" x14ac:dyDescent="0.25">
      <c r="A215" s="704" t="str">
        <f t="shared" si="92"/>
        <v>Taxi Ranks</v>
      </c>
      <c r="B215" s="629"/>
      <c r="C215" s="743"/>
      <c r="D215" s="743"/>
      <c r="E215" s="743"/>
      <c r="F215" s="743"/>
      <c r="G215" s="743"/>
      <c r="H215" s="743">
        <f t="shared" si="94"/>
        <v>0</v>
      </c>
      <c r="I215" s="411">
        <f t="shared" si="57"/>
        <v>0</v>
      </c>
      <c r="J215" s="411" t="str">
        <f t="shared" si="58"/>
        <v/>
      </c>
      <c r="K215" s="745">
        <f t="shared" si="95"/>
        <v>0</v>
      </c>
      <c r="L215" s="101"/>
    </row>
    <row r="216" spans="1:12" x14ac:dyDescent="0.25">
      <c r="A216" s="616" t="str">
        <f t="shared" si="92"/>
        <v>Environmental protection</v>
      </c>
      <c r="B216" s="629"/>
      <c r="C216" s="620">
        <f t="shared" ref="C216:K216" si="96">SUM(C217:C222)</f>
        <v>0</v>
      </c>
      <c r="D216" s="620">
        <f t="shared" si="96"/>
        <v>681318.6757100001</v>
      </c>
      <c r="E216" s="620">
        <f t="shared" si="96"/>
        <v>0</v>
      </c>
      <c r="F216" s="620">
        <f t="shared" si="96"/>
        <v>0</v>
      </c>
      <c r="G216" s="620">
        <f t="shared" si="96"/>
        <v>0</v>
      </c>
      <c r="H216" s="620">
        <f t="shared" si="96"/>
        <v>227106.22523666671</v>
      </c>
      <c r="I216" s="620">
        <f t="shared" si="57"/>
        <v>-227106.22523666671</v>
      </c>
      <c r="J216" s="620">
        <f t="shared" si="58"/>
        <v>-1</v>
      </c>
      <c r="K216" s="623">
        <f t="shared" si="96"/>
        <v>681318.6757100001</v>
      </c>
      <c r="L216" s="101"/>
    </row>
    <row r="217" spans="1:12" x14ac:dyDescent="0.25">
      <c r="A217" s="704" t="str">
        <f t="shared" si="92"/>
        <v>Biodiversity and Landscape</v>
      </c>
      <c r="B217" s="629"/>
      <c r="C217" s="743"/>
      <c r="D217" s="743"/>
      <c r="E217" s="743"/>
      <c r="F217" s="743"/>
      <c r="G217" s="743"/>
      <c r="H217" s="743">
        <f t="shared" ref="H217:H222" si="97">D217/12*4</f>
        <v>0</v>
      </c>
      <c r="I217" s="411">
        <f t="shared" si="57"/>
        <v>0</v>
      </c>
      <c r="J217" s="411" t="str">
        <f t="shared" si="58"/>
        <v/>
      </c>
      <c r="K217" s="745">
        <f>D217</f>
        <v>0</v>
      </c>
      <c r="L217" s="101"/>
    </row>
    <row r="218" spans="1:12" x14ac:dyDescent="0.25">
      <c r="A218" s="704" t="str">
        <f t="shared" si="92"/>
        <v>Coastal Protection</v>
      </c>
      <c r="B218" s="629"/>
      <c r="C218" s="743"/>
      <c r="D218" s="743"/>
      <c r="E218" s="743"/>
      <c r="F218" s="743"/>
      <c r="G218" s="743"/>
      <c r="H218" s="743">
        <f t="shared" si="97"/>
        <v>0</v>
      </c>
      <c r="I218" s="411">
        <f t="shared" si="57"/>
        <v>0</v>
      </c>
      <c r="J218" s="411" t="str">
        <f t="shared" si="58"/>
        <v/>
      </c>
      <c r="K218" s="745">
        <f t="shared" ref="K218:K222" si="98">D218</f>
        <v>0</v>
      </c>
      <c r="L218" s="101"/>
    </row>
    <row r="219" spans="1:12" x14ac:dyDescent="0.25">
      <c r="A219" s="704" t="str">
        <f t="shared" si="92"/>
        <v>Indigenous Forests</v>
      </c>
      <c r="B219" s="629"/>
      <c r="C219" s="743"/>
      <c r="D219" s="743"/>
      <c r="E219" s="743"/>
      <c r="F219" s="743"/>
      <c r="G219" s="743"/>
      <c r="H219" s="743">
        <f t="shared" si="97"/>
        <v>0</v>
      </c>
      <c r="I219" s="411">
        <f t="shared" si="57"/>
        <v>0</v>
      </c>
      <c r="J219" s="411" t="str">
        <f t="shared" si="58"/>
        <v/>
      </c>
      <c r="K219" s="745">
        <f t="shared" si="98"/>
        <v>0</v>
      </c>
      <c r="L219" s="101"/>
    </row>
    <row r="220" spans="1:12" x14ac:dyDescent="0.25">
      <c r="A220" s="704" t="str">
        <f t="shared" si="92"/>
        <v>Nature Conservation</v>
      </c>
      <c r="B220" s="629"/>
      <c r="C220" s="743"/>
      <c r="D220" s="743"/>
      <c r="E220" s="743"/>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v>681318.6757100001</v>
      </c>
      <c r="E221" s="743"/>
      <c r="F221" s="743"/>
      <c r="G221" s="743"/>
      <c r="H221" s="743">
        <f t="shared" si="97"/>
        <v>227106.22523666671</v>
      </c>
      <c r="I221" s="411">
        <f>G221-H221</f>
        <v>-227106.22523666671</v>
      </c>
      <c r="J221" s="411">
        <f>IF(I221=0,"",I221/H221)</f>
        <v>-1</v>
      </c>
      <c r="K221" s="745">
        <f t="shared" si="98"/>
        <v>681318.6757100001</v>
      </c>
      <c r="L221" s="101"/>
    </row>
    <row r="222" spans="1:12" x14ac:dyDescent="0.25">
      <c r="A222" s="704" t="str">
        <f t="shared" si="92"/>
        <v>Soil Conservation</v>
      </c>
      <c r="B222" s="629"/>
      <c r="C222" s="743"/>
      <c r="D222" s="743"/>
      <c r="E222" s="743"/>
      <c r="F222" s="743"/>
      <c r="G222" s="743"/>
      <c r="H222" s="743">
        <f t="shared" si="97"/>
        <v>0</v>
      </c>
      <c r="I222" s="411">
        <f t="shared" si="57"/>
        <v>0</v>
      </c>
      <c r="J222" s="411" t="str">
        <f t="shared" si="58"/>
        <v/>
      </c>
      <c r="K222" s="745">
        <f t="shared" si="98"/>
        <v>0</v>
      </c>
      <c r="L222" s="101"/>
    </row>
    <row r="223" spans="1:12" x14ac:dyDescent="0.25">
      <c r="A223" s="417" t="str">
        <f t="shared" si="92"/>
        <v>Trading services</v>
      </c>
      <c r="B223" s="629"/>
      <c r="C223" s="614">
        <f>C224+C228+C232+C237</f>
        <v>0</v>
      </c>
      <c r="D223" s="614">
        <f t="shared" ref="D223:I223" si="99">D224+D228+D232+D237</f>
        <v>1272744801.750423</v>
      </c>
      <c r="E223" s="614">
        <f t="shared" si="99"/>
        <v>0</v>
      </c>
      <c r="F223" s="614">
        <f t="shared" si="99"/>
        <v>0</v>
      </c>
      <c r="G223" s="614">
        <f t="shared" si="99"/>
        <v>0</v>
      </c>
      <c r="H223" s="614">
        <f t="shared" si="99"/>
        <v>424248267.25014096</v>
      </c>
      <c r="I223" s="614">
        <f t="shared" si="99"/>
        <v>-424248267.25014096</v>
      </c>
      <c r="J223" s="614">
        <f t="shared" si="58"/>
        <v>-1</v>
      </c>
      <c r="K223" s="615">
        <f>K224+K228+K232+K237</f>
        <v>1272744801.750423</v>
      </c>
      <c r="L223" s="101"/>
    </row>
    <row r="224" spans="1:12" x14ac:dyDescent="0.25">
      <c r="A224" s="616" t="str">
        <f t="shared" si="92"/>
        <v>Energy sources</v>
      </c>
      <c r="B224" s="629"/>
      <c r="C224" s="620">
        <f t="shared" ref="C224:K224" si="100">SUM(C225:C227)</f>
        <v>0</v>
      </c>
      <c r="D224" s="620">
        <f t="shared" si="100"/>
        <v>806231197.92631733</v>
      </c>
      <c r="E224" s="620">
        <f t="shared" si="100"/>
        <v>0</v>
      </c>
      <c r="F224" s="620">
        <f t="shared" si="100"/>
        <v>0</v>
      </c>
      <c r="G224" s="620">
        <f t="shared" si="100"/>
        <v>0</v>
      </c>
      <c r="H224" s="620">
        <f t="shared" si="100"/>
        <v>268743732.64210576</v>
      </c>
      <c r="I224" s="620">
        <f t="shared" si="57"/>
        <v>-268743732.64210576</v>
      </c>
      <c r="J224" s="620">
        <f t="shared" si="58"/>
        <v>-1</v>
      </c>
      <c r="K224" s="623">
        <f t="shared" si="100"/>
        <v>806231197.92631733</v>
      </c>
      <c r="L224" s="101"/>
    </row>
    <row r="225" spans="1:12" x14ac:dyDescent="0.25">
      <c r="A225" s="704" t="str">
        <f t="shared" si="92"/>
        <v xml:space="preserve">Electricity </v>
      </c>
      <c r="B225" s="629"/>
      <c r="C225" s="743"/>
      <c r="D225" s="743">
        <v>801069920.4663173</v>
      </c>
      <c r="E225" s="743"/>
      <c r="F225" s="743"/>
      <c r="G225" s="743"/>
      <c r="H225" s="743">
        <f t="shared" ref="H225:H227" si="101">D225/12*4</f>
        <v>267023306.82210577</v>
      </c>
      <c r="I225" s="411">
        <f t="shared" si="57"/>
        <v>-267023306.82210577</v>
      </c>
      <c r="J225" s="411">
        <f t="shared" si="58"/>
        <v>-1</v>
      </c>
      <c r="K225" s="745">
        <f>D225</f>
        <v>801069920.4663173</v>
      </c>
      <c r="L225" s="101"/>
    </row>
    <row r="226" spans="1:12" x14ac:dyDescent="0.25">
      <c r="A226" s="704" t="str">
        <f t="shared" si="92"/>
        <v>Street Lighting and Signal Systems</v>
      </c>
      <c r="B226" s="629"/>
      <c r="C226" s="743"/>
      <c r="D226" s="743">
        <v>5161277.46</v>
      </c>
      <c r="E226" s="743"/>
      <c r="F226" s="743"/>
      <c r="G226" s="743"/>
      <c r="H226" s="743">
        <f t="shared" si="101"/>
        <v>1720425.82</v>
      </c>
      <c r="I226" s="411">
        <f>G226-H226</f>
        <v>-1720425.82</v>
      </c>
      <c r="J226" s="411">
        <f>IF(I226=0,"",I226/H226)</f>
        <v>-1</v>
      </c>
      <c r="K226" s="745">
        <f t="shared" ref="K226:K227" si="102">D226</f>
        <v>5161277.46</v>
      </c>
      <c r="L226" s="101"/>
    </row>
    <row r="227" spans="1:12" x14ac:dyDescent="0.25">
      <c r="A227" s="704" t="str">
        <f t="shared" si="92"/>
        <v>Nonelectric Energy</v>
      </c>
      <c r="B227" s="629"/>
      <c r="C227" s="743"/>
      <c r="D227" s="743"/>
      <c r="E227" s="743"/>
      <c r="F227" s="743"/>
      <c r="G227" s="743"/>
      <c r="H227" s="743">
        <f t="shared" si="101"/>
        <v>0</v>
      </c>
      <c r="I227" s="411">
        <f t="shared" si="57"/>
        <v>0</v>
      </c>
      <c r="J227" s="411" t="str">
        <f t="shared" si="58"/>
        <v/>
      </c>
      <c r="K227" s="745">
        <f t="shared" si="102"/>
        <v>0</v>
      </c>
      <c r="L227" s="101"/>
    </row>
    <row r="228" spans="1:12" x14ac:dyDescent="0.25">
      <c r="A228" s="616" t="str">
        <f t="shared" si="92"/>
        <v>Water management</v>
      </c>
      <c r="B228" s="629"/>
      <c r="C228" s="620">
        <f t="shared" ref="C228:K228" si="103">SUM(C229:C231)</f>
        <v>0</v>
      </c>
      <c r="D228" s="620">
        <f t="shared" si="103"/>
        <v>301176991.19435531</v>
      </c>
      <c r="E228" s="620">
        <f t="shared" si="103"/>
        <v>0</v>
      </c>
      <c r="F228" s="620">
        <f t="shared" si="103"/>
        <v>0</v>
      </c>
      <c r="G228" s="620">
        <f t="shared" si="103"/>
        <v>0</v>
      </c>
      <c r="H228" s="620">
        <f t="shared" si="103"/>
        <v>100392330.39811844</v>
      </c>
      <c r="I228" s="620">
        <f t="shared" si="57"/>
        <v>-100392330.39811844</v>
      </c>
      <c r="J228" s="620">
        <f t="shared" si="58"/>
        <v>-1</v>
      </c>
      <c r="K228" s="623">
        <f t="shared" si="103"/>
        <v>301176991.19435531</v>
      </c>
      <c r="L228" s="101"/>
    </row>
    <row r="229" spans="1:12" x14ac:dyDescent="0.25">
      <c r="A229" s="704" t="str">
        <f t="shared" si="92"/>
        <v>Water Treatment</v>
      </c>
      <c r="B229" s="629"/>
      <c r="C229" s="743"/>
      <c r="D229" s="743">
        <v>10438786.238834079</v>
      </c>
      <c r="E229" s="743"/>
      <c r="F229" s="743"/>
      <c r="G229" s="743"/>
      <c r="H229" s="743">
        <f t="shared" ref="H229:H231" si="104">D229/12*4</f>
        <v>3479595.4129446931</v>
      </c>
      <c r="I229" s="411">
        <f t="shared" si="57"/>
        <v>-3479595.4129446931</v>
      </c>
      <c r="J229" s="411">
        <f t="shared" si="58"/>
        <v>-1</v>
      </c>
      <c r="K229" s="745">
        <f>D229</f>
        <v>10438786.238834079</v>
      </c>
      <c r="L229" s="101"/>
    </row>
    <row r="230" spans="1:12" x14ac:dyDescent="0.25">
      <c r="A230" s="704" t="str">
        <f t="shared" si="92"/>
        <v>Water Distribution</v>
      </c>
      <c r="B230" s="629"/>
      <c r="C230" s="743"/>
      <c r="D230" s="743">
        <v>81654346.357970566</v>
      </c>
      <c r="E230" s="743"/>
      <c r="F230" s="743"/>
      <c r="G230" s="743"/>
      <c r="H230" s="743">
        <f t="shared" si="104"/>
        <v>27218115.452656854</v>
      </c>
      <c r="I230" s="411">
        <f>G230-H230</f>
        <v>-27218115.452656854</v>
      </c>
      <c r="J230" s="411">
        <f>IF(I230=0,"",I230/H230)</f>
        <v>-1</v>
      </c>
      <c r="K230" s="745">
        <f t="shared" ref="K230:K231" si="105">D230</f>
        <v>81654346.357970566</v>
      </c>
      <c r="L230" s="101"/>
    </row>
    <row r="231" spans="1:12" x14ac:dyDescent="0.25">
      <c r="A231" s="704" t="str">
        <f t="shared" si="92"/>
        <v>Water Storage</v>
      </c>
      <c r="B231" s="629"/>
      <c r="C231" s="743"/>
      <c r="D231" s="743">
        <v>209083858.59755066</v>
      </c>
      <c r="E231" s="743"/>
      <c r="F231" s="743"/>
      <c r="G231" s="743"/>
      <c r="H231" s="743">
        <f t="shared" si="104"/>
        <v>69694619.532516882</v>
      </c>
      <c r="I231" s="411">
        <f t="shared" si="57"/>
        <v>-69694619.532516882</v>
      </c>
      <c r="J231" s="411">
        <f t="shared" si="58"/>
        <v>-1</v>
      </c>
      <c r="K231" s="745">
        <f t="shared" si="105"/>
        <v>209083858.59755066</v>
      </c>
      <c r="L231" s="101"/>
    </row>
    <row r="232" spans="1:12" x14ac:dyDescent="0.25">
      <c r="A232" s="616" t="str">
        <f t="shared" si="92"/>
        <v>Waste water management</v>
      </c>
      <c r="B232" s="629"/>
      <c r="C232" s="620">
        <f t="shared" ref="C232:K232" si="106">SUM(C233:C236)</f>
        <v>0</v>
      </c>
      <c r="D232" s="620">
        <f t="shared" si="106"/>
        <v>100352696.60291024</v>
      </c>
      <c r="E232" s="620">
        <f t="shared" si="106"/>
        <v>0</v>
      </c>
      <c r="F232" s="620">
        <f t="shared" si="106"/>
        <v>0</v>
      </c>
      <c r="G232" s="620">
        <f t="shared" si="106"/>
        <v>0</v>
      </c>
      <c r="H232" s="620">
        <f t="shared" si="106"/>
        <v>33450898.867636744</v>
      </c>
      <c r="I232" s="620">
        <f t="shared" si="57"/>
        <v>-33450898.867636744</v>
      </c>
      <c r="J232" s="620">
        <f t="shared" si="58"/>
        <v>-1</v>
      </c>
      <c r="K232" s="623">
        <f t="shared" si="106"/>
        <v>100352696.60291024</v>
      </c>
      <c r="L232" s="101"/>
    </row>
    <row r="233" spans="1:12" x14ac:dyDescent="0.25">
      <c r="A233" s="704" t="str">
        <f t="shared" si="92"/>
        <v>Public Toilets</v>
      </c>
      <c r="B233" s="629"/>
      <c r="C233" s="743"/>
      <c r="D233" s="743"/>
      <c r="E233" s="743"/>
      <c r="F233" s="743"/>
      <c r="G233" s="743"/>
      <c r="H233" s="743">
        <f t="shared" ref="H233:H236" si="107">D233/12*4</f>
        <v>0</v>
      </c>
      <c r="I233" s="411">
        <f t="shared" si="57"/>
        <v>0</v>
      </c>
      <c r="J233" s="411" t="str">
        <f t="shared" si="58"/>
        <v/>
      </c>
      <c r="K233" s="745">
        <f>D233</f>
        <v>0</v>
      </c>
      <c r="L233" s="101"/>
    </row>
    <row r="234" spans="1:12" x14ac:dyDescent="0.25">
      <c r="A234" s="704" t="str">
        <f t="shared" si="92"/>
        <v>Sewerage</v>
      </c>
      <c r="B234" s="629"/>
      <c r="C234" s="743"/>
      <c r="D234" s="743">
        <v>100352696.60291024</v>
      </c>
      <c r="E234" s="743"/>
      <c r="F234" s="743"/>
      <c r="G234" s="743"/>
      <c r="H234" s="743">
        <f t="shared" si="107"/>
        <v>33450898.867636744</v>
      </c>
      <c r="I234" s="411">
        <f t="shared" si="57"/>
        <v>-33450898.867636744</v>
      </c>
      <c r="J234" s="411">
        <f t="shared" si="58"/>
        <v>-1</v>
      </c>
      <c r="K234" s="745">
        <f t="shared" ref="K234:K236" si="108">D234</f>
        <v>100352696.60291024</v>
      </c>
      <c r="L234" s="101"/>
    </row>
    <row r="235" spans="1:12" x14ac:dyDescent="0.25">
      <c r="A235" s="704" t="str">
        <f t="shared" si="92"/>
        <v>Storm Water Management</v>
      </c>
      <c r="B235" s="629"/>
      <c r="C235" s="743"/>
      <c r="D235" s="743"/>
      <c r="E235" s="743"/>
      <c r="F235" s="743"/>
      <c r="G235" s="743"/>
      <c r="H235" s="743">
        <f t="shared" si="107"/>
        <v>0</v>
      </c>
      <c r="I235" s="411">
        <f>G235-H235</f>
        <v>0</v>
      </c>
      <c r="J235" s="411" t="str">
        <f>IF(I235=0,"",I235/H235)</f>
        <v/>
      </c>
      <c r="K235" s="745">
        <f t="shared" si="108"/>
        <v>0</v>
      </c>
      <c r="L235" s="101"/>
    </row>
    <row r="236" spans="1:12" x14ac:dyDescent="0.25">
      <c r="A236" s="704" t="str">
        <f t="shared" si="92"/>
        <v>Waste Water Treatment</v>
      </c>
      <c r="B236" s="629"/>
      <c r="C236" s="743"/>
      <c r="D236" s="743"/>
      <c r="E236" s="743"/>
      <c r="F236" s="743"/>
      <c r="G236" s="743"/>
      <c r="H236" s="743">
        <f t="shared" si="107"/>
        <v>0</v>
      </c>
      <c r="I236" s="411">
        <f t="shared" si="57"/>
        <v>0</v>
      </c>
      <c r="J236" s="411" t="str">
        <f t="shared" si="58"/>
        <v/>
      </c>
      <c r="K236" s="745">
        <f t="shared" si="108"/>
        <v>0</v>
      </c>
      <c r="L236" s="101"/>
    </row>
    <row r="237" spans="1:12" x14ac:dyDescent="0.25">
      <c r="A237" s="616" t="str">
        <f t="shared" si="92"/>
        <v>Waste management</v>
      </c>
      <c r="B237" s="629"/>
      <c r="C237" s="620">
        <f t="shared" ref="C237:H237" si="109">SUM(C238:C241)</f>
        <v>0</v>
      </c>
      <c r="D237" s="620">
        <f t="shared" si="109"/>
        <v>64983916.026840009</v>
      </c>
      <c r="E237" s="620">
        <f t="shared" si="109"/>
        <v>0</v>
      </c>
      <c r="F237" s="620">
        <f t="shared" si="109"/>
        <v>0</v>
      </c>
      <c r="G237" s="620">
        <f t="shared" si="109"/>
        <v>0</v>
      </c>
      <c r="H237" s="620">
        <f t="shared" si="109"/>
        <v>21661305.342280004</v>
      </c>
      <c r="I237" s="620">
        <f t="shared" si="57"/>
        <v>-21661305.342280004</v>
      </c>
      <c r="J237" s="620">
        <f t="shared" si="58"/>
        <v>-1</v>
      </c>
      <c r="K237" s="620">
        <f>SUM(K238:K241)</f>
        <v>64983916.026840009</v>
      </c>
      <c r="L237" s="101"/>
    </row>
    <row r="238" spans="1:12" x14ac:dyDescent="0.25">
      <c r="A238" s="704" t="str">
        <f t="shared" si="92"/>
        <v>Recycling</v>
      </c>
      <c r="B238" s="629"/>
      <c r="C238" s="743"/>
      <c r="D238" s="743"/>
      <c r="E238" s="743"/>
      <c r="F238" s="743"/>
      <c r="G238" s="743"/>
      <c r="H238" s="743">
        <f t="shared" ref="H238:H241" si="110">D238/12*4</f>
        <v>0</v>
      </c>
      <c r="I238" s="411">
        <f>G238-H238</f>
        <v>0</v>
      </c>
      <c r="J238" s="411" t="str">
        <f>IF(I238=0,"",I238/H238)</f>
        <v/>
      </c>
      <c r="K238" s="745">
        <f>D238</f>
        <v>0</v>
      </c>
      <c r="L238" s="101"/>
    </row>
    <row r="239" spans="1:12" x14ac:dyDescent="0.25">
      <c r="A239" s="704" t="str">
        <f t="shared" si="92"/>
        <v>Solid Waste Disposal (Landfill Sites)</v>
      </c>
      <c r="B239" s="629"/>
      <c r="C239" s="743"/>
      <c r="D239" s="743"/>
      <c r="E239" s="743"/>
      <c r="F239" s="743"/>
      <c r="G239" s="743"/>
      <c r="H239" s="743">
        <f t="shared" si="110"/>
        <v>0</v>
      </c>
      <c r="I239" s="411">
        <f>G239-H239</f>
        <v>0</v>
      </c>
      <c r="J239" s="411" t="str">
        <f>IF(I239=0,"",I239/H239)</f>
        <v/>
      </c>
      <c r="K239" s="745">
        <f t="shared" ref="K239:K241" si="111">D239</f>
        <v>0</v>
      </c>
      <c r="L239" s="101"/>
    </row>
    <row r="240" spans="1:12" x14ac:dyDescent="0.25">
      <c r="A240" s="704" t="str">
        <f t="shared" si="92"/>
        <v>Solid Waste Removal</v>
      </c>
      <c r="B240" s="629"/>
      <c r="C240" s="743"/>
      <c r="D240" s="743">
        <v>51777776.88258601</v>
      </c>
      <c r="E240" s="743"/>
      <c r="F240" s="743"/>
      <c r="G240" s="743"/>
      <c r="H240" s="743">
        <f t="shared" si="110"/>
        <v>17259258.960862003</v>
      </c>
      <c r="I240" s="411">
        <f>G240-H240</f>
        <v>-17259258.960862003</v>
      </c>
      <c r="J240" s="411">
        <f>IF(I240=0,"",I240/H240)</f>
        <v>-1</v>
      </c>
      <c r="K240" s="745">
        <f t="shared" si="111"/>
        <v>51777776.88258601</v>
      </c>
      <c r="L240" s="101"/>
    </row>
    <row r="241" spans="1:12" x14ac:dyDescent="0.25">
      <c r="A241" s="704" t="str">
        <f t="shared" si="92"/>
        <v>Street Cleaning</v>
      </c>
      <c r="B241" s="418"/>
      <c r="C241" s="743"/>
      <c r="D241" s="743">
        <v>13206139.144253999</v>
      </c>
      <c r="E241" s="743"/>
      <c r="F241" s="743"/>
      <c r="G241" s="743"/>
      <c r="H241" s="743">
        <f t="shared" si="110"/>
        <v>4402046.381418</v>
      </c>
      <c r="I241" s="411">
        <f t="shared" si="57"/>
        <v>-4402046.381418</v>
      </c>
      <c r="J241" s="411">
        <f t="shared" si="58"/>
        <v>-1</v>
      </c>
      <c r="K241" s="745">
        <f t="shared" si="111"/>
        <v>13206139.144253999</v>
      </c>
      <c r="L241" s="101"/>
    </row>
    <row r="242" spans="1:12" x14ac:dyDescent="0.25">
      <c r="A242" s="417" t="str">
        <f t="shared" si="92"/>
        <v>Other</v>
      </c>
      <c r="B242" s="418"/>
      <c r="C242" s="620">
        <f t="shared" ref="C242:K242" si="112">SUM(C243:C248)</f>
        <v>0</v>
      </c>
      <c r="D242" s="620">
        <f t="shared" si="112"/>
        <v>0</v>
      </c>
      <c r="E242" s="620">
        <f t="shared" si="112"/>
        <v>0</v>
      </c>
      <c r="F242" s="620">
        <f t="shared" si="112"/>
        <v>0</v>
      </c>
      <c r="G242" s="620">
        <f t="shared" si="112"/>
        <v>0</v>
      </c>
      <c r="H242" s="620">
        <f t="shared" si="112"/>
        <v>0</v>
      </c>
      <c r="I242" s="620">
        <f t="shared" si="57"/>
        <v>0</v>
      </c>
      <c r="J242" s="620" t="str">
        <f t="shared" si="58"/>
        <v/>
      </c>
      <c r="K242" s="623">
        <f t="shared" si="112"/>
        <v>0</v>
      </c>
      <c r="L242" s="101"/>
    </row>
    <row r="243" spans="1:12" x14ac:dyDescent="0.25">
      <c r="A243" s="616" t="str">
        <f t="shared" si="92"/>
        <v>Abattoirs</v>
      </c>
      <c r="B243" s="418"/>
      <c r="C243" s="743"/>
      <c r="D243" s="743"/>
      <c r="E243" s="743"/>
      <c r="F243" s="743"/>
      <c r="G243" s="743"/>
      <c r="H243" s="743"/>
      <c r="I243" s="411">
        <f t="shared" si="57"/>
        <v>0</v>
      </c>
      <c r="J243" s="411" t="str">
        <f t="shared" si="58"/>
        <v/>
      </c>
      <c r="K243" s="745"/>
      <c r="L243" s="101"/>
    </row>
    <row r="244" spans="1:12" x14ac:dyDescent="0.25">
      <c r="A244" s="616" t="str">
        <f t="shared" si="92"/>
        <v>Air Transport</v>
      </c>
      <c r="B244" s="418"/>
      <c r="C244" s="743"/>
      <c r="D244" s="743"/>
      <c r="E244" s="743"/>
      <c r="F244" s="743"/>
      <c r="G244" s="743"/>
      <c r="H244" s="743"/>
      <c r="I244" s="411">
        <f t="shared" si="57"/>
        <v>0</v>
      </c>
      <c r="J244" s="411" t="str">
        <f t="shared" si="58"/>
        <v/>
      </c>
      <c r="K244" s="745"/>
      <c r="L244" s="101"/>
    </row>
    <row r="245" spans="1:12" x14ac:dyDescent="0.25">
      <c r="A245" s="616" t="str">
        <f t="shared" si="92"/>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2"/>
        <v>Markets</v>
      </c>
      <c r="B247" s="418"/>
      <c r="C247" s="743"/>
      <c r="D247" s="743"/>
      <c r="E247" s="743"/>
      <c r="F247" s="743"/>
      <c r="G247" s="743"/>
      <c r="H247" s="743"/>
      <c r="I247" s="411">
        <f>G247-H247</f>
        <v>0</v>
      </c>
      <c r="J247" s="411" t="str">
        <f>IF(I247=0,"",I247/H247)</f>
        <v/>
      </c>
      <c r="K247" s="745"/>
      <c r="L247" s="101"/>
    </row>
    <row r="248" spans="1:12" x14ac:dyDescent="0.25">
      <c r="A248" s="616" t="str">
        <f t="shared" si="92"/>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3">C129+C150+C197+C223+C242</f>
        <v>0</v>
      </c>
      <c r="D249" s="549">
        <f t="shared" si="113"/>
        <v>2902257718.109868</v>
      </c>
      <c r="E249" s="549">
        <f t="shared" si="113"/>
        <v>0</v>
      </c>
      <c r="F249" s="549">
        <f t="shared" si="113"/>
        <v>0</v>
      </c>
      <c r="G249" s="549">
        <f t="shared" si="113"/>
        <v>0</v>
      </c>
      <c r="H249" s="549">
        <f t="shared" si="113"/>
        <v>967419239.36995602</v>
      </c>
      <c r="I249" s="549">
        <f t="shared" si="113"/>
        <v>-967419239.36995602</v>
      </c>
      <c r="J249" s="549">
        <f>IF(I249=0,"",I249/H249)</f>
        <v>-1</v>
      </c>
      <c r="K249" s="606">
        <f>K129+K150+K197+K223+K242</f>
        <v>2902257718.109868</v>
      </c>
      <c r="L249" s="101"/>
    </row>
    <row r="250" spans="1:12" x14ac:dyDescent="0.25">
      <c r="A250" s="630" t="str">
        <f>result</f>
        <v>Surplus/ (Deficit) for the year</v>
      </c>
      <c r="B250" s="631"/>
      <c r="C250" s="77">
        <f t="shared" ref="C250:H250" si="114">C126-C249</f>
        <v>0</v>
      </c>
      <c r="D250" s="77">
        <f t="shared" si="114"/>
        <v>1040958021.1601319</v>
      </c>
      <c r="E250" s="77">
        <f t="shared" si="114"/>
        <v>0</v>
      </c>
      <c r="F250" s="77">
        <f t="shared" si="114"/>
        <v>0</v>
      </c>
      <c r="G250" s="77">
        <f t="shared" si="114"/>
        <v>0</v>
      </c>
      <c r="H250" s="77">
        <f t="shared" si="114"/>
        <v>346986007.05337739</v>
      </c>
      <c r="I250" s="643">
        <f>G250-H250</f>
        <v>-346986007.05337739</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5" customHeight="1" x14ac:dyDescent="0.25">
      <c r="A255" s="1016" t="s">
        <v>1249</v>
      </c>
      <c r="B255" s="1016"/>
      <c r="C255" s="1016"/>
      <c r="D255" s="1016"/>
      <c r="E255" s="1016"/>
      <c r="F255" s="1016"/>
      <c r="G255" s="1016"/>
      <c r="H255" s="1016"/>
      <c r="I255" s="1016"/>
      <c r="J255" s="1016"/>
      <c r="K255" s="1016"/>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-3227275693.6602845</v>
      </c>
      <c r="D258" s="637">
        <f>D126-'C4-FinPerf RE'!D53</f>
        <v>-1261.4000000953674</v>
      </c>
      <c r="E258" s="637">
        <f>E126-'C4-FinPerf RE'!E53</f>
        <v>0</v>
      </c>
      <c r="F258" s="637">
        <f>F126-'C4-FinPerf RE'!F53</f>
        <v>-244971826.16000003</v>
      </c>
      <c r="G258" s="637">
        <f>G126-'C4-FinPerf RE'!G53</f>
        <v>-1586905772.633594</v>
      </c>
      <c r="H258" s="637">
        <f>H126-'C4-FinPerf RE'!H53</f>
        <v>-420.46666669845581</v>
      </c>
      <c r="I258" s="637">
        <f>I126-'C4-FinPerf RE'!I53</f>
        <v>-1314405246.4233334</v>
      </c>
      <c r="J258" s="638"/>
      <c r="K258" s="637">
        <f>K126-'C4-FinPerf RE'!K53</f>
        <v>-1261.4000000953674</v>
      </c>
    </row>
    <row r="259" spans="1:11" x14ac:dyDescent="0.25">
      <c r="A259" s="82" t="s">
        <v>187</v>
      </c>
      <c r="B259" s="65"/>
      <c r="C259" s="637">
        <f>C249-'C4-FinPerf RE'!C36</f>
        <v>-3127736445.1299996</v>
      </c>
      <c r="D259" s="637">
        <f>D249-'C4-FinPerf RE'!D36</f>
        <v>0</v>
      </c>
      <c r="E259" s="637">
        <f>E249-'C4-FinPerf RE'!E36</f>
        <v>0</v>
      </c>
      <c r="F259" s="637">
        <f>F249-'C4-FinPerf RE'!F36</f>
        <v>-225817128.34</v>
      </c>
      <c r="G259" s="637">
        <f>G249-'C4-FinPerf RE'!G36</f>
        <v>-887316946.64419997</v>
      </c>
      <c r="H259" s="637">
        <f>H249-'C4-FinPerf RE'!H36</f>
        <v>0</v>
      </c>
      <c r="I259" s="637">
        <f>I249-'C4-FinPerf RE'!I36</f>
        <v>-887316946.64419973</v>
      </c>
      <c r="J259" s="638"/>
      <c r="K259" s="637">
        <f>K249-'C4-FinPerf RE'!K36</f>
        <v>0</v>
      </c>
    </row>
    <row r="263" spans="1:11" x14ac:dyDescent="0.25">
      <c r="E263" s="639"/>
    </row>
  </sheetData>
  <mergeCells count="4">
    <mergeCell ref="A255:K255"/>
    <mergeCell ref="A1:K1"/>
    <mergeCell ref="A2:A3"/>
    <mergeCell ref="B2:B3"/>
  </mergeCells>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C6" sqref="C6:K40"/>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15" t="str">
        <f>muni&amp; " - "&amp;S71C&amp; " - "&amp;date</f>
        <v>LIM354 Polokwane - Table C3 Monthly Budget Statement - Financial Performance (revenue and expenditure by municipal vote) - M04 October</v>
      </c>
      <c r="B1" s="1015"/>
      <c r="C1" s="1015"/>
      <c r="D1" s="1015"/>
      <c r="E1" s="1015"/>
      <c r="F1" s="1015"/>
      <c r="G1" s="1015"/>
      <c r="H1" s="1015"/>
      <c r="I1" s="1015"/>
      <c r="J1" s="1015"/>
      <c r="K1" s="1015"/>
    </row>
    <row r="2" spans="1:24" x14ac:dyDescent="0.2">
      <c r="A2" s="20" t="str">
        <f>Vdesc</f>
        <v>Vote Description</v>
      </c>
      <c r="B2" s="1006" t="str">
        <f>head27</f>
        <v>Ref</v>
      </c>
      <c r="C2" s="143" t="str">
        <f>Head1</f>
        <v>2016/17</v>
      </c>
      <c r="D2" s="1008" t="str">
        <f>Head2</f>
        <v>Budget Year 2017/18</v>
      </c>
      <c r="E2" s="1009"/>
      <c r="F2" s="1009"/>
      <c r="G2" s="1009"/>
      <c r="H2" s="1009"/>
      <c r="I2" s="1009"/>
      <c r="J2" s="1009"/>
      <c r="K2" s="1010"/>
    </row>
    <row r="3" spans="1:24" ht="20.399999999999999" x14ac:dyDescent="0.2">
      <c r="A3" s="169"/>
      <c r="B3" s="1017"/>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688</v>
      </c>
      <c r="B4" s="1018"/>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
      <c r="A9" s="410" t="str">
        <f>'Org structure'!A5</f>
        <v>Vote 4 - Engineering Services</v>
      </c>
      <c r="B9" s="170"/>
      <c r="C9" s="135">
        <f>'C3C'!C39</f>
        <v>0</v>
      </c>
      <c r="D9" s="47">
        <f>'C3C'!D39</f>
        <v>1380720265.0200002</v>
      </c>
      <c r="E9" s="45">
        <f>'C3C'!E39</f>
        <v>0</v>
      </c>
      <c r="F9" s="45">
        <f>'C3C'!F39</f>
        <v>97046430.090000004</v>
      </c>
      <c r="G9" s="45">
        <f>'C3C'!G39</f>
        <v>97046430.090000004</v>
      </c>
      <c r="H9" s="45">
        <f>'C3C'!H39</f>
        <v>460240088.34000003</v>
      </c>
      <c r="I9" s="45">
        <f t="shared" si="0"/>
        <v>-363193658.25</v>
      </c>
      <c r="J9" s="725">
        <f t="shared" si="1"/>
        <v>-0.78913955444422856</v>
      </c>
      <c r="K9" s="145">
        <f>'C3C'!K39</f>
        <v>1380720265.0200002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0</v>
      </c>
      <c r="D10" s="47">
        <f>'C3C'!D50</f>
        <v>177707584.31200001</v>
      </c>
      <c r="E10" s="45">
        <f>'C3C'!E50</f>
        <v>0</v>
      </c>
      <c r="F10" s="45">
        <f>'C3C'!F50</f>
        <v>151558.93</v>
      </c>
      <c r="G10" s="45">
        <f>'C3C'!G50</f>
        <v>151558.93</v>
      </c>
      <c r="H10" s="45">
        <f>'C3C'!H50</f>
        <v>59235861.437333338</v>
      </c>
      <c r="I10" s="45">
        <f t="shared" si="0"/>
        <v>-59084302.507333338</v>
      </c>
      <c r="J10" s="725">
        <f t="shared" si="1"/>
        <v>-0.99744143283608133</v>
      </c>
      <c r="K10" s="145">
        <f>'C3C'!K50</f>
        <v>177707584.31200001</v>
      </c>
      <c r="L10" s="168"/>
      <c r="M10" s="168"/>
      <c r="N10" s="168"/>
      <c r="O10" s="168"/>
      <c r="P10" s="168"/>
      <c r="Q10" s="168"/>
      <c r="R10" s="168"/>
      <c r="S10" s="168"/>
      <c r="T10" s="168"/>
      <c r="U10" s="168"/>
      <c r="V10" s="168"/>
      <c r="W10" s="168"/>
      <c r="X10" s="68"/>
    </row>
    <row r="11" spans="1:24" ht="12.75" customHeight="1" x14ac:dyDescent="0.2">
      <c r="A11" s="410" t="str">
        <f>'Org structure'!A7</f>
        <v>Vote 6 - Community Development</v>
      </c>
      <c r="B11" s="170"/>
      <c r="C11" s="135">
        <f>'C3C'!C61</f>
        <v>0</v>
      </c>
      <c r="D11" s="47">
        <f>'C3C'!D61</f>
        <v>10941026.503999997</v>
      </c>
      <c r="E11" s="45">
        <f>'C3C'!E61</f>
        <v>0</v>
      </c>
      <c r="F11" s="45">
        <f>'C3C'!F61</f>
        <v>23943.02</v>
      </c>
      <c r="G11" s="45">
        <f>'C3C'!G61</f>
        <v>23943.02</v>
      </c>
      <c r="H11" s="45">
        <f>'C3C'!H61</f>
        <v>3647008.8346666652</v>
      </c>
      <c r="I11" s="45">
        <f t="shared" si="0"/>
        <v>-3623065.8146666652</v>
      </c>
      <c r="J11" s="725">
        <f t="shared" si="1"/>
        <v>-0.99343488840158278</v>
      </c>
      <c r="K11" s="145">
        <f>'C3C'!K61</f>
        <v>10941026.503999997</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0</v>
      </c>
      <c r="D12" s="47">
        <f>'C3C'!D72</f>
        <v>5032727.3600000003</v>
      </c>
      <c r="E12" s="45">
        <f>'C3C'!E72</f>
        <v>0</v>
      </c>
      <c r="F12" s="45">
        <f>'C3C'!F72</f>
        <v>0</v>
      </c>
      <c r="G12" s="45">
        <f>'C3C'!G72</f>
        <v>0</v>
      </c>
      <c r="H12" s="45">
        <f>'C3C'!H72</f>
        <v>1677575.7866666666</v>
      </c>
      <c r="I12" s="45">
        <f t="shared" si="0"/>
        <v>-1677575.7866666666</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0</v>
      </c>
      <c r="D13" s="47">
        <f>'C3C'!D83</f>
        <v>71799533.672000006</v>
      </c>
      <c r="E13" s="45">
        <f>'C3C'!E83</f>
        <v>0</v>
      </c>
      <c r="F13" s="45">
        <f>'C3C'!F83</f>
        <v>481148.95</v>
      </c>
      <c r="G13" s="45">
        <f>'C3C'!G83</f>
        <v>481148.95</v>
      </c>
      <c r="H13" s="45">
        <f>'C3C'!H83</f>
        <v>23933177.890666671</v>
      </c>
      <c r="I13" s="45">
        <f t="shared" si="0"/>
        <v>-23452028.940666672</v>
      </c>
      <c r="J13" s="725">
        <f t="shared" si="1"/>
        <v>-0.9798961528553366</v>
      </c>
      <c r="K13" s="145">
        <f>'C3C'!K83</f>
        <v>71799533.672000006</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0</v>
      </c>
      <c r="D14" s="47">
        <f>'C3C'!D94</f>
        <v>2297015863.802</v>
      </c>
      <c r="E14" s="45">
        <f>'C3C'!E94</f>
        <v>0</v>
      </c>
      <c r="F14" s="45">
        <f>'C3C'!F94</f>
        <v>154350884.56200919</v>
      </c>
      <c r="G14" s="45">
        <f>'C3C'!G94</f>
        <v>867694490.64900935</v>
      </c>
      <c r="H14" s="45">
        <f>'C3C'!H94</f>
        <v>765671954.60066676</v>
      </c>
      <c r="I14" s="45">
        <f t="shared" si="0"/>
        <v>102022536.04834259</v>
      </c>
      <c r="J14" s="725">
        <f t="shared" si="1"/>
        <v>0.13324575287800902</v>
      </c>
      <c r="K14" s="145">
        <f>'C3C'!K94</f>
        <v>2297015863.802</v>
      </c>
      <c r="L14" s="705"/>
      <c r="M14" s="168"/>
      <c r="N14" s="168"/>
      <c r="O14" s="168"/>
      <c r="P14" s="168"/>
      <c r="Q14" s="168"/>
      <c r="R14" s="168"/>
      <c r="S14" s="168"/>
      <c r="T14" s="168"/>
      <c r="U14" s="168"/>
      <c r="V14" s="168"/>
      <c r="W14" s="168"/>
      <c r="X14" s="68"/>
    </row>
    <row r="15" spans="1:24" ht="11.25" customHeight="1" x14ac:dyDescent="0.2">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656</v>
      </c>
      <c r="B21" s="234">
        <v>2</v>
      </c>
      <c r="C21" s="146">
        <f>SUM(C6:C20)</f>
        <v>0</v>
      </c>
      <c r="D21" s="75">
        <f t="shared" ref="D21:I21" si="2">SUM(D6:D20)</f>
        <v>3943217000.6700001</v>
      </c>
      <c r="E21" s="74">
        <f t="shared" si="2"/>
        <v>0</v>
      </c>
      <c r="F21" s="74">
        <f t="shared" si="2"/>
        <v>252053965.5520092</v>
      </c>
      <c r="G21" s="74">
        <f t="shared" si="2"/>
        <v>965397571.63900936</v>
      </c>
      <c r="H21" s="74">
        <f t="shared" si="2"/>
        <v>1314405666.8900003</v>
      </c>
      <c r="I21" s="74">
        <f t="shared" si="2"/>
        <v>-349008095.25099081</v>
      </c>
      <c r="J21" s="726">
        <f t="shared" si="1"/>
        <v>-0.26552540364252591</v>
      </c>
      <c r="K21" s="146">
        <f>SUM(K6:K20)</f>
        <v>3943217000.6700001</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COUNCIL</v>
      </c>
      <c r="B24" s="170"/>
      <c r="C24" s="135">
        <f>'C3C'!C174</f>
        <v>0</v>
      </c>
      <c r="D24" s="47">
        <f>'C3C'!D174</f>
        <v>202689023.05886993</v>
      </c>
      <c r="E24" s="45">
        <f>'C3C'!E174</f>
        <v>0</v>
      </c>
      <c r="F24" s="45">
        <f>'C3C'!F174</f>
        <v>96620535</v>
      </c>
      <c r="G24" s="45">
        <f>'C3C'!G174</f>
        <v>96620535</v>
      </c>
      <c r="H24" s="45">
        <f>'C3C'!H174</f>
        <v>67563007.686289966</v>
      </c>
      <c r="I24" s="45">
        <f t="shared" ref="I24:I38" si="3">G24-H24</f>
        <v>29057527.313710034</v>
      </c>
      <c r="J24" s="725">
        <f t="shared" ref="J24:J29" si="4">IF(I24=0,"",I24/H24)</f>
        <v>0.43008042875519364</v>
      </c>
      <c r="K24" s="145">
        <f>'C3C'!K174</f>
        <v>202689023.05886993</v>
      </c>
      <c r="L24" s="98"/>
      <c r="M24" s="85"/>
      <c r="N24" s="85"/>
      <c r="O24" s="85"/>
      <c r="P24" s="85"/>
      <c r="Q24" s="85"/>
      <c r="R24" s="85"/>
      <c r="S24" s="85"/>
      <c r="T24" s="85"/>
      <c r="U24" s="85"/>
      <c r="V24" s="85"/>
      <c r="W24" s="85"/>
      <c r="X24" s="68"/>
    </row>
    <row r="25" spans="1:24" ht="12.75" customHeight="1" x14ac:dyDescent="0.2">
      <c r="A25" s="40" t="str">
        <f>'Org structure'!A3</f>
        <v>Vote 2 - Office of the Municipal Manger</v>
      </c>
      <c r="B25" s="170"/>
      <c r="C25" s="135">
        <f>'C3C'!C185</f>
        <v>0</v>
      </c>
      <c r="D25" s="47">
        <f>'C3C'!D185</f>
        <v>67350054.444399998</v>
      </c>
      <c r="E25" s="45">
        <f>'C3C'!E185</f>
        <v>0</v>
      </c>
      <c r="F25" s="45">
        <f>'C3C'!F185</f>
        <v>0</v>
      </c>
      <c r="G25" s="45">
        <f>'C3C'!G185</f>
        <v>0</v>
      </c>
      <c r="H25" s="45">
        <f>'C3C'!H185</f>
        <v>22450018.148133334</v>
      </c>
      <c r="I25" s="45">
        <f t="shared" si="3"/>
        <v>-22450018.148133334</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
      <c r="A26" s="40" t="str">
        <f>'Org structure'!A4</f>
        <v>Vote 3 - Strategic Planning Monitoring and Evaluation</v>
      </c>
      <c r="B26" s="170"/>
      <c r="C26" s="135">
        <f>'C3C'!C196</f>
        <v>0</v>
      </c>
      <c r="D26" s="47">
        <f>'C3C'!D196</f>
        <v>33256086.848561782</v>
      </c>
      <c r="E26" s="45">
        <f>'C3C'!E196</f>
        <v>0</v>
      </c>
      <c r="F26" s="45">
        <f>'C3C'!F196</f>
        <v>0</v>
      </c>
      <c r="G26" s="45">
        <f>'C3C'!G196</f>
        <v>0</v>
      </c>
      <c r="H26" s="45">
        <f>'C3C'!H196</f>
        <v>11085362.282853927</v>
      </c>
      <c r="I26" s="45">
        <f t="shared" si="3"/>
        <v>-11085362.282853927</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
      <c r="A27" s="40" t="str">
        <f>'Org structure'!A5</f>
        <v>Vote 4 - Engineering Services</v>
      </c>
      <c r="B27" s="170"/>
      <c r="C27" s="135">
        <f>'C3C'!C207</f>
        <v>0</v>
      </c>
      <c r="D27" s="47">
        <f>'C3C'!D207</f>
        <v>1311939384.8448501</v>
      </c>
      <c r="E27" s="45">
        <f>'C3C'!E207</f>
        <v>0</v>
      </c>
      <c r="F27" s="45">
        <f>'C3C'!F207</f>
        <v>42101958.530000001</v>
      </c>
      <c r="G27" s="45">
        <f>'C3C'!G207</f>
        <v>90351310.030000001</v>
      </c>
      <c r="H27" s="45">
        <f>'C3C'!H207</f>
        <v>437313128.28161675</v>
      </c>
      <c r="I27" s="45">
        <f t="shared" si="3"/>
        <v>-346961818.25161672</v>
      </c>
      <c r="J27" s="725">
        <f t="shared" si="4"/>
        <v>-0.79339447140535768</v>
      </c>
      <c r="K27" s="145">
        <f>'C3C'!K207</f>
        <v>1311939384.8448501</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0</v>
      </c>
      <c r="D28" s="47">
        <f>'C3C'!D218</f>
        <v>337367548.13414729</v>
      </c>
      <c r="E28" s="45">
        <f>'C3C'!E218</f>
        <v>0</v>
      </c>
      <c r="F28" s="45">
        <f>'C3C'!F218</f>
        <v>1805923.6900000002</v>
      </c>
      <c r="G28" s="45">
        <f>'C3C'!G218</f>
        <v>1805923.6900000002</v>
      </c>
      <c r="H28" s="45">
        <f>'C3C'!H218</f>
        <v>112455849.37804911</v>
      </c>
      <c r="I28" s="45">
        <f t="shared" si="3"/>
        <v>-110649925.68804911</v>
      </c>
      <c r="J28" s="725">
        <f t="shared" si="4"/>
        <v>-0.98394104264039728</v>
      </c>
      <c r="K28" s="145">
        <f>'C3C'!K218</f>
        <v>337367548.13414729</v>
      </c>
      <c r="L28" s="98"/>
      <c r="M28" s="98"/>
      <c r="N28" s="98"/>
      <c r="O28" s="98"/>
      <c r="P28" s="98"/>
      <c r="Q28" s="98"/>
      <c r="R28" s="98"/>
      <c r="S28" s="98"/>
      <c r="T28" s="98"/>
      <c r="U28" s="98"/>
      <c r="V28" s="98"/>
      <c r="W28" s="98"/>
      <c r="X28" s="68"/>
    </row>
    <row r="29" spans="1:24" ht="12.75" customHeight="1" x14ac:dyDescent="0.2">
      <c r="A29" s="40" t="str">
        <f>'Org structure'!A7</f>
        <v>Vote 6 - Community Development</v>
      </c>
      <c r="B29" s="170"/>
      <c r="C29" s="135">
        <f>'C3C'!C229</f>
        <v>0</v>
      </c>
      <c r="D29" s="47">
        <f>'C3C'!D229</f>
        <v>207039891.88665533</v>
      </c>
      <c r="E29" s="45">
        <f>'C3C'!E229</f>
        <v>0</v>
      </c>
      <c r="F29" s="45">
        <f>'C3C'!F229</f>
        <v>149257.19</v>
      </c>
      <c r="G29" s="45">
        <f>'C3C'!G229</f>
        <v>149257.19</v>
      </c>
      <c r="H29" s="45">
        <f>'C3C'!H229</f>
        <v>69013297.295551777</v>
      </c>
      <c r="I29" s="45">
        <f t="shared" si="3"/>
        <v>-68864040.105551779</v>
      </c>
      <c r="J29" s="725">
        <f t="shared" si="4"/>
        <v>-0.99783726910828796</v>
      </c>
      <c r="K29" s="145">
        <f>'C3C'!K229</f>
        <v>207039891.88665533</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0</v>
      </c>
      <c r="D30" s="47">
        <f>'C3C'!D240</f>
        <v>175048114.39098144</v>
      </c>
      <c r="E30" s="45">
        <f>'C3C'!E240</f>
        <v>0</v>
      </c>
      <c r="F30" s="45">
        <f>'C3C'!F240</f>
        <v>55061414.729999997</v>
      </c>
      <c r="G30" s="45">
        <f>'C3C'!G240</f>
        <v>55061414.729999997</v>
      </c>
      <c r="H30" s="45">
        <f>'C3C'!H240</f>
        <v>58349371.463660471</v>
      </c>
      <c r="I30" s="45">
        <f t="shared" si="3"/>
        <v>-3287956.7336604744</v>
      </c>
      <c r="J30" s="725">
        <f t="shared" ref="J30:J38" si="5">IF(I30=0,"",I30/H30)</f>
        <v>-5.6349479886140467E-2</v>
      </c>
      <c r="K30" s="145">
        <f>'C3C'!K240</f>
        <v>175048114.39098144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0</v>
      </c>
      <c r="D31" s="47">
        <f>'C3C'!D251</f>
        <v>76650723.628764004</v>
      </c>
      <c r="E31" s="45">
        <f>'C3C'!E251</f>
        <v>0</v>
      </c>
      <c r="F31" s="45">
        <f>'C3C'!F251</f>
        <v>1376.58</v>
      </c>
      <c r="G31" s="45">
        <f>'C3C'!G251</f>
        <v>1376.58</v>
      </c>
      <c r="H31" s="45">
        <f>'C3C'!H251</f>
        <v>25550241.209587999</v>
      </c>
      <c r="I31" s="45">
        <f t="shared" si="3"/>
        <v>-25548864.629588</v>
      </c>
      <c r="J31" s="725">
        <f t="shared" si="5"/>
        <v>-0.99994612262214255</v>
      </c>
      <c r="K31" s="145">
        <f>'C3C'!K251</f>
        <v>76650723.628764004</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0</v>
      </c>
      <c r="D32" s="47">
        <f>'C3C'!D262</f>
        <v>394950240.20276803</v>
      </c>
      <c r="E32" s="45">
        <f>'C3C'!E262</f>
        <v>0</v>
      </c>
      <c r="F32" s="45">
        <f>'C3C'!F262</f>
        <v>28109448.91</v>
      </c>
      <c r="G32" s="45">
        <f>'C3C'!G262</f>
        <v>249871174.71000001</v>
      </c>
      <c r="H32" s="45">
        <f>'C3C'!H262</f>
        <v>131650080.06758933</v>
      </c>
      <c r="I32" s="45">
        <f t="shared" si="3"/>
        <v>118221094.64241068</v>
      </c>
      <c r="J32" s="725">
        <f t="shared" si="5"/>
        <v>0.89799485561813419</v>
      </c>
      <c r="K32" s="145">
        <f>'C3C'!K262</f>
        <v>394950240.20276803</v>
      </c>
      <c r="L32" s="98"/>
      <c r="M32" s="98"/>
      <c r="N32" s="98"/>
      <c r="O32" s="98"/>
      <c r="P32" s="98"/>
      <c r="Q32" s="98"/>
      <c r="R32" s="98"/>
      <c r="S32" s="98"/>
      <c r="T32" s="98"/>
      <c r="U32" s="98"/>
      <c r="V32" s="98"/>
      <c r="W32" s="98"/>
      <c r="X32" s="68"/>
    </row>
    <row r="33" spans="1:24" ht="11.25" customHeight="1" x14ac:dyDescent="0.2">
      <c r="A33" s="40" t="str">
        <f>'Org structure'!A11</f>
        <v>Vote 10 - Transport Operations</v>
      </c>
      <c r="B33" s="170"/>
      <c r="C33" s="135">
        <f>'C3C'!C273</f>
        <v>0</v>
      </c>
      <c r="D33" s="47">
        <f>'C3C'!D273</f>
        <v>95966650.669870242</v>
      </c>
      <c r="E33" s="45">
        <f>'C3C'!E273</f>
        <v>0</v>
      </c>
      <c r="F33" s="45">
        <f>'C3C'!F273</f>
        <v>0</v>
      </c>
      <c r="G33" s="45">
        <f>'C3C'!G273</f>
        <v>0</v>
      </c>
      <c r="H33" s="45">
        <f>'C3C'!H273</f>
        <v>31988883.556623414</v>
      </c>
      <c r="I33" s="45">
        <f t="shared" si="3"/>
        <v>-31988883.556623414</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655</v>
      </c>
      <c r="B39" s="234">
        <v>2</v>
      </c>
      <c r="C39" s="519">
        <f>SUM(C24:C38)</f>
        <v>223849914.63</v>
      </c>
      <c r="D39" s="478">
        <f t="shared" ref="D39:I39" si="6">SUM(D24:D38)</f>
        <v>3396118710.1082687</v>
      </c>
      <c r="E39" s="433">
        <f t="shared" si="6"/>
        <v>0</v>
      </c>
      <c r="F39" s="433">
        <f t="shared" si="6"/>
        <v>223849914.63</v>
      </c>
      <c r="G39" s="433">
        <f t="shared" si="6"/>
        <v>493860991.93000001</v>
      </c>
      <c r="H39" s="433">
        <f t="shared" si="6"/>
        <v>967419239.36995614</v>
      </c>
      <c r="I39" s="433">
        <f t="shared" si="6"/>
        <v>-473558247.43995595</v>
      </c>
      <c r="J39" s="728">
        <f>IF(I39=0,"",I39/H39)</f>
        <v>-0.48950674967800584</v>
      </c>
      <c r="K39" s="516">
        <f>SUM(K24:K38)</f>
        <v>2902257718.1098685</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-223849914.63</v>
      </c>
      <c r="D40" s="57">
        <f t="shared" si="7"/>
        <v>547098290.56173134</v>
      </c>
      <c r="E40" s="56">
        <f t="shared" si="7"/>
        <v>0</v>
      </c>
      <c r="F40" s="56">
        <f t="shared" si="7"/>
        <v>28204050.9220092</v>
      </c>
      <c r="G40" s="56">
        <f t="shared" si="7"/>
        <v>471536579.70900935</v>
      </c>
      <c r="H40" s="56">
        <f t="shared" si="7"/>
        <v>346986427.52004421</v>
      </c>
      <c r="I40" s="56">
        <f>I21-I39</f>
        <v>124550152.18896514</v>
      </c>
      <c r="J40" s="729">
        <f>IF(I40=0,"",I40/H40)</f>
        <v>0.35894819598317085</v>
      </c>
      <c r="K40" s="236">
        <f>K21-K39</f>
        <v>1040959282.5601315</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35" activePane="bottomRight" state="frozen"/>
      <selection pane="topRight"/>
      <selection pane="bottomLeft"/>
      <selection pane="bottomRight" activeCell="H274" sqref="H274:H283"/>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M04 October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Engineering Services</v>
      </c>
      <c r="B39" s="443"/>
      <c r="C39" s="506">
        <f t="shared" ref="C39:K39" si="5">SUM(C40:C49)</f>
        <v>0</v>
      </c>
      <c r="D39" s="447">
        <f t="shared" si="5"/>
        <v>1380720265.0200002</v>
      </c>
      <c r="E39" s="444">
        <f t="shared" si="5"/>
        <v>0</v>
      </c>
      <c r="F39" s="446">
        <f t="shared" si="5"/>
        <v>97046430.090000004</v>
      </c>
      <c r="G39" s="444">
        <f t="shared" si="5"/>
        <v>97046430.090000004</v>
      </c>
      <c r="H39" s="446">
        <f t="shared" si="5"/>
        <v>460240088.34000003</v>
      </c>
      <c r="I39" s="45">
        <f t="shared" si="1"/>
        <v>-363193658.25</v>
      </c>
      <c r="J39" s="333">
        <f t="shared" si="2"/>
        <v>-0.78913955444422856</v>
      </c>
      <c r="K39" s="445">
        <f t="shared" si="5"/>
        <v>1380720265.0200002</v>
      </c>
      <c r="L39" s="427"/>
      <c r="M39" s="39"/>
      <c r="N39" s="39"/>
      <c r="O39" s="39"/>
      <c r="P39" s="39"/>
      <c r="Q39" s="39"/>
      <c r="R39" s="39"/>
      <c r="S39" s="39"/>
      <c r="T39" s="39"/>
      <c r="U39" s="39"/>
      <c r="V39" s="39"/>
      <c r="W39" s="39"/>
    </row>
    <row r="40" spans="1:23" ht="11.25" customHeight="1" x14ac:dyDescent="0.2">
      <c r="A40" s="410" t="str">
        <f>'Org structure'!E36</f>
        <v>4,1 - Roads and streets</v>
      </c>
      <c r="B40" s="448"/>
      <c r="C40" s="749"/>
      <c r="D40" s="750">
        <v>238203.2</v>
      </c>
      <c r="E40" s="751"/>
      <c r="F40" s="752">
        <v>3720</v>
      </c>
      <c r="G40" s="751">
        <v>3720</v>
      </c>
      <c r="H40" s="752">
        <f t="shared" ref="H40:H49" si="6">D40/12*4</f>
        <v>79401.066666666666</v>
      </c>
      <c r="I40" s="45">
        <f t="shared" si="1"/>
        <v>-75681.066666666666</v>
      </c>
      <c r="J40" s="333">
        <f t="shared" si="2"/>
        <v>-0.95314924400679757</v>
      </c>
      <c r="K40" s="753">
        <f>D40</f>
        <v>238203.2</v>
      </c>
      <c r="L40" s="427"/>
      <c r="M40" s="39"/>
      <c r="N40" s="39"/>
      <c r="O40" s="39"/>
      <c r="P40" s="39"/>
      <c r="Q40" s="39"/>
      <c r="R40" s="39"/>
      <c r="S40" s="39"/>
      <c r="T40" s="39"/>
      <c r="U40" s="39"/>
      <c r="V40" s="39"/>
      <c r="W40" s="39"/>
    </row>
    <row r="41" spans="1:23" ht="11.25" customHeight="1" x14ac:dyDescent="0.2">
      <c r="A41" s="410" t="str">
        <f>'Org structure'!E37</f>
        <v>4,2 - Stormwater</v>
      </c>
      <c r="B41" s="448"/>
      <c r="C41" s="749"/>
      <c r="D41" s="750"/>
      <c r="E41" s="751"/>
      <c r="F41" s="752"/>
      <c r="G41" s="751"/>
      <c r="H41" s="752">
        <f t="shared" si="6"/>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
      <c r="A42" s="410" t="str">
        <f>'Org structure'!E38</f>
        <v>4,3 - Sewer Purification</v>
      </c>
      <c r="B42" s="448"/>
      <c r="C42" s="749"/>
      <c r="D42" s="750">
        <v>27724195.100000001</v>
      </c>
      <c r="E42" s="751"/>
      <c r="F42" s="752">
        <v>8077534.25</v>
      </c>
      <c r="G42" s="751">
        <v>8077534.25</v>
      </c>
      <c r="H42" s="752">
        <f t="shared" si="6"/>
        <v>9241398.3666666672</v>
      </c>
      <c r="I42" s="45">
        <f t="shared" si="1"/>
        <v>-1163864.1166666672</v>
      </c>
      <c r="J42" s="333">
        <f t="shared" si="2"/>
        <v>-0.12594026039010242</v>
      </c>
      <c r="K42" s="753">
        <f t="shared" si="7"/>
        <v>27724195.100000001</v>
      </c>
      <c r="L42" s="427"/>
      <c r="M42" s="39"/>
      <c r="N42" s="39"/>
      <c r="O42" s="39"/>
      <c r="P42" s="39"/>
      <c r="Q42" s="39"/>
      <c r="R42" s="39"/>
      <c r="S42" s="39"/>
      <c r="T42" s="39"/>
      <c r="U42" s="39"/>
      <c r="V42" s="39"/>
      <c r="W42" s="39"/>
    </row>
    <row r="43" spans="1:23" ht="11.25" customHeight="1" x14ac:dyDescent="0.2">
      <c r="A43" s="410" t="str">
        <f>'Org structure'!E39</f>
        <v>4,4 - Sewer Reticulation</v>
      </c>
      <c r="B43" s="448"/>
      <c r="C43" s="749"/>
      <c r="D43" s="750">
        <v>66771804.800000004</v>
      </c>
      <c r="E43" s="751"/>
      <c r="F43" s="752">
        <v>8998076.4199999999</v>
      </c>
      <c r="G43" s="751">
        <v>8998076.4199999999</v>
      </c>
      <c r="H43" s="752">
        <f t="shared" si="6"/>
        <v>22257268.266666669</v>
      </c>
      <c r="I43" s="45">
        <f t="shared" si="1"/>
        <v>-13259191.846666669</v>
      </c>
      <c r="J43" s="333">
        <f t="shared" si="2"/>
        <v>-0.59572413324972762</v>
      </c>
      <c r="K43" s="753">
        <f t="shared" si="7"/>
        <v>66771804.800000004</v>
      </c>
      <c r="L43" s="427"/>
      <c r="M43" s="39"/>
      <c r="N43" s="39"/>
      <c r="O43" s="39"/>
      <c r="P43" s="39"/>
      <c r="Q43" s="39"/>
      <c r="R43" s="39"/>
      <c r="S43" s="39"/>
      <c r="T43" s="39"/>
      <c r="U43" s="39"/>
      <c r="V43" s="39"/>
      <c r="W43" s="39"/>
    </row>
    <row r="44" spans="1:23" ht="11.25" customHeight="1" x14ac:dyDescent="0.2">
      <c r="A44" s="410" t="str">
        <f>'Org structure'!E40</f>
        <v>4,5 - Water Distribution</v>
      </c>
      <c r="B44" s="448"/>
      <c r="C44" s="749"/>
      <c r="D44" s="750">
        <v>313506426.09999996</v>
      </c>
      <c r="E44" s="751"/>
      <c r="F44" s="752">
        <v>26183495.870000001</v>
      </c>
      <c r="G44" s="751">
        <v>26183495.870000001</v>
      </c>
      <c r="H44" s="752">
        <f t="shared" si="6"/>
        <v>104502142.03333332</v>
      </c>
      <c r="I44" s="45">
        <f t="shared" si="1"/>
        <v>-78318646.163333312</v>
      </c>
      <c r="J44" s="333">
        <f t="shared" si="2"/>
        <v>-0.74944536675958096</v>
      </c>
      <c r="K44" s="753">
        <f t="shared" si="7"/>
        <v>313506426.09999996</v>
      </c>
      <c r="L44" s="427"/>
      <c r="M44" s="39"/>
      <c r="N44" s="39"/>
      <c r="O44" s="39"/>
      <c r="P44" s="39"/>
      <c r="Q44" s="39"/>
      <c r="R44" s="39"/>
      <c r="S44" s="39"/>
      <c r="T44" s="39"/>
      <c r="U44" s="39"/>
      <c r="V44" s="39"/>
      <c r="W44" s="39"/>
    </row>
    <row r="45" spans="1:23" ht="11.25" customHeight="1" x14ac:dyDescent="0.2">
      <c r="A45" s="410" t="str">
        <f>'Org structure'!E41</f>
        <v>4,6 - Water Purification</v>
      </c>
      <c r="B45" s="448"/>
      <c r="C45" s="749"/>
      <c r="D45" s="750"/>
      <c r="E45" s="751"/>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
      <c r="A46" s="410" t="str">
        <f>'Org structure'!E42</f>
        <v>4,7 - Water Provision</v>
      </c>
      <c r="B46" s="448"/>
      <c r="C46" s="749"/>
      <c r="D46" s="750"/>
      <c r="E46" s="751"/>
      <c r="F46" s="752"/>
      <c r="G46" s="751"/>
      <c r="H46" s="752">
        <f t="shared" si="6"/>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
      <c r="A47" s="410" t="str">
        <f>'Org structure'!E43</f>
        <v>4,8 - Electrical Workshop</v>
      </c>
      <c r="B47" s="448"/>
      <c r="C47" s="749"/>
      <c r="D47" s="750"/>
      <c r="E47" s="751"/>
      <c r="F47" s="752"/>
      <c r="G47" s="751"/>
      <c r="H47" s="752">
        <f t="shared" si="6"/>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
      <c r="A48" s="410" t="str">
        <f>'Org structure'!E44</f>
        <v>4,9 - Electricity Distribution</v>
      </c>
      <c r="B48" s="448"/>
      <c r="C48" s="749"/>
      <c r="D48" s="750">
        <v>972479635.82000017</v>
      </c>
      <c r="E48" s="751"/>
      <c r="F48" s="752">
        <v>53783603.549999997</v>
      </c>
      <c r="G48" s="751">
        <v>53783603.549999997</v>
      </c>
      <c r="H48" s="752">
        <f t="shared" si="6"/>
        <v>324159878.60666674</v>
      </c>
      <c r="I48" s="45">
        <f t="shared" si="1"/>
        <v>-270376275.05666673</v>
      </c>
      <c r="J48" s="333">
        <f t="shared" si="2"/>
        <v>-0.83408309572061312</v>
      </c>
      <c r="K48" s="753">
        <f t="shared" si="7"/>
        <v>972479635.82000017</v>
      </c>
      <c r="L48" s="427"/>
      <c r="M48" s="39"/>
      <c r="N48" s="39"/>
      <c r="O48" s="39"/>
      <c r="P48" s="39"/>
      <c r="Q48" s="39"/>
      <c r="R48" s="39"/>
      <c r="S48" s="39"/>
      <c r="T48" s="39"/>
      <c r="U48" s="39"/>
      <c r="V48" s="39"/>
      <c r="W48" s="39"/>
    </row>
    <row r="49" spans="1:23" ht="11.25" customHeight="1" x14ac:dyDescent="0.2">
      <c r="A49" s="410" t="str">
        <f>'Org structure'!E45</f>
        <v>4.10 - Other Engineering services</v>
      </c>
      <c r="B49" s="448"/>
      <c r="C49" s="749"/>
      <c r="D49" s="750"/>
      <c r="E49" s="751"/>
      <c r="F49" s="752"/>
      <c r="G49" s="751"/>
      <c r="H49" s="752">
        <f t="shared" si="6"/>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0</v>
      </c>
      <c r="D50" s="447">
        <f t="shared" ref="D50:K50" si="8">SUM(D51:D60)</f>
        <v>177707584.31200001</v>
      </c>
      <c r="E50" s="444">
        <f t="shared" si="8"/>
        <v>0</v>
      </c>
      <c r="F50" s="446">
        <f t="shared" si="8"/>
        <v>151558.93</v>
      </c>
      <c r="G50" s="444">
        <f t="shared" si="8"/>
        <v>151558.93</v>
      </c>
      <c r="H50" s="446">
        <f t="shared" si="8"/>
        <v>59235861.437333338</v>
      </c>
      <c r="I50" s="45">
        <f t="shared" si="1"/>
        <v>-59084302.507333338</v>
      </c>
      <c r="J50" s="333">
        <f t="shared" si="2"/>
        <v>-0.99744143283608133</v>
      </c>
      <c r="K50" s="445">
        <f t="shared" si="8"/>
        <v>177707584.31200001</v>
      </c>
      <c r="L50" s="427"/>
      <c r="M50" s="39"/>
      <c r="N50" s="39"/>
      <c r="O50" s="39"/>
      <c r="P50" s="39"/>
      <c r="Q50" s="39"/>
      <c r="R50" s="39"/>
      <c r="S50" s="39"/>
      <c r="T50" s="39"/>
      <c r="U50" s="39"/>
      <c r="V50" s="39"/>
      <c r="W50" s="39"/>
    </row>
    <row r="51" spans="1:23" ht="11.25" customHeight="1" x14ac:dyDescent="0.2">
      <c r="A51" s="410" t="str">
        <f>'Org structure'!E47</f>
        <v>5,1 - 5.1 - Licensing</v>
      </c>
      <c r="B51" s="448"/>
      <c r="C51" s="749"/>
      <c r="D51" s="750">
        <v>21140065.784000002</v>
      </c>
      <c r="E51" s="751"/>
      <c r="F51" s="752"/>
      <c r="G51" s="751"/>
      <c r="H51" s="752">
        <f t="shared" ref="H51:H60" si="9">D51/12*4</f>
        <v>7046688.5946666673</v>
      </c>
      <c r="I51" s="45">
        <f t="shared" si="1"/>
        <v>-7046688.5946666673</v>
      </c>
      <c r="J51" s="333">
        <f t="shared" si="2"/>
        <v>-1</v>
      </c>
      <c r="K51" s="753">
        <f>D51</f>
        <v>21140065.784000002</v>
      </c>
      <c r="L51" s="427"/>
      <c r="M51" s="39"/>
      <c r="N51" s="39"/>
      <c r="O51" s="39"/>
      <c r="P51" s="39"/>
      <c r="Q51" s="39"/>
      <c r="R51" s="39"/>
      <c r="S51" s="39"/>
      <c r="T51" s="39"/>
      <c r="U51" s="39"/>
      <c r="V51" s="39"/>
      <c r="W51" s="39"/>
    </row>
    <row r="52" spans="1:23" ht="11.25" customHeight="1" x14ac:dyDescent="0.2">
      <c r="A52" s="410" t="str">
        <f>'Org structure'!E48</f>
        <v>5,2 - 5.2 - Vehicle Licensing and Testing</v>
      </c>
      <c r="B52" s="448"/>
      <c r="C52" s="749"/>
      <c r="D52" s="750">
        <v>13376877.779999997</v>
      </c>
      <c r="E52" s="751"/>
      <c r="F52" s="752"/>
      <c r="G52" s="751"/>
      <c r="H52" s="752">
        <f t="shared" si="9"/>
        <v>4458959.2599999988</v>
      </c>
      <c r="I52" s="45">
        <f t="shared" si="1"/>
        <v>-4458959.2599999988</v>
      </c>
      <c r="J52" s="333">
        <f t="shared" si="2"/>
        <v>-1</v>
      </c>
      <c r="K52" s="753">
        <f t="shared" ref="K52:K60" si="10">D52</f>
        <v>13376877.779999997</v>
      </c>
      <c r="L52" s="427"/>
      <c r="M52" s="39"/>
      <c r="N52" s="39"/>
      <c r="O52" s="39"/>
      <c r="P52" s="39"/>
      <c r="Q52" s="39"/>
      <c r="R52" s="39"/>
      <c r="S52" s="39"/>
      <c r="T52" s="39"/>
      <c r="U52" s="39"/>
      <c r="V52" s="39"/>
      <c r="W52" s="39"/>
    </row>
    <row r="53" spans="1:23" ht="11.25" customHeight="1" x14ac:dyDescent="0.2">
      <c r="A53" s="410" t="str">
        <f>'Org structure'!E49</f>
        <v>5,3 - 5.3 - Traffic</v>
      </c>
      <c r="B53" s="448"/>
      <c r="C53" s="749"/>
      <c r="D53" s="750">
        <v>30547983.687999997</v>
      </c>
      <c r="E53" s="751"/>
      <c r="F53" s="752">
        <v>26133.91</v>
      </c>
      <c r="G53" s="751">
        <v>26133.91</v>
      </c>
      <c r="H53" s="752">
        <f t="shared" si="9"/>
        <v>10182661.229333332</v>
      </c>
      <c r="I53" s="45">
        <f t="shared" si="1"/>
        <v>-10156527.319333332</v>
      </c>
      <c r="J53" s="333">
        <f t="shared" si="2"/>
        <v>-0.99743348920175057</v>
      </c>
      <c r="K53" s="753">
        <f t="shared" si="10"/>
        <v>30547983.687999997</v>
      </c>
      <c r="L53" s="427"/>
      <c r="M53" s="39"/>
      <c r="N53" s="39"/>
      <c r="O53" s="39"/>
      <c r="P53" s="39"/>
      <c r="Q53" s="39"/>
      <c r="R53" s="39"/>
      <c r="S53" s="39"/>
      <c r="T53" s="39"/>
      <c r="U53" s="39"/>
      <c r="V53" s="39"/>
      <c r="W53" s="39"/>
    </row>
    <row r="54" spans="1:23" ht="11.25" customHeight="1" x14ac:dyDescent="0.2">
      <c r="A54" s="410" t="str">
        <f>'Org structure'!E50</f>
        <v>5,4 - 5.4 - Security Services</v>
      </c>
      <c r="B54" s="448"/>
      <c r="C54" s="749"/>
      <c r="D54" s="750"/>
      <c r="E54" s="751"/>
      <c r="F54" s="752"/>
      <c r="G54" s="751"/>
      <c r="H54" s="752">
        <f t="shared" si="9"/>
        <v>0</v>
      </c>
      <c r="I54" s="45">
        <f t="shared" si="1"/>
        <v>0</v>
      </c>
      <c r="J54" s="333" t="str">
        <f t="shared" si="2"/>
        <v/>
      </c>
      <c r="K54" s="753">
        <f t="shared" si="10"/>
        <v>0</v>
      </c>
      <c r="L54" s="427"/>
      <c r="M54" s="39"/>
      <c r="N54" s="39"/>
      <c r="O54" s="39"/>
      <c r="P54" s="39"/>
      <c r="Q54" s="39"/>
      <c r="R54" s="39"/>
      <c r="S54" s="39"/>
      <c r="T54" s="39"/>
      <c r="U54" s="39"/>
      <c r="V54" s="39"/>
      <c r="W54" s="39"/>
    </row>
    <row r="55" spans="1:23" ht="11.25" customHeight="1" x14ac:dyDescent="0.2">
      <c r="A55" s="410" t="str">
        <f>'Org structure'!E51</f>
        <v>5,5 - 5.5 - Fire and Emergency Services</v>
      </c>
      <c r="B55" s="448"/>
      <c r="C55" s="749"/>
      <c r="D55" s="750">
        <v>285822.07</v>
      </c>
      <c r="E55" s="751"/>
      <c r="F55" s="752"/>
      <c r="G55" s="751"/>
      <c r="H55" s="752">
        <f t="shared" si="9"/>
        <v>95274.023333333331</v>
      </c>
      <c r="I55" s="45">
        <f t="shared" si="1"/>
        <v>-95274.023333333331</v>
      </c>
      <c r="J55" s="333">
        <f t="shared" si="2"/>
        <v>-1</v>
      </c>
      <c r="K55" s="753">
        <f t="shared" si="10"/>
        <v>285822.07</v>
      </c>
      <c r="L55" s="427"/>
      <c r="M55" s="39"/>
      <c r="N55" s="39"/>
      <c r="O55" s="39"/>
      <c r="P55" s="39"/>
      <c r="Q55" s="39"/>
      <c r="R55" s="39"/>
      <c r="S55" s="39"/>
      <c r="T55" s="39"/>
      <c r="U55" s="39"/>
      <c r="V55" s="39"/>
      <c r="W55" s="39"/>
    </row>
    <row r="56" spans="1:23" ht="11.25" customHeight="1" x14ac:dyDescent="0.2">
      <c r="A56" s="410" t="str">
        <f>'Org structure'!E52</f>
        <v>5,6 - 5.6 - Cemeteries</v>
      </c>
      <c r="B56" s="448"/>
      <c r="C56" s="749"/>
      <c r="D56" s="750">
        <v>1000977.0800000001</v>
      </c>
      <c r="E56" s="751"/>
      <c r="F56" s="752"/>
      <c r="G56" s="751"/>
      <c r="H56" s="752">
        <f t="shared" si="9"/>
        <v>333659.02666666667</v>
      </c>
      <c r="I56" s="45">
        <f t="shared" si="1"/>
        <v>-333659.02666666667</v>
      </c>
      <c r="J56" s="333">
        <f t="shared" si="2"/>
        <v>-1</v>
      </c>
      <c r="K56" s="753">
        <f t="shared" si="10"/>
        <v>1000977.0800000001</v>
      </c>
      <c r="L56" s="427"/>
      <c r="M56" s="39"/>
      <c r="N56" s="39"/>
      <c r="O56" s="39"/>
      <c r="P56" s="39"/>
      <c r="Q56" s="39"/>
      <c r="R56" s="39"/>
      <c r="S56" s="39"/>
      <c r="T56" s="39"/>
      <c r="U56" s="39"/>
      <c r="V56" s="39"/>
      <c r="W56" s="39"/>
    </row>
    <row r="57" spans="1:23" ht="11.25" customHeight="1" x14ac:dyDescent="0.2">
      <c r="A57" s="410" t="str">
        <f>'Org structure'!E53</f>
        <v>5,7 - 5.7 - Nature Reserve</v>
      </c>
      <c r="B57" s="448"/>
      <c r="C57" s="749"/>
      <c r="D57" s="750">
        <v>2628432.4580000006</v>
      </c>
      <c r="E57" s="751"/>
      <c r="F57" s="752">
        <v>7062.14</v>
      </c>
      <c r="G57" s="751">
        <v>7062.14</v>
      </c>
      <c r="H57" s="752">
        <f t="shared" si="9"/>
        <v>876144.15266666689</v>
      </c>
      <c r="I57" s="45">
        <f t="shared" si="1"/>
        <v>-869082.01266666688</v>
      </c>
      <c r="J57" s="333">
        <f t="shared" si="2"/>
        <v>-0.9919395227617448</v>
      </c>
      <c r="K57" s="753">
        <f t="shared" si="10"/>
        <v>2628432.4580000006</v>
      </c>
      <c r="L57" s="427"/>
      <c r="M57" s="39"/>
      <c r="N57" s="39"/>
      <c r="O57" s="39"/>
      <c r="P57" s="39"/>
      <c r="Q57" s="39"/>
      <c r="R57" s="39"/>
      <c r="S57" s="39"/>
      <c r="T57" s="39"/>
      <c r="U57" s="39"/>
      <c r="V57" s="39"/>
      <c r="W57" s="39"/>
    </row>
    <row r="58" spans="1:23" ht="11.25" customHeight="1" x14ac:dyDescent="0.2">
      <c r="A58" s="410" t="str">
        <f>'Org structure'!E54</f>
        <v>5,8 - 5.8 - Parks and Open Areas</v>
      </c>
      <c r="B58" s="448"/>
      <c r="C58" s="749"/>
      <c r="D58" s="750">
        <v>181401.092</v>
      </c>
      <c r="E58" s="751"/>
      <c r="F58" s="752"/>
      <c r="G58" s="751"/>
      <c r="H58" s="752">
        <f t="shared" si="9"/>
        <v>60467.030666666666</v>
      </c>
      <c r="I58" s="45">
        <f t="shared" si="1"/>
        <v>-60467.030666666666</v>
      </c>
      <c r="J58" s="333">
        <f t="shared" si="2"/>
        <v>-1</v>
      </c>
      <c r="K58" s="753">
        <f t="shared" si="10"/>
        <v>181401.092</v>
      </c>
      <c r="L58" s="427"/>
      <c r="M58" s="39"/>
      <c r="N58" s="39"/>
      <c r="O58" s="39"/>
      <c r="P58" s="39"/>
      <c r="Q58" s="39"/>
      <c r="R58" s="39"/>
      <c r="S58" s="39"/>
      <c r="T58" s="39"/>
      <c r="U58" s="39"/>
      <c r="V58" s="39"/>
      <c r="W58" s="39"/>
    </row>
    <row r="59" spans="1:23" ht="11.25" customHeight="1" x14ac:dyDescent="0.2">
      <c r="A59" s="410" t="str">
        <f>'Org structure'!E55</f>
        <v>5,9 - 5.9 - Waste Management</v>
      </c>
      <c r="B59" s="448"/>
      <c r="C59" s="749"/>
      <c r="D59" s="750">
        <v>106145233.53999999</v>
      </c>
      <c r="E59" s="751"/>
      <c r="F59" s="752"/>
      <c r="G59" s="751"/>
      <c r="H59" s="752">
        <f t="shared" si="9"/>
        <v>35381744.513333328</v>
      </c>
      <c r="I59" s="45">
        <f t="shared" si="1"/>
        <v>-35381744.513333328</v>
      </c>
      <c r="J59" s="333">
        <f t="shared" si="2"/>
        <v>-1</v>
      </c>
      <c r="K59" s="753">
        <f t="shared" si="10"/>
        <v>106145233.53999999</v>
      </c>
      <c r="L59" s="427"/>
      <c r="M59" s="39"/>
      <c r="N59" s="39"/>
      <c r="O59" s="39"/>
      <c r="P59" s="39"/>
      <c r="Q59" s="39"/>
      <c r="R59" s="39"/>
      <c r="S59" s="39"/>
      <c r="T59" s="39"/>
      <c r="U59" s="39"/>
      <c r="V59" s="39"/>
      <c r="W59" s="39"/>
    </row>
    <row r="60" spans="1:23" ht="11.25" customHeight="1" x14ac:dyDescent="0.2">
      <c r="A60" s="410" t="str">
        <f>'Org structure'!E56</f>
        <v>5.10 - 5.10 - Other Community Services</v>
      </c>
      <c r="B60" s="448"/>
      <c r="C60" s="749"/>
      <c r="D60" s="750">
        <v>2400790.8200000226</v>
      </c>
      <c r="E60" s="751"/>
      <c r="F60" s="752">
        <v>118362.88</v>
      </c>
      <c r="G60" s="751">
        <v>118362.88</v>
      </c>
      <c r="H60" s="752">
        <f t="shared" si="9"/>
        <v>800263.60666667426</v>
      </c>
      <c r="I60" s="45">
        <f t="shared" si="1"/>
        <v>-681900.72666667425</v>
      </c>
      <c r="J60" s="333">
        <f t="shared" si="2"/>
        <v>-0.85209513588526775</v>
      </c>
      <c r="K60" s="753">
        <f t="shared" si="10"/>
        <v>2400790.8200000226</v>
      </c>
      <c r="L60" s="427"/>
      <c r="M60" s="39"/>
      <c r="N60" s="39"/>
      <c r="O60" s="39"/>
      <c r="P60" s="39"/>
      <c r="Q60" s="39"/>
      <c r="R60" s="39"/>
      <c r="S60" s="39"/>
      <c r="T60" s="39"/>
      <c r="U60" s="39"/>
      <c r="V60" s="39"/>
      <c r="W60" s="39"/>
    </row>
    <row r="61" spans="1:23" ht="11.25" customHeight="1" x14ac:dyDescent="0.2">
      <c r="A61" s="469" t="str">
        <f>'Org structure'!A7</f>
        <v>Vote 6 - Community Development</v>
      </c>
      <c r="B61" s="443"/>
      <c r="C61" s="506">
        <f>SUM(C62:C71)</f>
        <v>0</v>
      </c>
      <c r="D61" s="447">
        <f t="shared" ref="D61:K61" si="11">SUM(D62:D71)</f>
        <v>10941026.503999997</v>
      </c>
      <c r="E61" s="444">
        <f t="shared" si="11"/>
        <v>0</v>
      </c>
      <c r="F61" s="446">
        <f t="shared" si="11"/>
        <v>23943.02</v>
      </c>
      <c r="G61" s="444">
        <f t="shared" si="11"/>
        <v>23943.02</v>
      </c>
      <c r="H61" s="446">
        <f t="shared" si="11"/>
        <v>3647008.8346666652</v>
      </c>
      <c r="I61" s="45">
        <f t="shared" si="1"/>
        <v>-3623065.8146666652</v>
      </c>
      <c r="J61" s="333">
        <f t="shared" si="2"/>
        <v>-0.99343488840158278</v>
      </c>
      <c r="K61" s="445">
        <f t="shared" si="11"/>
        <v>10941026.503999997</v>
      </c>
      <c r="L61" s="427"/>
      <c r="M61" s="39"/>
      <c r="N61" s="39"/>
      <c r="O61" s="39"/>
      <c r="P61" s="39"/>
      <c r="Q61" s="39"/>
      <c r="R61" s="39"/>
      <c r="S61" s="39"/>
      <c r="T61" s="39"/>
      <c r="U61" s="39"/>
      <c r="V61" s="39"/>
      <c r="W61" s="39"/>
    </row>
    <row r="62" spans="1:23" ht="11.25" customHeight="1" x14ac:dyDescent="0.2">
      <c r="A62" s="410" t="str">
        <f>'Org structure'!E58</f>
        <v>6,1 - 6.1 - Sport and Recreation</v>
      </c>
      <c r="B62" s="448"/>
      <c r="C62" s="749"/>
      <c r="D62" s="750">
        <v>2930701.5600000005</v>
      </c>
      <c r="E62" s="751"/>
      <c r="F62" s="752">
        <v>23943.02</v>
      </c>
      <c r="G62" s="751">
        <v>23943.02</v>
      </c>
      <c r="H62" s="752">
        <f t="shared" ref="H62:H71" si="12">D62/12*4</f>
        <v>976900.52000000014</v>
      </c>
      <c r="I62" s="45">
        <f t="shared" si="1"/>
        <v>-952957.50000000012</v>
      </c>
      <c r="J62" s="333">
        <f t="shared" si="2"/>
        <v>-0.97549083093946964</v>
      </c>
      <c r="K62" s="753">
        <f>D62</f>
        <v>2930701.5600000005</v>
      </c>
      <c r="L62" s="427"/>
      <c r="M62" s="39"/>
      <c r="N62" s="39"/>
      <c r="O62" s="39"/>
      <c r="P62" s="39"/>
      <c r="Q62" s="39"/>
      <c r="R62" s="39"/>
      <c r="S62" s="39"/>
      <c r="T62" s="39"/>
      <c r="U62" s="39"/>
      <c r="V62" s="39"/>
      <c r="W62" s="39"/>
    </row>
    <row r="63" spans="1:23" ht="11.25" customHeight="1" x14ac:dyDescent="0.2">
      <c r="A63" s="410" t="str">
        <f>'Org structure'!E59</f>
        <v>6,2 - 6.2 - Swimming Pools</v>
      </c>
      <c r="B63" s="448"/>
      <c r="C63" s="749"/>
      <c r="D63" s="750">
        <v>507915.96000000008</v>
      </c>
      <c r="E63" s="751"/>
      <c r="F63" s="752"/>
      <c r="G63" s="751"/>
      <c r="H63" s="752">
        <f t="shared" si="12"/>
        <v>169305.32000000004</v>
      </c>
      <c r="I63" s="45">
        <f t="shared" si="1"/>
        <v>-169305.32000000004</v>
      </c>
      <c r="J63" s="333">
        <f t="shared" si="2"/>
        <v>-1</v>
      </c>
      <c r="K63" s="753">
        <f t="shared" ref="K63:K71" si="13">D63</f>
        <v>507915.96000000008</v>
      </c>
      <c r="L63" s="427"/>
      <c r="M63" s="39"/>
      <c r="N63" s="39"/>
      <c r="O63" s="39"/>
      <c r="P63" s="39"/>
      <c r="Q63" s="39"/>
      <c r="R63" s="39"/>
      <c r="S63" s="39"/>
      <c r="T63" s="39"/>
      <c r="U63" s="39"/>
      <c r="V63" s="39"/>
      <c r="W63" s="39"/>
    </row>
    <row r="64" spans="1:23" ht="11.25" customHeight="1" x14ac:dyDescent="0.2">
      <c r="A64" s="410" t="str">
        <f>'Org structure'!E60</f>
        <v>6,3 - 6.3 - Facility commercialization</v>
      </c>
      <c r="B64" s="448"/>
      <c r="C64" s="749"/>
      <c r="D64" s="750">
        <v>6000000</v>
      </c>
      <c r="E64" s="751"/>
      <c r="F64" s="752"/>
      <c r="G64" s="751"/>
      <c r="H64" s="752">
        <f t="shared" si="12"/>
        <v>2000000</v>
      </c>
      <c r="I64" s="45">
        <f t="shared" si="1"/>
        <v>-2000000</v>
      </c>
      <c r="J64" s="333">
        <f t="shared" si="2"/>
        <v>-1</v>
      </c>
      <c r="K64" s="753">
        <f t="shared" si="13"/>
        <v>6000000</v>
      </c>
      <c r="L64" s="427"/>
      <c r="M64" s="39"/>
      <c r="N64" s="39"/>
      <c r="O64" s="39"/>
      <c r="P64" s="39"/>
      <c r="Q64" s="39"/>
      <c r="R64" s="39"/>
      <c r="S64" s="39"/>
      <c r="T64" s="39"/>
      <c r="U64" s="39"/>
      <c r="V64" s="39"/>
      <c r="W64" s="39"/>
    </row>
    <row r="65" spans="1:23" ht="11.25" customHeight="1" x14ac:dyDescent="0.2">
      <c r="A65" s="410" t="str">
        <f>'Org structure'!E61</f>
        <v>6,4 - 6.4 - Civic Centre</v>
      </c>
      <c r="B65" s="448"/>
      <c r="C65" s="749"/>
      <c r="D65" s="750"/>
      <c r="E65" s="751"/>
      <c r="F65" s="752"/>
      <c r="G65" s="751"/>
      <c r="H65" s="752">
        <f t="shared" si="12"/>
        <v>0</v>
      </c>
      <c r="I65" s="45">
        <f t="shared" si="1"/>
        <v>0</v>
      </c>
      <c r="J65" s="333" t="str">
        <f t="shared" si="2"/>
        <v/>
      </c>
      <c r="K65" s="753">
        <f t="shared" si="13"/>
        <v>0</v>
      </c>
      <c r="L65" s="427"/>
      <c r="M65" s="39"/>
      <c r="N65" s="39"/>
      <c r="O65" s="39"/>
      <c r="P65" s="39"/>
      <c r="Q65" s="39"/>
      <c r="R65" s="39"/>
      <c r="S65" s="39"/>
      <c r="T65" s="39"/>
      <c r="U65" s="39"/>
      <c r="V65" s="39"/>
      <c r="W65" s="39"/>
    </row>
    <row r="66" spans="1:23" ht="11.25" customHeight="1" x14ac:dyDescent="0.2">
      <c r="A66" s="410" t="str">
        <f>'Org structure'!E62</f>
        <v>6,5 - 6.5 - Public Toilets</v>
      </c>
      <c r="B66" s="448"/>
      <c r="C66" s="749"/>
      <c r="D66" s="750"/>
      <c r="E66" s="751"/>
      <c r="F66" s="752"/>
      <c r="G66" s="751"/>
      <c r="H66" s="752">
        <f t="shared" si="12"/>
        <v>0</v>
      </c>
      <c r="I66" s="45">
        <f t="shared" si="1"/>
        <v>0</v>
      </c>
      <c r="J66" s="333" t="str">
        <f t="shared" si="2"/>
        <v/>
      </c>
      <c r="K66" s="753">
        <f t="shared" si="13"/>
        <v>0</v>
      </c>
      <c r="L66" s="427"/>
      <c r="M66" s="39"/>
      <c r="N66" s="39"/>
      <c r="O66" s="39"/>
      <c r="P66" s="39"/>
      <c r="Q66" s="39"/>
      <c r="R66" s="39"/>
      <c r="S66" s="39"/>
      <c r="T66" s="39"/>
      <c r="U66" s="39"/>
      <c r="V66" s="39"/>
      <c r="W66" s="39"/>
    </row>
    <row r="67" spans="1:23" ht="11.25" customHeight="1" x14ac:dyDescent="0.2">
      <c r="A67" s="410" t="str">
        <f>'Org structure'!E63</f>
        <v>6,6 - 6.6 - Community centres</v>
      </c>
      <c r="B67" s="448"/>
      <c r="C67" s="749"/>
      <c r="D67" s="750">
        <v>810706.57200000004</v>
      </c>
      <c r="E67" s="751"/>
      <c r="F67" s="752"/>
      <c r="G67" s="751"/>
      <c r="H67" s="752">
        <f t="shared" si="12"/>
        <v>270235.52400000003</v>
      </c>
      <c r="I67" s="45">
        <f t="shared" si="1"/>
        <v>-270235.52400000003</v>
      </c>
      <c r="J67" s="333">
        <f t="shared" si="2"/>
        <v>-1</v>
      </c>
      <c r="K67" s="753">
        <f t="shared" si="13"/>
        <v>810706.57200000004</v>
      </c>
      <c r="L67" s="427"/>
      <c r="M67" s="39"/>
      <c r="N67" s="39"/>
      <c r="O67" s="39"/>
      <c r="P67" s="39"/>
      <c r="Q67" s="39"/>
      <c r="R67" s="39"/>
      <c r="S67" s="39"/>
      <c r="T67" s="39"/>
      <c r="U67" s="39"/>
      <c r="V67" s="39"/>
      <c r="W67" s="39"/>
    </row>
    <row r="68" spans="1:23" ht="11.25" customHeight="1" x14ac:dyDescent="0.2">
      <c r="A68" s="410" t="str">
        <f>'Org structure'!E64</f>
        <v>6,7 - 6.7 - Art Museum</v>
      </c>
      <c r="B68" s="448"/>
      <c r="C68" s="749"/>
      <c r="D68" s="750"/>
      <c r="E68" s="751"/>
      <c r="F68" s="752"/>
      <c r="G68" s="751"/>
      <c r="H68" s="752">
        <f t="shared" si="12"/>
        <v>0</v>
      </c>
      <c r="I68" s="45">
        <f t="shared" si="1"/>
        <v>0</v>
      </c>
      <c r="J68" s="333" t="str">
        <f t="shared" si="2"/>
        <v/>
      </c>
      <c r="K68" s="753">
        <f t="shared" si="13"/>
        <v>0</v>
      </c>
      <c r="L68" s="427"/>
      <c r="M68" s="39"/>
      <c r="N68" s="39"/>
      <c r="O68" s="39"/>
      <c r="P68" s="39"/>
      <c r="Q68" s="39"/>
      <c r="R68" s="39"/>
      <c r="S68" s="39"/>
      <c r="T68" s="39"/>
      <c r="U68" s="39"/>
      <c r="V68" s="39"/>
      <c r="W68" s="39"/>
    </row>
    <row r="69" spans="1:23" ht="11.25" customHeight="1" x14ac:dyDescent="0.2">
      <c r="A69" s="410" t="str">
        <f>'Org structure'!E65</f>
        <v>6,8 - 6.8 - Libraries</v>
      </c>
      <c r="B69" s="448"/>
      <c r="C69" s="749"/>
      <c r="D69" s="750">
        <v>319482.63000000006</v>
      </c>
      <c r="E69" s="751"/>
      <c r="F69" s="752"/>
      <c r="G69" s="751"/>
      <c r="H69" s="752">
        <f t="shared" si="12"/>
        <v>106494.21000000002</v>
      </c>
      <c r="I69" s="45">
        <f t="shared" si="1"/>
        <v>-106494.21000000002</v>
      </c>
      <c r="J69" s="333">
        <f t="shared" si="2"/>
        <v>-1</v>
      </c>
      <c r="K69" s="753">
        <f t="shared" si="13"/>
        <v>319482.63000000006</v>
      </c>
      <c r="L69" s="427"/>
      <c r="M69" s="39"/>
      <c r="N69" s="39"/>
      <c r="O69" s="39"/>
      <c r="P69" s="39"/>
      <c r="Q69" s="39"/>
      <c r="R69" s="39"/>
      <c r="S69" s="39"/>
      <c r="T69" s="39"/>
      <c r="U69" s="39"/>
      <c r="V69" s="39"/>
      <c r="W69" s="39"/>
    </row>
    <row r="70" spans="1:23" ht="11.25" customHeight="1" x14ac:dyDescent="0.2">
      <c r="A70" s="410" t="str">
        <f>'Org structure'!E66</f>
        <v>6,9 - 6.9 - Museums</v>
      </c>
      <c r="B70" s="448"/>
      <c r="C70" s="749"/>
      <c r="D70" s="750">
        <v>183712.84000000003</v>
      </c>
      <c r="E70" s="751"/>
      <c r="F70" s="752"/>
      <c r="G70" s="751"/>
      <c r="H70" s="752">
        <f t="shared" si="12"/>
        <v>61237.613333333342</v>
      </c>
      <c r="I70" s="45">
        <f t="shared" ref="I70:I133" si="14">G70-H70</f>
        <v>-61237.613333333342</v>
      </c>
      <c r="J70" s="333">
        <f t="shared" ref="J70:J133" si="15">IF(I70=0,"",I70/H70)</f>
        <v>-1</v>
      </c>
      <c r="K70" s="753">
        <f t="shared" si="13"/>
        <v>183712.84000000003</v>
      </c>
      <c r="L70" s="427"/>
      <c r="M70" s="39"/>
      <c r="N70" s="39"/>
      <c r="O70" s="39"/>
      <c r="P70" s="39"/>
      <c r="Q70" s="39"/>
      <c r="R70" s="39"/>
      <c r="S70" s="39"/>
      <c r="T70" s="39"/>
      <c r="U70" s="39"/>
      <c r="V70" s="39"/>
      <c r="W70" s="39"/>
    </row>
    <row r="71" spans="1:23" ht="11.25" customHeight="1" x14ac:dyDescent="0.2">
      <c r="A71" s="410" t="str">
        <f>'Org structure'!E67</f>
        <v>6.10 - 6.10 - Other Community Development</v>
      </c>
      <c r="B71" s="448"/>
      <c r="C71" s="749"/>
      <c r="D71" s="750">
        <v>188506.94199999608</v>
      </c>
      <c r="E71" s="751"/>
      <c r="F71" s="752"/>
      <c r="G71" s="751"/>
      <c r="H71" s="752">
        <f t="shared" si="12"/>
        <v>62835.647333332025</v>
      </c>
      <c r="I71" s="45">
        <f t="shared" si="14"/>
        <v>-62835.647333332025</v>
      </c>
      <c r="J71" s="333">
        <f t="shared" si="15"/>
        <v>-1</v>
      </c>
      <c r="K71" s="753">
        <f t="shared" si="13"/>
        <v>188506.94199999608</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6">SUM(C73:C82)</f>
        <v>0</v>
      </c>
      <c r="D72" s="447">
        <f t="shared" si="16"/>
        <v>5032727.3600000003</v>
      </c>
      <c r="E72" s="444">
        <f t="shared" si="16"/>
        <v>0</v>
      </c>
      <c r="F72" s="446">
        <f t="shared" si="16"/>
        <v>0</v>
      </c>
      <c r="G72" s="444">
        <f t="shared" si="16"/>
        <v>0</v>
      </c>
      <c r="H72" s="446">
        <f t="shared" si="16"/>
        <v>1677575.7866666666</v>
      </c>
      <c r="I72" s="45">
        <f t="shared" si="14"/>
        <v>-1677575.7866666666</v>
      </c>
      <c r="J72" s="333">
        <f t="shared" si="15"/>
        <v>-1</v>
      </c>
      <c r="K72" s="445">
        <f t="shared" si="16"/>
        <v>5032727.3600000003</v>
      </c>
      <c r="L72" s="427"/>
      <c r="M72" s="39"/>
      <c r="N72" s="39"/>
      <c r="O72" s="39"/>
      <c r="P72" s="39"/>
      <c r="Q72" s="39"/>
      <c r="R72" s="39"/>
      <c r="S72" s="39"/>
      <c r="T72" s="39"/>
      <c r="U72" s="39"/>
      <c r="V72" s="39"/>
      <c r="W72" s="39"/>
    </row>
    <row r="73" spans="1:23" ht="11.25" customHeight="1" x14ac:dyDescent="0.2">
      <c r="A73" s="410" t="str">
        <f>'Org structure'!E69</f>
        <v>7,1 - 7.1 - Information Services</v>
      </c>
      <c r="B73" s="448"/>
      <c r="C73" s="749"/>
      <c r="D73" s="750">
        <v>1261.4000000000001</v>
      </c>
      <c r="E73" s="751"/>
      <c r="F73" s="752"/>
      <c r="G73" s="751"/>
      <c r="H73" s="752">
        <f t="shared" ref="H73:H82" si="17">D73/12*4</f>
        <v>420.4666666666667</v>
      </c>
      <c r="I73" s="45">
        <f t="shared" si="14"/>
        <v>-420.4666666666667</v>
      </c>
      <c r="J73" s="333">
        <f t="shared" si="15"/>
        <v>-1</v>
      </c>
      <c r="K73" s="753">
        <f>D73</f>
        <v>1261.4000000000001</v>
      </c>
      <c r="L73" s="427"/>
      <c r="M73" s="39"/>
      <c r="N73" s="39"/>
      <c r="O73" s="39"/>
      <c r="P73" s="39"/>
      <c r="Q73" s="39"/>
      <c r="R73" s="39"/>
      <c r="S73" s="39"/>
      <c r="T73" s="39"/>
      <c r="U73" s="39"/>
      <c r="V73" s="39"/>
      <c r="W73" s="39"/>
    </row>
    <row r="74" spans="1:23" ht="11.25" customHeight="1" x14ac:dyDescent="0.2">
      <c r="A74" s="410" t="str">
        <f>'Org structure'!E70</f>
        <v>7,2 - 7.2 - Organisational Development</v>
      </c>
      <c r="B74" s="448"/>
      <c r="C74" s="749"/>
      <c r="D74" s="750"/>
      <c r="E74" s="751"/>
      <c r="F74" s="752"/>
      <c r="G74" s="751"/>
      <c r="H74" s="752">
        <f t="shared" si="17"/>
        <v>0</v>
      </c>
      <c r="I74" s="45">
        <f t="shared" si="14"/>
        <v>0</v>
      </c>
      <c r="J74" s="333" t="str">
        <f t="shared" si="15"/>
        <v/>
      </c>
      <c r="K74" s="753">
        <f t="shared" ref="K74:K82" si="18">D74</f>
        <v>0</v>
      </c>
      <c r="L74" s="427"/>
      <c r="M74" s="39"/>
      <c r="N74" s="39"/>
      <c r="O74" s="39"/>
      <c r="P74" s="39"/>
      <c r="Q74" s="39"/>
      <c r="R74" s="39"/>
      <c r="S74" s="39"/>
      <c r="T74" s="39"/>
      <c r="U74" s="39"/>
      <c r="V74" s="39"/>
      <c r="W74" s="39"/>
    </row>
    <row r="75" spans="1:23" ht="11.25" customHeight="1" x14ac:dyDescent="0.2">
      <c r="A75" s="410" t="str">
        <f>'Org structure'!E71</f>
        <v>7,3 - 7.3 - Personnel</v>
      </c>
      <c r="B75" s="448"/>
      <c r="C75" s="749"/>
      <c r="D75" s="750"/>
      <c r="E75" s="751"/>
      <c r="F75" s="752"/>
      <c r="G75" s="751"/>
      <c r="H75" s="752">
        <f t="shared" si="17"/>
        <v>0</v>
      </c>
      <c r="I75" s="45">
        <f t="shared" si="14"/>
        <v>0</v>
      </c>
      <c r="J75" s="333" t="str">
        <f t="shared" si="15"/>
        <v/>
      </c>
      <c r="K75" s="753">
        <f t="shared" si="18"/>
        <v>0</v>
      </c>
      <c r="L75" s="427"/>
      <c r="M75" s="39"/>
      <c r="N75" s="39"/>
      <c r="O75" s="39"/>
      <c r="P75" s="39"/>
      <c r="Q75" s="39"/>
      <c r="R75" s="39"/>
      <c r="S75" s="39"/>
      <c r="T75" s="39"/>
      <c r="U75" s="39"/>
      <c r="V75" s="39"/>
      <c r="W75" s="39"/>
    </row>
    <row r="76" spans="1:23" ht="11.25" customHeight="1" x14ac:dyDescent="0.2">
      <c r="A76" s="410" t="str">
        <f>'Org structure'!E72</f>
        <v>7,4 - 7.4 - Training and Skills Development</v>
      </c>
      <c r="B76" s="448"/>
      <c r="C76" s="749"/>
      <c r="D76" s="750">
        <v>5017082.82</v>
      </c>
      <c r="E76" s="751"/>
      <c r="F76" s="752"/>
      <c r="G76" s="751"/>
      <c r="H76" s="752">
        <f t="shared" si="17"/>
        <v>1672360.9400000002</v>
      </c>
      <c r="I76" s="45">
        <f t="shared" si="14"/>
        <v>-1672360.9400000002</v>
      </c>
      <c r="J76" s="333">
        <f t="shared" si="15"/>
        <v>-1</v>
      </c>
      <c r="K76" s="753">
        <f t="shared" si="18"/>
        <v>5017082.82</v>
      </c>
      <c r="L76" s="427"/>
      <c r="M76" s="39"/>
      <c r="N76" s="39"/>
      <c r="O76" s="39"/>
      <c r="P76" s="39"/>
      <c r="Q76" s="39"/>
      <c r="R76" s="39"/>
      <c r="S76" s="39"/>
      <c r="T76" s="39"/>
      <c r="U76" s="39"/>
      <c r="V76" s="39"/>
      <c r="W76" s="39"/>
    </row>
    <row r="77" spans="1:23" ht="11.25" customHeight="1" x14ac:dyDescent="0.2">
      <c r="A77" s="410" t="str">
        <f>'Org structure'!E73</f>
        <v>7,5 - 7.5 - Occupational Health and Safety</v>
      </c>
      <c r="B77" s="448"/>
      <c r="C77" s="749"/>
      <c r="D77" s="750">
        <v>14383.140000000001</v>
      </c>
      <c r="E77" s="751"/>
      <c r="F77" s="752"/>
      <c r="G77" s="751"/>
      <c r="H77" s="752">
        <f t="shared" si="17"/>
        <v>4794.38</v>
      </c>
      <c r="I77" s="45">
        <f t="shared" si="14"/>
        <v>-4794.38</v>
      </c>
      <c r="J77" s="333">
        <f t="shared" si="15"/>
        <v>-1</v>
      </c>
      <c r="K77" s="753">
        <f t="shared" si="18"/>
        <v>14383.140000000001</v>
      </c>
      <c r="L77" s="427"/>
      <c r="M77" s="39"/>
      <c r="N77" s="39"/>
      <c r="O77" s="39"/>
      <c r="P77" s="39"/>
      <c r="Q77" s="39"/>
      <c r="R77" s="39"/>
      <c r="S77" s="39"/>
      <c r="T77" s="39"/>
      <c r="U77" s="39"/>
      <c r="V77" s="39"/>
      <c r="W77" s="39"/>
    </row>
    <row r="78" spans="1:23" ht="11.25" customHeight="1" x14ac:dyDescent="0.2">
      <c r="A78" s="410" t="str">
        <f>'Org structure'!E74</f>
        <v>7,6 - 7.6 - Legal Services</v>
      </c>
      <c r="B78" s="448"/>
      <c r="C78" s="749"/>
      <c r="D78" s="750"/>
      <c r="E78" s="751"/>
      <c r="F78" s="752"/>
      <c r="G78" s="751"/>
      <c r="H78" s="752">
        <f t="shared" si="17"/>
        <v>0</v>
      </c>
      <c r="I78" s="45">
        <f t="shared" si="14"/>
        <v>0</v>
      </c>
      <c r="J78" s="333" t="str">
        <f t="shared" si="15"/>
        <v/>
      </c>
      <c r="K78" s="753">
        <f t="shared" si="18"/>
        <v>0</v>
      </c>
      <c r="L78" s="449"/>
      <c r="M78" s="41"/>
      <c r="N78" s="41"/>
      <c r="O78" s="41"/>
      <c r="P78" s="41"/>
      <c r="Q78" s="41"/>
      <c r="R78" s="41"/>
      <c r="S78" s="41"/>
      <c r="T78" s="41"/>
      <c r="U78" s="41"/>
      <c r="V78" s="41"/>
      <c r="W78" s="41"/>
    </row>
    <row r="79" spans="1:23" ht="11.25" customHeight="1" x14ac:dyDescent="0.2">
      <c r="A79" s="410" t="str">
        <f>'Org structure'!E75</f>
        <v>7,7 - 7.7 - Secretariat</v>
      </c>
      <c r="B79" s="448"/>
      <c r="C79" s="749"/>
      <c r="D79" s="750"/>
      <c r="E79" s="751"/>
      <c r="F79" s="752"/>
      <c r="G79" s="751"/>
      <c r="H79" s="752">
        <f t="shared" si="17"/>
        <v>0</v>
      </c>
      <c r="I79" s="45">
        <f t="shared" si="14"/>
        <v>0</v>
      </c>
      <c r="J79" s="333" t="str">
        <f t="shared" si="15"/>
        <v/>
      </c>
      <c r="K79" s="753">
        <f t="shared" si="18"/>
        <v>0</v>
      </c>
      <c r="L79" s="449"/>
      <c r="M79" s="41"/>
      <c r="N79" s="41"/>
      <c r="O79" s="41"/>
      <c r="P79" s="41"/>
      <c r="Q79" s="41"/>
      <c r="R79" s="41"/>
      <c r="S79" s="41"/>
      <c r="T79" s="41"/>
      <c r="U79" s="41"/>
      <c r="V79" s="41"/>
      <c r="W79" s="41"/>
    </row>
    <row r="80" spans="1:23" ht="11.25" customHeight="1" x14ac:dyDescent="0.2">
      <c r="A80" s="410" t="str">
        <f>'Org structure'!E76</f>
        <v>7,8 - 7.8 - Mechanical Workshop</v>
      </c>
      <c r="B80" s="448"/>
      <c r="C80" s="749"/>
      <c r="D80" s="750"/>
      <c r="E80" s="751"/>
      <c r="F80" s="752"/>
      <c r="G80" s="751"/>
      <c r="H80" s="752">
        <f t="shared" si="17"/>
        <v>0</v>
      </c>
      <c r="I80" s="45">
        <f t="shared" si="14"/>
        <v>0</v>
      </c>
      <c r="J80" s="333" t="str">
        <f t="shared" si="15"/>
        <v/>
      </c>
      <c r="K80" s="753">
        <f t="shared" si="18"/>
        <v>0</v>
      </c>
      <c r="L80" s="449"/>
      <c r="M80" s="41"/>
      <c r="N80" s="41"/>
      <c r="O80" s="41"/>
      <c r="P80" s="41"/>
      <c r="Q80" s="41"/>
      <c r="R80" s="41"/>
      <c r="S80" s="41"/>
      <c r="T80" s="41"/>
      <c r="U80" s="41"/>
      <c r="V80" s="41"/>
      <c r="W80" s="41"/>
    </row>
    <row r="81" spans="1:23" ht="11.25" customHeight="1" x14ac:dyDescent="0.2">
      <c r="A81" s="410" t="str">
        <f>'Org structure'!E77</f>
        <v>7,9 - 7.9 - Fleet Management</v>
      </c>
      <c r="B81" s="448"/>
      <c r="C81" s="749"/>
      <c r="D81" s="750"/>
      <c r="E81" s="751"/>
      <c r="F81" s="752"/>
      <c r="G81" s="751"/>
      <c r="H81" s="752">
        <f t="shared" si="17"/>
        <v>0</v>
      </c>
      <c r="I81" s="45">
        <f t="shared" si="14"/>
        <v>0</v>
      </c>
      <c r="J81" s="333" t="str">
        <f t="shared" si="15"/>
        <v/>
      </c>
      <c r="K81" s="753">
        <f t="shared" si="18"/>
        <v>0</v>
      </c>
      <c r="L81" s="449"/>
      <c r="M81" s="41"/>
      <c r="N81" s="41"/>
      <c r="O81" s="41"/>
      <c r="P81" s="41"/>
      <c r="Q81" s="41"/>
      <c r="R81" s="41"/>
      <c r="S81" s="41"/>
      <c r="T81" s="41"/>
      <c r="U81" s="41"/>
      <c r="V81" s="41"/>
      <c r="W81" s="41"/>
    </row>
    <row r="82" spans="1:23" ht="11.25" customHeight="1" x14ac:dyDescent="0.2">
      <c r="A82" s="410" t="str">
        <f>'Org structure'!E78</f>
        <v>7.10 - 7.10 - Other Corporate and Shared services</v>
      </c>
      <c r="B82" s="448"/>
      <c r="C82" s="749"/>
      <c r="D82" s="750"/>
      <c r="E82" s="751"/>
      <c r="F82" s="752"/>
      <c r="G82" s="751"/>
      <c r="H82" s="752">
        <f t="shared" si="17"/>
        <v>0</v>
      </c>
      <c r="I82" s="45">
        <f t="shared" si="14"/>
        <v>0</v>
      </c>
      <c r="J82" s="333" t="str">
        <f t="shared" si="15"/>
        <v/>
      </c>
      <c r="K82" s="753">
        <f t="shared" si="18"/>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0</v>
      </c>
      <c r="D83" s="447">
        <f t="shared" ref="D83:K83" si="19">SUM(D84:D93)</f>
        <v>71799533.672000006</v>
      </c>
      <c r="E83" s="444">
        <f t="shared" si="19"/>
        <v>0</v>
      </c>
      <c r="F83" s="446">
        <f t="shared" si="19"/>
        <v>481148.95</v>
      </c>
      <c r="G83" s="444">
        <f t="shared" si="19"/>
        <v>481148.95</v>
      </c>
      <c r="H83" s="446">
        <f t="shared" si="19"/>
        <v>23933177.890666671</v>
      </c>
      <c r="I83" s="45">
        <f t="shared" si="14"/>
        <v>-23452028.940666672</v>
      </c>
      <c r="J83" s="333">
        <f t="shared" si="15"/>
        <v>-0.9798961528553366</v>
      </c>
      <c r="K83" s="445">
        <f t="shared" si="19"/>
        <v>71799533.672000006</v>
      </c>
      <c r="L83" s="449"/>
      <c r="M83" s="41"/>
      <c r="N83" s="41"/>
      <c r="O83" s="41"/>
      <c r="P83" s="41"/>
      <c r="Q83" s="41"/>
      <c r="R83" s="41"/>
      <c r="S83" s="41"/>
      <c r="T83" s="41"/>
      <c r="U83" s="41"/>
      <c r="V83" s="41"/>
      <c r="W83" s="41"/>
    </row>
    <row r="84" spans="1:23" ht="11.25" customHeight="1" x14ac:dyDescent="0.2">
      <c r="A84" s="410" t="str">
        <f>'Org structure'!E80</f>
        <v>8,1 - 8.1 - Landuse Management</v>
      </c>
      <c r="B84" s="448"/>
      <c r="C84" s="749"/>
      <c r="D84" s="750">
        <v>62219083.538000003</v>
      </c>
      <c r="E84" s="751"/>
      <c r="F84" s="752">
        <v>481087.56</v>
      </c>
      <c r="G84" s="751">
        <v>481087.56</v>
      </c>
      <c r="H84" s="752">
        <f t="shared" ref="H84:H93" si="20">D84/12*4</f>
        <v>20739694.512666669</v>
      </c>
      <c r="I84" s="45">
        <f t="shared" si="14"/>
        <v>-20258606.95266667</v>
      </c>
      <c r="J84" s="333">
        <f t="shared" si="15"/>
        <v>-0.97680353682614873</v>
      </c>
      <c r="K84" s="753">
        <f>D84</f>
        <v>62219083.538000003</v>
      </c>
      <c r="L84" s="449"/>
      <c r="M84" s="41"/>
      <c r="N84" s="41"/>
      <c r="O84" s="41"/>
      <c r="P84" s="41"/>
      <c r="Q84" s="41"/>
      <c r="R84" s="41"/>
      <c r="S84" s="41"/>
      <c r="T84" s="41"/>
      <c r="U84" s="41"/>
      <c r="V84" s="41"/>
      <c r="W84" s="41"/>
    </row>
    <row r="85" spans="1:23" ht="11.25" customHeight="1" x14ac:dyDescent="0.2">
      <c r="A85" s="410" t="str">
        <f>'Org structure'!E81</f>
        <v>8,2 - 8.2 - Spatial Planning</v>
      </c>
      <c r="B85" s="448"/>
      <c r="C85" s="749"/>
      <c r="D85" s="750">
        <v>922629.3</v>
      </c>
      <c r="E85" s="751"/>
      <c r="F85" s="752"/>
      <c r="G85" s="751"/>
      <c r="H85" s="752">
        <f t="shared" si="20"/>
        <v>307543.10000000003</v>
      </c>
      <c r="I85" s="45">
        <f t="shared" si="14"/>
        <v>-307543.10000000003</v>
      </c>
      <c r="J85" s="333">
        <f t="shared" si="15"/>
        <v>-1</v>
      </c>
      <c r="K85" s="753">
        <f t="shared" ref="K85:K93" si="21">D85</f>
        <v>922629.3</v>
      </c>
      <c r="L85" s="449"/>
      <c r="M85" s="41"/>
      <c r="N85" s="41"/>
      <c r="O85" s="41"/>
      <c r="P85" s="41"/>
      <c r="Q85" s="41"/>
      <c r="R85" s="41"/>
      <c r="S85" s="41"/>
      <c r="T85" s="41"/>
      <c r="U85" s="41"/>
      <c r="V85" s="41"/>
      <c r="W85" s="41"/>
    </row>
    <row r="86" spans="1:23" ht="11.25" customHeight="1" x14ac:dyDescent="0.2">
      <c r="A86" s="410" t="str">
        <f>'Org structure'!E82</f>
        <v>8,2 - 8.2 - Spatial Planning</v>
      </c>
      <c r="B86" s="448"/>
      <c r="C86" s="749"/>
      <c r="D86" s="750"/>
      <c r="E86" s="751"/>
      <c r="F86" s="752"/>
      <c r="G86" s="751"/>
      <c r="H86" s="752">
        <f t="shared" si="20"/>
        <v>0</v>
      </c>
      <c r="I86" s="45">
        <f t="shared" si="14"/>
        <v>0</v>
      </c>
      <c r="J86" s="333" t="str">
        <f t="shared" si="15"/>
        <v/>
      </c>
      <c r="K86" s="753">
        <f t="shared" si="21"/>
        <v>0</v>
      </c>
      <c r="L86" s="449"/>
      <c r="M86" s="41"/>
      <c r="N86" s="41"/>
      <c r="O86" s="41"/>
      <c r="P86" s="41"/>
      <c r="Q86" s="41"/>
      <c r="R86" s="41"/>
      <c r="S86" s="41"/>
      <c r="T86" s="41"/>
      <c r="U86" s="41"/>
      <c r="V86" s="41"/>
      <c r="W86" s="41"/>
    </row>
    <row r="87" spans="1:23" ht="11.25" customHeight="1" x14ac:dyDescent="0.2">
      <c r="A87" s="410" t="str">
        <f>'Org structure'!E83</f>
        <v>8,4 - 8.4 - Transport Operations</v>
      </c>
      <c r="B87" s="448"/>
      <c r="C87" s="749"/>
      <c r="D87" s="750"/>
      <c r="E87" s="751"/>
      <c r="F87" s="752"/>
      <c r="G87" s="751"/>
      <c r="H87" s="752">
        <f t="shared" si="20"/>
        <v>0</v>
      </c>
      <c r="I87" s="45">
        <f t="shared" si="14"/>
        <v>0</v>
      </c>
      <c r="J87" s="333" t="str">
        <f t="shared" si="15"/>
        <v/>
      </c>
      <c r="K87" s="753">
        <f t="shared" si="21"/>
        <v>0</v>
      </c>
      <c r="L87" s="449"/>
      <c r="M87" s="41"/>
      <c r="N87" s="41"/>
      <c r="O87" s="41"/>
      <c r="P87" s="41"/>
      <c r="Q87" s="41"/>
      <c r="R87" s="41"/>
      <c r="S87" s="41"/>
      <c r="T87" s="41"/>
      <c r="U87" s="41"/>
      <c r="V87" s="41"/>
      <c r="W87" s="41"/>
    </row>
    <row r="88" spans="1:23" ht="11.25" customHeight="1" x14ac:dyDescent="0.2">
      <c r="A88" s="410" t="str">
        <f>'Org structure'!E84</f>
        <v>8,5 - 8.5 - Housing</v>
      </c>
      <c r="B88" s="448"/>
      <c r="C88" s="749"/>
      <c r="D88" s="750"/>
      <c r="E88" s="751"/>
      <c r="F88" s="752"/>
      <c r="G88" s="751"/>
      <c r="H88" s="752">
        <f t="shared" si="20"/>
        <v>0</v>
      </c>
      <c r="I88" s="45">
        <f t="shared" si="14"/>
        <v>0</v>
      </c>
      <c r="J88" s="333" t="str">
        <f t="shared" si="15"/>
        <v/>
      </c>
      <c r="K88" s="753">
        <f t="shared" si="21"/>
        <v>0</v>
      </c>
      <c r="L88" s="449"/>
      <c r="M88" s="41"/>
      <c r="N88" s="41"/>
      <c r="O88" s="41"/>
      <c r="P88" s="41"/>
      <c r="Q88" s="41"/>
      <c r="R88" s="41"/>
      <c r="S88" s="41"/>
      <c r="T88" s="41"/>
      <c r="U88" s="41"/>
      <c r="V88" s="41"/>
      <c r="W88" s="41"/>
    </row>
    <row r="89" spans="1:23" ht="11.25" customHeight="1" x14ac:dyDescent="0.2">
      <c r="A89" s="410" t="str">
        <f>'Org structure'!E85</f>
        <v>8,6 - 8.6 - Building Inspectorate</v>
      </c>
      <c r="B89" s="448"/>
      <c r="C89" s="749"/>
      <c r="D89" s="750">
        <v>7872724.364000001</v>
      </c>
      <c r="E89" s="751"/>
      <c r="F89" s="752">
        <v>61.39</v>
      </c>
      <c r="G89" s="751">
        <v>61.39</v>
      </c>
      <c r="H89" s="752">
        <f t="shared" si="20"/>
        <v>2624241.4546666672</v>
      </c>
      <c r="I89" s="45">
        <f t="shared" si="14"/>
        <v>-2624180.064666667</v>
      </c>
      <c r="J89" s="333">
        <f t="shared" si="15"/>
        <v>-0.99997660657334297</v>
      </c>
      <c r="K89" s="753">
        <f t="shared" si="21"/>
        <v>7872724.364000001</v>
      </c>
      <c r="L89" s="449"/>
      <c r="M89" s="41"/>
      <c r="N89" s="41"/>
      <c r="O89" s="41"/>
      <c r="P89" s="41"/>
      <c r="Q89" s="41"/>
      <c r="R89" s="41"/>
      <c r="S89" s="41"/>
      <c r="T89" s="41"/>
      <c r="U89" s="41"/>
      <c r="V89" s="41"/>
      <c r="W89" s="41"/>
    </row>
    <row r="90" spans="1:23" ht="11.25" customHeight="1" x14ac:dyDescent="0.2">
      <c r="A90" s="410" t="str">
        <f>'Org structure'!E86</f>
        <v>8,7 - 8.7 - Enterprise Development</v>
      </c>
      <c r="B90" s="448"/>
      <c r="C90" s="749"/>
      <c r="D90" s="750"/>
      <c r="E90" s="751"/>
      <c r="F90" s="752"/>
      <c r="G90" s="751"/>
      <c r="H90" s="752">
        <f t="shared" si="20"/>
        <v>0</v>
      </c>
      <c r="I90" s="45">
        <f t="shared" si="14"/>
        <v>0</v>
      </c>
      <c r="J90" s="333" t="str">
        <f t="shared" si="15"/>
        <v/>
      </c>
      <c r="K90" s="753">
        <f t="shared" si="21"/>
        <v>0</v>
      </c>
      <c r="L90" s="449"/>
      <c r="M90" s="41"/>
      <c r="N90" s="41"/>
      <c r="O90" s="41"/>
      <c r="P90" s="41"/>
      <c r="Q90" s="41"/>
      <c r="R90" s="41"/>
      <c r="S90" s="41"/>
      <c r="T90" s="41"/>
      <c r="U90" s="41"/>
      <c r="V90" s="41"/>
      <c r="W90" s="41"/>
    </row>
    <row r="91" spans="1:23" ht="11.25" customHeight="1" x14ac:dyDescent="0.2">
      <c r="A91" s="410" t="str">
        <f>'Org structure'!E87</f>
        <v>8,8 - 8.8 - Investment Promotion and Tourism</v>
      </c>
      <c r="B91" s="448"/>
      <c r="C91" s="749"/>
      <c r="D91" s="750"/>
      <c r="E91" s="751"/>
      <c r="F91" s="752"/>
      <c r="G91" s="751"/>
      <c r="H91" s="752">
        <f t="shared" si="20"/>
        <v>0</v>
      </c>
      <c r="I91" s="45">
        <f t="shared" si="14"/>
        <v>0</v>
      </c>
      <c r="J91" s="333" t="str">
        <f t="shared" si="15"/>
        <v/>
      </c>
      <c r="K91" s="753">
        <f t="shared" si="21"/>
        <v>0</v>
      </c>
      <c r="L91" s="449"/>
      <c r="M91" s="41"/>
      <c r="N91" s="41"/>
      <c r="O91" s="41"/>
      <c r="P91" s="41"/>
      <c r="Q91" s="41"/>
      <c r="R91" s="41"/>
      <c r="S91" s="41"/>
      <c r="T91" s="41"/>
      <c r="U91" s="41"/>
      <c r="V91" s="41"/>
      <c r="W91" s="41"/>
    </row>
    <row r="92" spans="1:23" ht="11.25" customHeight="1" x14ac:dyDescent="0.2">
      <c r="A92" s="410" t="str">
        <f>'Org structure'!E88</f>
        <v>8,9 - 8.9 - Economic Planning and Development</v>
      </c>
      <c r="B92" s="448"/>
      <c r="C92" s="749"/>
      <c r="D92" s="750"/>
      <c r="E92" s="751"/>
      <c r="F92" s="752"/>
      <c r="G92" s="751"/>
      <c r="H92" s="752">
        <f t="shared" si="20"/>
        <v>0</v>
      </c>
      <c r="I92" s="45">
        <f t="shared" si="14"/>
        <v>0</v>
      </c>
      <c r="J92" s="333" t="str">
        <f t="shared" si="15"/>
        <v/>
      </c>
      <c r="K92" s="753">
        <f t="shared" si="21"/>
        <v>0</v>
      </c>
      <c r="L92" s="449"/>
      <c r="M92" s="41"/>
      <c r="N92" s="41"/>
      <c r="O92" s="41"/>
      <c r="P92" s="41"/>
      <c r="Q92" s="41"/>
      <c r="R92" s="41"/>
      <c r="S92" s="41"/>
      <c r="T92" s="41"/>
      <c r="U92" s="41"/>
      <c r="V92" s="41"/>
      <c r="W92" s="41"/>
    </row>
    <row r="93" spans="1:23" ht="11.25" customHeight="1" x14ac:dyDescent="0.2">
      <c r="A93" s="410" t="str">
        <f>'Org structure'!E89</f>
        <v>8.10 - 8.10 - Other Planning and Economic Development</v>
      </c>
      <c r="B93" s="448"/>
      <c r="C93" s="749"/>
      <c r="D93" s="750">
        <v>785096.46999999881</v>
      </c>
      <c r="E93" s="751"/>
      <c r="F93" s="752"/>
      <c r="G93" s="751"/>
      <c r="H93" s="752">
        <f t="shared" si="20"/>
        <v>261698.82333333293</v>
      </c>
      <c r="I93" s="45">
        <f t="shared" si="14"/>
        <v>-261698.82333333293</v>
      </c>
      <c r="J93" s="333">
        <f t="shared" si="15"/>
        <v>-1</v>
      </c>
      <c r="K93" s="753">
        <f t="shared" si="21"/>
        <v>785096.46999999881</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0</v>
      </c>
      <c r="D94" s="447">
        <f t="shared" ref="D94:K94" si="22">SUM(D95:D104)</f>
        <v>2297015863.802</v>
      </c>
      <c r="E94" s="444">
        <f t="shared" si="22"/>
        <v>0</v>
      </c>
      <c r="F94" s="446">
        <f t="shared" si="22"/>
        <v>154350884.56200919</v>
      </c>
      <c r="G94" s="444">
        <f t="shared" si="22"/>
        <v>867694490.64900935</v>
      </c>
      <c r="H94" s="446">
        <f t="shared" si="22"/>
        <v>765671954.60066676</v>
      </c>
      <c r="I94" s="45">
        <f t="shared" si="14"/>
        <v>102022536.04834259</v>
      </c>
      <c r="J94" s="333">
        <f t="shared" si="15"/>
        <v>0.13324575287800902</v>
      </c>
      <c r="K94" s="445">
        <f t="shared" si="22"/>
        <v>2297015863.802</v>
      </c>
      <c r="L94" s="449"/>
      <c r="M94" s="41"/>
      <c r="N94" s="41"/>
      <c r="O94" s="41"/>
      <c r="P94" s="41"/>
      <c r="Q94" s="41"/>
      <c r="R94" s="41"/>
      <c r="S94" s="41"/>
      <c r="T94" s="41"/>
      <c r="U94" s="41"/>
      <c r="V94" s="41"/>
      <c r="W94" s="41"/>
    </row>
    <row r="95" spans="1:23" ht="11.25" customHeight="1" x14ac:dyDescent="0.2">
      <c r="A95" s="410" t="str">
        <f>'Org structure'!E91</f>
        <v>9,1 - Chief Financial Officer</v>
      </c>
      <c r="B95" s="448"/>
      <c r="C95" s="749"/>
      <c r="D95" s="750"/>
      <c r="E95" s="751"/>
      <c r="F95" s="752"/>
      <c r="G95" s="751"/>
      <c r="H95" s="752">
        <f t="shared" ref="H95:H104" si="23">D95/12*4</f>
        <v>0</v>
      </c>
      <c r="I95" s="45">
        <f t="shared" si="14"/>
        <v>0</v>
      </c>
      <c r="J95" s="333" t="str">
        <f t="shared" si="15"/>
        <v/>
      </c>
      <c r="K95" s="753">
        <f>D95</f>
        <v>0</v>
      </c>
      <c r="L95" s="449"/>
      <c r="M95" s="41"/>
      <c r="N95" s="41"/>
      <c r="O95" s="41"/>
      <c r="P95" s="41"/>
      <c r="Q95" s="41"/>
      <c r="R95" s="41"/>
      <c r="S95" s="41"/>
      <c r="T95" s="41"/>
      <c r="U95" s="41"/>
      <c r="V95" s="41"/>
      <c r="W95" s="41"/>
    </row>
    <row r="96" spans="1:23" ht="11.25" customHeight="1" x14ac:dyDescent="0.2">
      <c r="A96" s="410" t="str">
        <f>'Org structure'!E92</f>
        <v>9,2 - Inter Govenmental Transfers</v>
      </c>
      <c r="B96" s="448"/>
      <c r="C96" s="749"/>
      <c r="D96" s="750">
        <v>1627869000</v>
      </c>
      <c r="E96" s="751"/>
      <c r="F96" s="752">
        <f>183157243.852-38981410</f>
        <v>144175833.852</v>
      </c>
      <c r="G96" s="751">
        <v>183157243.852</v>
      </c>
      <c r="H96" s="752">
        <f t="shared" si="23"/>
        <v>542623000</v>
      </c>
      <c r="I96" s="45">
        <f t="shared" si="14"/>
        <v>-359465756.148</v>
      </c>
      <c r="J96" s="333">
        <f t="shared" si="15"/>
        <v>-0.6624594905634299</v>
      </c>
      <c r="K96" s="753">
        <f t="shared" ref="K96:K104" si="24">D96</f>
        <v>1627869000</v>
      </c>
      <c r="L96" s="449"/>
      <c r="M96" s="41"/>
      <c r="N96" s="41"/>
      <c r="O96" s="41"/>
      <c r="P96" s="41"/>
      <c r="Q96" s="41"/>
      <c r="R96" s="41"/>
      <c r="S96" s="41"/>
      <c r="T96" s="41"/>
      <c r="U96" s="41"/>
      <c r="V96" s="41"/>
      <c r="W96" s="41"/>
    </row>
    <row r="97" spans="1:23" ht="11.25" customHeight="1" x14ac:dyDescent="0.2">
      <c r="A97" s="410" t="str">
        <f>'Org structure'!E93</f>
        <v>9,3 - Budget and Treasury</v>
      </c>
      <c r="B97" s="448"/>
      <c r="C97" s="749"/>
      <c r="D97" s="750">
        <v>274953803.80199999</v>
      </c>
      <c r="E97" s="751"/>
      <c r="F97" s="752">
        <v>10175050.7100092</v>
      </c>
      <c r="G97" s="751">
        <v>10175050.7100092</v>
      </c>
      <c r="H97" s="752">
        <f t="shared" si="23"/>
        <v>91651267.934</v>
      </c>
      <c r="I97" s="45">
        <f t="shared" si="14"/>
        <v>-81476217.223990798</v>
      </c>
      <c r="J97" s="333">
        <f t="shared" si="15"/>
        <v>-0.88898079710870481</v>
      </c>
      <c r="K97" s="753">
        <f t="shared" si="24"/>
        <v>274953803.80199999</v>
      </c>
      <c r="L97" s="449"/>
      <c r="M97" s="41"/>
      <c r="N97" s="41"/>
      <c r="O97" s="41"/>
      <c r="P97" s="41"/>
      <c r="Q97" s="41"/>
      <c r="R97" s="41"/>
      <c r="S97" s="41"/>
      <c r="T97" s="41"/>
      <c r="U97" s="41"/>
      <c r="V97" s="41"/>
      <c r="W97" s="41"/>
    </row>
    <row r="98" spans="1:23" ht="11.25" customHeight="1" x14ac:dyDescent="0.2">
      <c r="A98" s="410" t="str">
        <f>'Org structure'!E94</f>
        <v>9,4 - Assesment Rates</v>
      </c>
      <c r="B98" s="448"/>
      <c r="C98" s="749"/>
      <c r="D98" s="750">
        <v>388192000</v>
      </c>
      <c r="E98" s="751"/>
      <c r="F98" s="752"/>
      <c r="G98" s="751">
        <v>674362196.08700013</v>
      </c>
      <c r="H98" s="752">
        <f t="shared" si="23"/>
        <v>129397333.33333333</v>
      </c>
      <c r="I98" s="45">
        <f t="shared" si="14"/>
        <v>544964862.75366676</v>
      </c>
      <c r="J98" s="333">
        <f t="shared" si="15"/>
        <v>4.2115617742277029</v>
      </c>
      <c r="K98" s="753">
        <f t="shared" si="24"/>
        <v>388192000</v>
      </c>
      <c r="L98" s="449"/>
      <c r="M98" s="41"/>
      <c r="N98" s="41"/>
      <c r="O98" s="41"/>
      <c r="P98" s="41"/>
      <c r="Q98" s="41"/>
      <c r="R98" s="41"/>
      <c r="S98" s="41"/>
      <c r="T98" s="41"/>
      <c r="U98" s="41"/>
      <c r="V98" s="41"/>
      <c r="W98" s="41"/>
    </row>
    <row r="99" spans="1:23" ht="11.25" customHeight="1" x14ac:dyDescent="0.2">
      <c r="A99" s="410" t="str">
        <f>'Org structure'!E95</f>
        <v>9,5 - Supply Chain Management</v>
      </c>
      <c r="B99" s="448"/>
      <c r="C99" s="749"/>
      <c r="D99" s="750">
        <v>6001060</v>
      </c>
      <c r="E99" s="751"/>
      <c r="F99" s="752"/>
      <c r="G99" s="751"/>
      <c r="H99" s="752">
        <f t="shared" si="23"/>
        <v>2000353.3333333333</v>
      </c>
      <c r="I99" s="45">
        <f t="shared" si="14"/>
        <v>-2000353.3333333333</v>
      </c>
      <c r="J99" s="333">
        <f t="shared" si="15"/>
        <v>-1</v>
      </c>
      <c r="K99" s="753">
        <f t="shared" si="24"/>
        <v>6001060</v>
      </c>
      <c r="L99" s="449"/>
      <c r="M99" s="41"/>
      <c r="N99" s="41"/>
      <c r="O99" s="41"/>
      <c r="P99" s="41"/>
      <c r="Q99" s="41"/>
      <c r="R99" s="41"/>
      <c r="S99" s="41"/>
      <c r="T99" s="41"/>
      <c r="U99" s="41"/>
      <c r="V99" s="41"/>
      <c r="W99" s="41"/>
    </row>
    <row r="100" spans="1:23" ht="11.25" customHeight="1" x14ac:dyDescent="0.2">
      <c r="A100" s="410">
        <f>'Org structure'!E96</f>
        <v>0</v>
      </c>
      <c r="B100" s="448"/>
      <c r="C100" s="749"/>
      <c r="D100" s="750"/>
      <c r="E100" s="751"/>
      <c r="F100" s="752"/>
      <c r="G100" s="751"/>
      <c r="H100" s="752">
        <f t="shared" si="23"/>
        <v>0</v>
      </c>
      <c r="I100" s="45">
        <f t="shared" si="14"/>
        <v>0</v>
      </c>
      <c r="J100" s="333" t="str">
        <f t="shared" si="15"/>
        <v/>
      </c>
      <c r="K100" s="753">
        <f t="shared" si="24"/>
        <v>0</v>
      </c>
      <c r="L100" s="449"/>
      <c r="M100" s="41"/>
      <c r="N100" s="41"/>
      <c r="O100" s="41"/>
      <c r="P100" s="41"/>
      <c r="Q100" s="41"/>
      <c r="R100" s="41"/>
      <c r="S100" s="41"/>
      <c r="T100" s="41"/>
      <c r="U100" s="41"/>
      <c r="V100" s="41"/>
      <c r="W100" s="41"/>
    </row>
    <row r="101" spans="1:23" ht="11.25" customHeight="1" x14ac:dyDescent="0.2">
      <c r="A101" s="410">
        <f>'Org structure'!E97</f>
        <v>0</v>
      </c>
      <c r="B101" s="448"/>
      <c r="C101" s="749"/>
      <c r="D101" s="750"/>
      <c r="E101" s="751"/>
      <c r="F101" s="752"/>
      <c r="G101" s="751"/>
      <c r="H101" s="752">
        <f t="shared" si="23"/>
        <v>0</v>
      </c>
      <c r="I101" s="45">
        <f t="shared" si="14"/>
        <v>0</v>
      </c>
      <c r="J101" s="333" t="str">
        <f t="shared" si="15"/>
        <v/>
      </c>
      <c r="K101" s="753">
        <f t="shared" si="24"/>
        <v>0</v>
      </c>
      <c r="L101" s="449"/>
      <c r="M101" s="41"/>
      <c r="N101" s="41"/>
      <c r="O101" s="41"/>
      <c r="P101" s="41"/>
      <c r="Q101" s="41"/>
      <c r="R101" s="41"/>
      <c r="S101" s="41"/>
      <c r="T101" s="41"/>
      <c r="U101" s="41"/>
      <c r="V101" s="41"/>
      <c r="W101" s="41"/>
    </row>
    <row r="102" spans="1:23" ht="11.25" customHeight="1" x14ac:dyDescent="0.2">
      <c r="A102" s="410">
        <f>'Org structure'!E98</f>
        <v>0</v>
      </c>
      <c r="B102" s="448"/>
      <c r="C102" s="749"/>
      <c r="D102" s="750"/>
      <c r="E102" s="751"/>
      <c r="F102" s="752"/>
      <c r="G102" s="751"/>
      <c r="H102" s="752">
        <f t="shared" si="23"/>
        <v>0</v>
      </c>
      <c r="I102" s="45">
        <f t="shared" si="14"/>
        <v>0</v>
      </c>
      <c r="J102" s="333" t="str">
        <f t="shared" si="15"/>
        <v/>
      </c>
      <c r="K102" s="753">
        <f t="shared" si="24"/>
        <v>0</v>
      </c>
      <c r="L102" s="449"/>
      <c r="M102" s="41"/>
      <c r="N102" s="41"/>
      <c r="O102" s="41"/>
      <c r="P102" s="41"/>
      <c r="Q102" s="41"/>
      <c r="R102" s="41"/>
      <c r="S102" s="41"/>
      <c r="T102" s="41"/>
      <c r="U102" s="41"/>
      <c r="V102" s="41"/>
      <c r="W102" s="41"/>
    </row>
    <row r="103" spans="1:23" ht="11.25" customHeight="1" x14ac:dyDescent="0.2">
      <c r="A103" s="410">
        <f>'Org structure'!E99</f>
        <v>0</v>
      </c>
      <c r="B103" s="448"/>
      <c r="C103" s="749"/>
      <c r="D103" s="750"/>
      <c r="E103" s="751"/>
      <c r="F103" s="752"/>
      <c r="G103" s="751"/>
      <c r="H103" s="752">
        <f t="shared" si="23"/>
        <v>0</v>
      </c>
      <c r="I103" s="45">
        <f t="shared" si="14"/>
        <v>0</v>
      </c>
      <c r="J103" s="333" t="str">
        <f t="shared" si="15"/>
        <v/>
      </c>
      <c r="K103" s="753">
        <f t="shared" si="24"/>
        <v>0</v>
      </c>
      <c r="L103" s="449"/>
      <c r="M103" s="41"/>
      <c r="N103" s="41"/>
      <c r="O103" s="41"/>
      <c r="P103" s="41"/>
      <c r="Q103" s="41"/>
      <c r="R103" s="41"/>
      <c r="S103" s="41"/>
      <c r="T103" s="41"/>
      <c r="U103" s="41"/>
      <c r="V103" s="41"/>
      <c r="W103" s="41"/>
    </row>
    <row r="104" spans="1:23" ht="11.25" customHeight="1" x14ac:dyDescent="0.2">
      <c r="A104" s="410">
        <f>'Org structure'!E100</f>
        <v>0</v>
      </c>
      <c r="B104" s="448"/>
      <c r="C104" s="749"/>
      <c r="D104" s="750"/>
      <c r="E104" s="751"/>
      <c r="F104" s="752"/>
      <c r="G104" s="751"/>
      <c r="H104" s="752">
        <f t="shared" si="23"/>
        <v>0</v>
      </c>
      <c r="I104" s="45">
        <f t="shared" si="14"/>
        <v>0</v>
      </c>
      <c r="J104" s="333" t="str">
        <f t="shared" si="15"/>
        <v/>
      </c>
      <c r="K104" s="753">
        <f t="shared" si="24"/>
        <v>0</v>
      </c>
      <c r="L104" s="449"/>
      <c r="M104" s="41"/>
      <c r="N104" s="41"/>
      <c r="O104" s="41"/>
      <c r="P104" s="41"/>
      <c r="Q104" s="41"/>
      <c r="R104" s="41"/>
      <c r="S104" s="41"/>
      <c r="T104" s="41"/>
      <c r="U104" s="41"/>
      <c r="V104" s="41"/>
      <c r="W104" s="41"/>
    </row>
    <row r="105" spans="1:23" ht="11.25" customHeight="1" x14ac:dyDescent="0.2">
      <c r="A105" s="469" t="str">
        <f>'Org structure'!A11</f>
        <v>Vote 10 - Transport Operations</v>
      </c>
      <c r="B105" s="448"/>
      <c r="C105" s="506">
        <f>SUM(C106:C115)</f>
        <v>0</v>
      </c>
      <c r="D105" s="447">
        <f t="shared" ref="D105:K105" si="25">SUM(D106:D115)</f>
        <v>0</v>
      </c>
      <c r="E105" s="444">
        <f t="shared" si="25"/>
        <v>0</v>
      </c>
      <c r="F105" s="446">
        <f t="shared" si="25"/>
        <v>0</v>
      </c>
      <c r="G105" s="444">
        <f t="shared" si="25"/>
        <v>0</v>
      </c>
      <c r="H105" s="446">
        <f t="shared" si="25"/>
        <v>0</v>
      </c>
      <c r="I105" s="45">
        <f t="shared" si="14"/>
        <v>0</v>
      </c>
      <c r="J105" s="333" t="str">
        <f t="shared" si="15"/>
        <v/>
      </c>
      <c r="K105" s="445">
        <f t="shared" si="25"/>
        <v>0</v>
      </c>
      <c r="L105" s="449"/>
      <c r="M105" s="41"/>
      <c r="N105" s="41"/>
      <c r="O105" s="41"/>
      <c r="P105" s="41"/>
      <c r="Q105" s="41"/>
      <c r="R105" s="41"/>
      <c r="S105" s="41"/>
      <c r="T105" s="41"/>
      <c r="U105" s="41"/>
      <c r="V105" s="41"/>
      <c r="W105" s="41"/>
    </row>
    <row r="106" spans="1:23" ht="11.25" customHeight="1" x14ac:dyDescent="0.2">
      <c r="A106" s="410" t="str">
        <f>'Org structure'!E102</f>
        <v>10,1 - Transport Operations</v>
      </c>
      <c r="B106" s="448"/>
      <c r="C106" s="749"/>
      <c r="D106" s="750"/>
      <c r="E106" s="751"/>
      <c r="F106" s="752"/>
      <c r="G106" s="751"/>
      <c r="H106" s="752"/>
      <c r="I106" s="45">
        <f t="shared" si="14"/>
        <v>0</v>
      </c>
      <c r="J106" s="333" t="str">
        <f t="shared" si="15"/>
        <v/>
      </c>
      <c r="K106" s="753"/>
      <c r="L106" s="449"/>
      <c r="M106" s="41"/>
      <c r="N106" s="41"/>
      <c r="O106" s="41"/>
      <c r="P106" s="41"/>
      <c r="Q106" s="41"/>
      <c r="R106" s="41"/>
      <c r="S106" s="41"/>
      <c r="T106" s="41"/>
      <c r="U106" s="41"/>
      <c r="V106" s="41"/>
      <c r="W106" s="41"/>
    </row>
    <row r="107" spans="1:23" ht="11.25" customHeight="1" x14ac:dyDescent="0.2">
      <c r="A107" s="410">
        <f>'Org structure'!E103</f>
        <v>0</v>
      </c>
      <c r="B107" s="448"/>
      <c r="C107" s="749"/>
      <c r="D107" s="750"/>
      <c r="E107" s="751"/>
      <c r="F107" s="752"/>
      <c r="G107" s="751"/>
      <c r="H107" s="752"/>
      <c r="I107" s="45">
        <f t="shared" si="14"/>
        <v>0</v>
      </c>
      <c r="J107" s="333" t="str">
        <f t="shared" si="15"/>
        <v/>
      </c>
      <c r="K107" s="753"/>
      <c r="L107" s="449"/>
      <c r="M107" s="41"/>
      <c r="N107" s="41"/>
      <c r="O107" s="41"/>
      <c r="P107" s="41"/>
      <c r="Q107" s="41"/>
      <c r="R107" s="41"/>
      <c r="S107" s="41"/>
      <c r="T107" s="41"/>
      <c r="U107" s="41"/>
      <c r="V107" s="41"/>
      <c r="W107" s="41"/>
    </row>
    <row r="108" spans="1:23" ht="11.25" customHeight="1" x14ac:dyDescent="0.2">
      <c r="A108" s="410">
        <f>'Org structure'!E104</f>
        <v>0</v>
      </c>
      <c r="B108" s="448"/>
      <c r="C108" s="749"/>
      <c r="D108" s="750"/>
      <c r="E108" s="751"/>
      <c r="F108" s="752"/>
      <c r="G108" s="751"/>
      <c r="H108" s="752"/>
      <c r="I108" s="45">
        <f t="shared" si="14"/>
        <v>0</v>
      </c>
      <c r="J108" s="333" t="str">
        <f t="shared" si="15"/>
        <v/>
      </c>
      <c r="K108" s="753"/>
      <c r="L108" s="449"/>
      <c r="M108" s="41"/>
      <c r="N108" s="41"/>
      <c r="O108" s="41"/>
      <c r="P108" s="41"/>
      <c r="Q108" s="41"/>
      <c r="R108" s="41"/>
      <c r="S108" s="41"/>
      <c r="T108" s="41"/>
      <c r="U108" s="41"/>
      <c r="V108" s="41"/>
      <c r="W108" s="41"/>
    </row>
    <row r="109" spans="1:23" ht="11.25" customHeight="1" x14ac:dyDescent="0.2">
      <c r="A109" s="410">
        <f>'Org structure'!E105</f>
        <v>0</v>
      </c>
      <c r="B109" s="448"/>
      <c r="C109" s="749"/>
      <c r="D109" s="750"/>
      <c r="E109" s="751"/>
      <c r="F109" s="752"/>
      <c r="G109" s="751"/>
      <c r="H109" s="752"/>
      <c r="I109" s="45">
        <f t="shared" si="14"/>
        <v>0</v>
      </c>
      <c r="J109" s="333" t="str">
        <f t="shared" si="15"/>
        <v/>
      </c>
      <c r="K109" s="753"/>
      <c r="L109" s="449"/>
      <c r="M109" s="41"/>
      <c r="N109" s="41"/>
      <c r="O109" s="41"/>
      <c r="P109" s="41"/>
      <c r="Q109" s="41"/>
      <c r="R109" s="41"/>
      <c r="S109" s="41"/>
      <c r="T109" s="41"/>
      <c r="U109" s="41"/>
      <c r="V109" s="41"/>
      <c r="W109" s="41"/>
    </row>
    <row r="110" spans="1:23" ht="11.25" customHeight="1" x14ac:dyDescent="0.2">
      <c r="A110" s="410">
        <f>'Org structure'!E106</f>
        <v>0</v>
      </c>
      <c r="B110" s="448"/>
      <c r="C110" s="749"/>
      <c r="D110" s="750"/>
      <c r="E110" s="751"/>
      <c r="F110" s="752"/>
      <c r="G110" s="751"/>
      <c r="H110" s="752"/>
      <c r="I110" s="45">
        <f t="shared" si="14"/>
        <v>0</v>
      </c>
      <c r="J110" s="333" t="str">
        <f t="shared" si="15"/>
        <v/>
      </c>
      <c r="K110" s="753"/>
      <c r="L110" s="449"/>
      <c r="M110" s="41"/>
      <c r="N110" s="41"/>
      <c r="O110" s="41"/>
      <c r="P110" s="41"/>
      <c r="Q110" s="41"/>
      <c r="R110" s="41"/>
      <c r="S110" s="41"/>
      <c r="T110" s="41"/>
      <c r="U110" s="41"/>
      <c r="V110" s="41"/>
      <c r="W110" s="41"/>
    </row>
    <row r="111" spans="1:23" ht="11.25" customHeight="1" x14ac:dyDescent="0.2">
      <c r="A111" s="410">
        <f>'Org structure'!E107</f>
        <v>0</v>
      </c>
      <c r="B111" s="448"/>
      <c r="C111" s="749"/>
      <c r="D111" s="750"/>
      <c r="E111" s="751"/>
      <c r="F111" s="752"/>
      <c r="G111" s="751"/>
      <c r="H111" s="752"/>
      <c r="I111" s="45">
        <f t="shared" si="14"/>
        <v>0</v>
      </c>
      <c r="J111" s="333" t="str">
        <f t="shared" si="15"/>
        <v/>
      </c>
      <c r="K111" s="753"/>
      <c r="L111" s="449"/>
      <c r="M111" s="41"/>
      <c r="N111" s="41"/>
      <c r="O111" s="41"/>
      <c r="P111" s="41"/>
      <c r="Q111" s="41"/>
      <c r="R111" s="41"/>
      <c r="S111" s="41"/>
      <c r="T111" s="41"/>
      <c r="U111" s="41"/>
      <c r="V111" s="41"/>
      <c r="W111" s="41"/>
    </row>
    <row r="112" spans="1:23" ht="11.25" customHeight="1" x14ac:dyDescent="0.2">
      <c r="A112" s="410">
        <f>'Org structure'!E108</f>
        <v>0</v>
      </c>
      <c r="B112" s="448"/>
      <c r="C112" s="749"/>
      <c r="D112" s="750"/>
      <c r="E112" s="751"/>
      <c r="F112" s="752"/>
      <c r="G112" s="751"/>
      <c r="H112" s="752"/>
      <c r="I112" s="45">
        <f t="shared" si="14"/>
        <v>0</v>
      </c>
      <c r="J112" s="333" t="str">
        <f t="shared" si="15"/>
        <v/>
      </c>
      <c r="K112" s="753"/>
      <c r="L112" s="449"/>
      <c r="M112" s="41"/>
      <c r="N112" s="41"/>
      <c r="O112" s="41"/>
      <c r="P112" s="41"/>
      <c r="Q112" s="41"/>
      <c r="R112" s="41"/>
      <c r="S112" s="41"/>
      <c r="T112" s="41"/>
      <c r="U112" s="41"/>
      <c r="V112" s="41"/>
      <c r="W112" s="41"/>
    </row>
    <row r="113" spans="1:23" ht="11.25" customHeight="1" x14ac:dyDescent="0.2">
      <c r="A113" s="410">
        <f>'Org structure'!E109</f>
        <v>0</v>
      </c>
      <c r="B113" s="448"/>
      <c r="C113" s="749"/>
      <c r="D113" s="750"/>
      <c r="E113" s="751"/>
      <c r="F113" s="752"/>
      <c r="G113" s="751"/>
      <c r="H113" s="752"/>
      <c r="I113" s="45">
        <f t="shared" si="14"/>
        <v>0</v>
      </c>
      <c r="J113" s="333" t="str">
        <f t="shared" si="15"/>
        <v/>
      </c>
      <c r="K113" s="753"/>
      <c r="L113" s="449"/>
      <c r="M113" s="41"/>
      <c r="N113" s="41"/>
      <c r="O113" s="41"/>
      <c r="P113" s="41"/>
      <c r="Q113" s="41"/>
      <c r="R113" s="41"/>
      <c r="S113" s="41"/>
      <c r="T113" s="41"/>
      <c r="U113" s="41"/>
      <c r="V113" s="41"/>
      <c r="W113" s="41"/>
    </row>
    <row r="114" spans="1:23" ht="11.25" customHeight="1" x14ac:dyDescent="0.2">
      <c r="A114" s="410">
        <f>'Org structure'!E110</f>
        <v>0</v>
      </c>
      <c r="B114" s="448"/>
      <c r="C114" s="749"/>
      <c r="D114" s="750"/>
      <c r="E114" s="751"/>
      <c r="F114" s="752"/>
      <c r="G114" s="751"/>
      <c r="H114" s="752"/>
      <c r="I114" s="45">
        <f t="shared" si="14"/>
        <v>0</v>
      </c>
      <c r="J114" s="333" t="str">
        <f t="shared" si="15"/>
        <v/>
      </c>
      <c r="K114" s="753"/>
      <c r="L114" s="449"/>
      <c r="M114" s="41"/>
      <c r="N114" s="41"/>
      <c r="O114" s="41"/>
      <c r="P114" s="41"/>
      <c r="Q114" s="41"/>
      <c r="R114" s="41"/>
      <c r="S114" s="41"/>
      <c r="T114" s="41"/>
      <c r="U114" s="41"/>
      <c r="V114" s="41"/>
      <c r="W114" s="41"/>
    </row>
    <row r="115" spans="1:23" ht="11.25" customHeight="1" x14ac:dyDescent="0.2">
      <c r="A115" s="410">
        <f>'Org structure'!E111</f>
        <v>0</v>
      </c>
      <c r="B115" s="448"/>
      <c r="C115" s="749"/>
      <c r="D115" s="750"/>
      <c r="E115" s="751"/>
      <c r="F115" s="752"/>
      <c r="G115" s="751"/>
      <c r="H115" s="752"/>
      <c r="I115" s="45">
        <f t="shared" si="14"/>
        <v>0</v>
      </c>
      <c r="J115" s="333" t="str">
        <f t="shared" si="15"/>
        <v/>
      </c>
      <c r="K115" s="753"/>
      <c r="L115" s="449"/>
      <c r="M115" s="41"/>
      <c r="N115" s="41"/>
      <c r="O115" s="41"/>
      <c r="P115" s="41"/>
      <c r="Q115" s="41"/>
      <c r="R115" s="41"/>
      <c r="S115" s="41"/>
      <c r="T115" s="41"/>
      <c r="U115" s="41"/>
      <c r="V115" s="41"/>
      <c r="W115" s="41"/>
    </row>
    <row r="116" spans="1:23" ht="11.25" customHeight="1" x14ac:dyDescent="0.2">
      <c r="A116" s="820" t="str">
        <f>'Org structure'!A12</f>
        <v>Vote 11 - [NAME OF VOTE 11]</v>
      </c>
      <c r="B116" s="448"/>
      <c r="C116" s="506">
        <f>SUM(C117:C126)</f>
        <v>0</v>
      </c>
      <c r="D116" s="447">
        <f t="shared" ref="D116:K116" si="26">SUM(D117:D126)</f>
        <v>0</v>
      </c>
      <c r="E116" s="444">
        <f t="shared" si="26"/>
        <v>0</v>
      </c>
      <c r="F116" s="446">
        <f t="shared" si="26"/>
        <v>0</v>
      </c>
      <c r="G116" s="444">
        <f t="shared" si="26"/>
        <v>0</v>
      </c>
      <c r="H116" s="446">
        <f t="shared" si="26"/>
        <v>0</v>
      </c>
      <c r="I116" s="45">
        <f t="shared" si="14"/>
        <v>0</v>
      </c>
      <c r="J116" s="333" t="str">
        <f t="shared" si="15"/>
        <v/>
      </c>
      <c r="K116" s="445">
        <f t="shared" si="26"/>
        <v>0</v>
      </c>
      <c r="L116" s="449"/>
      <c r="M116" s="41"/>
      <c r="N116" s="41"/>
      <c r="O116" s="41"/>
      <c r="P116" s="41"/>
      <c r="Q116" s="41"/>
      <c r="R116" s="41"/>
      <c r="S116" s="41"/>
      <c r="T116" s="41"/>
      <c r="U116" s="41"/>
      <c r="V116" s="41"/>
      <c r="W116" s="41"/>
    </row>
    <row r="117" spans="1:23" ht="11.25" customHeight="1" x14ac:dyDescent="0.2">
      <c r="A117" s="819" t="str">
        <f>'Org structure'!E113</f>
        <v>11.1 - [Name of sub-vote]</v>
      </c>
      <c r="B117" s="448"/>
      <c r="C117" s="749"/>
      <c r="D117" s="750"/>
      <c r="E117" s="751"/>
      <c r="F117" s="752"/>
      <c r="G117" s="751"/>
      <c r="H117" s="752"/>
      <c r="I117" s="45">
        <f t="shared" si="14"/>
        <v>0</v>
      </c>
      <c r="J117" s="333" t="str">
        <f t="shared" si="15"/>
        <v/>
      </c>
      <c r="K117" s="753"/>
      <c r="L117" s="449"/>
      <c r="M117" s="41"/>
      <c r="N117" s="41"/>
      <c r="O117" s="41"/>
      <c r="P117" s="41"/>
      <c r="Q117" s="41"/>
      <c r="R117" s="41"/>
      <c r="S117" s="41"/>
      <c r="T117" s="41"/>
      <c r="U117" s="41"/>
      <c r="V117" s="41"/>
      <c r="W117" s="41"/>
    </row>
    <row r="118" spans="1:23" ht="11.25" customHeight="1" x14ac:dyDescent="0.2">
      <c r="A118" s="819">
        <f>'Org structure'!E114</f>
        <v>0</v>
      </c>
      <c r="B118" s="448"/>
      <c r="C118" s="749"/>
      <c r="D118" s="750"/>
      <c r="E118" s="751"/>
      <c r="F118" s="752"/>
      <c r="G118" s="751"/>
      <c r="H118" s="752"/>
      <c r="I118" s="45">
        <f t="shared" si="14"/>
        <v>0</v>
      </c>
      <c r="J118" s="333" t="str">
        <f t="shared" si="15"/>
        <v/>
      </c>
      <c r="K118" s="753"/>
      <c r="L118" s="449"/>
      <c r="M118" s="41"/>
      <c r="N118" s="41"/>
      <c r="O118" s="41"/>
      <c r="P118" s="41"/>
      <c r="Q118" s="41"/>
      <c r="R118" s="41"/>
      <c r="S118" s="41"/>
      <c r="T118" s="41"/>
      <c r="U118" s="41"/>
      <c r="V118" s="41"/>
      <c r="W118" s="41"/>
    </row>
    <row r="119" spans="1:23" ht="11.25" customHeight="1" x14ac:dyDescent="0.2">
      <c r="A119" s="819">
        <f>'Org structure'!E115</f>
        <v>0</v>
      </c>
      <c r="B119" s="448"/>
      <c r="C119" s="749"/>
      <c r="D119" s="750"/>
      <c r="E119" s="751"/>
      <c r="F119" s="752"/>
      <c r="G119" s="751"/>
      <c r="H119" s="752"/>
      <c r="I119" s="45">
        <f t="shared" si="14"/>
        <v>0</v>
      </c>
      <c r="J119" s="333" t="str">
        <f t="shared" si="15"/>
        <v/>
      </c>
      <c r="K119" s="753"/>
      <c r="L119" s="449"/>
      <c r="M119" s="41"/>
      <c r="N119" s="41"/>
      <c r="O119" s="41"/>
      <c r="P119" s="41"/>
      <c r="Q119" s="41"/>
      <c r="R119" s="41"/>
      <c r="S119" s="41"/>
      <c r="T119" s="41"/>
      <c r="U119" s="41"/>
      <c r="V119" s="41"/>
      <c r="W119" s="41"/>
    </row>
    <row r="120" spans="1:23" ht="11.25" customHeight="1" x14ac:dyDescent="0.2">
      <c r="A120" s="819">
        <f>'Org structure'!E116</f>
        <v>0</v>
      </c>
      <c r="B120" s="448"/>
      <c r="C120" s="749"/>
      <c r="D120" s="750"/>
      <c r="E120" s="751"/>
      <c r="F120" s="752"/>
      <c r="G120" s="751"/>
      <c r="H120" s="752"/>
      <c r="I120" s="45">
        <f t="shared" si="14"/>
        <v>0</v>
      </c>
      <c r="J120" s="333" t="str">
        <f t="shared" si="15"/>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c r="D121" s="750"/>
      <c r="E121" s="751"/>
      <c r="F121" s="752"/>
      <c r="G121" s="751"/>
      <c r="H121" s="752"/>
      <c r="I121" s="45">
        <f t="shared" si="14"/>
        <v>0</v>
      </c>
      <c r="J121" s="333" t="str">
        <f t="shared" si="15"/>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c r="D122" s="750"/>
      <c r="E122" s="751"/>
      <c r="F122" s="752"/>
      <c r="G122" s="751"/>
      <c r="H122" s="752"/>
      <c r="I122" s="45">
        <f t="shared" si="14"/>
        <v>0</v>
      </c>
      <c r="J122" s="333" t="str">
        <f t="shared" si="15"/>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c r="D123" s="750"/>
      <c r="E123" s="751"/>
      <c r="F123" s="752"/>
      <c r="G123" s="751"/>
      <c r="H123" s="752"/>
      <c r="I123" s="45">
        <f t="shared" si="14"/>
        <v>0</v>
      </c>
      <c r="J123" s="333" t="str">
        <f t="shared" si="15"/>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c r="D124" s="750"/>
      <c r="E124" s="751"/>
      <c r="F124" s="752"/>
      <c r="G124" s="751"/>
      <c r="H124" s="752"/>
      <c r="I124" s="45">
        <f t="shared" si="14"/>
        <v>0</v>
      </c>
      <c r="J124" s="333" t="str">
        <f t="shared" si="15"/>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c r="D125" s="750"/>
      <c r="E125" s="751"/>
      <c r="F125" s="752"/>
      <c r="G125" s="751"/>
      <c r="H125" s="752"/>
      <c r="I125" s="45">
        <f t="shared" si="14"/>
        <v>0</v>
      </c>
      <c r="J125" s="333" t="str">
        <f t="shared" si="15"/>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c r="D126" s="750"/>
      <c r="E126" s="751"/>
      <c r="F126" s="752"/>
      <c r="G126" s="751"/>
      <c r="H126" s="752"/>
      <c r="I126" s="45">
        <f t="shared" si="14"/>
        <v>0</v>
      </c>
      <c r="J126" s="333" t="str">
        <f t="shared" si="15"/>
        <v/>
      </c>
      <c r="K126" s="753"/>
      <c r="L126" s="449"/>
      <c r="M126" s="41"/>
      <c r="N126" s="41"/>
      <c r="O126" s="41"/>
      <c r="P126" s="41"/>
      <c r="Q126" s="41"/>
      <c r="R126" s="41"/>
      <c r="S126" s="41"/>
      <c r="T126" s="41"/>
      <c r="U126" s="41"/>
      <c r="V126" s="41"/>
      <c r="W126" s="41"/>
    </row>
    <row r="127" spans="1:23" ht="11.25" customHeight="1" x14ac:dyDescent="0.2">
      <c r="A127" s="820" t="str">
        <f>'Org structure'!A13</f>
        <v>Vote 12 - [NAME OF VOTE 12]</v>
      </c>
      <c r="B127" s="448"/>
      <c r="C127" s="506">
        <f>SUM(C128:C137)</f>
        <v>0</v>
      </c>
      <c r="D127" s="447">
        <f t="shared" ref="D127:K127" si="27">SUM(D128:D137)</f>
        <v>0</v>
      </c>
      <c r="E127" s="444">
        <f t="shared" si="27"/>
        <v>0</v>
      </c>
      <c r="F127" s="446">
        <f t="shared" si="27"/>
        <v>0</v>
      </c>
      <c r="G127" s="444">
        <f t="shared" si="27"/>
        <v>0</v>
      </c>
      <c r="H127" s="446">
        <f t="shared" si="27"/>
        <v>0</v>
      </c>
      <c r="I127" s="45">
        <f t="shared" si="14"/>
        <v>0</v>
      </c>
      <c r="J127" s="333" t="str">
        <f t="shared" si="15"/>
        <v/>
      </c>
      <c r="K127" s="445">
        <f t="shared" si="27"/>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c r="E128" s="751"/>
      <c r="F128" s="752"/>
      <c r="G128" s="751"/>
      <c r="H128" s="752"/>
      <c r="I128" s="45">
        <f t="shared" si="14"/>
        <v>0</v>
      </c>
      <c r="J128" s="333" t="str">
        <f t="shared" si="15"/>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c r="E129" s="751"/>
      <c r="F129" s="752"/>
      <c r="G129" s="751"/>
      <c r="H129" s="752"/>
      <c r="I129" s="45">
        <f t="shared" si="14"/>
        <v>0</v>
      </c>
      <c r="J129" s="333" t="str">
        <f t="shared" si="15"/>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c r="E130" s="751"/>
      <c r="F130" s="752"/>
      <c r="G130" s="751"/>
      <c r="H130" s="752"/>
      <c r="I130" s="45">
        <f t="shared" si="14"/>
        <v>0</v>
      </c>
      <c r="J130" s="333" t="str">
        <f t="shared" si="15"/>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c r="E131" s="751"/>
      <c r="F131" s="752"/>
      <c r="G131" s="751"/>
      <c r="H131" s="752"/>
      <c r="I131" s="45">
        <f t="shared" si="14"/>
        <v>0</v>
      </c>
      <c r="J131" s="333" t="str">
        <f t="shared" si="15"/>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c r="E132" s="751"/>
      <c r="F132" s="752"/>
      <c r="G132" s="751"/>
      <c r="H132" s="752"/>
      <c r="I132" s="45">
        <f t="shared" si="14"/>
        <v>0</v>
      </c>
      <c r="J132" s="333" t="str">
        <f t="shared" si="15"/>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c r="E133" s="751"/>
      <c r="F133" s="752"/>
      <c r="G133" s="751"/>
      <c r="H133" s="752"/>
      <c r="I133" s="45">
        <f t="shared" si="14"/>
        <v>0</v>
      </c>
      <c r="J133" s="333" t="str">
        <f t="shared" si="15"/>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c r="E134" s="751"/>
      <c r="F134" s="752"/>
      <c r="G134" s="751"/>
      <c r="H134" s="752"/>
      <c r="I134" s="45">
        <f t="shared" ref="I134:I197" si="28">G134-H134</f>
        <v>0</v>
      </c>
      <c r="J134" s="333" t="str">
        <f t="shared" ref="J134:J197" si="29">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c r="E135" s="751"/>
      <c r="F135" s="752"/>
      <c r="G135" s="751"/>
      <c r="H135" s="752"/>
      <c r="I135" s="45">
        <f t="shared" si="28"/>
        <v>0</v>
      </c>
      <c r="J135" s="333" t="str">
        <f t="shared" si="29"/>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c r="E136" s="751"/>
      <c r="F136" s="752"/>
      <c r="G136" s="751"/>
      <c r="H136" s="752"/>
      <c r="I136" s="45">
        <f t="shared" si="28"/>
        <v>0</v>
      </c>
      <c r="J136" s="333" t="str">
        <f t="shared" si="29"/>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c r="E137" s="751"/>
      <c r="F137" s="752"/>
      <c r="G137" s="751"/>
      <c r="H137" s="752"/>
      <c r="I137" s="45">
        <f t="shared" si="28"/>
        <v>0</v>
      </c>
      <c r="J137" s="333" t="str">
        <f t="shared" si="29"/>
        <v/>
      </c>
      <c r="K137" s="753"/>
      <c r="L137" s="449"/>
      <c r="M137" s="41"/>
      <c r="N137" s="41"/>
      <c r="O137" s="41"/>
      <c r="P137" s="41"/>
      <c r="Q137" s="41"/>
      <c r="R137" s="41"/>
      <c r="S137" s="41"/>
      <c r="T137" s="41"/>
      <c r="U137" s="41"/>
      <c r="V137" s="41"/>
      <c r="W137" s="41"/>
    </row>
    <row r="138" spans="1:23" ht="11.25" customHeight="1" x14ac:dyDescent="0.2">
      <c r="A138" s="820" t="str">
        <f>'Org structure'!A14</f>
        <v>Vote 13 - [NAME OF VOTE 13]</v>
      </c>
      <c r="B138" s="448"/>
      <c r="C138" s="506">
        <f>SUM(C139:C148)</f>
        <v>0</v>
      </c>
      <c r="D138" s="447">
        <f t="shared" ref="D138:K138" si="30">SUM(D139:D148)</f>
        <v>0</v>
      </c>
      <c r="E138" s="444">
        <f t="shared" si="30"/>
        <v>0</v>
      </c>
      <c r="F138" s="446">
        <f t="shared" si="30"/>
        <v>0</v>
      </c>
      <c r="G138" s="444">
        <f t="shared" si="30"/>
        <v>0</v>
      </c>
      <c r="H138" s="446">
        <f t="shared" si="30"/>
        <v>0</v>
      </c>
      <c r="I138" s="45">
        <f t="shared" si="28"/>
        <v>0</v>
      </c>
      <c r="J138" s="333" t="str">
        <f t="shared" si="29"/>
        <v/>
      </c>
      <c r="K138" s="445">
        <f t="shared" si="30"/>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c r="E139" s="751"/>
      <c r="F139" s="752"/>
      <c r="G139" s="751"/>
      <c r="H139" s="752"/>
      <c r="I139" s="45">
        <f t="shared" si="28"/>
        <v>0</v>
      </c>
      <c r="J139" s="333" t="str">
        <f t="shared" si="29"/>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c r="E140" s="751"/>
      <c r="F140" s="752"/>
      <c r="G140" s="751"/>
      <c r="H140" s="752"/>
      <c r="I140" s="45">
        <f t="shared" si="28"/>
        <v>0</v>
      </c>
      <c r="J140" s="333" t="str">
        <f t="shared" si="29"/>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c r="E141" s="751"/>
      <c r="F141" s="752"/>
      <c r="G141" s="751"/>
      <c r="H141" s="752"/>
      <c r="I141" s="45">
        <f t="shared" si="28"/>
        <v>0</v>
      </c>
      <c r="J141" s="333" t="str">
        <f t="shared" si="29"/>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c r="E142" s="751"/>
      <c r="F142" s="752"/>
      <c r="G142" s="751"/>
      <c r="H142" s="752"/>
      <c r="I142" s="45">
        <f t="shared" si="28"/>
        <v>0</v>
      </c>
      <c r="J142" s="333" t="str">
        <f t="shared" si="29"/>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c r="E143" s="751"/>
      <c r="F143" s="752"/>
      <c r="G143" s="751"/>
      <c r="H143" s="752"/>
      <c r="I143" s="45">
        <f t="shared" si="28"/>
        <v>0</v>
      </c>
      <c r="J143" s="333" t="str">
        <f t="shared" si="29"/>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c r="E144" s="751"/>
      <c r="F144" s="752"/>
      <c r="G144" s="751"/>
      <c r="H144" s="752"/>
      <c r="I144" s="45">
        <f t="shared" si="28"/>
        <v>0</v>
      </c>
      <c r="J144" s="333" t="str">
        <f t="shared" si="29"/>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c r="E145" s="751"/>
      <c r="F145" s="752"/>
      <c r="G145" s="751"/>
      <c r="H145" s="752"/>
      <c r="I145" s="45">
        <f t="shared" si="28"/>
        <v>0</v>
      </c>
      <c r="J145" s="333" t="str">
        <f t="shared" si="29"/>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c r="E146" s="751"/>
      <c r="F146" s="752"/>
      <c r="G146" s="751"/>
      <c r="H146" s="752"/>
      <c r="I146" s="45">
        <f t="shared" si="28"/>
        <v>0</v>
      </c>
      <c r="J146" s="333" t="str">
        <f t="shared" si="29"/>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c r="E147" s="751"/>
      <c r="F147" s="752"/>
      <c r="G147" s="751"/>
      <c r="H147" s="752"/>
      <c r="I147" s="45">
        <f t="shared" si="28"/>
        <v>0</v>
      </c>
      <c r="J147" s="333" t="str">
        <f t="shared" si="29"/>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c r="E148" s="751"/>
      <c r="F148" s="752"/>
      <c r="G148" s="751"/>
      <c r="H148" s="752"/>
      <c r="I148" s="45">
        <f t="shared" si="28"/>
        <v>0</v>
      </c>
      <c r="J148" s="333" t="str">
        <f t="shared" si="29"/>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1">SUM(D150:D159)</f>
        <v>0</v>
      </c>
      <c r="E149" s="444">
        <f t="shared" si="31"/>
        <v>0</v>
      </c>
      <c r="F149" s="446">
        <f t="shared" si="31"/>
        <v>0</v>
      </c>
      <c r="G149" s="444">
        <f t="shared" si="31"/>
        <v>0</v>
      </c>
      <c r="H149" s="446">
        <f t="shared" si="31"/>
        <v>0</v>
      </c>
      <c r="I149" s="45">
        <f t="shared" si="28"/>
        <v>0</v>
      </c>
      <c r="J149" s="333" t="str">
        <f t="shared" si="29"/>
        <v/>
      </c>
      <c r="K149" s="445">
        <f t="shared" si="31"/>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c r="E150" s="751"/>
      <c r="F150" s="752"/>
      <c r="G150" s="751"/>
      <c r="H150" s="752"/>
      <c r="I150" s="45">
        <f t="shared" si="28"/>
        <v>0</v>
      </c>
      <c r="J150" s="333" t="str">
        <f t="shared" si="29"/>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c r="E151" s="751"/>
      <c r="F151" s="752"/>
      <c r="G151" s="751"/>
      <c r="H151" s="752"/>
      <c r="I151" s="45">
        <f t="shared" si="28"/>
        <v>0</v>
      </c>
      <c r="J151" s="333" t="str">
        <f t="shared" si="29"/>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c r="E152" s="751"/>
      <c r="F152" s="752"/>
      <c r="G152" s="751"/>
      <c r="H152" s="752"/>
      <c r="I152" s="45">
        <f t="shared" si="28"/>
        <v>0</v>
      </c>
      <c r="J152" s="333" t="str">
        <f t="shared" si="29"/>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c r="E153" s="751"/>
      <c r="F153" s="752"/>
      <c r="G153" s="751"/>
      <c r="H153" s="752"/>
      <c r="I153" s="45">
        <f t="shared" si="28"/>
        <v>0</v>
      </c>
      <c r="J153" s="333" t="str">
        <f t="shared" si="29"/>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c r="E154" s="751"/>
      <c r="F154" s="752"/>
      <c r="G154" s="751"/>
      <c r="H154" s="752"/>
      <c r="I154" s="45">
        <f t="shared" si="28"/>
        <v>0</v>
      </c>
      <c r="J154" s="333" t="str">
        <f t="shared" si="29"/>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c r="E155" s="751"/>
      <c r="F155" s="752"/>
      <c r="G155" s="751"/>
      <c r="H155" s="752"/>
      <c r="I155" s="45">
        <f t="shared" si="28"/>
        <v>0</v>
      </c>
      <c r="J155" s="333" t="str">
        <f t="shared" si="29"/>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c r="E156" s="751"/>
      <c r="F156" s="752"/>
      <c r="G156" s="751"/>
      <c r="H156" s="752"/>
      <c r="I156" s="45">
        <f t="shared" si="28"/>
        <v>0</v>
      </c>
      <c r="J156" s="333" t="str">
        <f t="shared" si="29"/>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c r="E157" s="751"/>
      <c r="F157" s="752"/>
      <c r="G157" s="751"/>
      <c r="H157" s="752"/>
      <c r="I157" s="45">
        <f t="shared" si="28"/>
        <v>0</v>
      </c>
      <c r="J157" s="333" t="str">
        <f t="shared" si="29"/>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c r="E158" s="751"/>
      <c r="F158" s="752"/>
      <c r="G158" s="751"/>
      <c r="H158" s="752"/>
      <c r="I158" s="45">
        <f t="shared" si="28"/>
        <v>0</v>
      </c>
      <c r="J158" s="333" t="str">
        <f t="shared" si="29"/>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c r="E159" s="751"/>
      <c r="F159" s="752"/>
      <c r="G159" s="751"/>
      <c r="H159" s="752"/>
      <c r="I159" s="45">
        <f t="shared" si="28"/>
        <v>0</v>
      </c>
      <c r="J159" s="333" t="str">
        <f t="shared" si="29"/>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2">SUM(D161:D170)</f>
        <v>0</v>
      </c>
      <c r="E160" s="444">
        <f t="shared" si="32"/>
        <v>0</v>
      </c>
      <c r="F160" s="446">
        <f t="shared" si="32"/>
        <v>0</v>
      </c>
      <c r="G160" s="444">
        <f t="shared" si="32"/>
        <v>0</v>
      </c>
      <c r="H160" s="446">
        <f t="shared" si="32"/>
        <v>0</v>
      </c>
      <c r="I160" s="45">
        <f t="shared" si="28"/>
        <v>0</v>
      </c>
      <c r="J160" s="333" t="str">
        <f t="shared" si="29"/>
        <v/>
      </c>
      <c r="K160" s="445">
        <f t="shared" si="32"/>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c r="E161" s="751"/>
      <c r="F161" s="752"/>
      <c r="G161" s="751"/>
      <c r="H161" s="752"/>
      <c r="I161" s="45">
        <f t="shared" si="28"/>
        <v>0</v>
      </c>
      <c r="J161" s="333" t="str">
        <f t="shared" si="29"/>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c r="E162" s="751"/>
      <c r="F162" s="752"/>
      <c r="G162" s="751"/>
      <c r="H162" s="752"/>
      <c r="I162" s="45">
        <f t="shared" si="28"/>
        <v>0</v>
      </c>
      <c r="J162" s="333" t="str">
        <f t="shared" si="29"/>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c r="E163" s="751"/>
      <c r="F163" s="752"/>
      <c r="G163" s="751"/>
      <c r="H163" s="752"/>
      <c r="I163" s="45">
        <f t="shared" si="28"/>
        <v>0</v>
      </c>
      <c r="J163" s="333" t="str">
        <f t="shared" si="29"/>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c r="E164" s="751"/>
      <c r="F164" s="752"/>
      <c r="G164" s="751"/>
      <c r="H164" s="752"/>
      <c r="I164" s="45">
        <f t="shared" si="28"/>
        <v>0</v>
      </c>
      <c r="J164" s="333" t="str">
        <f t="shared" si="29"/>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c r="E165" s="751"/>
      <c r="F165" s="752"/>
      <c r="G165" s="751"/>
      <c r="H165" s="752"/>
      <c r="I165" s="45">
        <f t="shared" si="28"/>
        <v>0</v>
      </c>
      <c r="J165" s="333" t="str">
        <f t="shared" si="29"/>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c r="E166" s="751"/>
      <c r="F166" s="752"/>
      <c r="G166" s="751"/>
      <c r="H166" s="752"/>
      <c r="I166" s="45">
        <f t="shared" si="28"/>
        <v>0</v>
      </c>
      <c r="J166" s="333" t="str">
        <f t="shared" si="29"/>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c r="E167" s="751"/>
      <c r="F167" s="752"/>
      <c r="G167" s="751"/>
      <c r="H167" s="752"/>
      <c r="I167" s="45">
        <f t="shared" si="28"/>
        <v>0</v>
      </c>
      <c r="J167" s="333" t="str">
        <f t="shared" si="29"/>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c r="E168" s="751"/>
      <c r="F168" s="752"/>
      <c r="G168" s="751"/>
      <c r="H168" s="752"/>
      <c r="I168" s="45">
        <f t="shared" si="28"/>
        <v>0</v>
      </c>
      <c r="J168" s="333" t="str">
        <f t="shared" si="29"/>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c r="E169" s="751"/>
      <c r="F169" s="752"/>
      <c r="G169" s="751"/>
      <c r="H169" s="752"/>
      <c r="I169" s="45">
        <f t="shared" si="28"/>
        <v>0</v>
      </c>
      <c r="J169" s="333" t="str">
        <f t="shared" si="29"/>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c r="E170" s="751"/>
      <c r="F170" s="752"/>
      <c r="G170" s="751"/>
      <c r="H170" s="752"/>
      <c r="I170" s="45">
        <f t="shared" si="28"/>
        <v>0</v>
      </c>
      <c r="J170" s="333" t="str">
        <f t="shared" si="29"/>
        <v/>
      </c>
      <c r="K170" s="753"/>
      <c r="L170" s="455">
        <f t="shared" ref="L170:W170" si="33">SUM(L78:L81)</f>
        <v>0</v>
      </c>
      <c r="M170" s="456">
        <f t="shared" si="33"/>
        <v>0</v>
      </c>
      <c r="N170" s="456">
        <f t="shared" si="33"/>
        <v>0</v>
      </c>
      <c r="O170" s="456">
        <f t="shared" si="33"/>
        <v>0</v>
      </c>
      <c r="P170" s="456">
        <f t="shared" si="33"/>
        <v>0</v>
      </c>
      <c r="Q170" s="456">
        <f t="shared" si="33"/>
        <v>0</v>
      </c>
      <c r="R170" s="456">
        <f t="shared" si="33"/>
        <v>0</v>
      </c>
      <c r="S170" s="456">
        <f t="shared" si="33"/>
        <v>0</v>
      </c>
      <c r="T170" s="456">
        <f t="shared" si="33"/>
        <v>0</v>
      </c>
      <c r="U170" s="456">
        <f t="shared" si="33"/>
        <v>0</v>
      </c>
      <c r="V170" s="456">
        <f t="shared" si="33"/>
        <v>0</v>
      </c>
      <c r="W170" s="456">
        <f t="shared" si="33"/>
        <v>0</v>
      </c>
    </row>
    <row r="171" spans="1:23" ht="12.75" customHeight="1" x14ac:dyDescent="0.2">
      <c r="A171" s="450" t="s">
        <v>656</v>
      </c>
      <c r="B171" s="418">
        <v>2</v>
      </c>
      <c r="C171" s="507">
        <f>C6+C17+C28+C39+C50+C61+C72+C83+C94+C105+C116+C127+C138+C149+C160</f>
        <v>0</v>
      </c>
      <c r="D171" s="454">
        <f t="shared" ref="D171:K171" si="34">D6+D17+D28+D39+D50+D61+D72+D83+D94+D105+D116+D127+D138+D149+D160</f>
        <v>3943217000.6700001</v>
      </c>
      <c r="E171" s="451">
        <f t="shared" si="34"/>
        <v>0</v>
      </c>
      <c r="F171" s="453">
        <f t="shared" si="34"/>
        <v>252053965.5520092</v>
      </c>
      <c r="G171" s="451">
        <f t="shared" si="34"/>
        <v>965397571.63900936</v>
      </c>
      <c r="H171" s="453">
        <f t="shared" si="34"/>
        <v>1314405666.8900003</v>
      </c>
      <c r="I171" s="517">
        <f t="shared" si="28"/>
        <v>-349008095.25099099</v>
      </c>
      <c r="J171" s="518">
        <f t="shared" si="29"/>
        <v>-0.26552540364252608</v>
      </c>
      <c r="K171" s="452">
        <f t="shared" si="34"/>
        <v>3943217000.6700001</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461"/>
      <c r="I172" s="116">
        <f t="shared" si="28"/>
        <v>0</v>
      </c>
      <c r="J172" s="134" t="str">
        <f t="shared" si="29"/>
        <v/>
      </c>
      <c r="K172" s="460"/>
      <c r="L172" s="449"/>
      <c r="M172" s="41"/>
      <c r="N172" s="41"/>
      <c r="O172" s="41"/>
      <c r="P172" s="41"/>
      <c r="Q172" s="41"/>
      <c r="R172" s="41"/>
      <c r="S172" s="41"/>
      <c r="T172" s="41"/>
      <c r="U172" s="41"/>
      <c r="V172" s="41"/>
      <c r="W172" s="41"/>
    </row>
    <row r="173" spans="1:23" ht="11.25" customHeight="1" x14ac:dyDescent="0.2">
      <c r="A173" s="463" t="s">
        <v>773</v>
      </c>
      <c r="B173" s="464">
        <v>1</v>
      </c>
      <c r="C173" s="509"/>
      <c r="D173" s="468"/>
      <c r="E173" s="465"/>
      <c r="F173" s="467"/>
      <c r="G173" s="465"/>
      <c r="H173" s="467"/>
      <c r="I173" s="45">
        <f t="shared" si="28"/>
        <v>0</v>
      </c>
      <c r="J173" s="333" t="str">
        <f t="shared" si="29"/>
        <v/>
      </c>
      <c r="K173" s="466"/>
      <c r="L173" s="449"/>
      <c r="M173" s="41"/>
      <c r="N173" s="41"/>
      <c r="O173" s="41"/>
      <c r="P173" s="41"/>
      <c r="Q173" s="41"/>
      <c r="R173" s="41"/>
      <c r="S173" s="41"/>
      <c r="T173" s="41"/>
      <c r="U173" s="41"/>
      <c r="V173" s="41"/>
      <c r="W173" s="41"/>
    </row>
    <row r="174" spans="1:23" ht="11.25" customHeight="1" x14ac:dyDescent="0.2">
      <c r="A174" s="469" t="str">
        <f>'Org structure'!A2</f>
        <v>Vote 1 - COUNCIL</v>
      </c>
      <c r="B174" s="470"/>
      <c r="C174" s="510">
        <f t="shared" ref="C174:K174" si="35">SUM(C175:C184)</f>
        <v>0</v>
      </c>
      <c r="D174" s="474">
        <f t="shared" si="35"/>
        <v>202689023.05886993</v>
      </c>
      <c r="E174" s="471">
        <f t="shared" si="35"/>
        <v>0</v>
      </c>
      <c r="F174" s="473">
        <f>SUM(F175:F184)</f>
        <v>96620535</v>
      </c>
      <c r="G174" s="471">
        <f>SUM(G175:G184)</f>
        <v>96620535</v>
      </c>
      <c r="H174" s="473">
        <f t="shared" si="35"/>
        <v>67563007.686289966</v>
      </c>
      <c r="I174" s="45">
        <f t="shared" si="28"/>
        <v>29057527.313710034</v>
      </c>
      <c r="J174" s="333">
        <f t="shared" si="29"/>
        <v>0.43008042875519364</v>
      </c>
      <c r="K174" s="472">
        <f t="shared" si="35"/>
        <v>202689023.05886993</v>
      </c>
      <c r="L174" s="449"/>
      <c r="M174" s="41"/>
      <c r="N174" s="41"/>
      <c r="O174" s="41"/>
      <c r="P174" s="41"/>
      <c r="Q174" s="41"/>
      <c r="R174" s="41"/>
      <c r="S174" s="41"/>
      <c r="T174" s="41"/>
      <c r="U174" s="41"/>
      <c r="V174" s="41"/>
      <c r="W174" s="41"/>
    </row>
    <row r="175" spans="1:23" ht="11.25" customHeight="1" x14ac:dyDescent="0.2">
      <c r="A175" s="410" t="str">
        <f>'Org structure'!E3</f>
        <v>1,1 - Council</v>
      </c>
      <c r="B175" s="448"/>
      <c r="C175" s="754"/>
      <c r="D175" s="755">
        <v>177909214.27886993</v>
      </c>
      <c r="E175" s="743"/>
      <c r="F175" s="756">
        <v>96620535</v>
      </c>
      <c r="G175" s="743">
        <v>96620535</v>
      </c>
      <c r="H175" s="756">
        <f t="shared" ref="H175:H184" si="36">D175/12*4</f>
        <v>59303071.426289976</v>
      </c>
      <c r="I175" s="45">
        <f t="shared" ref="I175:I184" si="37">G175-H175</f>
        <v>37317463.573710024</v>
      </c>
      <c r="J175" s="333">
        <f t="shared" si="29"/>
        <v>0.62926696166307861</v>
      </c>
      <c r="K175" s="757">
        <f>D175</f>
        <v>177909214.27886993</v>
      </c>
      <c r="L175" s="449"/>
      <c r="M175" s="41"/>
      <c r="N175" s="41"/>
      <c r="O175" s="41"/>
      <c r="P175" s="41"/>
      <c r="Q175" s="41"/>
      <c r="R175" s="41"/>
      <c r="S175" s="41"/>
      <c r="T175" s="41"/>
      <c r="U175" s="41"/>
      <c r="V175" s="41"/>
      <c r="W175" s="41"/>
    </row>
    <row r="176" spans="1:23" ht="11.25" customHeight="1" x14ac:dyDescent="0.2">
      <c r="A176" s="410" t="str">
        <f>'Org structure'!E4</f>
        <v>1,2 - Office of executive Mayor</v>
      </c>
      <c r="B176" s="448"/>
      <c r="C176" s="754"/>
      <c r="D176" s="755">
        <v>8816369.0300000012</v>
      </c>
      <c r="E176" s="743"/>
      <c r="F176" s="756"/>
      <c r="G176" s="743"/>
      <c r="H176" s="756">
        <f t="shared" si="36"/>
        <v>2938789.6766666672</v>
      </c>
      <c r="I176" s="45">
        <f t="shared" si="37"/>
        <v>-2938789.6766666672</v>
      </c>
      <c r="J176" s="333">
        <f t="shared" si="29"/>
        <v>-1</v>
      </c>
      <c r="K176" s="757">
        <f t="shared" ref="K176:K184" si="38">D176</f>
        <v>8816369.0300000012</v>
      </c>
      <c r="L176" s="449"/>
      <c r="M176" s="41"/>
      <c r="N176" s="41"/>
      <c r="O176" s="41"/>
      <c r="P176" s="41"/>
      <c r="Q176" s="41"/>
      <c r="R176" s="41"/>
      <c r="S176" s="41"/>
      <c r="T176" s="41"/>
      <c r="U176" s="41"/>
      <c r="V176" s="41"/>
      <c r="W176" s="41"/>
    </row>
    <row r="177" spans="1:23" ht="11.25" customHeight="1" x14ac:dyDescent="0.2">
      <c r="A177" s="410" t="str">
        <f>'Org structure'!E5</f>
        <v>1,3 - Office of Speaker</v>
      </c>
      <c r="B177" s="448"/>
      <c r="C177" s="754"/>
      <c r="D177" s="755">
        <v>15932509.829999998</v>
      </c>
      <c r="E177" s="743"/>
      <c r="F177" s="756"/>
      <c r="G177" s="743"/>
      <c r="H177" s="756">
        <f t="shared" si="36"/>
        <v>5310836.6099999994</v>
      </c>
      <c r="I177" s="45">
        <f t="shared" si="37"/>
        <v>-5310836.6099999994</v>
      </c>
      <c r="J177" s="333">
        <f t="shared" si="29"/>
        <v>-1</v>
      </c>
      <c r="K177" s="757">
        <f t="shared" si="38"/>
        <v>15932509.829999998</v>
      </c>
      <c r="L177" s="449"/>
      <c r="M177" s="41"/>
      <c r="N177" s="41"/>
      <c r="O177" s="41"/>
      <c r="P177" s="41"/>
      <c r="Q177" s="41"/>
      <c r="R177" s="41"/>
      <c r="S177" s="41"/>
      <c r="T177" s="41"/>
      <c r="U177" s="41"/>
      <c r="V177" s="41"/>
      <c r="W177" s="41"/>
    </row>
    <row r="178" spans="1:23" ht="11.25" customHeight="1" x14ac:dyDescent="0.2">
      <c r="A178" s="410" t="str">
        <f>'Org structure'!E6</f>
        <v>1,4 - Office of Chief Whip</v>
      </c>
      <c r="B178" s="448"/>
      <c r="C178" s="754"/>
      <c r="D178" s="755">
        <v>30929.919999999998</v>
      </c>
      <c r="E178" s="743"/>
      <c r="F178" s="756"/>
      <c r="G178" s="743"/>
      <c r="H178" s="756">
        <f t="shared" si="36"/>
        <v>10309.973333333333</v>
      </c>
      <c r="I178" s="45">
        <f t="shared" si="37"/>
        <v>-10309.973333333333</v>
      </c>
      <c r="J178" s="333">
        <f t="shared" si="29"/>
        <v>-1</v>
      </c>
      <c r="K178" s="757">
        <f t="shared" si="38"/>
        <v>30929.919999999998</v>
      </c>
      <c r="L178" s="449"/>
      <c r="M178" s="41"/>
      <c r="N178" s="41"/>
      <c r="O178" s="41"/>
      <c r="P178" s="41"/>
      <c r="Q178" s="41"/>
      <c r="R178" s="41"/>
      <c r="S178" s="41"/>
      <c r="T178" s="41"/>
      <c r="U178" s="41"/>
      <c r="V178" s="41"/>
      <c r="W178" s="41"/>
    </row>
    <row r="179" spans="1:23" ht="11.25" customHeight="1" x14ac:dyDescent="0.2">
      <c r="A179" s="410">
        <f>'Org structure'!E7</f>
        <v>0</v>
      </c>
      <c r="B179" s="448"/>
      <c r="C179" s="754"/>
      <c r="D179" s="755"/>
      <c r="E179" s="743"/>
      <c r="F179" s="756"/>
      <c r="G179" s="743"/>
      <c r="H179" s="756">
        <f t="shared" si="36"/>
        <v>0</v>
      </c>
      <c r="I179" s="45">
        <f t="shared" si="37"/>
        <v>0</v>
      </c>
      <c r="J179" s="333" t="str">
        <f t="shared" si="29"/>
        <v/>
      </c>
      <c r="K179" s="757">
        <f t="shared" si="38"/>
        <v>0</v>
      </c>
      <c r="L179" s="449"/>
      <c r="M179" s="41"/>
      <c r="N179" s="41"/>
      <c r="O179" s="41"/>
      <c r="P179" s="41"/>
      <c r="Q179" s="41"/>
      <c r="R179" s="41"/>
      <c r="S179" s="41"/>
      <c r="T179" s="41"/>
      <c r="U179" s="41"/>
      <c r="V179" s="41"/>
      <c r="W179" s="41"/>
    </row>
    <row r="180" spans="1:23" ht="11.25" customHeight="1" x14ac:dyDescent="0.2">
      <c r="A180" s="410">
        <f>'Org structure'!E8</f>
        <v>0</v>
      </c>
      <c r="B180" s="448"/>
      <c r="C180" s="754"/>
      <c r="D180" s="755"/>
      <c r="E180" s="743"/>
      <c r="F180" s="756"/>
      <c r="G180" s="743"/>
      <c r="H180" s="756">
        <f t="shared" si="36"/>
        <v>0</v>
      </c>
      <c r="I180" s="45">
        <f t="shared" si="37"/>
        <v>0</v>
      </c>
      <c r="J180" s="333" t="str">
        <f t="shared" si="29"/>
        <v/>
      </c>
      <c r="K180" s="757">
        <f t="shared" si="38"/>
        <v>0</v>
      </c>
      <c r="L180" s="449"/>
      <c r="M180" s="41"/>
      <c r="N180" s="41"/>
      <c r="O180" s="41"/>
      <c r="P180" s="41"/>
      <c r="Q180" s="41"/>
      <c r="R180" s="41"/>
      <c r="S180" s="41"/>
      <c r="T180" s="41"/>
      <c r="U180" s="41"/>
      <c r="V180" s="41"/>
      <c r="W180" s="41"/>
    </row>
    <row r="181" spans="1:23" ht="11.25" customHeight="1" x14ac:dyDescent="0.2">
      <c r="A181" s="410">
        <f>'Org structure'!E9</f>
        <v>0</v>
      </c>
      <c r="B181" s="448"/>
      <c r="C181" s="754"/>
      <c r="D181" s="755"/>
      <c r="E181" s="743"/>
      <c r="F181" s="756"/>
      <c r="G181" s="743"/>
      <c r="H181" s="756">
        <f t="shared" si="36"/>
        <v>0</v>
      </c>
      <c r="I181" s="45">
        <f t="shared" si="37"/>
        <v>0</v>
      </c>
      <c r="J181" s="333" t="str">
        <f t="shared" si="29"/>
        <v/>
      </c>
      <c r="K181" s="757">
        <f t="shared" si="38"/>
        <v>0</v>
      </c>
      <c r="L181" s="449"/>
      <c r="M181" s="41"/>
      <c r="N181" s="41"/>
      <c r="O181" s="41"/>
      <c r="P181" s="41"/>
      <c r="Q181" s="41"/>
      <c r="R181" s="41"/>
      <c r="S181" s="41"/>
      <c r="T181" s="41"/>
      <c r="U181" s="41"/>
      <c r="V181" s="41"/>
      <c r="W181" s="41"/>
    </row>
    <row r="182" spans="1:23" ht="11.25" customHeight="1" x14ac:dyDescent="0.2">
      <c r="A182" s="410">
        <f>'Org structure'!E10</f>
        <v>0</v>
      </c>
      <c r="B182" s="448"/>
      <c r="C182" s="754"/>
      <c r="D182" s="755"/>
      <c r="E182" s="743"/>
      <c r="F182" s="756"/>
      <c r="G182" s="743"/>
      <c r="H182" s="756">
        <f t="shared" si="36"/>
        <v>0</v>
      </c>
      <c r="I182" s="45">
        <f t="shared" si="37"/>
        <v>0</v>
      </c>
      <c r="J182" s="333" t="str">
        <f t="shared" si="29"/>
        <v/>
      </c>
      <c r="K182" s="757">
        <f t="shared" si="38"/>
        <v>0</v>
      </c>
      <c r="L182" s="449"/>
      <c r="M182" s="41"/>
      <c r="N182" s="41"/>
      <c r="O182" s="41"/>
      <c r="P182" s="41"/>
      <c r="Q182" s="41"/>
      <c r="R182" s="41"/>
      <c r="S182" s="41"/>
      <c r="T182" s="41"/>
      <c r="U182" s="41"/>
      <c r="V182" s="41"/>
      <c r="W182" s="41"/>
    </row>
    <row r="183" spans="1:23" ht="11.25" customHeight="1" x14ac:dyDescent="0.2">
      <c r="A183" s="410">
        <f>'Org structure'!E11</f>
        <v>0</v>
      </c>
      <c r="B183" s="448"/>
      <c r="C183" s="754"/>
      <c r="D183" s="755"/>
      <c r="E183" s="743"/>
      <c r="F183" s="756"/>
      <c r="G183" s="743"/>
      <c r="H183" s="756">
        <f t="shared" si="36"/>
        <v>0</v>
      </c>
      <c r="I183" s="45">
        <f t="shared" si="37"/>
        <v>0</v>
      </c>
      <c r="J183" s="333" t="str">
        <f t="shared" si="29"/>
        <v/>
      </c>
      <c r="K183" s="757">
        <f t="shared" si="38"/>
        <v>0</v>
      </c>
      <c r="L183" s="449"/>
      <c r="M183" s="41"/>
      <c r="N183" s="41"/>
      <c r="O183" s="41"/>
      <c r="P183" s="41"/>
      <c r="Q183" s="41"/>
      <c r="R183" s="41"/>
      <c r="S183" s="41"/>
      <c r="T183" s="41"/>
      <c r="U183" s="41"/>
      <c r="V183" s="41"/>
      <c r="W183" s="41"/>
    </row>
    <row r="184" spans="1:23" ht="11.25" customHeight="1" x14ac:dyDescent="0.2">
      <c r="A184" s="410">
        <f>'Org structure'!E12</f>
        <v>0</v>
      </c>
      <c r="B184" s="448"/>
      <c r="C184" s="754"/>
      <c r="D184" s="755"/>
      <c r="E184" s="743"/>
      <c r="F184" s="756"/>
      <c r="G184" s="743"/>
      <c r="H184" s="756">
        <f t="shared" si="36"/>
        <v>0</v>
      </c>
      <c r="I184" s="45">
        <f t="shared" si="37"/>
        <v>0</v>
      </c>
      <c r="J184" s="333" t="str">
        <f t="shared" si="29"/>
        <v/>
      </c>
      <c r="K184" s="757">
        <f t="shared" si="38"/>
        <v>0</v>
      </c>
      <c r="L184" s="49"/>
      <c r="M184" s="476"/>
      <c r="N184" s="476"/>
      <c r="O184" s="476"/>
      <c r="P184" s="476"/>
      <c r="Q184" s="476"/>
      <c r="R184" s="476"/>
      <c r="S184" s="476"/>
      <c r="T184" s="476"/>
      <c r="U184" s="476"/>
      <c r="V184" s="476"/>
      <c r="W184" s="476"/>
    </row>
    <row r="185" spans="1:23" ht="11.25" customHeight="1" x14ac:dyDescent="0.2">
      <c r="A185" s="469" t="str">
        <f>'Org structure'!A3</f>
        <v>Vote 2 - Office of the Municipal Manger</v>
      </c>
      <c r="B185" s="443"/>
      <c r="C185" s="506">
        <f>SUM(C186:C195)</f>
        <v>0</v>
      </c>
      <c r="D185" s="447">
        <f>SUM(D186:D195)</f>
        <v>67350054.444399998</v>
      </c>
      <c r="E185" s="444">
        <f t="shared" ref="E185:K185" si="39">SUM(E186:E195)</f>
        <v>0</v>
      </c>
      <c r="F185" s="446">
        <f t="shared" si="39"/>
        <v>0</v>
      </c>
      <c r="G185" s="444">
        <f t="shared" si="39"/>
        <v>0</v>
      </c>
      <c r="H185" s="446">
        <f t="shared" si="39"/>
        <v>22450018.148133334</v>
      </c>
      <c r="I185" s="45">
        <f t="shared" si="28"/>
        <v>-22450018.148133334</v>
      </c>
      <c r="J185" s="333">
        <f t="shared" si="29"/>
        <v>-1</v>
      </c>
      <c r="K185" s="445">
        <f t="shared" si="39"/>
        <v>67350054.444399998</v>
      </c>
      <c r="L185" s="49"/>
      <c r="M185" s="476"/>
      <c r="N185" s="476"/>
      <c r="O185" s="476"/>
      <c r="P185" s="476"/>
      <c r="Q185" s="476"/>
      <c r="R185" s="476"/>
      <c r="S185" s="476"/>
      <c r="T185" s="476"/>
      <c r="U185" s="476"/>
      <c r="V185" s="476"/>
      <c r="W185" s="476"/>
    </row>
    <row r="186" spans="1:23" ht="11.25" customHeight="1" x14ac:dyDescent="0.2">
      <c r="A186" s="410" t="str">
        <f>'Org structure'!E14</f>
        <v>2,1 - Office of the Municipal Manager</v>
      </c>
      <c r="B186" s="448"/>
      <c r="C186" s="754"/>
      <c r="D186" s="755">
        <v>40325112.914999999</v>
      </c>
      <c r="E186" s="743"/>
      <c r="F186" s="756"/>
      <c r="G186" s="743"/>
      <c r="H186" s="756">
        <f t="shared" ref="H186:H195" si="40">D186/12*4</f>
        <v>13441704.305</v>
      </c>
      <c r="I186" s="45">
        <f t="shared" si="28"/>
        <v>-13441704.305</v>
      </c>
      <c r="J186" s="333">
        <f t="shared" si="29"/>
        <v>-1</v>
      </c>
      <c r="K186" s="757">
        <f>D186</f>
        <v>40325112.914999999</v>
      </c>
      <c r="L186" s="49"/>
      <c r="M186" s="476"/>
      <c r="N186" s="476"/>
      <c r="O186" s="476"/>
      <c r="P186" s="476"/>
      <c r="Q186" s="476"/>
      <c r="R186" s="476"/>
      <c r="S186" s="476"/>
      <c r="T186" s="476"/>
      <c r="U186" s="476"/>
      <c r="V186" s="476"/>
      <c r="W186" s="476"/>
    </row>
    <row r="187" spans="1:23" ht="11.25" customHeight="1" x14ac:dyDescent="0.2">
      <c r="A187" s="410" t="str">
        <f>'Org structure'!E15</f>
        <v>2,2 - Communications and Marketing</v>
      </c>
      <c r="B187" s="448"/>
      <c r="C187" s="754"/>
      <c r="D187" s="755">
        <v>11702351.614999998</v>
      </c>
      <c r="E187" s="743"/>
      <c r="F187" s="756"/>
      <c r="G187" s="743"/>
      <c r="H187" s="756">
        <f t="shared" si="40"/>
        <v>3900783.8716666661</v>
      </c>
      <c r="I187" s="45">
        <f t="shared" si="28"/>
        <v>-3900783.8716666661</v>
      </c>
      <c r="J187" s="333">
        <f t="shared" si="29"/>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
      <c r="A188" s="410">
        <f>'Org structure'!E16</f>
        <v>0</v>
      </c>
      <c r="B188" s="448"/>
      <c r="C188" s="754"/>
      <c r="D188" s="755">
        <v>3632725.8050000002</v>
      </c>
      <c r="E188" s="743"/>
      <c r="F188" s="756"/>
      <c r="G188" s="743"/>
      <c r="H188" s="756">
        <f t="shared" si="40"/>
        <v>1210908.6016666668</v>
      </c>
      <c r="I188" s="45">
        <f t="shared" si="28"/>
        <v>-1210908.6016666668</v>
      </c>
      <c r="J188" s="333">
        <f t="shared" si="29"/>
        <v>-1</v>
      </c>
      <c r="K188" s="757">
        <f t="shared" si="41"/>
        <v>3632725.8050000002</v>
      </c>
      <c r="L188" s="49"/>
      <c r="M188" s="476"/>
      <c r="N188" s="476"/>
      <c r="O188" s="476"/>
      <c r="P188" s="476"/>
      <c r="Q188" s="476"/>
      <c r="R188" s="476"/>
      <c r="S188" s="476"/>
      <c r="T188" s="476"/>
      <c r="U188" s="476"/>
      <c r="V188" s="476"/>
      <c r="W188" s="476"/>
    </row>
    <row r="189" spans="1:23" ht="11.25" customHeight="1" x14ac:dyDescent="0.2">
      <c r="A189" s="410">
        <f>'Org structure'!E17</f>
        <v>0</v>
      </c>
      <c r="B189" s="448"/>
      <c r="C189" s="754"/>
      <c r="D189" s="755">
        <v>11689864.1094</v>
      </c>
      <c r="E189" s="743"/>
      <c r="F189" s="756"/>
      <c r="G189" s="743"/>
      <c r="H189" s="756">
        <f t="shared" si="40"/>
        <v>3896621.3698</v>
      </c>
      <c r="I189" s="45">
        <f t="shared" si="28"/>
        <v>-3896621.3698</v>
      </c>
      <c r="J189" s="333">
        <f t="shared" si="29"/>
        <v>-1</v>
      </c>
      <c r="K189" s="757">
        <f t="shared" si="41"/>
        <v>11689864.1094</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c r="D190" s="755"/>
      <c r="E190" s="743"/>
      <c r="F190" s="756"/>
      <c r="G190" s="743"/>
      <c r="H190" s="756">
        <f t="shared" si="40"/>
        <v>0</v>
      </c>
      <c r="I190" s="45">
        <f t="shared" si="28"/>
        <v>0</v>
      </c>
      <c r="J190" s="333" t="str">
        <f t="shared" si="29"/>
        <v/>
      </c>
      <c r="K190" s="757">
        <f t="shared" si="41"/>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c r="D191" s="755"/>
      <c r="E191" s="743"/>
      <c r="F191" s="756"/>
      <c r="G191" s="743"/>
      <c r="H191" s="756">
        <f t="shared" si="40"/>
        <v>0</v>
      </c>
      <c r="I191" s="45">
        <f t="shared" si="28"/>
        <v>0</v>
      </c>
      <c r="J191" s="333" t="str">
        <f t="shared" si="29"/>
        <v/>
      </c>
      <c r="K191" s="757">
        <f t="shared" si="41"/>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c r="D192" s="755"/>
      <c r="E192" s="743"/>
      <c r="F192" s="756"/>
      <c r="G192" s="743"/>
      <c r="H192" s="756">
        <f t="shared" si="40"/>
        <v>0</v>
      </c>
      <c r="I192" s="45">
        <f t="shared" si="28"/>
        <v>0</v>
      </c>
      <c r="J192" s="333" t="str">
        <f t="shared" si="29"/>
        <v/>
      </c>
      <c r="K192" s="757">
        <f t="shared" si="41"/>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c r="D193" s="755"/>
      <c r="E193" s="743"/>
      <c r="F193" s="756"/>
      <c r="G193" s="743"/>
      <c r="H193" s="756">
        <f t="shared" si="40"/>
        <v>0</v>
      </c>
      <c r="I193" s="45">
        <f t="shared" si="28"/>
        <v>0</v>
      </c>
      <c r="J193" s="333" t="str">
        <f t="shared" si="29"/>
        <v/>
      </c>
      <c r="K193" s="757">
        <f t="shared" si="41"/>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c r="D194" s="755"/>
      <c r="E194" s="743"/>
      <c r="F194" s="756"/>
      <c r="G194" s="743"/>
      <c r="H194" s="756">
        <f t="shared" si="40"/>
        <v>0</v>
      </c>
      <c r="I194" s="45">
        <f t="shared" si="28"/>
        <v>0</v>
      </c>
      <c r="J194" s="333" t="str">
        <f t="shared" si="29"/>
        <v/>
      </c>
      <c r="K194" s="757">
        <f t="shared" si="41"/>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c r="D195" s="755"/>
      <c r="E195" s="743"/>
      <c r="F195" s="756"/>
      <c r="G195" s="743"/>
      <c r="H195" s="756">
        <f t="shared" si="40"/>
        <v>0</v>
      </c>
      <c r="I195" s="45">
        <f t="shared" si="28"/>
        <v>0</v>
      </c>
      <c r="J195" s="333" t="str">
        <f t="shared" si="29"/>
        <v/>
      </c>
      <c r="K195" s="757">
        <f t="shared" si="41"/>
        <v>0</v>
      </c>
      <c r="L195" s="49"/>
      <c r="M195" s="476"/>
      <c r="N195" s="476"/>
      <c r="O195" s="476"/>
      <c r="P195" s="476"/>
      <c r="Q195" s="476"/>
      <c r="R195" s="476"/>
      <c r="S195" s="476"/>
      <c r="T195" s="476"/>
      <c r="U195" s="476"/>
      <c r="V195" s="476"/>
      <c r="W195" s="476"/>
    </row>
    <row r="196" spans="1:23" ht="11.25" customHeight="1" x14ac:dyDescent="0.2">
      <c r="A196" s="469" t="str">
        <f>'Org structure'!A4</f>
        <v>Vote 3 - Strategic Planning Monitoring and Evaluation</v>
      </c>
      <c r="B196" s="443"/>
      <c r="C196" s="506">
        <f t="shared" ref="C196:K196" si="42">SUM(C197:C206)</f>
        <v>0</v>
      </c>
      <c r="D196" s="447">
        <f t="shared" si="42"/>
        <v>33256086.848561782</v>
      </c>
      <c r="E196" s="444">
        <f t="shared" si="42"/>
        <v>0</v>
      </c>
      <c r="F196" s="446">
        <f t="shared" si="42"/>
        <v>0</v>
      </c>
      <c r="G196" s="444">
        <f t="shared" si="42"/>
        <v>0</v>
      </c>
      <c r="H196" s="446">
        <f t="shared" si="42"/>
        <v>11085362.282853927</v>
      </c>
      <c r="I196" s="45">
        <f t="shared" si="28"/>
        <v>-11085362.282853927</v>
      </c>
      <c r="J196" s="333">
        <f t="shared" si="29"/>
        <v>-1</v>
      </c>
      <c r="K196" s="445">
        <f t="shared" si="42"/>
        <v>33256086.848561782</v>
      </c>
      <c r="L196" s="49"/>
      <c r="M196" s="476"/>
      <c r="N196" s="476"/>
      <c r="O196" s="476"/>
      <c r="P196" s="476"/>
      <c r="Q196" s="476"/>
      <c r="R196" s="476"/>
      <c r="S196" s="476"/>
      <c r="T196" s="476"/>
      <c r="U196" s="476"/>
      <c r="V196" s="476"/>
      <c r="W196" s="476"/>
    </row>
    <row r="197" spans="1:23" ht="11.25" customHeight="1" x14ac:dyDescent="0.2">
      <c r="A197" s="410" t="str">
        <f>'Org structure'!E25</f>
        <v>3,1 - 3.1 - Director Strategic Planning Monitoring and Evaluation</v>
      </c>
      <c r="B197" s="448"/>
      <c r="C197" s="754"/>
      <c r="D197" s="755">
        <v>1782207.52</v>
      </c>
      <c r="E197" s="743"/>
      <c r="F197" s="756"/>
      <c r="G197" s="743"/>
      <c r="H197" s="756">
        <f t="shared" ref="H197:H206" si="43">D197/12*4</f>
        <v>594069.17333333334</v>
      </c>
      <c r="I197" s="45">
        <f t="shared" si="28"/>
        <v>-594069.17333333334</v>
      </c>
      <c r="J197" s="333">
        <f t="shared" si="29"/>
        <v>-1</v>
      </c>
      <c r="K197" s="757">
        <f>D197</f>
        <v>1782207.52</v>
      </c>
      <c r="L197" s="49"/>
      <c r="M197" s="476"/>
      <c r="N197" s="476"/>
      <c r="O197" s="476"/>
      <c r="P197" s="476"/>
      <c r="Q197" s="476"/>
      <c r="R197" s="476"/>
      <c r="S197" s="476"/>
      <c r="T197" s="476"/>
      <c r="U197" s="476"/>
      <c r="V197" s="476"/>
      <c r="W197" s="476"/>
    </row>
    <row r="198" spans="1:23" ht="11.25" customHeight="1" x14ac:dyDescent="0.2">
      <c r="A198" s="410" t="str">
        <f>'Org structure'!E26</f>
        <v>3,2 - 3.2 - Project Management</v>
      </c>
      <c r="B198" s="448"/>
      <c r="C198" s="754"/>
      <c r="D198" s="755">
        <v>10011000.364999998</v>
      </c>
      <c r="E198" s="743"/>
      <c r="F198" s="756"/>
      <c r="G198" s="743"/>
      <c r="H198" s="756">
        <f t="shared" si="43"/>
        <v>3337000.1216666661</v>
      </c>
      <c r="I198" s="45">
        <f t="shared" ref="I198:I261" si="44">G198-H198</f>
        <v>-3337000.1216666661</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
      <c r="A199" s="410" t="str">
        <f>'Org structure'!E27</f>
        <v>3,3 - 3.3 - Perfomance Management</v>
      </c>
      <c r="B199" s="448"/>
      <c r="C199" s="754"/>
      <c r="D199" s="755">
        <v>3044206.2474108003</v>
      </c>
      <c r="E199" s="743"/>
      <c r="F199" s="756"/>
      <c r="G199" s="743"/>
      <c r="H199" s="756">
        <f t="shared" si="43"/>
        <v>1014735.4158036001</v>
      </c>
      <c r="I199" s="45">
        <f t="shared" si="44"/>
        <v>-1014735.4158036001</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
      <c r="A200" s="410" t="str">
        <f>'Org structure'!E28</f>
        <v>3,4 - 3.4 - IDP</v>
      </c>
      <c r="B200" s="448"/>
      <c r="C200" s="754"/>
      <c r="D200" s="755">
        <v>9481431.75</v>
      </c>
      <c r="E200" s="743"/>
      <c r="F200" s="756"/>
      <c r="G200" s="743"/>
      <c r="H200" s="756">
        <f t="shared" si="43"/>
        <v>3160477.25</v>
      </c>
      <c r="I200" s="45">
        <f t="shared" si="44"/>
        <v>-3160477.25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
      <c r="A201" s="410" t="str">
        <f>'Org structure'!E29</f>
        <v>3,5 - 3.5 - Cluster Offices</v>
      </c>
      <c r="B201" s="448"/>
      <c r="C201" s="397"/>
      <c r="D201" s="386">
        <v>8937240.9661509842</v>
      </c>
      <c r="E201" s="387"/>
      <c r="F201" s="475"/>
      <c r="G201" s="387"/>
      <c r="H201" s="756">
        <f t="shared" si="43"/>
        <v>2979080.3220503279</v>
      </c>
      <c r="I201" s="45">
        <f t="shared" si="44"/>
        <v>-2979080.3220503279</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c r="D202" s="386"/>
      <c r="E202" s="387"/>
      <c r="F202" s="475"/>
      <c r="G202" s="387"/>
      <c r="H202" s="756">
        <f t="shared" si="43"/>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c r="D203" s="386"/>
      <c r="E203" s="387"/>
      <c r="F203" s="475"/>
      <c r="G203" s="387"/>
      <c r="H203" s="756">
        <f t="shared" si="43"/>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c r="D204" s="386"/>
      <c r="E204" s="387"/>
      <c r="F204" s="475"/>
      <c r="G204" s="387"/>
      <c r="H204" s="756">
        <f t="shared" si="43"/>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c r="D205" s="386"/>
      <c r="E205" s="387"/>
      <c r="F205" s="475"/>
      <c r="G205" s="387"/>
      <c r="H205" s="756">
        <f t="shared" si="43"/>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c r="D206" s="386"/>
      <c r="E206" s="387"/>
      <c r="F206" s="475"/>
      <c r="G206" s="387"/>
      <c r="H206" s="756">
        <f t="shared" si="43"/>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
      <c r="A207" s="469" t="str">
        <f>'Org structure'!A5</f>
        <v>Vote 4 - Engineering Services</v>
      </c>
      <c r="B207" s="443"/>
      <c r="C207" s="506">
        <f t="shared" ref="C207:K207" si="47">SUM(C208:C217)</f>
        <v>0</v>
      </c>
      <c r="D207" s="447">
        <f t="shared" si="47"/>
        <v>1311939384.8448501</v>
      </c>
      <c r="E207" s="444">
        <f t="shared" si="47"/>
        <v>0</v>
      </c>
      <c r="F207" s="446">
        <f t="shared" si="47"/>
        <v>42101958.530000001</v>
      </c>
      <c r="G207" s="444">
        <f t="shared" si="47"/>
        <v>90351310.030000001</v>
      </c>
      <c r="H207" s="446">
        <f t="shared" si="47"/>
        <v>437313128.28161675</v>
      </c>
      <c r="I207" s="45">
        <f t="shared" si="44"/>
        <v>-346961818.25161672</v>
      </c>
      <c r="J207" s="333">
        <f t="shared" si="45"/>
        <v>-0.79339447140535768</v>
      </c>
      <c r="K207" s="445">
        <f t="shared" si="47"/>
        <v>1311939384.8448501</v>
      </c>
      <c r="L207" s="49"/>
      <c r="M207" s="476"/>
      <c r="N207" s="476"/>
      <c r="O207" s="476"/>
      <c r="P207" s="476"/>
      <c r="Q207" s="476"/>
      <c r="R207" s="476"/>
      <c r="S207" s="476"/>
      <c r="T207" s="476"/>
      <c r="U207" s="476"/>
      <c r="V207" s="476"/>
      <c r="W207" s="476"/>
    </row>
    <row r="208" spans="1:23" ht="11.25" customHeight="1" x14ac:dyDescent="0.2">
      <c r="A208" s="410" t="str">
        <f>'Org structure'!E36</f>
        <v>4,1 - Roads and streets</v>
      </c>
      <c r="B208" s="448"/>
      <c r="C208" s="397"/>
      <c r="D208" s="386">
        <v>93578663.083529934</v>
      </c>
      <c r="E208" s="387"/>
      <c r="F208" s="475">
        <v>512.13</v>
      </c>
      <c r="G208" s="387">
        <v>512.13</v>
      </c>
      <c r="H208" s="475">
        <f t="shared" ref="H208:H217" si="48">D208/12*4</f>
        <v>31192887.694509979</v>
      </c>
      <c r="I208" s="45">
        <f t="shared" si="44"/>
        <v>-31192375.56450998</v>
      </c>
      <c r="J208" s="333">
        <f t="shared" si="45"/>
        <v>-0.9999835818342625</v>
      </c>
      <c r="K208" s="398">
        <f>D208</f>
        <v>93578663.083529934</v>
      </c>
      <c r="L208" s="49"/>
      <c r="M208" s="476"/>
      <c r="N208" s="476"/>
      <c r="O208" s="476"/>
      <c r="P208" s="476"/>
      <c r="Q208" s="476"/>
      <c r="R208" s="476"/>
      <c r="S208" s="476"/>
      <c r="T208" s="476"/>
      <c r="U208" s="476"/>
      <c r="V208" s="476"/>
      <c r="W208" s="476"/>
    </row>
    <row r="209" spans="1:23" ht="11.25" customHeight="1" x14ac:dyDescent="0.2">
      <c r="A209" s="410" t="str">
        <f>'Org structure'!E37</f>
        <v>4,2 - Stormwater</v>
      </c>
      <c r="B209" s="448"/>
      <c r="C209" s="397"/>
      <c r="D209" s="386">
        <v>21708487.262736</v>
      </c>
      <c r="E209" s="387"/>
      <c r="F209" s="475"/>
      <c r="G209" s="387"/>
      <c r="H209" s="475">
        <f t="shared" si="48"/>
        <v>7236162.4209120004</v>
      </c>
      <c r="I209" s="45">
        <f t="shared" si="44"/>
        <v>-7236162.4209120004</v>
      </c>
      <c r="J209" s="333">
        <f t="shared" si="45"/>
        <v>-1</v>
      </c>
      <c r="K209" s="398">
        <f t="shared" ref="K209:K217" si="49">D209</f>
        <v>21708487.262736</v>
      </c>
      <c r="L209" s="49"/>
      <c r="M209" s="476"/>
      <c r="N209" s="476"/>
      <c r="O209" s="476"/>
      <c r="P209" s="476"/>
      <c r="Q209" s="476"/>
      <c r="R209" s="476"/>
      <c r="S209" s="476"/>
      <c r="T209" s="476"/>
      <c r="U209" s="476"/>
      <c r="V209" s="476"/>
      <c r="W209" s="476"/>
    </row>
    <row r="210" spans="1:23" ht="11.25" customHeight="1" x14ac:dyDescent="0.2">
      <c r="A210" s="410" t="str">
        <f>'Org structure'!E38</f>
        <v>4,3 - Sewer Purification</v>
      </c>
      <c r="B210" s="448"/>
      <c r="C210" s="397"/>
      <c r="D210" s="386">
        <v>35966865.497604646</v>
      </c>
      <c r="E210" s="387"/>
      <c r="F210" s="475"/>
      <c r="G210" s="387"/>
      <c r="H210" s="475">
        <f t="shared" si="48"/>
        <v>11988955.165868215</v>
      </c>
      <c r="I210" s="45">
        <f t="shared" si="44"/>
        <v>-11988955.165868215</v>
      </c>
      <c r="J210" s="333">
        <f t="shared" si="45"/>
        <v>-1</v>
      </c>
      <c r="K210" s="398">
        <f t="shared" si="49"/>
        <v>35966865.497604646</v>
      </c>
      <c r="L210" s="49"/>
      <c r="M210" s="476"/>
      <c r="N210" s="476"/>
      <c r="O210" s="476"/>
      <c r="P210" s="476"/>
      <c r="Q210" s="476"/>
      <c r="R210" s="476"/>
      <c r="S210" s="476"/>
      <c r="T210" s="476"/>
      <c r="U210" s="476"/>
      <c r="V210" s="476"/>
      <c r="W210" s="476"/>
    </row>
    <row r="211" spans="1:23" ht="11.25" customHeight="1" x14ac:dyDescent="0.2">
      <c r="A211" s="410" t="str">
        <f>'Org structure'!E39</f>
        <v>4,4 - Sewer Reticulation</v>
      </c>
      <c r="B211" s="448"/>
      <c r="C211" s="397"/>
      <c r="D211" s="386">
        <v>839074.72</v>
      </c>
      <c r="E211" s="387"/>
      <c r="F211" s="475">
        <v>1134028.77</v>
      </c>
      <c r="G211" s="387">
        <v>1134028.77</v>
      </c>
      <c r="H211" s="475">
        <f t="shared" si="48"/>
        <v>279691.5733333333</v>
      </c>
      <c r="I211" s="45">
        <f t="shared" si="44"/>
        <v>854337.19666666677</v>
      </c>
      <c r="J211" s="333">
        <f t="shared" si="45"/>
        <v>3.0545689542404526</v>
      </c>
      <c r="K211" s="398">
        <f t="shared" si="49"/>
        <v>839074.72</v>
      </c>
      <c r="L211" s="49"/>
      <c r="M211" s="476"/>
      <c r="N211" s="476"/>
      <c r="O211" s="476"/>
      <c r="P211" s="476"/>
      <c r="Q211" s="476"/>
      <c r="R211" s="476"/>
      <c r="S211" s="476"/>
      <c r="T211" s="476"/>
      <c r="U211" s="476"/>
      <c r="V211" s="476"/>
      <c r="W211" s="476"/>
    </row>
    <row r="212" spans="1:23" ht="11.25" customHeight="1" x14ac:dyDescent="0.2">
      <c r="A212" s="410" t="str">
        <f>'Org structure'!E40</f>
        <v>4,5 - Water Distribution</v>
      </c>
      <c r="B212" s="448"/>
      <c r="C212" s="397"/>
      <c r="D212" s="386">
        <v>81654346.357970566</v>
      </c>
      <c r="E212" s="387"/>
      <c r="F212" s="475">
        <v>13455486.369999999</v>
      </c>
      <c r="G212" s="387">
        <f>13455486.37</f>
        <v>13455486.369999999</v>
      </c>
      <c r="H212" s="475">
        <f t="shared" si="48"/>
        <v>27218115.452656854</v>
      </c>
      <c r="I212" s="45">
        <f t="shared" si="44"/>
        <v>-13762629.082656855</v>
      </c>
      <c r="J212" s="333">
        <f t="shared" si="45"/>
        <v>-0.50564224795781876</v>
      </c>
      <c r="K212" s="398">
        <f t="shared" si="49"/>
        <v>81654346.357970566</v>
      </c>
      <c r="L212" s="49"/>
      <c r="M212" s="476"/>
      <c r="N212" s="476"/>
      <c r="O212" s="476"/>
      <c r="P212" s="476"/>
      <c r="Q212" s="476"/>
      <c r="R212" s="476"/>
      <c r="S212" s="476"/>
      <c r="T212" s="476"/>
      <c r="U212" s="476"/>
      <c r="V212" s="476"/>
      <c r="W212" s="476"/>
    </row>
    <row r="213" spans="1:23" ht="11.25" customHeight="1" x14ac:dyDescent="0.2">
      <c r="A213" s="410" t="str">
        <f>'Org structure'!E41</f>
        <v>4,6 - Water Purification</v>
      </c>
      <c r="B213" s="448"/>
      <c r="C213" s="397"/>
      <c r="D213" s="386">
        <v>10438786.238834079</v>
      </c>
      <c r="E213" s="387"/>
      <c r="F213" s="475"/>
      <c r="G213" s="387"/>
      <c r="H213" s="475">
        <f t="shared" si="48"/>
        <v>3479595.4129446931</v>
      </c>
      <c r="I213" s="45">
        <f t="shared" si="44"/>
        <v>-3479595.4129446931</v>
      </c>
      <c r="J213" s="333">
        <f t="shared" si="45"/>
        <v>-1</v>
      </c>
      <c r="K213" s="398">
        <f t="shared" si="49"/>
        <v>10438786.238834079</v>
      </c>
      <c r="L213" s="49"/>
      <c r="M213" s="476"/>
      <c r="N213" s="476"/>
      <c r="O213" s="476"/>
      <c r="P213" s="476"/>
      <c r="Q213" s="476"/>
      <c r="R213" s="476"/>
      <c r="S213" s="476"/>
      <c r="T213" s="476"/>
      <c r="U213" s="476"/>
      <c r="V213" s="476"/>
      <c r="W213" s="476"/>
    </row>
    <row r="214" spans="1:23" ht="11.25" customHeight="1" x14ac:dyDescent="0.2">
      <c r="A214" s="410" t="str">
        <f>'Org structure'!E42</f>
        <v>4,7 - Water Provision</v>
      </c>
      <c r="B214" s="448"/>
      <c r="C214" s="397"/>
      <c r="D214" s="386">
        <v>203613184.01255068</v>
      </c>
      <c r="E214" s="387"/>
      <c r="F214" s="475"/>
      <c r="G214" s="387"/>
      <c r="H214" s="475">
        <f t="shared" si="48"/>
        <v>67871061.337516889</v>
      </c>
      <c r="I214" s="45">
        <f t="shared" si="44"/>
        <v>-67871061.337516889</v>
      </c>
      <c r="J214" s="333">
        <f t="shared" si="45"/>
        <v>-1</v>
      </c>
      <c r="K214" s="398">
        <f t="shared" si="49"/>
        <v>203613184.01255068</v>
      </c>
      <c r="L214" s="49"/>
      <c r="M214" s="476"/>
      <c r="N214" s="476"/>
      <c r="O214" s="476"/>
      <c r="P214" s="476"/>
      <c r="Q214" s="476"/>
      <c r="R214" s="476"/>
      <c r="S214" s="476"/>
      <c r="T214" s="476"/>
      <c r="U214" s="476"/>
      <c r="V214" s="476"/>
      <c r="W214" s="476"/>
    </row>
    <row r="215" spans="1:23" ht="11.25" customHeight="1" x14ac:dyDescent="0.2">
      <c r="A215" s="410" t="str">
        <f>'Org structure'!E43</f>
        <v>4,8 - Electrical Workshop</v>
      </c>
      <c r="B215" s="448"/>
      <c r="C215" s="397"/>
      <c r="D215" s="386">
        <v>13992255.339572478</v>
      </c>
      <c r="E215" s="387"/>
      <c r="F215" s="475"/>
      <c r="G215" s="387"/>
      <c r="H215" s="475">
        <f t="shared" si="48"/>
        <v>4664085.113190826</v>
      </c>
      <c r="I215" s="45">
        <f t="shared" si="44"/>
        <v>-4664085.113190826</v>
      </c>
      <c r="J215" s="333">
        <f t="shared" si="45"/>
        <v>-1</v>
      </c>
      <c r="K215" s="398">
        <f t="shared" si="49"/>
        <v>13992255.339572478</v>
      </c>
      <c r="L215" s="49"/>
      <c r="M215" s="476"/>
      <c r="N215" s="476"/>
      <c r="O215" s="476"/>
      <c r="P215" s="476"/>
      <c r="Q215" s="476"/>
      <c r="R215" s="476"/>
      <c r="S215" s="476"/>
      <c r="T215" s="476"/>
      <c r="U215" s="476"/>
      <c r="V215" s="476"/>
      <c r="W215" s="476"/>
    </row>
    <row r="216" spans="1:23" ht="11.25" customHeight="1" x14ac:dyDescent="0.2">
      <c r="A216" s="410" t="str">
        <f>'Org structure'!E44</f>
        <v>4,9 - Electricity Distribution</v>
      </c>
      <c r="B216" s="448"/>
      <c r="C216" s="397"/>
      <c r="D216" s="386">
        <v>783444193.54174471</v>
      </c>
      <c r="E216" s="387"/>
      <c r="F216" s="475">
        <f>75761282.76-48249351.5</f>
        <v>27511931.260000005</v>
      </c>
      <c r="G216" s="387">
        <f>75761282.76</f>
        <v>75761282.760000005</v>
      </c>
      <c r="H216" s="475">
        <f t="shared" si="48"/>
        <v>261148064.51391491</v>
      </c>
      <c r="I216" s="45">
        <f t="shared" si="44"/>
        <v>-185386781.75391489</v>
      </c>
      <c r="J216" s="333">
        <f t="shared" si="45"/>
        <v>-0.70989146367591327</v>
      </c>
      <c r="K216" s="398">
        <f t="shared" si="49"/>
        <v>783444193.54174471</v>
      </c>
      <c r="L216" s="49"/>
      <c r="M216" s="476"/>
      <c r="N216" s="476"/>
      <c r="O216" s="476"/>
      <c r="P216" s="476"/>
      <c r="Q216" s="476"/>
      <c r="R216" s="476"/>
      <c r="S216" s="476"/>
      <c r="T216" s="476"/>
      <c r="U216" s="476"/>
      <c r="V216" s="476"/>
      <c r="W216" s="476"/>
    </row>
    <row r="217" spans="1:23" ht="11.25" customHeight="1" x14ac:dyDescent="0.2">
      <c r="A217" s="410" t="str">
        <f>'Org structure'!E45</f>
        <v>4.10 - Other Engineering services</v>
      </c>
      <c r="B217" s="448"/>
      <c r="C217" s="397"/>
      <c r="D217" s="386">
        <v>66703528.790307045</v>
      </c>
      <c r="E217" s="387"/>
      <c r="F217" s="475"/>
      <c r="G217" s="387"/>
      <c r="H217" s="475">
        <f t="shared" si="48"/>
        <v>22234509.596769016</v>
      </c>
      <c r="I217" s="45">
        <f t="shared" si="44"/>
        <v>-22234509.596769016</v>
      </c>
      <c r="J217" s="333">
        <f t="shared" si="45"/>
        <v>-1</v>
      </c>
      <c r="K217" s="398">
        <f t="shared" si="49"/>
        <v>66703528.790307045</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0">SUM(C219:C228)</f>
        <v>0</v>
      </c>
      <c r="D218" s="447">
        <f t="shared" si="50"/>
        <v>337367548.13414729</v>
      </c>
      <c r="E218" s="444">
        <f t="shared" si="50"/>
        <v>0</v>
      </c>
      <c r="F218" s="446">
        <f t="shared" si="50"/>
        <v>1805923.6900000002</v>
      </c>
      <c r="G218" s="444">
        <f t="shared" si="50"/>
        <v>1805923.6900000002</v>
      </c>
      <c r="H218" s="446">
        <f t="shared" si="50"/>
        <v>112455849.37804911</v>
      </c>
      <c r="I218" s="45">
        <f t="shared" si="44"/>
        <v>-110649925.68804911</v>
      </c>
      <c r="J218" s="333">
        <f t="shared" si="45"/>
        <v>-0.98394104264039728</v>
      </c>
      <c r="K218" s="445">
        <f t="shared" si="50"/>
        <v>337367548.13414729</v>
      </c>
      <c r="L218" s="49"/>
      <c r="M218" s="476"/>
      <c r="N218" s="476"/>
      <c r="O218" s="476"/>
      <c r="P218" s="476"/>
      <c r="Q218" s="476"/>
      <c r="R218" s="476"/>
      <c r="S218" s="476"/>
      <c r="T218" s="476"/>
      <c r="U218" s="476"/>
      <c r="V218" s="476"/>
      <c r="W218" s="476"/>
    </row>
    <row r="219" spans="1:23" ht="11.25" customHeight="1" x14ac:dyDescent="0.2">
      <c r="A219" s="410" t="str">
        <f>'Org structure'!E47</f>
        <v>5,1 - 5.1 - Licensing</v>
      </c>
      <c r="B219" s="448"/>
      <c r="C219" s="397"/>
      <c r="D219" s="386">
        <v>10283935.431016</v>
      </c>
      <c r="E219" s="387"/>
      <c r="F219" s="475"/>
      <c r="G219" s="387"/>
      <c r="H219" s="475">
        <f t="shared" ref="H219:H228" si="51">D219/12*4</f>
        <v>3427978.4770053332</v>
      </c>
      <c r="I219" s="45">
        <f t="shared" si="44"/>
        <v>-3427978.4770053332</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
      <c r="A220" s="410" t="str">
        <f>'Org structure'!E48</f>
        <v>5,2 - 5.2 - Vehicle Licensing and Testing</v>
      </c>
      <c r="B220" s="448"/>
      <c r="C220" s="397"/>
      <c r="D220" s="386">
        <v>8010298.141015999</v>
      </c>
      <c r="E220" s="387"/>
      <c r="F220" s="475"/>
      <c r="G220" s="387"/>
      <c r="H220" s="475">
        <f t="shared" si="51"/>
        <v>2670099.3803386665</v>
      </c>
      <c r="I220" s="45">
        <f t="shared" si="44"/>
        <v>-2670099.3803386665</v>
      </c>
      <c r="J220" s="333">
        <f t="shared" si="45"/>
        <v>-1</v>
      </c>
      <c r="K220" s="398">
        <f t="shared" ref="K220:K228" si="52">D220</f>
        <v>8010298.141015999</v>
      </c>
      <c r="L220" s="49"/>
      <c r="M220" s="476"/>
      <c r="N220" s="476"/>
      <c r="O220" s="476"/>
      <c r="P220" s="476"/>
      <c r="Q220" s="476"/>
      <c r="R220" s="476"/>
      <c r="S220" s="476"/>
      <c r="T220" s="476"/>
      <c r="U220" s="476"/>
      <c r="V220" s="476"/>
      <c r="W220" s="476"/>
    </row>
    <row r="221" spans="1:23" ht="11.25" customHeight="1" x14ac:dyDescent="0.2">
      <c r="A221" s="410" t="str">
        <f>'Org structure'!E49</f>
        <v>5,3 - 5.3 - Traffic</v>
      </c>
      <c r="B221" s="448"/>
      <c r="C221" s="397"/>
      <c r="D221" s="386">
        <v>69207511.925715998</v>
      </c>
      <c r="E221" s="387"/>
      <c r="F221" s="475"/>
      <c r="G221" s="387"/>
      <c r="H221" s="475">
        <f t="shared" si="51"/>
        <v>23069170.641905334</v>
      </c>
      <c r="I221" s="45">
        <f t="shared" si="44"/>
        <v>-23069170.641905334</v>
      </c>
      <c r="J221" s="333">
        <f t="shared" si="45"/>
        <v>-1</v>
      </c>
      <c r="K221" s="398">
        <f t="shared" si="52"/>
        <v>69207511.925715998</v>
      </c>
      <c r="L221" s="49"/>
      <c r="M221" s="476"/>
      <c r="N221" s="476"/>
      <c r="O221" s="476"/>
      <c r="P221" s="476"/>
      <c r="Q221" s="476"/>
      <c r="R221" s="476"/>
      <c r="S221" s="476"/>
      <c r="T221" s="476"/>
      <c r="U221" s="476"/>
      <c r="V221" s="476"/>
      <c r="W221" s="476"/>
    </row>
    <row r="222" spans="1:23" ht="11.25" customHeight="1" x14ac:dyDescent="0.2">
      <c r="A222" s="410" t="str">
        <f>'Org structure'!E50</f>
        <v>5,4 - 5.4 - Security Services</v>
      </c>
      <c r="B222" s="448"/>
      <c r="C222" s="397"/>
      <c r="D222" s="386">
        <v>65799494.392223999</v>
      </c>
      <c r="E222" s="387"/>
      <c r="F222" s="475">
        <v>60</v>
      </c>
      <c r="G222" s="387">
        <v>60</v>
      </c>
      <c r="H222" s="475">
        <f t="shared" si="51"/>
        <v>21933164.797408</v>
      </c>
      <c r="I222" s="45">
        <f t="shared" si="44"/>
        <v>-21933104.797408</v>
      </c>
      <c r="J222" s="333">
        <f t="shared" si="45"/>
        <v>-0.9999972644166697</v>
      </c>
      <c r="K222" s="398">
        <f t="shared" si="52"/>
        <v>65799494.392223999</v>
      </c>
      <c r="L222" s="49"/>
      <c r="M222" s="476"/>
      <c r="N222" s="476"/>
      <c r="O222" s="476"/>
      <c r="P222" s="476"/>
      <c r="Q222" s="476"/>
      <c r="R222" s="476"/>
      <c r="S222" s="476"/>
      <c r="T222" s="476"/>
      <c r="U222" s="476"/>
      <c r="V222" s="476"/>
      <c r="W222" s="476"/>
    </row>
    <row r="223" spans="1:23" ht="11.25" customHeight="1" x14ac:dyDescent="0.2">
      <c r="A223" s="410" t="str">
        <f>'Org structure'!E51</f>
        <v>5,5 - 5.5 - Fire and Emergency Services</v>
      </c>
      <c r="B223" s="448"/>
      <c r="C223" s="397"/>
      <c r="D223" s="386">
        <v>34933954.660792001</v>
      </c>
      <c r="E223" s="387"/>
      <c r="F223" s="475"/>
      <c r="G223" s="387"/>
      <c r="H223" s="475">
        <f t="shared" si="51"/>
        <v>11644651.553597333</v>
      </c>
      <c r="I223" s="45">
        <f t="shared" si="44"/>
        <v>-11644651.553597333</v>
      </c>
      <c r="J223" s="333">
        <f t="shared" si="45"/>
        <v>-1</v>
      </c>
      <c r="K223" s="398">
        <f t="shared" si="52"/>
        <v>34933954.660792001</v>
      </c>
      <c r="L223" s="49"/>
      <c r="M223" s="476"/>
      <c r="N223" s="476"/>
      <c r="O223" s="476"/>
      <c r="P223" s="476"/>
      <c r="Q223" s="476"/>
      <c r="R223" s="476"/>
      <c r="S223" s="476"/>
      <c r="T223" s="476"/>
      <c r="U223" s="476"/>
      <c r="V223" s="476"/>
      <c r="W223" s="476"/>
    </row>
    <row r="224" spans="1:23" ht="11.25" customHeight="1" x14ac:dyDescent="0.2">
      <c r="A224" s="410" t="str">
        <f>'Org structure'!E52</f>
        <v>5,6 - 5.6 - Cemeteries</v>
      </c>
      <c r="B224" s="448"/>
      <c r="C224" s="397"/>
      <c r="D224" s="386">
        <v>13037454.662158241</v>
      </c>
      <c r="E224" s="387"/>
      <c r="F224" s="475"/>
      <c r="G224" s="387"/>
      <c r="H224" s="475">
        <f t="shared" si="51"/>
        <v>4345818.2207194138</v>
      </c>
      <c r="I224" s="45">
        <f t="shared" si="44"/>
        <v>-4345818.2207194138</v>
      </c>
      <c r="J224" s="333">
        <f t="shared" si="45"/>
        <v>-1</v>
      </c>
      <c r="K224" s="398">
        <f t="shared" si="52"/>
        <v>13037454.662158241</v>
      </c>
      <c r="L224" s="49"/>
      <c r="M224" s="476"/>
      <c r="N224" s="476"/>
      <c r="O224" s="476"/>
      <c r="P224" s="476"/>
      <c r="Q224" s="476"/>
      <c r="R224" s="476"/>
      <c r="S224" s="476"/>
      <c r="T224" s="476"/>
      <c r="U224" s="476"/>
      <c r="V224" s="476"/>
      <c r="W224" s="476"/>
    </row>
    <row r="225" spans="1:23" ht="11.25" customHeight="1" x14ac:dyDescent="0.2">
      <c r="A225" s="410" t="str">
        <f>'Org structure'!E53</f>
        <v>5,7 - 5.7 - Nature Reserve</v>
      </c>
      <c r="B225" s="448"/>
      <c r="C225" s="397"/>
      <c r="D225" s="386">
        <v>9763870.1154363193</v>
      </c>
      <c r="E225" s="387"/>
      <c r="F225" s="475"/>
      <c r="G225" s="387"/>
      <c r="H225" s="475">
        <f t="shared" si="51"/>
        <v>3254623.3718121066</v>
      </c>
      <c r="I225" s="45">
        <f t="shared" si="44"/>
        <v>-3254623.3718121066</v>
      </c>
      <c r="J225" s="333">
        <f t="shared" si="45"/>
        <v>-1</v>
      </c>
      <c r="K225" s="398">
        <f t="shared" si="52"/>
        <v>9763870.1154363193</v>
      </c>
      <c r="L225" s="49"/>
      <c r="M225" s="476"/>
      <c r="N225" s="476"/>
      <c r="O225" s="476"/>
      <c r="P225" s="476"/>
      <c r="Q225" s="476"/>
      <c r="R225" s="476"/>
      <c r="S225" s="476"/>
      <c r="T225" s="476"/>
      <c r="U225" s="476"/>
      <c r="V225" s="476"/>
      <c r="W225" s="476"/>
    </row>
    <row r="226" spans="1:23" ht="11.25" customHeight="1" x14ac:dyDescent="0.2">
      <c r="A226" s="410" t="str">
        <f>'Org structure'!E54</f>
        <v>5,8 - 5.8 - Parks and Open Areas</v>
      </c>
      <c r="B226" s="448"/>
      <c r="C226" s="397"/>
      <c r="D226" s="386">
        <v>27520164.838280004</v>
      </c>
      <c r="E226" s="387"/>
      <c r="F226" s="475">
        <v>1716720.37</v>
      </c>
      <c r="G226" s="387">
        <f>1716720.37</f>
        <v>1716720.37</v>
      </c>
      <c r="H226" s="475">
        <f t="shared" si="51"/>
        <v>9173388.2794266678</v>
      </c>
      <c r="I226" s="45">
        <f t="shared" si="44"/>
        <v>-7456667.9094266677</v>
      </c>
      <c r="J226" s="333">
        <f t="shared" si="45"/>
        <v>-0.8128586387376493</v>
      </c>
      <c r="K226" s="398">
        <f t="shared" si="52"/>
        <v>27520164.838280004</v>
      </c>
      <c r="L226" s="49"/>
      <c r="M226" s="476"/>
      <c r="N226" s="476"/>
      <c r="O226" s="476"/>
      <c r="P226" s="476"/>
      <c r="Q226" s="476"/>
      <c r="R226" s="476"/>
      <c r="S226" s="476"/>
      <c r="T226" s="476"/>
      <c r="U226" s="476"/>
      <c r="V226" s="476"/>
      <c r="W226" s="476"/>
    </row>
    <row r="227" spans="1:23" ht="11.25" customHeight="1" x14ac:dyDescent="0.2">
      <c r="A227" s="410" t="str">
        <f>'Org structure'!E55</f>
        <v>5,9 - 5.9 - Waste Management</v>
      </c>
      <c r="B227" s="448"/>
      <c r="C227" s="397"/>
      <c r="D227" s="386">
        <v>51777776.88258601</v>
      </c>
      <c r="E227" s="387"/>
      <c r="F227" s="475">
        <v>89143.32</v>
      </c>
      <c r="G227" s="387">
        <f>89143.32</f>
        <v>89143.32</v>
      </c>
      <c r="H227" s="475">
        <f t="shared" si="51"/>
        <v>17259258.960862003</v>
      </c>
      <c r="I227" s="45">
        <f t="shared" si="44"/>
        <v>-17170115.640862003</v>
      </c>
      <c r="J227" s="333">
        <f t="shared" si="45"/>
        <v>-0.99483504360168962</v>
      </c>
      <c r="K227" s="398">
        <f t="shared" si="52"/>
        <v>51777776.88258601</v>
      </c>
      <c r="L227" s="49"/>
      <c r="M227" s="476"/>
      <c r="N227" s="476"/>
      <c r="O227" s="476"/>
      <c r="P227" s="476"/>
      <c r="Q227" s="476"/>
      <c r="R227" s="476"/>
      <c r="S227" s="476"/>
      <c r="T227" s="476"/>
      <c r="U227" s="476"/>
      <c r="V227" s="476"/>
      <c r="W227" s="476"/>
    </row>
    <row r="228" spans="1:23" ht="11.25" customHeight="1" x14ac:dyDescent="0.2">
      <c r="A228" s="410" t="str">
        <f>'Org structure'!E56</f>
        <v>5.10 - 5.10 - Other Community Services</v>
      </c>
      <c r="B228" s="448"/>
      <c r="C228" s="397"/>
      <c r="D228" s="386">
        <v>47033087.084922731</v>
      </c>
      <c r="E228" s="387"/>
      <c r="F228" s="475"/>
      <c r="G228" s="387"/>
      <c r="H228" s="475">
        <f t="shared" si="51"/>
        <v>15677695.694974244</v>
      </c>
      <c r="I228" s="45">
        <f t="shared" si="44"/>
        <v>-15677695.694974244</v>
      </c>
      <c r="J228" s="333">
        <f t="shared" si="45"/>
        <v>-1</v>
      </c>
      <c r="K228" s="398">
        <f t="shared" si="52"/>
        <v>47033087.084922731</v>
      </c>
      <c r="L228" s="49"/>
      <c r="M228" s="476"/>
      <c r="N228" s="476"/>
      <c r="O228" s="476"/>
      <c r="P228" s="476"/>
      <c r="Q228" s="476"/>
      <c r="R228" s="476"/>
      <c r="S228" s="476"/>
      <c r="T228" s="476"/>
      <c r="U228" s="476"/>
      <c r="V228" s="476"/>
      <c r="W228" s="476"/>
    </row>
    <row r="229" spans="1:23" ht="11.25" customHeight="1" x14ac:dyDescent="0.2">
      <c r="A229" s="469" t="str">
        <f>'Org structure'!A7</f>
        <v>Vote 6 - Community Development</v>
      </c>
      <c r="B229" s="443"/>
      <c r="C229" s="506">
        <f t="shared" ref="C229:K229" si="53">SUM(C230:C239)</f>
        <v>0</v>
      </c>
      <c r="D229" s="447">
        <f t="shared" si="53"/>
        <v>207039891.88665533</v>
      </c>
      <c r="E229" s="444">
        <f t="shared" si="53"/>
        <v>0</v>
      </c>
      <c r="F229" s="446">
        <f t="shared" si="53"/>
        <v>149257.19</v>
      </c>
      <c r="G229" s="444">
        <f t="shared" si="53"/>
        <v>149257.19</v>
      </c>
      <c r="H229" s="446">
        <f t="shared" si="53"/>
        <v>69013297.295551777</v>
      </c>
      <c r="I229" s="45">
        <f t="shared" si="44"/>
        <v>-68864040.105551779</v>
      </c>
      <c r="J229" s="333">
        <f t="shared" si="45"/>
        <v>-0.99783726910828796</v>
      </c>
      <c r="K229" s="445">
        <f t="shared" si="53"/>
        <v>207039891.88665533</v>
      </c>
      <c r="L229" s="49"/>
      <c r="M229" s="476"/>
      <c r="N229" s="476"/>
      <c r="O229" s="476"/>
      <c r="P229" s="476"/>
      <c r="Q229" s="476"/>
      <c r="R229" s="476"/>
      <c r="S229" s="476"/>
      <c r="T229" s="476"/>
      <c r="U229" s="476"/>
      <c r="V229" s="476"/>
      <c r="W229" s="476"/>
    </row>
    <row r="230" spans="1:23" ht="11.25" customHeight="1" x14ac:dyDescent="0.2">
      <c r="A230" s="410" t="str">
        <f>'Org structure'!E58</f>
        <v>6,1 - 6.1 - Sport and Recreation</v>
      </c>
      <c r="B230" s="448"/>
      <c r="C230" s="397"/>
      <c r="D230" s="386">
        <v>98630517.183827996</v>
      </c>
      <c r="E230" s="387"/>
      <c r="F230" s="475">
        <v>149257.19</v>
      </c>
      <c r="G230" s="387">
        <f>149257.19</f>
        <v>149257.19</v>
      </c>
      <c r="H230" s="475">
        <f t="shared" ref="H230:H239" si="54">D230/12*4</f>
        <v>32876839.061276</v>
      </c>
      <c r="I230" s="45">
        <f t="shared" si="44"/>
        <v>-32727581.871275999</v>
      </c>
      <c r="J230" s="333">
        <f t="shared" si="45"/>
        <v>-0.9954601113044409</v>
      </c>
      <c r="K230" s="398">
        <f>D230</f>
        <v>98630517.183827996</v>
      </c>
      <c r="L230" s="49"/>
      <c r="M230" s="476"/>
      <c r="N230" s="476"/>
      <c r="O230" s="476"/>
      <c r="P230" s="476"/>
      <c r="Q230" s="476"/>
      <c r="R230" s="476"/>
      <c r="S230" s="476"/>
      <c r="T230" s="476"/>
      <c r="U230" s="476"/>
      <c r="V230" s="476"/>
      <c r="W230" s="476"/>
    </row>
    <row r="231" spans="1:23" ht="11.25" customHeight="1" x14ac:dyDescent="0.2">
      <c r="A231" s="410" t="str">
        <f>'Org structure'!E59</f>
        <v>6,2 - 6.2 - Swimming Pools</v>
      </c>
      <c r="B231" s="448"/>
      <c r="C231" s="397"/>
      <c r="D231" s="386">
        <v>4536976.5845749602</v>
      </c>
      <c r="E231" s="387"/>
      <c r="F231" s="475"/>
      <c r="G231" s="387"/>
      <c r="H231" s="475">
        <f t="shared" si="54"/>
        <v>1512325.5281916533</v>
      </c>
      <c r="I231" s="45">
        <f t="shared" si="44"/>
        <v>-1512325.5281916533</v>
      </c>
      <c r="J231" s="333">
        <f t="shared" si="45"/>
        <v>-1</v>
      </c>
      <c r="K231" s="398">
        <f t="shared" ref="K231:K239" si="55">D231</f>
        <v>4536976.5845749602</v>
      </c>
      <c r="L231" s="49"/>
      <c r="M231" s="476"/>
      <c r="N231" s="476"/>
      <c r="O231" s="476"/>
      <c r="P231" s="476"/>
      <c r="Q231" s="476"/>
      <c r="R231" s="476"/>
      <c r="S231" s="476"/>
      <c r="T231" s="476"/>
      <c r="U231" s="476"/>
      <c r="V231" s="476"/>
      <c r="W231" s="476"/>
    </row>
    <row r="232" spans="1:23" ht="11.25" customHeight="1" x14ac:dyDescent="0.2">
      <c r="A232" s="410" t="str">
        <f>'Org structure'!E60</f>
        <v>6,3 - 6.3 - Facility commercialization</v>
      </c>
      <c r="B232" s="448"/>
      <c r="C232" s="397"/>
      <c r="D232" s="386">
        <v>17731631.435700003</v>
      </c>
      <c r="E232" s="387"/>
      <c r="F232" s="475"/>
      <c r="G232" s="387"/>
      <c r="H232" s="475">
        <f t="shared" si="54"/>
        <v>5910543.811900001</v>
      </c>
      <c r="I232" s="45">
        <f t="shared" si="44"/>
        <v>-5910543.811900001</v>
      </c>
      <c r="J232" s="333">
        <f t="shared" si="45"/>
        <v>-1</v>
      </c>
      <c r="K232" s="398">
        <f t="shared" si="55"/>
        <v>17731631.435700003</v>
      </c>
      <c r="L232" s="49"/>
      <c r="M232" s="476"/>
      <c r="N232" s="476"/>
      <c r="O232" s="476"/>
      <c r="P232" s="476"/>
      <c r="Q232" s="476"/>
      <c r="R232" s="476"/>
      <c r="S232" s="476"/>
      <c r="T232" s="476"/>
      <c r="U232" s="476"/>
      <c r="V232" s="476"/>
      <c r="W232" s="476"/>
    </row>
    <row r="233" spans="1:23" ht="11.25" customHeight="1" x14ac:dyDescent="0.2">
      <c r="A233" s="410" t="str">
        <f>'Org structure'!E61</f>
        <v>6,4 - 6.4 - Civic Centre</v>
      </c>
      <c r="B233" s="448"/>
      <c r="C233" s="397"/>
      <c r="D233" s="386">
        <v>10079397.010000002</v>
      </c>
      <c r="E233" s="387"/>
      <c r="F233" s="475"/>
      <c r="G233" s="387"/>
      <c r="H233" s="475">
        <f t="shared" si="54"/>
        <v>3359799.0033333339</v>
      </c>
      <c r="I233" s="45">
        <f t="shared" si="44"/>
        <v>-3359799.0033333339</v>
      </c>
      <c r="J233" s="333">
        <f t="shared" si="45"/>
        <v>-1</v>
      </c>
      <c r="K233" s="398">
        <f t="shared" si="55"/>
        <v>10079397.010000002</v>
      </c>
      <c r="L233" s="49"/>
      <c r="M233" s="476"/>
      <c r="N233" s="476"/>
      <c r="O233" s="476"/>
      <c r="P233" s="476"/>
      <c r="Q233" s="476"/>
      <c r="R233" s="476"/>
      <c r="S233" s="476"/>
      <c r="T233" s="476"/>
      <c r="U233" s="476"/>
      <c r="V233" s="476"/>
      <c r="W233" s="476"/>
    </row>
    <row r="234" spans="1:23" ht="11.25" customHeight="1" x14ac:dyDescent="0.2">
      <c r="A234" s="410" t="str">
        <f>'Org structure'!E62</f>
        <v>6,5 - 6.5 - Public Toilets</v>
      </c>
      <c r="B234" s="448"/>
      <c r="C234" s="397"/>
      <c r="D234" s="386">
        <v>28634824.82708016</v>
      </c>
      <c r="E234" s="387"/>
      <c r="F234" s="475"/>
      <c r="G234" s="387"/>
      <c r="H234" s="475">
        <f t="shared" si="54"/>
        <v>9544941.6090267207</v>
      </c>
      <c r="I234" s="45">
        <f t="shared" si="44"/>
        <v>-9544941.6090267207</v>
      </c>
      <c r="J234" s="333">
        <f t="shared" si="45"/>
        <v>-1</v>
      </c>
      <c r="K234" s="398">
        <f t="shared" si="55"/>
        <v>28634824.82708016</v>
      </c>
      <c r="L234" s="49"/>
      <c r="M234" s="476"/>
      <c r="N234" s="476"/>
      <c r="O234" s="476"/>
      <c r="P234" s="476"/>
      <c r="Q234" s="476"/>
      <c r="R234" s="476"/>
      <c r="S234" s="476"/>
      <c r="T234" s="476"/>
      <c r="U234" s="476"/>
      <c r="V234" s="476"/>
      <c r="W234" s="476"/>
    </row>
    <row r="235" spans="1:23" ht="11.25" customHeight="1" x14ac:dyDescent="0.2">
      <c r="A235" s="410" t="str">
        <f>'Org structure'!E63</f>
        <v>6,6 - 6.6 - Community centres</v>
      </c>
      <c r="B235" s="448"/>
      <c r="C235" s="397"/>
      <c r="D235" s="386">
        <v>279646.82863215997</v>
      </c>
      <c r="E235" s="387"/>
      <c r="F235" s="475"/>
      <c r="G235" s="387"/>
      <c r="H235" s="475">
        <f t="shared" si="54"/>
        <v>93215.609544053324</v>
      </c>
      <c r="I235" s="45">
        <f t="shared" si="44"/>
        <v>-93215.609544053324</v>
      </c>
      <c r="J235" s="333">
        <f t="shared" si="45"/>
        <v>-1</v>
      </c>
      <c r="K235" s="398">
        <f t="shared" si="55"/>
        <v>279646.82863215997</v>
      </c>
      <c r="L235" s="49"/>
      <c r="M235" s="476"/>
      <c r="N235" s="476"/>
      <c r="O235" s="476"/>
      <c r="P235" s="476"/>
      <c r="Q235" s="476"/>
      <c r="R235" s="476"/>
      <c r="S235" s="476"/>
      <c r="T235" s="476"/>
      <c r="U235" s="476"/>
      <c r="V235" s="476"/>
      <c r="W235" s="476"/>
    </row>
    <row r="236" spans="1:23" ht="11.25" customHeight="1" x14ac:dyDescent="0.2">
      <c r="A236" s="410" t="str">
        <f>'Org structure'!E64</f>
        <v>6,7 - 6.7 - Art Museum</v>
      </c>
      <c r="B236" s="448"/>
      <c r="C236" s="397"/>
      <c r="D236" s="386">
        <v>1205218.9268080003</v>
      </c>
      <c r="E236" s="387"/>
      <c r="F236" s="475"/>
      <c r="G236" s="387"/>
      <c r="H236" s="475">
        <f t="shared" si="54"/>
        <v>401739.64226933342</v>
      </c>
      <c r="I236" s="45">
        <f t="shared" si="44"/>
        <v>-401739.64226933342</v>
      </c>
      <c r="J236" s="333">
        <f t="shared" si="45"/>
        <v>-1</v>
      </c>
      <c r="K236" s="398">
        <f t="shared" si="55"/>
        <v>1205218.9268080003</v>
      </c>
      <c r="L236" s="49"/>
      <c r="M236" s="476"/>
      <c r="N236" s="476"/>
      <c r="O236" s="476"/>
      <c r="P236" s="476"/>
      <c r="Q236" s="476"/>
      <c r="R236" s="476"/>
      <c r="S236" s="476"/>
      <c r="T236" s="476"/>
      <c r="U236" s="476"/>
      <c r="V236" s="476"/>
      <c r="W236" s="476"/>
    </row>
    <row r="237" spans="1:23" ht="11.25" customHeight="1" x14ac:dyDescent="0.2">
      <c r="A237" s="410" t="str">
        <f>'Org structure'!E65</f>
        <v>6,8 - 6.8 - Libraries</v>
      </c>
      <c r="B237" s="448"/>
      <c r="C237" s="397"/>
      <c r="D237" s="386">
        <v>17979201.288437992</v>
      </c>
      <c r="E237" s="387"/>
      <c r="F237" s="475"/>
      <c r="G237" s="387"/>
      <c r="H237" s="475">
        <f t="shared" si="54"/>
        <v>5993067.0961459978</v>
      </c>
      <c r="I237" s="45">
        <f t="shared" si="44"/>
        <v>-5993067.0961459978</v>
      </c>
      <c r="J237" s="333">
        <f t="shared" si="45"/>
        <v>-1</v>
      </c>
      <c r="K237" s="398">
        <f t="shared" si="55"/>
        <v>17979201.288437992</v>
      </c>
      <c r="L237" s="49"/>
      <c r="M237" s="476"/>
      <c r="N237" s="476"/>
      <c r="O237" s="476"/>
      <c r="P237" s="476"/>
      <c r="Q237" s="476"/>
      <c r="R237" s="476"/>
      <c r="S237" s="476"/>
      <c r="T237" s="476"/>
      <c r="U237" s="476"/>
      <c r="V237" s="476"/>
      <c r="W237" s="476"/>
    </row>
    <row r="238" spans="1:23" ht="11.25" customHeight="1" x14ac:dyDescent="0.2">
      <c r="A238" s="410" t="str">
        <f>'Org structure'!E66</f>
        <v>6,9 - 6.9 - Museums</v>
      </c>
      <c r="B238" s="448"/>
      <c r="C238" s="397"/>
      <c r="D238" s="386">
        <v>7297277.4073600015</v>
      </c>
      <c r="E238" s="387"/>
      <c r="F238" s="475"/>
      <c r="G238" s="387"/>
      <c r="H238" s="475">
        <f t="shared" si="54"/>
        <v>2432425.802453334</v>
      </c>
      <c r="I238" s="45">
        <f t="shared" si="44"/>
        <v>-2432425.802453334</v>
      </c>
      <c r="J238" s="333">
        <f t="shared" si="45"/>
        <v>-1</v>
      </c>
      <c r="K238" s="398">
        <f t="shared" si="55"/>
        <v>7297277.4073600015</v>
      </c>
      <c r="L238" s="49"/>
      <c r="M238" s="476"/>
      <c r="N238" s="476"/>
      <c r="O238" s="476"/>
      <c r="P238" s="476"/>
      <c r="Q238" s="476"/>
      <c r="R238" s="476"/>
      <c r="S238" s="476"/>
      <c r="T238" s="476"/>
      <c r="U238" s="476"/>
      <c r="V238" s="476"/>
      <c r="W238" s="476"/>
    </row>
    <row r="239" spans="1:23" ht="11.25" customHeight="1" x14ac:dyDescent="0.2">
      <c r="A239" s="410" t="str">
        <f>'Org structure'!E67</f>
        <v>6.10 - 6.10 - Other Community Development</v>
      </c>
      <c r="B239" s="448"/>
      <c r="C239" s="397"/>
      <c r="D239" s="386">
        <v>20665200.394234091</v>
      </c>
      <c r="E239" s="387"/>
      <c r="F239" s="475"/>
      <c r="G239" s="387"/>
      <c r="H239" s="475">
        <f t="shared" si="54"/>
        <v>6888400.1314113634</v>
      </c>
      <c r="I239" s="45">
        <f t="shared" si="44"/>
        <v>-6888400.1314113634</v>
      </c>
      <c r="J239" s="333">
        <f t="shared" si="45"/>
        <v>-1</v>
      </c>
      <c r="K239" s="398">
        <f t="shared" si="55"/>
        <v>20665200.394234091</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56">SUM(C241:C250)</f>
        <v>0</v>
      </c>
      <c r="D240" s="447">
        <f t="shared" si="56"/>
        <v>175048114.39098144</v>
      </c>
      <c r="E240" s="444">
        <f t="shared" si="56"/>
        <v>0</v>
      </c>
      <c r="F240" s="446">
        <f t="shared" si="56"/>
        <v>55061414.729999997</v>
      </c>
      <c r="G240" s="444">
        <f t="shared" si="56"/>
        <v>55061414.729999997</v>
      </c>
      <c r="H240" s="446">
        <f t="shared" si="56"/>
        <v>58349371.463660471</v>
      </c>
      <c r="I240" s="45">
        <f t="shared" si="44"/>
        <v>-3287956.7336604744</v>
      </c>
      <c r="J240" s="333">
        <f t="shared" si="45"/>
        <v>-5.6349479886140467E-2</v>
      </c>
      <c r="K240" s="445">
        <f t="shared" si="56"/>
        <v>175048114.39098144</v>
      </c>
      <c r="L240" s="49"/>
      <c r="M240" s="476"/>
      <c r="N240" s="476"/>
      <c r="O240" s="476"/>
      <c r="P240" s="476"/>
      <c r="Q240" s="476"/>
      <c r="R240" s="476"/>
      <c r="S240" s="476"/>
      <c r="T240" s="476"/>
      <c r="U240" s="476"/>
      <c r="V240" s="476"/>
      <c r="W240" s="476"/>
    </row>
    <row r="241" spans="1:23" ht="11.25" customHeight="1" x14ac:dyDescent="0.2">
      <c r="A241" s="410" t="str">
        <f>'Org structure'!E69</f>
        <v>7,1 - 7.1 - Information Services</v>
      </c>
      <c r="B241" s="448"/>
      <c r="C241" s="397"/>
      <c r="D241" s="386">
        <v>42978961.669411547</v>
      </c>
      <c r="E241" s="387"/>
      <c r="F241" s="475"/>
      <c r="G241" s="387"/>
      <c r="H241" s="475">
        <f t="shared" ref="H241:H250" si="57">D241/12*4</f>
        <v>14326320.556470515</v>
      </c>
      <c r="I241" s="45">
        <f t="shared" si="44"/>
        <v>-14326320.556470515</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
      <c r="A242" s="410" t="str">
        <f>'Org structure'!E70</f>
        <v>7,2 - 7.2 - Organisational Development</v>
      </c>
      <c r="B242" s="448"/>
      <c r="C242" s="397"/>
      <c r="D242" s="386">
        <v>3125258.7850000006</v>
      </c>
      <c r="E242" s="387"/>
      <c r="F242" s="475"/>
      <c r="G242" s="387"/>
      <c r="H242" s="475">
        <f t="shared" si="57"/>
        <v>1041752.9283333336</v>
      </c>
      <c r="I242" s="45">
        <f t="shared" si="44"/>
        <v>-1041752.9283333336</v>
      </c>
      <c r="J242" s="333">
        <f t="shared" si="45"/>
        <v>-1</v>
      </c>
      <c r="K242" s="398">
        <f t="shared" ref="K242:K250" si="58">D242</f>
        <v>3125258.7850000006</v>
      </c>
      <c r="L242" s="49"/>
      <c r="M242" s="476"/>
      <c r="N242" s="476"/>
      <c r="O242" s="476"/>
      <c r="P242" s="476"/>
      <c r="Q242" s="476"/>
      <c r="R242" s="476"/>
      <c r="S242" s="476"/>
      <c r="T242" s="476"/>
      <c r="U242" s="476"/>
      <c r="V242" s="476"/>
      <c r="W242" s="476"/>
    </row>
    <row r="243" spans="1:23" ht="11.25" customHeight="1" x14ac:dyDescent="0.2">
      <c r="A243" s="410" t="str">
        <f>'Org structure'!E71</f>
        <v>7,3 - 7.3 - Personnel</v>
      </c>
      <c r="B243" s="448"/>
      <c r="C243" s="397"/>
      <c r="D243" s="386">
        <v>15053208.177311998</v>
      </c>
      <c r="E243" s="387"/>
      <c r="F243" s="475"/>
      <c r="G243" s="387"/>
      <c r="H243" s="475">
        <f t="shared" si="57"/>
        <v>5017736.0591039993</v>
      </c>
      <c r="I243" s="45">
        <f t="shared" si="44"/>
        <v>-5017736.0591039993</v>
      </c>
      <c r="J243" s="333">
        <f t="shared" si="45"/>
        <v>-1</v>
      </c>
      <c r="K243" s="398">
        <f t="shared" si="58"/>
        <v>15053208.177311998</v>
      </c>
      <c r="L243" s="49"/>
      <c r="M243" s="476"/>
      <c r="N243" s="476"/>
      <c r="O243" s="476"/>
      <c r="P243" s="476"/>
      <c r="Q243" s="476"/>
      <c r="R243" s="476"/>
      <c r="S243" s="476"/>
      <c r="T243" s="476"/>
      <c r="U243" s="476"/>
      <c r="V243" s="476"/>
      <c r="W243" s="476"/>
    </row>
    <row r="244" spans="1:23" ht="11.25" customHeight="1" x14ac:dyDescent="0.2">
      <c r="A244" s="410" t="str">
        <f>'Org structure'!E72</f>
        <v>7,4 - 7.4 - Training and Skills Development</v>
      </c>
      <c r="B244" s="448"/>
      <c r="C244" s="397"/>
      <c r="D244" s="386">
        <v>15053208.177311998</v>
      </c>
      <c r="E244" s="387"/>
      <c r="F244" s="475"/>
      <c r="G244" s="387"/>
      <c r="H244" s="475">
        <f t="shared" si="57"/>
        <v>5017736.0591039993</v>
      </c>
      <c r="I244" s="45">
        <f t="shared" si="44"/>
        <v>-5017736.0591039993</v>
      </c>
      <c r="J244" s="333">
        <f t="shared" si="45"/>
        <v>-1</v>
      </c>
      <c r="K244" s="398">
        <f t="shared" si="58"/>
        <v>15053208.177311998</v>
      </c>
      <c r="L244" s="49"/>
      <c r="M244" s="476"/>
      <c r="N244" s="476"/>
      <c r="O244" s="476"/>
      <c r="P244" s="476"/>
      <c r="Q244" s="476"/>
      <c r="R244" s="476"/>
      <c r="S244" s="476"/>
      <c r="T244" s="476"/>
      <c r="U244" s="476"/>
      <c r="V244" s="476"/>
      <c r="W244" s="476"/>
    </row>
    <row r="245" spans="1:23" ht="11.25" customHeight="1" x14ac:dyDescent="0.2">
      <c r="A245" s="410" t="str">
        <f>'Org structure'!E73</f>
        <v>7,5 - 7.5 - Occupational Health and Safety</v>
      </c>
      <c r="B245" s="448"/>
      <c r="C245" s="397"/>
      <c r="D245" s="386">
        <v>5764523.5149999997</v>
      </c>
      <c r="E245" s="387"/>
      <c r="F245" s="475"/>
      <c r="G245" s="387"/>
      <c r="H245" s="475">
        <f t="shared" si="57"/>
        <v>1921507.8383333331</v>
      </c>
      <c r="I245" s="45">
        <f t="shared" si="44"/>
        <v>-1921507.8383333331</v>
      </c>
      <c r="J245" s="333">
        <f t="shared" si="45"/>
        <v>-1</v>
      </c>
      <c r="K245" s="398">
        <f t="shared" si="58"/>
        <v>5764523.5149999997</v>
      </c>
      <c r="L245" s="49"/>
      <c r="M245" s="476"/>
      <c r="N245" s="476"/>
      <c r="O245" s="476"/>
      <c r="P245" s="476"/>
      <c r="Q245" s="476"/>
      <c r="R245" s="476"/>
      <c r="S245" s="476"/>
      <c r="T245" s="476"/>
      <c r="U245" s="476"/>
      <c r="V245" s="476"/>
      <c r="W245" s="476"/>
    </row>
    <row r="246" spans="1:23" ht="11.25" customHeight="1" x14ac:dyDescent="0.2">
      <c r="A246" s="410" t="str">
        <f>'Org structure'!E74</f>
        <v>7,6 - 7.6 - Legal Services</v>
      </c>
      <c r="B246" s="448"/>
      <c r="C246" s="397"/>
      <c r="D246" s="386">
        <v>16161864.889999999</v>
      </c>
      <c r="E246" s="387"/>
      <c r="F246" s="475"/>
      <c r="G246" s="387"/>
      <c r="H246" s="475">
        <f t="shared" si="57"/>
        <v>5387288.2966666659</v>
      </c>
      <c r="I246" s="45">
        <f t="shared" si="44"/>
        <v>-5387288.2966666659</v>
      </c>
      <c r="J246" s="333">
        <f t="shared" si="45"/>
        <v>-1</v>
      </c>
      <c r="K246" s="398">
        <f t="shared" si="58"/>
        <v>16161864.889999999</v>
      </c>
      <c r="L246" s="49"/>
      <c r="M246" s="476"/>
      <c r="N246" s="476"/>
      <c r="O246" s="476"/>
      <c r="P246" s="476"/>
      <c r="Q246" s="476"/>
      <c r="R246" s="476"/>
      <c r="S246" s="476"/>
      <c r="T246" s="476"/>
      <c r="U246" s="476"/>
      <c r="V246" s="476"/>
      <c r="W246" s="476"/>
    </row>
    <row r="247" spans="1:23" ht="11.25" customHeight="1" x14ac:dyDescent="0.2">
      <c r="A247" s="410" t="str">
        <f>'Org structure'!E75</f>
        <v>7,7 - 7.7 - Secretariat</v>
      </c>
      <c r="B247" s="448"/>
      <c r="C247" s="397"/>
      <c r="D247" s="386">
        <v>14345687.989999996</v>
      </c>
      <c r="E247" s="387"/>
      <c r="F247" s="475"/>
      <c r="G247" s="387"/>
      <c r="H247" s="475">
        <f t="shared" si="57"/>
        <v>4781895.9966666652</v>
      </c>
      <c r="I247" s="45">
        <f t="shared" si="44"/>
        <v>-4781895.9966666652</v>
      </c>
      <c r="J247" s="333">
        <f t="shared" si="45"/>
        <v>-1</v>
      </c>
      <c r="K247" s="398">
        <f t="shared" si="58"/>
        <v>14345687.989999996</v>
      </c>
      <c r="L247" s="49"/>
      <c r="M247" s="476"/>
      <c r="N247" s="476"/>
      <c r="O247" s="476"/>
      <c r="P247" s="476"/>
      <c r="Q247" s="476"/>
      <c r="R247" s="476"/>
      <c r="S247" s="476"/>
      <c r="T247" s="476"/>
      <c r="U247" s="476"/>
      <c r="V247" s="476"/>
      <c r="W247" s="476"/>
    </row>
    <row r="248" spans="1:23" ht="11.25" customHeight="1" x14ac:dyDescent="0.2">
      <c r="A248" s="410" t="str">
        <f>'Org structure'!E76</f>
        <v>7,8 - 7.8 - Mechanical Workshop</v>
      </c>
      <c r="B248" s="448"/>
      <c r="C248" s="397"/>
      <c r="D248" s="386">
        <v>8569179.9072600007</v>
      </c>
      <c r="E248" s="387"/>
      <c r="F248" s="475"/>
      <c r="G248" s="387"/>
      <c r="H248" s="475">
        <f t="shared" si="57"/>
        <v>2856393.3024200001</v>
      </c>
      <c r="I248" s="45">
        <f t="shared" si="44"/>
        <v>-2856393.3024200001</v>
      </c>
      <c r="J248" s="333">
        <f t="shared" si="45"/>
        <v>-1</v>
      </c>
      <c r="K248" s="398">
        <f t="shared" si="58"/>
        <v>8569179.9072600007</v>
      </c>
      <c r="L248" s="49"/>
      <c r="M248" s="476"/>
      <c r="N248" s="476"/>
      <c r="O248" s="476"/>
      <c r="P248" s="476"/>
      <c r="Q248" s="476"/>
      <c r="R248" s="476"/>
      <c r="S248" s="476"/>
      <c r="T248" s="476"/>
      <c r="U248" s="476"/>
      <c r="V248" s="476"/>
      <c r="W248" s="476"/>
    </row>
    <row r="249" spans="1:23" ht="11.25" customHeight="1" x14ac:dyDescent="0.2">
      <c r="A249" s="410" t="str">
        <f>'Org structure'!E77</f>
        <v>7,9 - 7.9 - Fleet Management</v>
      </c>
      <c r="B249" s="448"/>
      <c r="C249" s="397"/>
      <c r="D249" s="386">
        <v>46430906.941049993</v>
      </c>
      <c r="E249" s="387"/>
      <c r="F249" s="475"/>
      <c r="G249" s="387"/>
      <c r="H249" s="475">
        <f t="shared" si="57"/>
        <v>15476968.980349997</v>
      </c>
      <c r="I249" s="45">
        <f t="shared" si="44"/>
        <v>-15476968.980349997</v>
      </c>
      <c r="J249" s="333">
        <f t="shared" si="45"/>
        <v>-1</v>
      </c>
      <c r="K249" s="398">
        <f t="shared" si="58"/>
        <v>46430906.941049993</v>
      </c>
      <c r="L249" s="49"/>
      <c r="M249" s="476"/>
      <c r="N249" s="476"/>
      <c r="O249" s="476"/>
      <c r="P249" s="476"/>
      <c r="Q249" s="476"/>
      <c r="R249" s="476"/>
      <c r="S249" s="476"/>
      <c r="T249" s="476"/>
      <c r="U249" s="476"/>
      <c r="V249" s="476"/>
      <c r="W249" s="476"/>
    </row>
    <row r="250" spans="1:23" ht="11.25" customHeight="1" x14ac:dyDescent="0.2">
      <c r="A250" s="410" t="str">
        <f>'Org structure'!E78</f>
        <v>7.10 - 7.10 - Other Corporate and Shared services</v>
      </c>
      <c r="B250" s="448"/>
      <c r="C250" s="397"/>
      <c r="D250" s="386">
        <v>7565314.3386358917</v>
      </c>
      <c r="E250" s="387"/>
      <c r="F250" s="475">
        <v>55061414.729999997</v>
      </c>
      <c r="G250" s="387">
        <f>55061414.73</f>
        <v>55061414.729999997</v>
      </c>
      <c r="H250" s="475">
        <f t="shared" si="57"/>
        <v>2521771.4462119639</v>
      </c>
      <c r="I250" s="45">
        <f t="shared" si="44"/>
        <v>52539643.283788033</v>
      </c>
      <c r="J250" s="333">
        <f t="shared" si="45"/>
        <v>20.834419139256084</v>
      </c>
      <c r="K250" s="398">
        <f t="shared" si="58"/>
        <v>7565314.3386358917</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59">SUM(C252:C261)</f>
        <v>0</v>
      </c>
      <c r="D251" s="447">
        <f t="shared" si="59"/>
        <v>76650723.628764004</v>
      </c>
      <c r="E251" s="444">
        <f t="shared" si="59"/>
        <v>0</v>
      </c>
      <c r="F251" s="446">
        <f t="shared" si="59"/>
        <v>1376.58</v>
      </c>
      <c r="G251" s="444">
        <f t="shared" si="59"/>
        <v>1376.58</v>
      </c>
      <c r="H251" s="446">
        <f t="shared" si="59"/>
        <v>25550241.209587999</v>
      </c>
      <c r="I251" s="45">
        <f t="shared" si="44"/>
        <v>-25548864.629588</v>
      </c>
      <c r="J251" s="333">
        <f t="shared" si="45"/>
        <v>-0.99994612262214255</v>
      </c>
      <c r="K251" s="445">
        <f t="shared" si="59"/>
        <v>76650723.628764004</v>
      </c>
      <c r="L251" s="49"/>
      <c r="M251" s="476"/>
      <c r="N251" s="476"/>
      <c r="O251" s="476"/>
      <c r="P251" s="476"/>
      <c r="Q251" s="476"/>
      <c r="R251" s="476"/>
      <c r="S251" s="476"/>
      <c r="T251" s="476"/>
      <c r="U251" s="476"/>
      <c r="V251" s="476"/>
      <c r="W251" s="476"/>
    </row>
    <row r="252" spans="1:23" ht="11.25" customHeight="1" x14ac:dyDescent="0.2">
      <c r="A252" s="410" t="str">
        <f>'Org structure'!E80</f>
        <v>8,1 - 8.1 - Landuse Management</v>
      </c>
      <c r="B252" s="448"/>
      <c r="C252" s="397"/>
      <c r="D252" s="386">
        <v>6867604.6600000011</v>
      </c>
      <c r="E252" s="387"/>
      <c r="F252" s="475"/>
      <c r="G252" s="387"/>
      <c r="H252" s="475">
        <f t="shared" ref="H252:H261" si="60">D252/12*4</f>
        <v>2289201.5533333337</v>
      </c>
      <c r="I252" s="45">
        <f t="shared" si="44"/>
        <v>-2289201.5533333337</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
      <c r="A253" s="410" t="str">
        <f>'Org structure'!E81</f>
        <v>8,2 - 8.2 - Spatial Planning</v>
      </c>
      <c r="B253" s="448"/>
      <c r="C253" s="397"/>
      <c r="D253" s="386">
        <v>16541525.085000001</v>
      </c>
      <c r="E253" s="387"/>
      <c r="F253" s="475"/>
      <c r="G253" s="387"/>
      <c r="H253" s="475">
        <f t="shared" si="60"/>
        <v>5513841.6950000003</v>
      </c>
      <c r="I253" s="45">
        <f t="shared" si="44"/>
        <v>-5513841.6950000003</v>
      </c>
      <c r="J253" s="333">
        <f t="shared" si="45"/>
        <v>-1</v>
      </c>
      <c r="K253" s="398">
        <f t="shared" ref="K253:K261" si="61">D253</f>
        <v>16541525.085000001</v>
      </c>
      <c r="L253" s="49"/>
      <c r="M253" s="476"/>
      <c r="N253" s="476"/>
      <c r="O253" s="476"/>
      <c r="P253" s="476"/>
      <c r="Q253" s="476"/>
      <c r="R253" s="476"/>
      <c r="S253" s="476"/>
      <c r="T253" s="476"/>
      <c r="U253" s="476"/>
      <c r="V253" s="476"/>
      <c r="W253" s="476"/>
    </row>
    <row r="254" spans="1:23" ht="11.25" customHeight="1" x14ac:dyDescent="0.2">
      <c r="A254" s="410" t="str">
        <f>'Org structure'!E82</f>
        <v>8,2 - 8.2 - Spatial Planning</v>
      </c>
      <c r="B254" s="448"/>
      <c r="C254" s="397"/>
      <c r="D254" s="386">
        <v>21116194.800000001</v>
      </c>
      <c r="E254" s="387"/>
      <c r="F254" s="475"/>
      <c r="G254" s="387"/>
      <c r="H254" s="475">
        <f t="shared" si="60"/>
        <v>7038731.6000000006</v>
      </c>
      <c r="I254" s="45">
        <f t="shared" si="44"/>
        <v>-7038731.6000000006</v>
      </c>
      <c r="J254" s="333">
        <f t="shared" si="45"/>
        <v>-1</v>
      </c>
      <c r="K254" s="398">
        <f t="shared" si="61"/>
        <v>21116194.800000001</v>
      </c>
      <c r="L254" s="49"/>
      <c r="M254" s="476"/>
      <c r="N254" s="476"/>
      <c r="O254" s="476"/>
      <c r="P254" s="476"/>
      <c r="Q254" s="476"/>
      <c r="R254" s="476"/>
      <c r="S254" s="476"/>
      <c r="T254" s="476"/>
      <c r="U254" s="476"/>
      <c r="V254" s="476"/>
      <c r="W254" s="476"/>
    </row>
    <row r="255" spans="1:23" ht="11.25" customHeight="1" x14ac:dyDescent="0.2">
      <c r="A255" s="410" t="str">
        <f>'Org structure'!E83</f>
        <v>8,4 - 8.4 - Transport Operations</v>
      </c>
      <c r="B255" s="448"/>
      <c r="C255" s="397"/>
      <c r="D255" s="386"/>
      <c r="E255" s="387"/>
      <c r="F255" s="475"/>
      <c r="G255" s="387"/>
      <c r="H255" s="475">
        <f t="shared" si="60"/>
        <v>0</v>
      </c>
      <c r="I255" s="45">
        <f t="shared" si="44"/>
        <v>0</v>
      </c>
      <c r="J255" s="333" t="str">
        <f t="shared" si="45"/>
        <v/>
      </c>
      <c r="K255" s="398">
        <f t="shared" si="61"/>
        <v>0</v>
      </c>
      <c r="L255" s="49"/>
      <c r="M255" s="476"/>
      <c r="N255" s="476"/>
      <c r="O255" s="476"/>
      <c r="P255" s="476"/>
      <c r="Q255" s="476"/>
      <c r="R255" s="476"/>
      <c r="S255" s="476"/>
      <c r="T255" s="476"/>
      <c r="U255" s="476"/>
      <c r="V255" s="476"/>
      <c r="W255" s="476"/>
    </row>
    <row r="256" spans="1:23" ht="11.25" customHeight="1" x14ac:dyDescent="0.2">
      <c r="A256" s="410" t="str">
        <f>'Org structure'!E84</f>
        <v>8,5 - 8.5 - Housing</v>
      </c>
      <c r="B256" s="448"/>
      <c r="C256" s="397"/>
      <c r="D256" s="386">
        <v>8235242.4949999992</v>
      </c>
      <c r="E256" s="387"/>
      <c r="F256" s="475"/>
      <c r="G256" s="387"/>
      <c r="H256" s="475">
        <f t="shared" si="60"/>
        <v>2745080.8316666665</v>
      </c>
      <c r="I256" s="45">
        <f t="shared" si="44"/>
        <v>-2745080.8316666665</v>
      </c>
      <c r="J256" s="333">
        <f t="shared" si="45"/>
        <v>-1</v>
      </c>
      <c r="K256" s="398">
        <f t="shared" si="61"/>
        <v>8235242.4949999992</v>
      </c>
      <c r="L256" s="49"/>
      <c r="M256" s="476"/>
      <c r="N256" s="476"/>
      <c r="O256" s="476"/>
      <c r="P256" s="476"/>
      <c r="Q256" s="476"/>
      <c r="R256" s="476"/>
      <c r="S256" s="476"/>
      <c r="T256" s="476"/>
      <c r="U256" s="476"/>
      <c r="V256" s="476"/>
      <c r="W256" s="476"/>
    </row>
    <row r="257" spans="1:23" ht="11.25" customHeight="1" x14ac:dyDescent="0.2">
      <c r="A257" s="410" t="str">
        <f>'Org structure'!E85</f>
        <v>8,6 - 8.6 - Building Inspectorate</v>
      </c>
      <c r="B257" s="448"/>
      <c r="C257" s="397"/>
      <c r="D257" s="386">
        <v>6525172.3999999994</v>
      </c>
      <c r="E257" s="387"/>
      <c r="F257" s="475"/>
      <c r="G257" s="387"/>
      <c r="H257" s="475">
        <f t="shared" si="60"/>
        <v>2175057.4666666663</v>
      </c>
      <c r="I257" s="45">
        <f t="shared" si="44"/>
        <v>-2175057.4666666663</v>
      </c>
      <c r="J257" s="333">
        <f t="shared" si="45"/>
        <v>-1</v>
      </c>
      <c r="K257" s="398">
        <f t="shared" si="61"/>
        <v>6525172.3999999994</v>
      </c>
      <c r="L257" s="49"/>
      <c r="M257" s="476"/>
      <c r="N257" s="476"/>
      <c r="O257" s="476"/>
      <c r="P257" s="476"/>
      <c r="Q257" s="476"/>
      <c r="R257" s="476"/>
      <c r="S257" s="476"/>
      <c r="T257" s="476"/>
      <c r="U257" s="476"/>
      <c r="V257" s="476"/>
      <c r="W257" s="476"/>
    </row>
    <row r="258" spans="1:23" ht="11.25" customHeight="1" x14ac:dyDescent="0.2">
      <c r="A258" s="410" t="str">
        <f>'Org structure'!E86</f>
        <v>8,7 - 8.7 - Enterprise Development</v>
      </c>
      <c r="B258" s="448"/>
      <c r="C258" s="397"/>
      <c r="D258" s="386">
        <v>5983399.4049999993</v>
      </c>
      <c r="E258" s="387"/>
      <c r="F258" s="475"/>
      <c r="G258" s="387"/>
      <c r="H258" s="475">
        <f t="shared" si="60"/>
        <v>1994466.468333333</v>
      </c>
      <c r="I258" s="45">
        <f t="shared" si="44"/>
        <v>-1994466.468333333</v>
      </c>
      <c r="J258" s="333">
        <f t="shared" si="45"/>
        <v>-1</v>
      </c>
      <c r="K258" s="398">
        <f t="shared" si="61"/>
        <v>5983399.4049999993</v>
      </c>
      <c r="L258" s="49"/>
      <c r="M258" s="476"/>
      <c r="N258" s="476"/>
      <c r="O258" s="476"/>
      <c r="P258" s="476"/>
      <c r="Q258" s="476"/>
      <c r="R258" s="476"/>
      <c r="S258" s="476"/>
      <c r="T258" s="476"/>
      <c r="U258" s="476"/>
      <c r="V258" s="476"/>
      <c r="W258" s="476"/>
    </row>
    <row r="259" spans="1:23" ht="11.25" customHeight="1" x14ac:dyDescent="0.2">
      <c r="A259" s="410" t="str">
        <f>'Org structure'!E87</f>
        <v>8,8 - 8.8 - Investment Promotion and Tourism</v>
      </c>
      <c r="B259" s="448"/>
      <c r="C259" s="397"/>
      <c r="D259" s="386">
        <v>4890444.7650000006</v>
      </c>
      <c r="E259" s="387"/>
      <c r="F259" s="475"/>
      <c r="G259" s="387"/>
      <c r="H259" s="475">
        <f t="shared" si="60"/>
        <v>1630148.2550000001</v>
      </c>
      <c r="I259" s="45">
        <f t="shared" si="44"/>
        <v>-1630148.2550000001</v>
      </c>
      <c r="J259" s="333">
        <f t="shared" si="45"/>
        <v>-1</v>
      </c>
      <c r="K259" s="398">
        <f t="shared" si="61"/>
        <v>4890444.7650000006</v>
      </c>
      <c r="L259" s="49"/>
      <c r="M259" s="476"/>
      <c r="N259" s="476"/>
      <c r="O259" s="476"/>
      <c r="P259" s="476"/>
      <c r="Q259" s="476"/>
      <c r="R259" s="476"/>
      <c r="S259" s="476"/>
      <c r="T259" s="476"/>
      <c r="U259" s="476"/>
      <c r="V259" s="476"/>
      <c r="W259" s="476"/>
    </row>
    <row r="260" spans="1:23" ht="11.25" customHeight="1" x14ac:dyDescent="0.2">
      <c r="A260" s="410" t="str">
        <f>'Org structure'!E88</f>
        <v>8,9 - 8.9 - Economic Planning and Development</v>
      </c>
      <c r="B260" s="448"/>
      <c r="C260" s="397"/>
      <c r="D260" s="386">
        <v>1843756.8399999999</v>
      </c>
      <c r="E260" s="387"/>
      <c r="F260" s="475"/>
      <c r="G260" s="387"/>
      <c r="H260" s="475">
        <f t="shared" si="60"/>
        <v>614585.61333333328</v>
      </c>
      <c r="I260" s="45">
        <f t="shared" si="44"/>
        <v>-614585.61333333328</v>
      </c>
      <c r="J260" s="333">
        <f t="shared" si="45"/>
        <v>-1</v>
      </c>
      <c r="K260" s="398">
        <f t="shared" si="61"/>
        <v>1843756.8399999999</v>
      </c>
      <c r="L260" s="49"/>
      <c r="M260" s="476"/>
      <c r="N260" s="476"/>
      <c r="O260" s="476"/>
      <c r="P260" s="476"/>
      <c r="Q260" s="476"/>
      <c r="R260" s="476"/>
      <c r="S260" s="476"/>
      <c r="T260" s="476"/>
      <c r="U260" s="476"/>
      <c r="V260" s="476"/>
      <c r="W260" s="476"/>
    </row>
    <row r="261" spans="1:23" ht="11.25" customHeight="1" x14ac:dyDescent="0.2">
      <c r="A261" s="410" t="str">
        <f>'Org structure'!E89</f>
        <v>8.10 - 8.10 - Other Planning and Economic Development</v>
      </c>
      <c r="B261" s="448"/>
      <c r="C261" s="397"/>
      <c r="D261" s="386">
        <v>4647383.1787640005</v>
      </c>
      <c r="E261" s="387"/>
      <c r="F261" s="475">
        <v>1376.58</v>
      </c>
      <c r="G261" s="387">
        <f>1376.58</f>
        <v>1376.58</v>
      </c>
      <c r="H261" s="475">
        <f t="shared" si="60"/>
        <v>1549127.7262546669</v>
      </c>
      <c r="I261" s="45">
        <f t="shared" si="44"/>
        <v>-1547751.1462546668</v>
      </c>
      <c r="J261" s="333">
        <f t="shared" si="45"/>
        <v>-0.99911138379575182</v>
      </c>
      <c r="K261" s="398">
        <f t="shared" si="61"/>
        <v>4647383.1787640005</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2">SUM(C263:C272)</f>
        <v>0</v>
      </c>
      <c r="D262" s="447">
        <f t="shared" si="62"/>
        <v>394950240.20276803</v>
      </c>
      <c r="E262" s="444">
        <f t="shared" si="62"/>
        <v>0</v>
      </c>
      <c r="F262" s="446">
        <f t="shared" si="62"/>
        <v>28109448.91</v>
      </c>
      <c r="G262" s="444">
        <f t="shared" si="62"/>
        <v>249871174.71000001</v>
      </c>
      <c r="H262" s="446">
        <f t="shared" si="62"/>
        <v>131650080.06758933</v>
      </c>
      <c r="I262" s="45">
        <f t="shared" ref="I262:I325" si="63">G262-H262</f>
        <v>118221094.64241068</v>
      </c>
      <c r="J262" s="333">
        <f t="shared" ref="J262:J325" si="64">IF(I262=0,"",I262/H262)</f>
        <v>0.89799485561813419</v>
      </c>
      <c r="K262" s="445">
        <f t="shared" si="62"/>
        <v>394950240.20276803</v>
      </c>
      <c r="L262" s="49"/>
      <c r="M262" s="476"/>
      <c r="N262" s="476"/>
      <c r="O262" s="476"/>
      <c r="P262" s="476"/>
      <c r="Q262" s="476"/>
      <c r="R262" s="476"/>
      <c r="S262" s="476"/>
      <c r="T262" s="476"/>
      <c r="U262" s="476"/>
      <c r="V262" s="476"/>
      <c r="W262" s="476"/>
    </row>
    <row r="263" spans="1:23" ht="11.25" customHeight="1" x14ac:dyDescent="0.2">
      <c r="A263" s="410" t="str">
        <f>'Org structure'!E91</f>
        <v>9,1 - Chief Financial Officer</v>
      </c>
      <c r="B263" s="448"/>
      <c r="C263" s="397"/>
      <c r="D263" s="386">
        <v>5943665.3550000004</v>
      </c>
      <c r="E263" s="387"/>
      <c r="F263" s="475"/>
      <c r="G263" s="387"/>
      <c r="H263" s="475">
        <f t="shared" ref="H263:H272" si="65">D263/12*4</f>
        <v>1981221.7850000001</v>
      </c>
      <c r="I263" s="45">
        <f t="shared" si="63"/>
        <v>-1981221.7850000001</v>
      </c>
      <c r="J263" s="333">
        <f t="shared" si="64"/>
        <v>-1</v>
      </c>
      <c r="K263" s="398">
        <f>D263</f>
        <v>5943665.3550000004</v>
      </c>
      <c r="L263" s="49"/>
      <c r="M263" s="476"/>
      <c r="N263" s="476"/>
      <c r="O263" s="476"/>
      <c r="P263" s="476"/>
      <c r="Q263" s="476"/>
      <c r="R263" s="476"/>
      <c r="S263" s="476"/>
      <c r="T263" s="476"/>
      <c r="U263" s="476"/>
      <c r="V263" s="476"/>
      <c r="W263" s="476"/>
    </row>
    <row r="264" spans="1:23" ht="11.25" customHeight="1" x14ac:dyDescent="0.2">
      <c r="A264" s="410" t="str">
        <f>'Org structure'!E92</f>
        <v>9,2 - Inter Govenmental Transfers</v>
      </c>
      <c r="B264" s="448"/>
      <c r="C264" s="397"/>
      <c r="D264" s="386"/>
      <c r="E264" s="387"/>
      <c r="F264" s="475"/>
      <c r="G264" s="387"/>
      <c r="H264" s="475">
        <f t="shared" si="65"/>
        <v>0</v>
      </c>
      <c r="I264" s="45">
        <f t="shared" si="63"/>
        <v>0</v>
      </c>
      <c r="J264" s="333" t="str">
        <f t="shared" si="64"/>
        <v/>
      </c>
      <c r="K264" s="398">
        <f t="shared" ref="K264:K272" si="66">D264</f>
        <v>0</v>
      </c>
      <c r="L264" s="49"/>
      <c r="M264" s="476"/>
      <c r="N264" s="476"/>
      <c r="O264" s="476"/>
      <c r="P264" s="476"/>
      <c r="Q264" s="476"/>
      <c r="R264" s="476"/>
      <c r="S264" s="476"/>
      <c r="T264" s="476"/>
      <c r="U264" s="476"/>
      <c r="V264" s="476"/>
      <c r="W264" s="476"/>
    </row>
    <row r="265" spans="1:23" ht="11.25" customHeight="1" x14ac:dyDescent="0.2">
      <c r="A265" s="410" t="str">
        <f>'Org structure'!E93</f>
        <v>9,3 - Budget and Treasury</v>
      </c>
      <c r="B265" s="448"/>
      <c r="C265" s="397"/>
      <c r="D265" s="386">
        <v>291288931.805722</v>
      </c>
      <c r="E265" s="387"/>
      <c r="F265" s="475">
        <v>28109448.91</v>
      </c>
      <c r="G265" s="387">
        <f>28109448.91+221761725.8</f>
        <v>249871174.71000001</v>
      </c>
      <c r="H265" s="475">
        <f t="shared" si="65"/>
        <v>97096310.601907328</v>
      </c>
      <c r="I265" s="45">
        <f t="shared" si="63"/>
        <v>152774864.10809267</v>
      </c>
      <c r="J265" s="333">
        <f t="shared" si="64"/>
        <v>1.573436345428882</v>
      </c>
      <c r="K265" s="398">
        <f t="shared" si="66"/>
        <v>291288931.805722</v>
      </c>
      <c r="L265" s="49"/>
      <c r="M265" s="476"/>
      <c r="N265" s="476"/>
      <c r="O265" s="476"/>
      <c r="P265" s="476"/>
      <c r="Q265" s="476"/>
      <c r="R265" s="476"/>
      <c r="S265" s="476"/>
      <c r="T265" s="476"/>
      <c r="U265" s="476"/>
      <c r="V265" s="476"/>
      <c r="W265" s="476"/>
    </row>
    <row r="266" spans="1:23" ht="11.25" customHeight="1" x14ac:dyDescent="0.2">
      <c r="A266" s="410" t="str">
        <f>'Org structure'!E94</f>
        <v>9,4 - Assesment Rates</v>
      </c>
      <c r="B266" s="448"/>
      <c r="C266" s="397"/>
      <c r="D266" s="386">
        <v>78478601.247999996</v>
      </c>
      <c r="E266" s="387"/>
      <c r="F266" s="475"/>
      <c r="G266" s="387"/>
      <c r="H266" s="475">
        <f t="shared" si="65"/>
        <v>26159533.749333333</v>
      </c>
      <c r="I266" s="45">
        <f t="shared" si="63"/>
        <v>-26159533.749333333</v>
      </c>
      <c r="J266" s="333">
        <f t="shared" si="64"/>
        <v>-1</v>
      </c>
      <c r="K266" s="398">
        <f t="shared" si="66"/>
        <v>78478601.247999996</v>
      </c>
      <c r="L266" s="49"/>
      <c r="M266" s="476"/>
      <c r="N266" s="476"/>
      <c r="O266" s="476"/>
      <c r="P266" s="476"/>
      <c r="Q266" s="476"/>
      <c r="R266" s="476"/>
      <c r="S266" s="476"/>
      <c r="T266" s="476"/>
      <c r="U266" s="476"/>
      <c r="V266" s="476"/>
      <c r="W266" s="476"/>
    </row>
    <row r="267" spans="1:23" ht="11.25" customHeight="1" x14ac:dyDescent="0.2">
      <c r="A267" s="410" t="str">
        <f>'Org structure'!E95</f>
        <v>9,5 - Supply Chain Management</v>
      </c>
      <c r="B267" s="448"/>
      <c r="C267" s="397"/>
      <c r="D267" s="386">
        <v>19239041.794046</v>
      </c>
      <c r="E267" s="387"/>
      <c r="F267" s="475"/>
      <c r="G267" s="387"/>
      <c r="H267" s="475">
        <f t="shared" si="65"/>
        <v>6413013.9313486665</v>
      </c>
      <c r="I267" s="45">
        <f t="shared" si="63"/>
        <v>-6413013.9313486665</v>
      </c>
      <c r="J267" s="333">
        <f t="shared" si="64"/>
        <v>-1</v>
      </c>
      <c r="K267" s="398">
        <f t="shared" si="66"/>
        <v>19239041.794046</v>
      </c>
      <c r="L267" s="49"/>
      <c r="M267" s="476"/>
      <c r="N267" s="476"/>
      <c r="O267" s="476"/>
      <c r="P267" s="476"/>
      <c r="Q267" s="476"/>
      <c r="R267" s="476"/>
      <c r="S267" s="476"/>
      <c r="T267" s="476"/>
      <c r="U267" s="476"/>
      <c r="V267" s="476"/>
      <c r="W267" s="476"/>
    </row>
    <row r="268" spans="1:23" ht="11.25" customHeight="1" x14ac:dyDescent="0.2">
      <c r="A268" s="410">
        <f>'Org structure'!E96</f>
        <v>0</v>
      </c>
      <c r="B268" s="448"/>
      <c r="C268" s="397"/>
      <c r="D268" s="386"/>
      <c r="E268" s="387"/>
      <c r="F268" s="475"/>
      <c r="G268" s="387"/>
      <c r="H268" s="475">
        <f t="shared" si="65"/>
        <v>0</v>
      </c>
      <c r="I268" s="45">
        <f t="shared" si="63"/>
        <v>0</v>
      </c>
      <c r="J268" s="333" t="str">
        <f t="shared" si="64"/>
        <v/>
      </c>
      <c r="K268" s="398">
        <f t="shared" si="66"/>
        <v>0</v>
      </c>
      <c r="L268" s="49"/>
      <c r="M268" s="476"/>
      <c r="N268" s="476"/>
      <c r="O268" s="476"/>
      <c r="P268" s="476"/>
      <c r="Q268" s="476"/>
      <c r="R268" s="476"/>
      <c r="S268" s="476"/>
      <c r="T268" s="476"/>
      <c r="U268" s="476"/>
      <c r="V268" s="476"/>
      <c r="W268" s="476"/>
    </row>
    <row r="269" spans="1:23" ht="11.25" customHeight="1" x14ac:dyDescent="0.2">
      <c r="A269" s="410">
        <f>'Org structure'!E97</f>
        <v>0</v>
      </c>
      <c r="B269" s="448"/>
      <c r="C269" s="397"/>
      <c r="D269" s="386"/>
      <c r="E269" s="387"/>
      <c r="F269" s="475"/>
      <c r="G269" s="387"/>
      <c r="H269" s="475">
        <f t="shared" si="65"/>
        <v>0</v>
      </c>
      <c r="I269" s="45">
        <f t="shared" si="63"/>
        <v>0</v>
      </c>
      <c r="J269" s="333" t="str">
        <f t="shared" si="64"/>
        <v/>
      </c>
      <c r="K269" s="398">
        <f t="shared" si="66"/>
        <v>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c r="D270" s="386"/>
      <c r="E270" s="387"/>
      <c r="F270" s="475"/>
      <c r="G270" s="387"/>
      <c r="H270" s="475">
        <f t="shared" si="65"/>
        <v>0</v>
      </c>
      <c r="I270" s="45">
        <f t="shared" si="63"/>
        <v>0</v>
      </c>
      <c r="J270" s="333" t="str">
        <f t="shared" si="64"/>
        <v/>
      </c>
      <c r="K270" s="398">
        <f t="shared" si="66"/>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c r="D271" s="386"/>
      <c r="E271" s="387"/>
      <c r="F271" s="475"/>
      <c r="G271" s="387"/>
      <c r="H271" s="475">
        <f t="shared" si="65"/>
        <v>0</v>
      </c>
      <c r="I271" s="45">
        <f t="shared" si="63"/>
        <v>0</v>
      </c>
      <c r="J271" s="333" t="str">
        <f t="shared" si="64"/>
        <v/>
      </c>
      <c r="K271" s="398">
        <f t="shared" si="66"/>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c r="D272" s="386"/>
      <c r="E272" s="387"/>
      <c r="F272" s="475"/>
      <c r="G272" s="387"/>
      <c r="H272" s="475">
        <f t="shared" si="65"/>
        <v>0</v>
      </c>
      <c r="I272" s="45">
        <f t="shared" si="63"/>
        <v>0</v>
      </c>
      <c r="J272" s="333" t="str">
        <f t="shared" si="64"/>
        <v/>
      </c>
      <c r="K272" s="398">
        <f t="shared" si="66"/>
        <v>0</v>
      </c>
      <c r="L272" s="49"/>
      <c r="M272" s="476"/>
      <c r="N272" s="476"/>
      <c r="O272" s="476"/>
      <c r="P272" s="476"/>
      <c r="Q272" s="476"/>
      <c r="R272" s="476"/>
      <c r="S272" s="476"/>
      <c r="T272" s="476"/>
      <c r="U272" s="476"/>
      <c r="V272" s="476"/>
      <c r="W272" s="476"/>
    </row>
    <row r="273" spans="1:23" ht="11.25" customHeight="1" x14ac:dyDescent="0.2">
      <c r="A273" s="469" t="str">
        <f>'Org structure'!A11</f>
        <v>Vote 10 - Transport Operations</v>
      </c>
      <c r="B273" s="448"/>
      <c r="C273" s="506">
        <f t="shared" ref="C273:K273" si="67">SUM(C274:C283)</f>
        <v>0</v>
      </c>
      <c r="D273" s="447">
        <f t="shared" si="67"/>
        <v>95966650.669870242</v>
      </c>
      <c r="E273" s="444">
        <f t="shared" si="67"/>
        <v>0</v>
      </c>
      <c r="F273" s="446">
        <f t="shared" si="67"/>
        <v>0</v>
      </c>
      <c r="G273" s="444">
        <f t="shared" si="67"/>
        <v>0</v>
      </c>
      <c r="H273" s="446">
        <f t="shared" si="67"/>
        <v>31988883.556623414</v>
      </c>
      <c r="I273" s="45">
        <f t="shared" si="63"/>
        <v>-31988883.556623414</v>
      </c>
      <c r="J273" s="333">
        <f t="shared" si="64"/>
        <v>-1</v>
      </c>
      <c r="K273" s="445">
        <f t="shared" si="67"/>
        <v>95966650.669870242</v>
      </c>
      <c r="L273" s="49"/>
      <c r="M273" s="476"/>
      <c r="N273" s="476"/>
      <c r="O273" s="476"/>
      <c r="P273" s="476"/>
      <c r="Q273" s="476"/>
      <c r="R273" s="476"/>
      <c r="S273" s="476"/>
      <c r="T273" s="476"/>
      <c r="U273" s="476"/>
      <c r="V273" s="476"/>
      <c r="W273" s="476"/>
    </row>
    <row r="274" spans="1:23" ht="11.25" customHeight="1" x14ac:dyDescent="0.2">
      <c r="A274" s="410" t="str">
        <f>'Org structure'!E102</f>
        <v>10,1 - Transport Operations</v>
      </c>
      <c r="B274" s="448"/>
      <c r="C274" s="397"/>
      <c r="D274" s="386">
        <v>95966650.669870242</v>
      </c>
      <c r="E274" s="387"/>
      <c r="F274" s="475"/>
      <c r="G274" s="387"/>
      <c r="H274" s="475">
        <f t="shared" ref="H274:H283" si="68">D274/12*4</f>
        <v>31988883.556623414</v>
      </c>
      <c r="I274" s="45">
        <f t="shared" si="63"/>
        <v>-31988883.556623414</v>
      </c>
      <c r="J274" s="333">
        <f t="shared" si="64"/>
        <v>-1</v>
      </c>
      <c r="K274" s="398">
        <f>D274</f>
        <v>95966650.669870242</v>
      </c>
      <c r="L274" s="49"/>
      <c r="M274" s="476"/>
      <c r="N274" s="476"/>
      <c r="O274" s="476"/>
      <c r="P274" s="476"/>
      <c r="Q274" s="476"/>
      <c r="R274" s="476"/>
      <c r="S274" s="476"/>
      <c r="T274" s="476"/>
      <c r="U274" s="476"/>
      <c r="V274" s="476"/>
      <c r="W274" s="476"/>
    </row>
    <row r="275" spans="1:23" ht="11.25" customHeight="1" x14ac:dyDescent="0.2">
      <c r="A275" s="410">
        <f>'Org structure'!E103</f>
        <v>0</v>
      </c>
      <c r="B275" s="448"/>
      <c r="C275" s="397"/>
      <c r="D275" s="386"/>
      <c r="E275" s="387"/>
      <c r="F275" s="475"/>
      <c r="G275" s="387"/>
      <c r="H275" s="475">
        <f t="shared" si="68"/>
        <v>0</v>
      </c>
      <c r="I275" s="45">
        <f t="shared" si="63"/>
        <v>0</v>
      </c>
      <c r="J275" s="333" t="str">
        <f t="shared" si="64"/>
        <v/>
      </c>
      <c r="K275" s="398">
        <f t="shared" ref="K275:K283" si="69">D275</f>
        <v>0</v>
      </c>
      <c r="L275" s="49"/>
      <c r="M275" s="476"/>
      <c r="N275" s="476"/>
      <c r="O275" s="476"/>
      <c r="P275" s="476"/>
      <c r="Q275" s="476"/>
      <c r="R275" s="476"/>
      <c r="S275" s="476"/>
      <c r="T275" s="476"/>
      <c r="U275" s="476"/>
      <c r="V275" s="476"/>
      <c r="W275" s="476"/>
    </row>
    <row r="276" spans="1:23" ht="11.25" customHeight="1" x14ac:dyDescent="0.2">
      <c r="A276" s="410">
        <f>'Org structure'!E104</f>
        <v>0</v>
      </c>
      <c r="B276" s="448"/>
      <c r="C276" s="397"/>
      <c r="D276" s="386"/>
      <c r="E276" s="387"/>
      <c r="F276" s="475"/>
      <c r="G276" s="387"/>
      <c r="H276" s="475">
        <f t="shared" si="68"/>
        <v>0</v>
      </c>
      <c r="I276" s="45">
        <f t="shared" si="63"/>
        <v>0</v>
      </c>
      <c r="J276" s="333" t="str">
        <f t="shared" si="64"/>
        <v/>
      </c>
      <c r="K276" s="398">
        <f t="shared" si="69"/>
        <v>0</v>
      </c>
      <c r="L276" s="49"/>
      <c r="M276" s="476"/>
      <c r="N276" s="476"/>
      <c r="O276" s="476"/>
      <c r="P276" s="476"/>
      <c r="Q276" s="476"/>
      <c r="R276" s="476"/>
      <c r="S276" s="476"/>
      <c r="T276" s="476"/>
      <c r="U276" s="476"/>
      <c r="V276" s="476"/>
      <c r="W276" s="476"/>
    </row>
    <row r="277" spans="1:23" ht="11.25" customHeight="1" x14ac:dyDescent="0.2">
      <c r="A277" s="410">
        <f>'Org structure'!E105</f>
        <v>0</v>
      </c>
      <c r="B277" s="448"/>
      <c r="C277" s="397"/>
      <c r="D277" s="386"/>
      <c r="E277" s="387"/>
      <c r="F277" s="475"/>
      <c r="G277" s="387"/>
      <c r="H277" s="475">
        <f t="shared" si="68"/>
        <v>0</v>
      </c>
      <c r="I277" s="45">
        <f t="shared" si="63"/>
        <v>0</v>
      </c>
      <c r="J277" s="333" t="str">
        <f t="shared" si="64"/>
        <v/>
      </c>
      <c r="K277" s="398">
        <f t="shared" si="69"/>
        <v>0</v>
      </c>
      <c r="L277" s="49"/>
      <c r="M277" s="476"/>
      <c r="N277" s="476"/>
      <c r="O277" s="476"/>
      <c r="P277" s="476"/>
      <c r="Q277" s="476"/>
      <c r="R277" s="476"/>
      <c r="S277" s="476"/>
      <c r="T277" s="476"/>
      <c r="U277" s="476"/>
      <c r="V277" s="476"/>
      <c r="W277" s="476"/>
    </row>
    <row r="278" spans="1:23" ht="11.25" customHeight="1" x14ac:dyDescent="0.2">
      <c r="A278" s="410">
        <f>'Org structure'!E106</f>
        <v>0</v>
      </c>
      <c r="B278" s="448"/>
      <c r="C278" s="397"/>
      <c r="D278" s="386"/>
      <c r="E278" s="387"/>
      <c r="F278" s="475"/>
      <c r="G278" s="387"/>
      <c r="H278" s="475">
        <f t="shared" si="68"/>
        <v>0</v>
      </c>
      <c r="I278" s="45">
        <f t="shared" si="63"/>
        <v>0</v>
      </c>
      <c r="J278" s="333" t="str">
        <f t="shared" si="64"/>
        <v/>
      </c>
      <c r="K278" s="398">
        <f t="shared" si="69"/>
        <v>0</v>
      </c>
      <c r="L278" s="49"/>
      <c r="M278" s="476"/>
      <c r="N278" s="476"/>
      <c r="O278" s="476"/>
      <c r="P278" s="476"/>
      <c r="Q278" s="476"/>
      <c r="R278" s="476"/>
      <c r="S278" s="476"/>
      <c r="T278" s="476"/>
      <c r="U278" s="476"/>
      <c r="V278" s="476"/>
      <c r="W278" s="476"/>
    </row>
    <row r="279" spans="1:23" ht="11.25" customHeight="1" x14ac:dyDescent="0.2">
      <c r="A279" s="410">
        <f>'Org structure'!E107</f>
        <v>0</v>
      </c>
      <c r="B279" s="448"/>
      <c r="C279" s="397"/>
      <c r="D279" s="386"/>
      <c r="E279" s="387"/>
      <c r="F279" s="475"/>
      <c r="G279" s="387"/>
      <c r="H279" s="475">
        <f t="shared" si="68"/>
        <v>0</v>
      </c>
      <c r="I279" s="45">
        <f t="shared" si="63"/>
        <v>0</v>
      </c>
      <c r="J279" s="333" t="str">
        <f t="shared" si="64"/>
        <v/>
      </c>
      <c r="K279" s="398">
        <f t="shared" si="69"/>
        <v>0</v>
      </c>
      <c r="L279" s="49"/>
      <c r="M279" s="476"/>
      <c r="N279" s="476"/>
      <c r="O279" s="476"/>
      <c r="P279" s="476"/>
      <c r="Q279" s="476"/>
      <c r="R279" s="476"/>
      <c r="S279" s="476"/>
      <c r="T279" s="476"/>
      <c r="U279" s="476"/>
      <c r="V279" s="476"/>
      <c r="W279" s="476"/>
    </row>
    <row r="280" spans="1:23" ht="11.25" customHeight="1" x14ac:dyDescent="0.2">
      <c r="A280" s="410">
        <f>'Org structure'!E108</f>
        <v>0</v>
      </c>
      <c r="B280" s="448"/>
      <c r="C280" s="397"/>
      <c r="D280" s="386"/>
      <c r="E280" s="387"/>
      <c r="F280" s="475"/>
      <c r="G280" s="387"/>
      <c r="H280" s="475">
        <f t="shared" si="68"/>
        <v>0</v>
      </c>
      <c r="I280" s="45">
        <f t="shared" si="63"/>
        <v>0</v>
      </c>
      <c r="J280" s="333" t="str">
        <f t="shared" si="64"/>
        <v/>
      </c>
      <c r="K280" s="398">
        <f t="shared" si="69"/>
        <v>0</v>
      </c>
      <c r="L280" s="49"/>
      <c r="M280" s="476"/>
      <c r="N280" s="476"/>
      <c r="O280" s="476"/>
      <c r="P280" s="476"/>
      <c r="Q280" s="476"/>
      <c r="R280" s="476"/>
      <c r="S280" s="476"/>
      <c r="T280" s="476"/>
      <c r="U280" s="476"/>
      <c r="V280" s="476"/>
      <c r="W280" s="476"/>
    </row>
    <row r="281" spans="1:23" ht="11.25" customHeight="1" x14ac:dyDescent="0.2">
      <c r="A281" s="410">
        <f>'Org structure'!E109</f>
        <v>0</v>
      </c>
      <c r="B281" s="448"/>
      <c r="C281" s="397"/>
      <c r="D281" s="386"/>
      <c r="E281" s="387"/>
      <c r="F281" s="475"/>
      <c r="G281" s="387"/>
      <c r="H281" s="475">
        <f t="shared" si="68"/>
        <v>0</v>
      </c>
      <c r="I281" s="45">
        <f t="shared" si="63"/>
        <v>0</v>
      </c>
      <c r="J281" s="333" t="str">
        <f t="shared" si="64"/>
        <v/>
      </c>
      <c r="K281" s="398">
        <f t="shared" si="69"/>
        <v>0</v>
      </c>
      <c r="L281" s="49"/>
      <c r="M281" s="476"/>
      <c r="N281" s="476"/>
      <c r="O281" s="476"/>
      <c r="P281" s="476"/>
      <c r="Q281" s="476"/>
      <c r="R281" s="476"/>
      <c r="S281" s="476"/>
      <c r="T281" s="476"/>
      <c r="U281" s="476"/>
      <c r="V281" s="476"/>
      <c r="W281" s="476"/>
    </row>
    <row r="282" spans="1:23" ht="11.25" customHeight="1" x14ac:dyDescent="0.2">
      <c r="A282" s="410">
        <f>'Org structure'!E110</f>
        <v>0</v>
      </c>
      <c r="B282" s="448"/>
      <c r="C282" s="397"/>
      <c r="D282" s="386"/>
      <c r="E282" s="387"/>
      <c r="F282" s="475"/>
      <c r="G282" s="387"/>
      <c r="H282" s="475">
        <f t="shared" si="68"/>
        <v>0</v>
      </c>
      <c r="I282" s="45">
        <f t="shared" si="63"/>
        <v>0</v>
      </c>
      <c r="J282" s="333" t="str">
        <f t="shared" si="64"/>
        <v/>
      </c>
      <c r="K282" s="398">
        <f t="shared" si="69"/>
        <v>0</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c r="D283" s="386"/>
      <c r="E283" s="387"/>
      <c r="F283" s="475"/>
      <c r="G283" s="387"/>
      <c r="H283" s="475">
        <f t="shared" si="68"/>
        <v>0</v>
      </c>
      <c r="I283" s="45">
        <f t="shared" si="63"/>
        <v>0</v>
      </c>
      <c r="J283" s="333" t="str">
        <f t="shared" si="64"/>
        <v/>
      </c>
      <c r="K283" s="398">
        <f t="shared" si="69"/>
        <v>0</v>
      </c>
      <c r="L283" s="49"/>
      <c r="M283" s="476"/>
      <c r="N283" s="476"/>
      <c r="O283" s="476"/>
      <c r="P283" s="476"/>
      <c r="Q283" s="476"/>
      <c r="R283" s="476"/>
      <c r="S283" s="476"/>
      <c r="T283" s="476"/>
      <c r="U283" s="476"/>
      <c r="V283" s="476"/>
      <c r="W283" s="476"/>
    </row>
    <row r="284" spans="1:23" ht="11.25" customHeight="1" x14ac:dyDescent="0.2">
      <c r="A284" s="469" t="str">
        <f>'Org structure'!A12</f>
        <v>Vote 11 - [NAME OF VOTE 11]</v>
      </c>
      <c r="B284" s="448"/>
      <c r="C284" s="506">
        <f t="shared" ref="C284:K284" si="70">SUM(C285:C294)</f>
        <v>0</v>
      </c>
      <c r="D284" s="447">
        <f t="shared" si="70"/>
        <v>0</v>
      </c>
      <c r="E284" s="444">
        <f t="shared" si="70"/>
        <v>0</v>
      </c>
      <c r="F284" s="446">
        <f t="shared" si="70"/>
        <v>0</v>
      </c>
      <c r="G284" s="444">
        <f t="shared" si="70"/>
        <v>0</v>
      </c>
      <c r="H284" s="446">
        <f t="shared" si="70"/>
        <v>0</v>
      </c>
      <c r="I284" s="45">
        <f t="shared" si="63"/>
        <v>0</v>
      </c>
      <c r="J284" s="333" t="str">
        <f t="shared" si="64"/>
        <v/>
      </c>
      <c r="K284" s="445">
        <f t="shared" si="70"/>
        <v>0</v>
      </c>
      <c r="L284" s="49"/>
      <c r="M284" s="476"/>
      <c r="N284" s="476"/>
      <c r="O284" s="476"/>
      <c r="P284" s="476"/>
      <c r="Q284" s="476"/>
      <c r="R284" s="476"/>
      <c r="S284" s="476"/>
      <c r="T284" s="476"/>
      <c r="U284" s="476"/>
      <c r="V284" s="476"/>
      <c r="W284" s="476"/>
    </row>
    <row r="285" spans="1:23" ht="11.25" customHeight="1" x14ac:dyDescent="0.2">
      <c r="A285" s="410" t="str">
        <f>'Org structure'!E113</f>
        <v>11.1 - [Name of sub-vote]</v>
      </c>
      <c r="B285" s="448"/>
      <c r="C285" s="397"/>
      <c r="D285" s="386"/>
      <c r="E285" s="387"/>
      <c r="F285" s="475"/>
      <c r="G285" s="387"/>
      <c r="H285" s="475"/>
      <c r="I285" s="45">
        <f t="shared" si="63"/>
        <v>0</v>
      </c>
      <c r="J285" s="333" t="str">
        <f t="shared" si="64"/>
        <v/>
      </c>
      <c r="K285" s="398"/>
      <c r="L285" s="49"/>
      <c r="M285" s="476"/>
      <c r="N285" s="476"/>
      <c r="O285" s="476"/>
      <c r="P285" s="476"/>
      <c r="Q285" s="476"/>
      <c r="R285" s="476"/>
      <c r="S285" s="476"/>
      <c r="T285" s="476"/>
      <c r="U285" s="476"/>
      <c r="V285" s="476"/>
      <c r="W285" s="476"/>
    </row>
    <row r="286" spans="1:23" ht="11.25" customHeight="1" x14ac:dyDescent="0.2">
      <c r="A286" s="410">
        <f>'Org structure'!E114</f>
        <v>0</v>
      </c>
      <c r="B286" s="448"/>
      <c r="C286" s="397"/>
      <c r="D286" s="386"/>
      <c r="E286" s="387"/>
      <c r="F286" s="475"/>
      <c r="G286" s="387"/>
      <c r="H286" s="475"/>
      <c r="I286" s="45">
        <f t="shared" si="63"/>
        <v>0</v>
      </c>
      <c r="J286" s="333" t="str">
        <f t="shared" si="64"/>
        <v/>
      </c>
      <c r="K286" s="398"/>
      <c r="L286" s="49"/>
      <c r="M286" s="476"/>
      <c r="N286" s="476"/>
      <c r="O286" s="476"/>
      <c r="P286" s="476"/>
      <c r="Q286" s="476"/>
      <c r="R286" s="476"/>
      <c r="S286" s="476"/>
      <c r="T286" s="476"/>
      <c r="U286" s="476"/>
      <c r="V286" s="476"/>
      <c r="W286" s="476"/>
    </row>
    <row r="287" spans="1:23" ht="11.25" customHeight="1" x14ac:dyDescent="0.2">
      <c r="A287" s="410">
        <f>'Org structure'!E115</f>
        <v>0</v>
      </c>
      <c r="B287" s="448"/>
      <c r="C287" s="397"/>
      <c r="D287" s="386"/>
      <c r="E287" s="387"/>
      <c r="F287" s="475"/>
      <c r="G287" s="387"/>
      <c r="H287" s="475"/>
      <c r="I287" s="45">
        <f t="shared" si="63"/>
        <v>0</v>
      </c>
      <c r="J287" s="333" t="str">
        <f t="shared" si="64"/>
        <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c r="D288" s="386"/>
      <c r="E288" s="387"/>
      <c r="F288" s="475"/>
      <c r="G288" s="387"/>
      <c r="H288" s="475"/>
      <c r="I288" s="45">
        <f t="shared" si="63"/>
        <v>0</v>
      </c>
      <c r="J288" s="333" t="str">
        <f t="shared" si="64"/>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c r="D289" s="386"/>
      <c r="E289" s="387"/>
      <c r="F289" s="475"/>
      <c r="G289" s="387"/>
      <c r="H289" s="475"/>
      <c r="I289" s="45">
        <f t="shared" si="63"/>
        <v>0</v>
      </c>
      <c r="J289" s="333" t="str">
        <f t="shared" si="64"/>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c r="D290" s="386"/>
      <c r="E290" s="387"/>
      <c r="F290" s="475"/>
      <c r="G290" s="387"/>
      <c r="H290" s="475"/>
      <c r="I290" s="45">
        <f t="shared" si="63"/>
        <v>0</v>
      </c>
      <c r="J290" s="333" t="str">
        <f t="shared" si="64"/>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c r="D291" s="386"/>
      <c r="E291" s="387"/>
      <c r="F291" s="475"/>
      <c r="G291" s="387"/>
      <c r="H291" s="475"/>
      <c r="I291" s="45">
        <f t="shared" si="63"/>
        <v>0</v>
      </c>
      <c r="J291" s="333" t="str">
        <f t="shared" si="64"/>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c r="D292" s="386"/>
      <c r="E292" s="387"/>
      <c r="F292" s="475"/>
      <c r="G292" s="387"/>
      <c r="H292" s="475"/>
      <c r="I292" s="45">
        <f t="shared" si="63"/>
        <v>0</v>
      </c>
      <c r="J292" s="333" t="str">
        <f t="shared" si="64"/>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c r="D293" s="386"/>
      <c r="E293" s="387"/>
      <c r="F293" s="475"/>
      <c r="G293" s="387"/>
      <c r="H293" s="475"/>
      <c r="I293" s="45">
        <f t="shared" si="63"/>
        <v>0</v>
      </c>
      <c r="J293" s="333" t="str">
        <f t="shared" si="64"/>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c r="D294" s="386"/>
      <c r="E294" s="387"/>
      <c r="F294" s="475"/>
      <c r="G294" s="387"/>
      <c r="H294" s="475"/>
      <c r="I294" s="45">
        <f t="shared" si="63"/>
        <v>0</v>
      </c>
      <c r="J294" s="333" t="str">
        <f t="shared" si="64"/>
        <v/>
      </c>
      <c r="K294" s="398"/>
      <c r="L294" s="49"/>
      <c r="M294" s="476"/>
      <c r="N294" s="476"/>
      <c r="O294" s="476"/>
      <c r="P294" s="476"/>
      <c r="Q294" s="476"/>
      <c r="R294" s="476"/>
      <c r="S294" s="476"/>
      <c r="T294" s="476"/>
      <c r="U294" s="476"/>
      <c r="V294" s="476"/>
      <c r="W294" s="476"/>
    </row>
    <row r="295" spans="1:23" ht="11.25" customHeight="1" x14ac:dyDescent="0.2">
      <c r="A295" s="469" t="str">
        <f>'Org structure'!A13</f>
        <v>Vote 12 - [NAME OF VOTE 12]</v>
      </c>
      <c r="B295" s="448"/>
      <c r="C295" s="506">
        <f t="shared" ref="C295:K295" si="71">SUM(C296:C305)</f>
        <v>0</v>
      </c>
      <c r="D295" s="447">
        <f t="shared" si="71"/>
        <v>0</v>
      </c>
      <c r="E295" s="444">
        <f t="shared" si="71"/>
        <v>0</v>
      </c>
      <c r="F295" s="446">
        <f t="shared" si="71"/>
        <v>0</v>
      </c>
      <c r="G295" s="444">
        <f t="shared" si="71"/>
        <v>0</v>
      </c>
      <c r="H295" s="446">
        <f t="shared" si="71"/>
        <v>0</v>
      </c>
      <c r="I295" s="45">
        <f t="shared" si="63"/>
        <v>0</v>
      </c>
      <c r="J295" s="333" t="str">
        <f t="shared" si="64"/>
        <v/>
      </c>
      <c r="K295" s="445">
        <f t="shared" si="71"/>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475"/>
      <c r="I296" s="45">
        <f t="shared" si="63"/>
        <v>0</v>
      </c>
      <c r="J296" s="333" t="str">
        <f t="shared" si="64"/>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475"/>
      <c r="I297" s="45">
        <f t="shared" si="63"/>
        <v>0</v>
      </c>
      <c r="J297" s="333" t="str">
        <f t="shared" si="64"/>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475"/>
      <c r="I298" s="45">
        <f t="shared" si="63"/>
        <v>0</v>
      </c>
      <c r="J298" s="333" t="str">
        <f t="shared" si="64"/>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475"/>
      <c r="I299" s="45">
        <f t="shared" si="63"/>
        <v>0</v>
      </c>
      <c r="J299" s="333" t="str">
        <f t="shared" si="64"/>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475"/>
      <c r="I300" s="45">
        <f t="shared" si="63"/>
        <v>0</v>
      </c>
      <c r="J300" s="333" t="str">
        <f t="shared" si="64"/>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475"/>
      <c r="I301" s="45">
        <f t="shared" si="63"/>
        <v>0</v>
      </c>
      <c r="J301" s="333" t="str">
        <f t="shared" si="64"/>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475"/>
      <c r="I302" s="45">
        <f t="shared" si="63"/>
        <v>0</v>
      </c>
      <c r="J302" s="333" t="str">
        <f t="shared" si="64"/>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475"/>
      <c r="I303" s="45">
        <f t="shared" si="63"/>
        <v>0</v>
      </c>
      <c r="J303" s="333" t="str">
        <f t="shared" si="64"/>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475"/>
      <c r="I304" s="45">
        <f t="shared" si="63"/>
        <v>0</v>
      </c>
      <c r="J304" s="333" t="str">
        <f t="shared" si="64"/>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475"/>
      <c r="I305" s="45">
        <f t="shared" si="63"/>
        <v>0</v>
      </c>
      <c r="J305" s="333" t="str">
        <f t="shared" si="64"/>
        <v/>
      </c>
      <c r="K305" s="398"/>
      <c r="L305" s="49"/>
      <c r="M305" s="476"/>
      <c r="N305" s="476"/>
      <c r="O305" s="476"/>
      <c r="P305" s="476"/>
      <c r="Q305" s="476"/>
      <c r="R305" s="476"/>
      <c r="S305" s="476"/>
      <c r="T305" s="476"/>
      <c r="U305" s="476"/>
      <c r="V305" s="476"/>
      <c r="W305" s="476"/>
    </row>
    <row r="306" spans="1:23" ht="11.25" customHeight="1" x14ac:dyDescent="0.2">
      <c r="A306" s="469" t="str">
        <f>'Org structure'!A14</f>
        <v>Vote 13 - [NAME OF VOTE 13]</v>
      </c>
      <c r="B306" s="448"/>
      <c r="C306" s="506">
        <f t="shared" ref="C306:K306" si="72">SUM(C307:C316)</f>
        <v>0</v>
      </c>
      <c r="D306" s="447">
        <f t="shared" si="72"/>
        <v>0</v>
      </c>
      <c r="E306" s="444">
        <f t="shared" si="72"/>
        <v>0</v>
      </c>
      <c r="F306" s="446">
        <f t="shared" si="72"/>
        <v>0</v>
      </c>
      <c r="G306" s="444">
        <f t="shared" si="72"/>
        <v>0</v>
      </c>
      <c r="H306" s="446">
        <f t="shared" si="72"/>
        <v>0</v>
      </c>
      <c r="I306" s="45">
        <f t="shared" si="63"/>
        <v>0</v>
      </c>
      <c r="J306" s="333" t="str">
        <f t="shared" si="64"/>
        <v/>
      </c>
      <c r="K306" s="445">
        <f t="shared" si="72"/>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475"/>
      <c r="I307" s="45">
        <f t="shared" si="63"/>
        <v>0</v>
      </c>
      <c r="J307" s="333" t="str">
        <f t="shared" si="64"/>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475"/>
      <c r="I308" s="45">
        <f t="shared" si="63"/>
        <v>0</v>
      </c>
      <c r="J308" s="333" t="str">
        <f t="shared" si="64"/>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475"/>
      <c r="I309" s="45">
        <f t="shared" si="63"/>
        <v>0</v>
      </c>
      <c r="J309" s="333" t="str">
        <f t="shared" si="64"/>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475"/>
      <c r="I310" s="45">
        <f t="shared" si="63"/>
        <v>0</v>
      </c>
      <c r="J310" s="333" t="str">
        <f t="shared" si="64"/>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475"/>
      <c r="I311" s="45">
        <f t="shared" si="63"/>
        <v>0</v>
      </c>
      <c r="J311" s="333" t="str">
        <f t="shared" si="64"/>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475"/>
      <c r="I312" s="45">
        <f t="shared" si="63"/>
        <v>0</v>
      </c>
      <c r="J312" s="333" t="str">
        <f t="shared" si="64"/>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475"/>
      <c r="I313" s="45">
        <f t="shared" si="63"/>
        <v>0</v>
      </c>
      <c r="J313" s="333" t="str">
        <f t="shared" si="64"/>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475"/>
      <c r="I314" s="45">
        <f t="shared" si="63"/>
        <v>0</v>
      </c>
      <c r="J314" s="333" t="str">
        <f t="shared" si="64"/>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475"/>
      <c r="I315" s="45">
        <f t="shared" si="63"/>
        <v>0</v>
      </c>
      <c r="J315" s="333" t="str">
        <f t="shared" si="64"/>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475"/>
      <c r="I316" s="45">
        <f t="shared" si="63"/>
        <v>0</v>
      </c>
      <c r="J316" s="333" t="str">
        <f t="shared" si="64"/>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3">SUM(C318:C327)</f>
        <v>223849914.63</v>
      </c>
      <c r="D317" s="447">
        <f t="shared" si="73"/>
        <v>493860991.96420008</v>
      </c>
      <c r="E317" s="444">
        <f t="shared" si="73"/>
        <v>0</v>
      </c>
      <c r="F317" s="446">
        <f t="shared" si="73"/>
        <v>0</v>
      </c>
      <c r="G317" s="444">
        <f t="shared" si="73"/>
        <v>0</v>
      </c>
      <c r="H317" s="446">
        <f t="shared" si="73"/>
        <v>0</v>
      </c>
      <c r="I317" s="45">
        <f t="shared" si="63"/>
        <v>0</v>
      </c>
      <c r="J317" s="333" t="str">
        <f t="shared" si="64"/>
        <v/>
      </c>
      <c r="K317" s="445">
        <f t="shared" si="73"/>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c r="F318" s="475"/>
      <c r="G318" s="387"/>
      <c r="H318" s="475"/>
      <c r="I318" s="45">
        <f t="shared" si="63"/>
        <v>0</v>
      </c>
      <c r="J318" s="333" t="str">
        <f t="shared" si="64"/>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c r="F319" s="475"/>
      <c r="G319" s="387"/>
      <c r="H319" s="475"/>
      <c r="I319" s="45">
        <f t="shared" si="63"/>
        <v>0</v>
      </c>
      <c r="J319" s="333" t="str">
        <f t="shared" si="64"/>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c r="F320" s="475"/>
      <c r="G320" s="387"/>
      <c r="H320" s="475"/>
      <c r="I320" s="45">
        <f t="shared" si="63"/>
        <v>0</v>
      </c>
      <c r="J320" s="333" t="str">
        <f t="shared" si="64"/>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c r="F321" s="475"/>
      <c r="G321" s="387"/>
      <c r="H321" s="475"/>
      <c r="I321" s="45">
        <f t="shared" si="63"/>
        <v>0</v>
      </c>
      <c r="J321" s="333" t="str">
        <f t="shared" si="64"/>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c r="F322" s="475"/>
      <c r="G322" s="387"/>
      <c r="H322" s="475"/>
      <c r="I322" s="45">
        <f t="shared" si="63"/>
        <v>0</v>
      </c>
      <c r="J322" s="333" t="str">
        <f t="shared" si="64"/>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c r="F323" s="475"/>
      <c r="G323" s="387"/>
      <c r="H323" s="475"/>
      <c r="I323" s="45">
        <f t="shared" si="63"/>
        <v>0</v>
      </c>
      <c r="J323" s="333" t="str">
        <f t="shared" si="64"/>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c r="F324" s="475"/>
      <c r="G324" s="387"/>
      <c r="H324" s="475"/>
      <c r="I324" s="45">
        <f t="shared" si="63"/>
        <v>0</v>
      </c>
      <c r="J324" s="333" t="str">
        <f t="shared" si="64"/>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v>223849914.63</v>
      </c>
      <c r="D325" s="386">
        <v>493860991.96420008</v>
      </c>
      <c r="E325" s="387"/>
      <c r="F325" s="475"/>
      <c r="G325" s="387"/>
      <c r="H325" s="475"/>
      <c r="I325" s="45">
        <f t="shared" si="63"/>
        <v>0</v>
      </c>
      <c r="J325" s="333" t="str">
        <f t="shared" si="64"/>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c r="F326" s="475"/>
      <c r="G326" s="387"/>
      <c r="H326" s="475"/>
      <c r="I326" s="45">
        <f t="shared" ref="I326:I341" si="74">G326-H326</f>
        <v>0</v>
      </c>
      <c r="J326" s="333" t="str">
        <f t="shared" ref="J326:J341" si="75">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c r="F327" s="475"/>
      <c r="G327" s="387"/>
      <c r="H327" s="475"/>
      <c r="I327" s="45">
        <f t="shared" si="74"/>
        <v>0</v>
      </c>
      <c r="J327" s="333" t="str">
        <f t="shared" si="75"/>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76">SUM(C329:C338)</f>
        <v>0</v>
      </c>
      <c r="D328" s="447">
        <f t="shared" si="76"/>
        <v>3.4200072288513184E-2</v>
      </c>
      <c r="E328" s="444">
        <f t="shared" si="76"/>
        <v>0</v>
      </c>
      <c r="F328" s="446">
        <f t="shared" si="76"/>
        <v>0</v>
      </c>
      <c r="G328" s="444">
        <f t="shared" si="76"/>
        <v>0</v>
      </c>
      <c r="H328" s="446">
        <f t="shared" si="76"/>
        <v>0</v>
      </c>
      <c r="I328" s="45">
        <f t="shared" si="74"/>
        <v>0</v>
      </c>
      <c r="J328" s="333" t="str">
        <f t="shared" si="75"/>
        <v/>
      </c>
      <c r="K328" s="445">
        <f t="shared" si="76"/>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c r="F329" s="475"/>
      <c r="G329" s="387"/>
      <c r="H329" s="475"/>
      <c r="I329" s="45">
        <f t="shared" si="74"/>
        <v>0</v>
      </c>
      <c r="J329" s="333" t="str">
        <f t="shared" si="75"/>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c r="F330" s="475"/>
      <c r="G330" s="387"/>
      <c r="H330" s="475"/>
      <c r="I330" s="45">
        <f t="shared" si="74"/>
        <v>0</v>
      </c>
      <c r="J330" s="333" t="str">
        <f t="shared" si="75"/>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f>D325-G339</f>
        <v>3.4200072288513184E-2</v>
      </c>
      <c r="E331" s="387">
        <f>F339-C325</f>
        <v>0</v>
      </c>
      <c r="F331" s="475"/>
      <c r="G331" s="387"/>
      <c r="H331" s="475"/>
      <c r="I331" s="45">
        <f t="shared" si="74"/>
        <v>0</v>
      </c>
      <c r="J331" s="333" t="str">
        <f t="shared" si="75"/>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c r="F332" s="475"/>
      <c r="G332" s="387"/>
      <c r="H332" s="475"/>
      <c r="I332" s="45">
        <f t="shared" si="74"/>
        <v>0</v>
      </c>
      <c r="J332" s="333" t="str">
        <f t="shared" si="75"/>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c r="F333" s="475"/>
      <c r="G333" s="387"/>
      <c r="H333" s="475"/>
      <c r="I333" s="45">
        <f t="shared" si="74"/>
        <v>0</v>
      </c>
      <c r="J333" s="333" t="str">
        <f t="shared" si="75"/>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c r="F334" s="475"/>
      <c r="G334" s="387"/>
      <c r="H334" s="475"/>
      <c r="I334" s="45">
        <f t="shared" si="74"/>
        <v>0</v>
      </c>
      <c r="J334" s="333" t="str">
        <f t="shared" si="75"/>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c r="F335" s="475"/>
      <c r="G335" s="387"/>
      <c r="H335" s="475"/>
      <c r="I335" s="45">
        <f t="shared" si="74"/>
        <v>0</v>
      </c>
      <c r="J335" s="333" t="str">
        <f t="shared" si="75"/>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c r="F336" s="475"/>
      <c r="G336" s="387"/>
      <c r="H336" s="475"/>
      <c r="I336" s="45">
        <f t="shared" si="74"/>
        <v>0</v>
      </c>
      <c r="J336" s="333" t="str">
        <f t="shared" si="75"/>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c r="F337" s="475"/>
      <c r="G337" s="387"/>
      <c r="H337" s="475"/>
      <c r="I337" s="45">
        <f t="shared" si="74"/>
        <v>0</v>
      </c>
      <c r="J337" s="333" t="str">
        <f t="shared" si="75"/>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c r="F338" s="475"/>
      <c r="G338" s="387"/>
      <c r="H338" s="475"/>
      <c r="I338" s="45">
        <f t="shared" si="74"/>
        <v>0</v>
      </c>
      <c r="J338" s="333" t="str">
        <f t="shared" si="75"/>
        <v/>
      </c>
      <c r="K338" s="398"/>
      <c r="L338" s="455">
        <f t="shared" ref="L338:W338" si="77">SUM(L173:L249)</f>
        <v>0</v>
      </c>
      <c r="M338" s="456">
        <f t="shared" si="77"/>
        <v>0</v>
      </c>
      <c r="N338" s="456">
        <f t="shared" si="77"/>
        <v>0</v>
      </c>
      <c r="O338" s="456">
        <f t="shared" si="77"/>
        <v>0</v>
      </c>
      <c r="P338" s="456">
        <f t="shared" si="77"/>
        <v>0</v>
      </c>
      <c r="Q338" s="456">
        <f t="shared" si="77"/>
        <v>0</v>
      </c>
      <c r="R338" s="456">
        <f t="shared" si="77"/>
        <v>0</v>
      </c>
      <c r="S338" s="456">
        <f t="shared" si="77"/>
        <v>0</v>
      </c>
      <c r="T338" s="456">
        <f t="shared" si="77"/>
        <v>0</v>
      </c>
      <c r="U338" s="456">
        <f t="shared" si="77"/>
        <v>0</v>
      </c>
      <c r="V338" s="456">
        <f t="shared" si="77"/>
        <v>0</v>
      </c>
      <c r="W338" s="456">
        <f t="shared" si="77"/>
        <v>0</v>
      </c>
    </row>
    <row r="339" spans="1:24" ht="12.75" customHeight="1" x14ac:dyDescent="0.2">
      <c r="A339" s="450" t="s">
        <v>655</v>
      </c>
      <c r="B339" s="448">
        <v>2</v>
      </c>
      <c r="C339" s="511">
        <f t="shared" ref="C339:H339" si="78">C174+C185+C196+C207+C218+C229+C240+C251+C262++C273+C284+C295+C306+C317+C328</f>
        <v>223849914.63</v>
      </c>
      <c r="D339" s="478">
        <f t="shared" si="78"/>
        <v>3396118710.1082687</v>
      </c>
      <c r="E339" s="433">
        <f t="shared" si="78"/>
        <v>0</v>
      </c>
      <c r="F339" s="477">
        <f t="shared" si="78"/>
        <v>223849914.63</v>
      </c>
      <c r="G339" s="433">
        <f t="shared" si="78"/>
        <v>493860991.93000001</v>
      </c>
      <c r="H339" s="477">
        <f t="shared" si="78"/>
        <v>967419239.36995614</v>
      </c>
      <c r="I339" s="433">
        <f t="shared" si="74"/>
        <v>-473558247.43995613</v>
      </c>
      <c r="J339" s="433">
        <f t="shared" si="75"/>
        <v>-0.48950674967800606</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4"/>
        <v>0</v>
      </c>
      <c r="J340" s="51" t="str">
        <f t="shared" si="75"/>
        <v/>
      </c>
      <c r="K340" s="195"/>
      <c r="L340" s="483">
        <f t="shared" ref="L340:W340" si="79">L170-L338</f>
        <v>0</v>
      </c>
      <c r="M340" s="484">
        <f t="shared" si="79"/>
        <v>0</v>
      </c>
      <c r="N340" s="484">
        <f t="shared" si="79"/>
        <v>0</v>
      </c>
      <c r="O340" s="484">
        <f t="shared" si="79"/>
        <v>0</v>
      </c>
      <c r="P340" s="484">
        <f t="shared" si="79"/>
        <v>0</v>
      </c>
      <c r="Q340" s="484">
        <f t="shared" si="79"/>
        <v>0</v>
      </c>
      <c r="R340" s="484">
        <f t="shared" si="79"/>
        <v>0</v>
      </c>
      <c r="S340" s="484">
        <f t="shared" si="79"/>
        <v>0</v>
      </c>
      <c r="T340" s="484">
        <f t="shared" si="79"/>
        <v>0</v>
      </c>
      <c r="U340" s="484">
        <f t="shared" si="79"/>
        <v>0</v>
      </c>
      <c r="V340" s="484">
        <f t="shared" si="79"/>
        <v>0</v>
      </c>
      <c r="W340" s="484">
        <f t="shared" si="79"/>
        <v>0</v>
      </c>
    </row>
    <row r="341" spans="1:24" s="489" customFormat="1" ht="11.25" customHeight="1" thickTop="1" x14ac:dyDescent="0.2">
      <c r="A341" s="893" t="str">
        <f>result</f>
        <v>Surplus/ (Deficit) for the year</v>
      </c>
      <c r="B341" s="480">
        <v>2</v>
      </c>
      <c r="C341" s="512">
        <f t="shared" ref="C341:H341" si="80">C171-C339</f>
        <v>-223849914.63</v>
      </c>
      <c r="D341" s="515">
        <f t="shared" si="80"/>
        <v>547098290.56173134</v>
      </c>
      <c r="E341" s="56">
        <f t="shared" si="80"/>
        <v>0</v>
      </c>
      <c r="F341" s="482">
        <f t="shared" si="80"/>
        <v>28204050.9220092</v>
      </c>
      <c r="G341" s="56">
        <f t="shared" si="80"/>
        <v>471536579.70900935</v>
      </c>
      <c r="H341" s="482">
        <f t="shared" si="80"/>
        <v>346986427.52004421</v>
      </c>
      <c r="I341" s="56">
        <f t="shared" si="74"/>
        <v>124550152.18896514</v>
      </c>
      <c r="J341" s="56">
        <f t="shared" si="75"/>
        <v>0.35894819598317085</v>
      </c>
      <c r="K341" s="236">
        <f>K171-K339</f>
        <v>1040959282.5601315</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126</v>
      </c>
      <c r="B343" s="486"/>
      <c r="C343" s="491"/>
      <c r="D343" s="491"/>
      <c r="E343" s="492"/>
      <c r="F343" s="492"/>
      <c r="G343" s="492"/>
      <c r="H343" s="492"/>
      <c r="I343" s="492"/>
      <c r="J343" s="492"/>
      <c r="K343" s="492"/>
    </row>
    <row r="344" spans="1:24" s="489" customFormat="1" ht="11.25" customHeight="1" x14ac:dyDescent="0.2">
      <c r="A344" s="493" t="s">
        <v>127</v>
      </c>
      <c r="B344" s="486"/>
      <c r="C344" s="491"/>
      <c r="D344" s="491"/>
      <c r="E344" s="492"/>
      <c r="F344" s="492"/>
      <c r="G344" s="492"/>
      <c r="H344" s="492"/>
      <c r="I344" s="492"/>
      <c r="J344" s="492"/>
      <c r="K344" s="492"/>
    </row>
    <row r="345" spans="1:24" ht="11.25" customHeight="1" x14ac:dyDescent="0.2">
      <c r="A345" s="493" t="s">
        <v>128</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115" zoomScaleNormal="115" workbookViewId="0">
      <pane xSplit="2" ySplit="4" topLeftCell="C38" activePane="bottomRight" state="frozen"/>
      <selection pane="topRight"/>
      <selection pane="bottomLeft"/>
      <selection pane="bottomRight" activeCell="F39" sqref="F39:G39"/>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"&amp;S71B&amp; " - "&amp;date</f>
        <v>LIM354 Polokwane - Table C4 Monthly Budget Statement - Financial Performance (revenue and expenditure) - M04 October</v>
      </c>
      <c r="B1" s="1024"/>
      <c r="C1" s="1024"/>
      <c r="D1" s="1024"/>
      <c r="E1" s="1024"/>
      <c r="F1" s="1024"/>
      <c r="G1" s="1024"/>
      <c r="H1" s="1024"/>
      <c r="I1" s="1024"/>
      <c r="J1" s="1024"/>
      <c r="K1" s="1024"/>
    </row>
    <row r="2" spans="1:11" x14ac:dyDescent="0.2">
      <c r="A2" s="1013" t="str">
        <f>desc</f>
        <v>Description</v>
      </c>
      <c r="B2" s="1022" t="str">
        <f>head27</f>
        <v>Ref</v>
      </c>
      <c r="C2" s="159" t="str">
        <f>Head1</f>
        <v>2016/17</v>
      </c>
      <c r="D2" s="1008" t="str">
        <f>Head2</f>
        <v>Budget Year 2017/18</v>
      </c>
      <c r="E2" s="1009"/>
      <c r="F2" s="1009"/>
      <c r="G2" s="1009"/>
      <c r="H2" s="1009"/>
      <c r="I2" s="1009"/>
      <c r="J2" s="1009"/>
      <c r="K2" s="1010"/>
    </row>
    <row r="3" spans="1:11" ht="20.399999999999999" x14ac:dyDescent="0.2">
      <c r="A3" s="1014"/>
      <c r="B3" s="102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421"/>
      <c r="C4" s="188"/>
      <c r="D4" s="241"/>
      <c r="E4" s="242"/>
      <c r="F4" s="83"/>
      <c r="G4" s="83"/>
      <c r="H4" s="83"/>
      <c r="I4" s="83"/>
      <c r="J4" s="243" t="s">
        <v>595</v>
      </c>
      <c r="K4" s="224"/>
    </row>
    <row r="5" spans="1:11" ht="12.75" customHeight="1" x14ac:dyDescent="0.2">
      <c r="A5" s="183" t="s">
        <v>500</v>
      </c>
      <c r="B5" s="522"/>
      <c r="C5" s="171"/>
      <c r="D5" s="38"/>
      <c r="E5" s="37"/>
      <c r="F5" s="37"/>
      <c r="G5" s="37"/>
      <c r="H5" s="37"/>
      <c r="I5" s="37"/>
      <c r="J5" s="37"/>
      <c r="K5" s="227"/>
    </row>
    <row r="6" spans="1:11" ht="11.25" customHeight="1" x14ac:dyDescent="0.2">
      <c r="A6" s="40" t="s">
        <v>962</v>
      </c>
      <c r="B6" s="422"/>
      <c r="C6" s="758">
        <v>299935075.72000003</v>
      </c>
      <c r="D6" s="755">
        <v>388192000</v>
      </c>
      <c r="E6" s="743"/>
      <c r="F6" s="743">
        <v>29208700.530000001</v>
      </c>
      <c r="G6" s="743">
        <v>114054234.83000921</v>
      </c>
      <c r="H6" s="743">
        <f t="shared" ref="H6:H21" si="0">D6/12*4</f>
        <v>129397333.33333333</v>
      </c>
      <c r="I6" s="45">
        <f t="shared" ref="I6:I22" si="1">G6-H6</f>
        <v>-15343098.503324121</v>
      </c>
      <c r="J6" s="333">
        <f t="shared" ref="J6:J22" si="2">IF(I6=0,"",I6/H6)</f>
        <v>-0.11857352936168794</v>
      </c>
      <c r="K6" s="745">
        <f>D6</f>
        <v>388192000</v>
      </c>
    </row>
    <row r="7" spans="1:11" ht="11.25" customHeight="1" x14ac:dyDescent="0.2">
      <c r="A7" s="40" t="s">
        <v>857</v>
      </c>
      <c r="B7" s="422"/>
      <c r="C7" s="758">
        <v>838196408.5</v>
      </c>
      <c r="D7" s="755">
        <v>972299000.00000012</v>
      </c>
      <c r="E7" s="743"/>
      <c r="F7" s="743">
        <v>48913754.119999997</v>
      </c>
      <c r="G7" s="743">
        <v>231347123.99000001</v>
      </c>
      <c r="H7" s="743">
        <f t="shared" si="0"/>
        <v>324099666.66666669</v>
      </c>
      <c r="I7" s="45">
        <f t="shared" si="1"/>
        <v>-92752542.676666677</v>
      </c>
      <c r="J7" s="333">
        <f t="shared" si="2"/>
        <v>-0.28618524551603985</v>
      </c>
      <c r="K7" s="745">
        <f t="shared" ref="K7:K21" si="3">D7</f>
        <v>972299000.00000012</v>
      </c>
    </row>
    <row r="8" spans="1:11" ht="11.25" customHeight="1" x14ac:dyDescent="0.2">
      <c r="A8" s="87" t="s">
        <v>858</v>
      </c>
      <c r="B8" s="424"/>
      <c r="C8" s="758">
        <v>260019013.65000001</v>
      </c>
      <c r="D8" s="755">
        <v>313385000.09999996</v>
      </c>
      <c r="E8" s="743"/>
      <c r="F8" s="743">
        <v>31468438.149999999</v>
      </c>
      <c r="G8" s="743">
        <v>107619526.69999999</v>
      </c>
      <c r="H8" s="743">
        <f t="shared" si="0"/>
        <v>104461666.69999999</v>
      </c>
      <c r="I8" s="45">
        <f t="shared" si="1"/>
        <v>3157860</v>
      </c>
      <c r="J8" s="333">
        <f t="shared" si="2"/>
        <v>3.0229845069090787E-2</v>
      </c>
      <c r="K8" s="745">
        <f t="shared" si="3"/>
        <v>313385000.09999996</v>
      </c>
    </row>
    <row r="9" spans="1:11" ht="11.25" customHeight="1" x14ac:dyDescent="0.2">
      <c r="A9" s="87" t="s">
        <v>859</v>
      </c>
      <c r="B9" s="424"/>
      <c r="C9" s="758">
        <v>47339719.009999998</v>
      </c>
      <c r="D9" s="755">
        <v>94495999.900000006</v>
      </c>
      <c r="E9" s="743"/>
      <c r="F9" s="743">
        <v>8700603.8900000006</v>
      </c>
      <c r="G9" s="743">
        <v>35942966.850000001</v>
      </c>
      <c r="H9" s="743">
        <f t="shared" si="0"/>
        <v>31498666.633333337</v>
      </c>
      <c r="I9" s="45">
        <f t="shared" si="1"/>
        <v>4444300.2166666649</v>
      </c>
      <c r="J9" s="333">
        <f t="shared" si="2"/>
        <v>0.14109486818605529</v>
      </c>
      <c r="K9" s="745">
        <f t="shared" si="3"/>
        <v>94495999.900000006</v>
      </c>
    </row>
    <row r="10" spans="1:11" ht="11.25" customHeight="1" x14ac:dyDescent="0.2">
      <c r="A10" s="520" t="s">
        <v>74</v>
      </c>
      <c r="B10" s="424"/>
      <c r="C10" s="758">
        <v>60570572.140000001</v>
      </c>
      <c r="D10" s="755">
        <v>104099000</v>
      </c>
      <c r="E10" s="743"/>
      <c r="F10" s="743">
        <v>10085407.640000001</v>
      </c>
      <c r="G10" s="743">
        <v>38893075.090000004</v>
      </c>
      <c r="H10" s="743">
        <f t="shared" si="0"/>
        <v>34699666.666666664</v>
      </c>
      <c r="I10" s="45">
        <f t="shared" si="1"/>
        <v>4193408.4233333394</v>
      </c>
      <c r="J10" s="333">
        <f t="shared" si="2"/>
        <v>0.12084866588535931</v>
      </c>
      <c r="K10" s="745">
        <f t="shared" si="3"/>
        <v>104099000</v>
      </c>
    </row>
    <row r="11" spans="1:11" ht="11.25" customHeight="1" x14ac:dyDescent="0.2">
      <c r="A11" s="87" t="s">
        <v>860</v>
      </c>
      <c r="B11" s="424"/>
      <c r="C11" s="758">
        <v>980936.88</v>
      </c>
      <c r="D11" s="755"/>
      <c r="E11" s="743"/>
      <c r="F11" s="743"/>
      <c r="G11" s="743">
        <v>0</v>
      </c>
      <c r="H11" s="743">
        <f t="shared" si="0"/>
        <v>0</v>
      </c>
      <c r="I11" s="45">
        <f t="shared" si="1"/>
        <v>0</v>
      </c>
      <c r="J11" s="333" t="str">
        <f t="shared" si="2"/>
        <v/>
      </c>
      <c r="K11" s="745">
        <f t="shared" si="3"/>
        <v>0</v>
      </c>
    </row>
    <row r="12" spans="1:11" ht="11.25" customHeight="1" x14ac:dyDescent="0.2">
      <c r="A12" s="87" t="s">
        <v>994</v>
      </c>
      <c r="B12" s="424"/>
      <c r="C12" s="758">
        <v>8676739.7599999998</v>
      </c>
      <c r="D12" s="755">
        <v>35454000.489999995</v>
      </c>
      <c r="E12" s="743"/>
      <c r="F12" s="743">
        <v>3271182</v>
      </c>
      <c r="G12" s="743">
        <v>10720877</v>
      </c>
      <c r="H12" s="743">
        <f t="shared" si="0"/>
        <v>11818000.163333332</v>
      </c>
      <c r="I12" s="45">
        <f t="shared" si="1"/>
        <v>-1097123.1633333322</v>
      </c>
      <c r="J12" s="333">
        <f t="shared" si="2"/>
        <v>-9.2834925382492342E-2</v>
      </c>
      <c r="K12" s="745">
        <f t="shared" si="3"/>
        <v>35454000.489999995</v>
      </c>
    </row>
    <row r="13" spans="1:11" ht="11.25" customHeight="1" x14ac:dyDescent="0.2">
      <c r="A13" s="87" t="s">
        <v>863</v>
      </c>
      <c r="B13" s="424"/>
      <c r="C13" s="758">
        <v>26966349.300000001</v>
      </c>
      <c r="D13" s="755">
        <v>44944000</v>
      </c>
      <c r="E13" s="743"/>
      <c r="F13" s="743">
        <v>1336827.6499999999</v>
      </c>
      <c r="G13" s="743">
        <v>13403449.119999999</v>
      </c>
      <c r="H13" s="743">
        <f t="shared" si="0"/>
        <v>14981333.333333334</v>
      </c>
      <c r="I13" s="45">
        <f t="shared" si="1"/>
        <v>-1577884.2133333348</v>
      </c>
      <c r="J13" s="333">
        <f t="shared" si="2"/>
        <v>-0.10532334994660031</v>
      </c>
      <c r="K13" s="745">
        <f t="shared" si="3"/>
        <v>44944000</v>
      </c>
    </row>
    <row r="14" spans="1:11" ht="11.25" customHeight="1" x14ac:dyDescent="0.2">
      <c r="A14" s="87" t="s">
        <v>864</v>
      </c>
      <c r="B14" s="424"/>
      <c r="C14" s="758">
        <v>7122121.4400000013</v>
      </c>
      <c r="D14" s="755">
        <v>66741999.999999993</v>
      </c>
      <c r="E14" s="743"/>
      <c r="F14" s="743">
        <v>7072811.0499999998</v>
      </c>
      <c r="G14" s="743">
        <v>27740285.390000001</v>
      </c>
      <c r="H14" s="743">
        <f t="shared" si="0"/>
        <v>22247333.333333332</v>
      </c>
      <c r="I14" s="45">
        <f t="shared" si="1"/>
        <v>5492952.0566666685</v>
      </c>
      <c r="J14" s="333">
        <f t="shared" si="2"/>
        <v>0.24690384120943343</v>
      </c>
      <c r="K14" s="745">
        <f t="shared" si="3"/>
        <v>66741999.999999993</v>
      </c>
    </row>
    <row r="15" spans="1:11" ht="11.25" customHeight="1" x14ac:dyDescent="0.2">
      <c r="A15" s="87" t="s">
        <v>952</v>
      </c>
      <c r="B15" s="424"/>
      <c r="C15" s="758"/>
      <c r="D15" s="755"/>
      <c r="E15" s="743"/>
      <c r="F15" s="743"/>
      <c r="G15" s="743">
        <v>0</v>
      </c>
      <c r="H15" s="743">
        <f t="shared" si="0"/>
        <v>0</v>
      </c>
      <c r="I15" s="45">
        <f t="shared" si="1"/>
        <v>0</v>
      </c>
      <c r="J15" s="333" t="str">
        <f t="shared" si="2"/>
        <v/>
      </c>
      <c r="K15" s="745">
        <f t="shared" si="3"/>
        <v>0</v>
      </c>
    </row>
    <row r="16" spans="1:11" ht="11.25" customHeight="1" x14ac:dyDescent="0.2">
      <c r="A16" s="87" t="s">
        <v>1158</v>
      </c>
      <c r="B16" s="424"/>
      <c r="C16" s="758">
        <v>4816722.8600000003</v>
      </c>
      <c r="D16" s="755">
        <v>24000000</v>
      </c>
      <c r="E16" s="743"/>
      <c r="F16" s="743">
        <v>535591.16</v>
      </c>
      <c r="G16" s="743">
        <v>1429838.1600000001</v>
      </c>
      <c r="H16" s="743">
        <f t="shared" si="0"/>
        <v>8000000</v>
      </c>
      <c r="I16" s="45">
        <f t="shared" si="1"/>
        <v>-6570161.8399999999</v>
      </c>
      <c r="J16" s="333">
        <f t="shared" si="2"/>
        <v>-0.82127022999999999</v>
      </c>
      <c r="K16" s="745">
        <f t="shared" si="3"/>
        <v>24000000</v>
      </c>
    </row>
    <row r="17" spans="1:11" ht="11.25" customHeight="1" x14ac:dyDescent="0.2">
      <c r="A17" s="87" t="s">
        <v>865</v>
      </c>
      <c r="B17" s="424"/>
      <c r="C17" s="758">
        <v>9649999.9000000004</v>
      </c>
      <c r="D17" s="755">
        <v>14045999.599999996</v>
      </c>
      <c r="E17" s="743"/>
      <c r="F17" s="743">
        <v>3689814</v>
      </c>
      <c r="G17" s="743">
        <v>10109351</v>
      </c>
      <c r="H17" s="743">
        <f t="shared" si="0"/>
        <v>4681999.8666666653</v>
      </c>
      <c r="I17" s="45">
        <f t="shared" si="1"/>
        <v>5427351.1333333347</v>
      </c>
      <c r="J17" s="333">
        <f t="shared" si="2"/>
        <v>1.1591950636250914</v>
      </c>
      <c r="K17" s="745">
        <f t="shared" si="3"/>
        <v>14045999.599999996</v>
      </c>
    </row>
    <row r="18" spans="1:11" ht="11.25" customHeight="1" x14ac:dyDescent="0.2">
      <c r="A18" s="87" t="s">
        <v>601</v>
      </c>
      <c r="B18" s="424"/>
      <c r="C18" s="758">
        <v>999565</v>
      </c>
      <c r="D18" s="755">
        <v>21124000</v>
      </c>
      <c r="E18" s="743"/>
      <c r="F18" s="743">
        <v>2816000</v>
      </c>
      <c r="G18" s="743">
        <v>8451871.1099999994</v>
      </c>
      <c r="H18" s="743">
        <f t="shared" si="0"/>
        <v>7041333.333333333</v>
      </c>
      <c r="I18" s="45">
        <f t="shared" si="1"/>
        <v>1410537.7766666664</v>
      </c>
      <c r="J18" s="333">
        <f t="shared" si="2"/>
        <v>0.20032253976519596</v>
      </c>
      <c r="K18" s="745">
        <f t="shared" si="3"/>
        <v>21124000</v>
      </c>
    </row>
    <row r="19" spans="1:11" ht="11.25" customHeight="1" x14ac:dyDescent="0.2">
      <c r="A19" s="521" t="s">
        <v>1159</v>
      </c>
      <c r="B19" s="424"/>
      <c r="C19" s="758">
        <v>743575754</v>
      </c>
      <c r="D19" s="755">
        <v>968911000.36500001</v>
      </c>
      <c r="E19" s="743"/>
      <c r="F19" s="743">
        <v>72508700</v>
      </c>
      <c r="G19" s="743">
        <v>611025720.37430596</v>
      </c>
      <c r="H19" s="743">
        <f t="shared" si="0"/>
        <v>322970333.45499998</v>
      </c>
      <c r="I19" s="45">
        <f t="shared" si="1"/>
        <v>288055386.91930598</v>
      </c>
      <c r="J19" s="333">
        <f t="shared" si="2"/>
        <v>0.89189426111621872</v>
      </c>
      <c r="K19" s="745">
        <f t="shared" si="3"/>
        <v>968911000.36500001</v>
      </c>
    </row>
    <row r="20" spans="1:11" ht="11.25" customHeight="1" x14ac:dyDescent="0.2">
      <c r="A20" s="87" t="s">
        <v>464</v>
      </c>
      <c r="B20" s="424"/>
      <c r="C20" s="758">
        <v>337410876.04999924</v>
      </c>
      <c r="D20" s="755">
        <v>203570000.58000001</v>
      </c>
      <c r="E20" s="743"/>
      <c r="F20" s="743">
        <v>7278435.9699999997</v>
      </c>
      <c r="G20" s="743">
        <v>100558888.389</v>
      </c>
      <c r="H20" s="743">
        <f t="shared" si="0"/>
        <v>67856666.859999999</v>
      </c>
      <c r="I20" s="45">
        <f t="shared" si="1"/>
        <v>32702221.528999999</v>
      </c>
      <c r="J20" s="333">
        <f t="shared" si="2"/>
        <v>0.48193085576204797</v>
      </c>
      <c r="K20" s="745">
        <f t="shared" si="3"/>
        <v>203570000.58000001</v>
      </c>
    </row>
    <row r="21" spans="1:11" ht="11.25" customHeight="1" x14ac:dyDescent="0.2">
      <c r="A21" s="40" t="s">
        <v>866</v>
      </c>
      <c r="B21" s="422"/>
      <c r="C21" s="758"/>
      <c r="D21" s="755">
        <v>41000000</v>
      </c>
      <c r="E21" s="743"/>
      <c r="F21" s="743"/>
      <c r="G21" s="743"/>
      <c r="H21" s="743">
        <f t="shared" si="0"/>
        <v>13666666.666666666</v>
      </c>
      <c r="I21" s="45">
        <f t="shared" si="1"/>
        <v>-13666666.666666666</v>
      </c>
      <c r="J21" s="333">
        <f t="shared" si="2"/>
        <v>-1</v>
      </c>
      <c r="K21" s="745">
        <f t="shared" si="3"/>
        <v>41000000</v>
      </c>
    </row>
    <row r="22" spans="1:11" ht="24.75" customHeight="1" x14ac:dyDescent="0.2">
      <c r="A22" s="595" t="s">
        <v>141</v>
      </c>
      <c r="B22" s="596"/>
      <c r="C22" s="525">
        <f t="shared" ref="C22:H22" si="4">SUM(C6:C21)</f>
        <v>2646259854.2099996</v>
      </c>
      <c r="D22" s="526">
        <f t="shared" si="4"/>
        <v>3292262001.0349998</v>
      </c>
      <c r="E22" s="527">
        <f t="shared" si="4"/>
        <v>0</v>
      </c>
      <c r="F22" s="527">
        <f t="shared" si="4"/>
        <v>226886266.16000003</v>
      </c>
      <c r="G22" s="527">
        <f t="shared" si="4"/>
        <v>1311297208.003315</v>
      </c>
      <c r="H22" s="527">
        <f t="shared" si="4"/>
        <v>1097420667.0116668</v>
      </c>
      <c r="I22" s="527">
        <f t="shared" si="1"/>
        <v>213876540.9916482</v>
      </c>
      <c r="J22" s="528">
        <f t="shared" si="2"/>
        <v>0.19489020702885529</v>
      </c>
      <c r="K22" s="529">
        <f>SUM(K6:K21)</f>
        <v>3292262001.0349998</v>
      </c>
    </row>
    <row r="23" spans="1:11" ht="5.0999999999999996" customHeight="1" x14ac:dyDescent="0.2">
      <c r="A23" s="43"/>
      <c r="B23" s="422"/>
      <c r="C23" s="135"/>
      <c r="D23" s="47"/>
      <c r="E23" s="45"/>
      <c r="F23" s="45"/>
      <c r="G23" s="45"/>
      <c r="H23" s="45"/>
      <c r="I23" s="45"/>
      <c r="J23" s="45"/>
      <c r="K23" s="145"/>
    </row>
    <row r="24" spans="1:11" ht="12.75" customHeight="1" x14ac:dyDescent="0.2">
      <c r="A24" s="36" t="s">
        <v>501</v>
      </c>
      <c r="B24" s="423"/>
      <c r="C24" s="135"/>
      <c r="D24" s="47"/>
      <c r="E24" s="45"/>
      <c r="F24" s="45"/>
      <c r="G24" s="45"/>
      <c r="H24" s="45"/>
      <c r="I24" s="45"/>
      <c r="J24" s="45"/>
      <c r="K24" s="145"/>
    </row>
    <row r="25" spans="1:11" ht="12.75" customHeight="1" x14ac:dyDescent="0.2">
      <c r="A25" s="40" t="s">
        <v>867</v>
      </c>
      <c r="B25" s="424"/>
      <c r="C25" s="758">
        <v>651251445.15999997</v>
      </c>
      <c r="D25" s="755">
        <v>743621830.66886926</v>
      </c>
      <c r="E25" s="743"/>
      <c r="F25" s="743">
        <v>56246992.139999986</v>
      </c>
      <c r="G25" s="743">
        <v>220542512.98419997</v>
      </c>
      <c r="H25" s="743">
        <f t="shared" ref="H25:H35" si="5">D25/12*4</f>
        <v>247873943.55628976</v>
      </c>
      <c r="I25" s="45">
        <f t="shared" ref="I25:I36" si="6">G25-H25</f>
        <v>-27331430.572089791</v>
      </c>
      <c r="J25" s="333">
        <f t="shared" ref="J25:J41" si="7">IF(I25=0,"",I25/H25)</f>
        <v>-0.11026342736941645</v>
      </c>
      <c r="K25" s="745">
        <f>D25</f>
        <v>743621830.66886926</v>
      </c>
    </row>
    <row r="26" spans="1:11" ht="12.75" customHeight="1" x14ac:dyDescent="0.2">
      <c r="A26" s="40" t="s">
        <v>490</v>
      </c>
      <c r="B26" s="422"/>
      <c r="C26" s="758">
        <v>31845968.25</v>
      </c>
      <c r="D26" s="755">
        <v>38152000</v>
      </c>
      <c r="E26" s="743"/>
      <c r="F26" s="743">
        <v>2762827.52</v>
      </c>
      <c r="G26" s="743">
        <v>10994804.359999999</v>
      </c>
      <c r="H26" s="743">
        <f t="shared" si="5"/>
        <v>12717333.333333334</v>
      </c>
      <c r="I26" s="45">
        <f t="shared" si="6"/>
        <v>-1722528.9733333346</v>
      </c>
      <c r="J26" s="333">
        <f t="shared" si="7"/>
        <v>-0.13544734011323137</v>
      </c>
      <c r="K26" s="745">
        <f t="shared" ref="K26:K35" si="8">D26</f>
        <v>38152000</v>
      </c>
    </row>
    <row r="27" spans="1:11" ht="12.75" customHeight="1" x14ac:dyDescent="0.2">
      <c r="A27" s="87" t="s">
        <v>632</v>
      </c>
      <c r="B27" s="424"/>
      <c r="C27" s="758">
        <v>9451382.4299999923</v>
      </c>
      <c r="D27" s="755">
        <v>55000000</v>
      </c>
      <c r="E27" s="743"/>
      <c r="F27" s="743">
        <v>4583333.3333333302</v>
      </c>
      <c r="G27" s="743">
        <v>18333333.333333321</v>
      </c>
      <c r="H27" s="743">
        <f t="shared" si="5"/>
        <v>18333333.333333332</v>
      </c>
      <c r="I27" s="45">
        <f t="shared" si="6"/>
        <v>0</v>
      </c>
      <c r="J27" s="333" t="str">
        <f t="shared" si="7"/>
        <v/>
      </c>
      <c r="K27" s="745">
        <f t="shared" si="8"/>
        <v>55000000</v>
      </c>
    </row>
    <row r="28" spans="1:11" ht="12.75" customHeight="1" x14ac:dyDescent="0.2">
      <c r="A28" s="87" t="s">
        <v>685</v>
      </c>
      <c r="B28" s="424"/>
      <c r="C28" s="758">
        <v>749627746.87</v>
      </c>
      <c r="D28" s="755">
        <v>185000000</v>
      </c>
      <c r="E28" s="743"/>
      <c r="F28" s="743">
        <v>15416666.6666667</v>
      </c>
      <c r="G28" s="743">
        <v>61666666.666666701</v>
      </c>
      <c r="H28" s="743">
        <f t="shared" si="5"/>
        <v>61666666.666666664</v>
      </c>
      <c r="I28" s="45">
        <f t="shared" si="6"/>
        <v>0</v>
      </c>
      <c r="J28" s="333" t="str">
        <f t="shared" si="7"/>
        <v/>
      </c>
      <c r="K28" s="745">
        <f t="shared" si="8"/>
        <v>185000000</v>
      </c>
    </row>
    <row r="29" spans="1:11" ht="12.75" customHeight="1" x14ac:dyDescent="0.2">
      <c r="A29" s="87" t="s">
        <v>463</v>
      </c>
      <c r="B29" s="424"/>
      <c r="C29" s="758">
        <v>37501259.159999996</v>
      </c>
      <c r="D29" s="755">
        <v>80000000</v>
      </c>
      <c r="E29" s="743"/>
      <c r="F29" s="743"/>
      <c r="G29" s="743">
        <v>10179890.960000001</v>
      </c>
      <c r="H29" s="743">
        <f t="shared" si="5"/>
        <v>26666666.666666668</v>
      </c>
      <c r="I29" s="45">
        <f t="shared" si="6"/>
        <v>-16486775.706666667</v>
      </c>
      <c r="J29" s="333">
        <f t="shared" si="7"/>
        <v>-0.61825408900000001</v>
      </c>
      <c r="K29" s="745">
        <f t="shared" si="8"/>
        <v>80000000</v>
      </c>
    </row>
    <row r="30" spans="1:11" ht="12.75" customHeight="1" x14ac:dyDescent="0.2">
      <c r="A30" s="87" t="s">
        <v>870</v>
      </c>
      <c r="B30" s="424"/>
      <c r="C30" s="758">
        <v>790119503.29999995</v>
      </c>
      <c r="D30" s="755">
        <v>854322000</v>
      </c>
      <c r="E30" s="743"/>
      <c r="F30" s="743">
        <v>61685831.68</v>
      </c>
      <c r="G30" s="743">
        <v>284616728.17000002</v>
      </c>
      <c r="H30" s="743">
        <f t="shared" si="5"/>
        <v>284774000</v>
      </c>
      <c r="I30" s="45">
        <f t="shared" si="6"/>
        <v>-157271.82999998331</v>
      </c>
      <c r="J30" s="333">
        <f t="shared" si="7"/>
        <v>-5.5226892202231708E-4</v>
      </c>
      <c r="K30" s="745">
        <f t="shared" si="8"/>
        <v>854322000</v>
      </c>
    </row>
    <row r="31" spans="1:11" ht="12.75" customHeight="1" x14ac:dyDescent="0.2">
      <c r="A31" s="87" t="s">
        <v>951</v>
      </c>
      <c r="B31" s="424"/>
      <c r="C31" s="758">
        <v>258317540.30000001</v>
      </c>
      <c r="D31" s="755">
        <v>204967000</v>
      </c>
      <c r="E31" s="743"/>
      <c r="F31" s="743">
        <v>12838522</v>
      </c>
      <c r="G31" s="743">
        <v>44089977</v>
      </c>
      <c r="H31" s="743">
        <f t="shared" si="5"/>
        <v>68322333.333333328</v>
      </c>
      <c r="I31" s="45">
        <f t="shared" si="6"/>
        <v>-24232356.333333328</v>
      </c>
      <c r="J31" s="333">
        <f t="shared" si="7"/>
        <v>-0.35467694311767256</v>
      </c>
      <c r="K31" s="745">
        <f t="shared" si="8"/>
        <v>204967000</v>
      </c>
    </row>
    <row r="32" spans="1:11" ht="12.75" customHeight="1" x14ac:dyDescent="0.2">
      <c r="A32" s="87" t="s">
        <v>871</v>
      </c>
      <c r="B32" s="424"/>
      <c r="C32" s="758">
        <v>153199484.94999999</v>
      </c>
      <c r="D32" s="755">
        <v>330136000.21099997</v>
      </c>
      <c r="E32" s="743"/>
      <c r="F32" s="743">
        <v>48484624</v>
      </c>
      <c r="G32" s="743">
        <v>111813739</v>
      </c>
      <c r="H32" s="743">
        <f t="shared" si="5"/>
        <v>110045333.40366666</v>
      </c>
      <c r="I32" s="45">
        <f t="shared" si="6"/>
        <v>1768405.5963333398</v>
      </c>
      <c r="J32" s="333">
        <f t="shared" si="7"/>
        <v>1.6069791799771287E-2</v>
      </c>
      <c r="K32" s="745">
        <f t="shared" si="8"/>
        <v>330136000.21099997</v>
      </c>
    </row>
    <row r="33" spans="1:12" ht="12.75" customHeight="1" x14ac:dyDescent="0.2">
      <c r="A33" s="520" t="s">
        <v>1159</v>
      </c>
      <c r="B33" s="424"/>
      <c r="C33" s="758">
        <v>15500000</v>
      </c>
      <c r="D33" s="755">
        <v>5720000</v>
      </c>
      <c r="E33" s="743"/>
      <c r="F33" s="743">
        <v>40000</v>
      </c>
      <c r="G33" s="743">
        <v>4020000</v>
      </c>
      <c r="H33" s="743">
        <f t="shared" si="5"/>
        <v>1906666.6666666667</v>
      </c>
      <c r="I33" s="45">
        <f t="shared" si="6"/>
        <v>2113333.333333333</v>
      </c>
      <c r="J33" s="333">
        <f t="shared" si="7"/>
        <v>1.1083916083916081</v>
      </c>
      <c r="K33" s="745">
        <f t="shared" si="8"/>
        <v>5720000</v>
      </c>
    </row>
    <row r="34" spans="1:12" ht="12.75" customHeight="1" x14ac:dyDescent="0.2">
      <c r="A34" s="87" t="s">
        <v>444</v>
      </c>
      <c r="B34" s="424"/>
      <c r="C34" s="758">
        <v>430922114.70999968</v>
      </c>
      <c r="D34" s="755">
        <v>405338887.22999954</v>
      </c>
      <c r="E34" s="743"/>
      <c r="F34" s="743">
        <v>23758331</v>
      </c>
      <c r="G34" s="743">
        <v>121059294.17</v>
      </c>
      <c r="H34" s="743">
        <f t="shared" si="5"/>
        <v>135112962.40999985</v>
      </c>
      <c r="I34" s="45">
        <f t="shared" si="6"/>
        <v>-14053668.239999846</v>
      </c>
      <c r="J34" s="333">
        <f t="shared" si="7"/>
        <v>-0.1040142114370495</v>
      </c>
      <c r="K34" s="745">
        <f t="shared" si="8"/>
        <v>405338887.22999954</v>
      </c>
    </row>
    <row r="35" spans="1:12" ht="12.75" customHeight="1" x14ac:dyDescent="0.2">
      <c r="A35" s="40" t="s">
        <v>599</v>
      </c>
      <c r="B35" s="422"/>
      <c r="C35" s="758"/>
      <c r="D35" s="755"/>
      <c r="E35" s="743"/>
      <c r="F35" s="743"/>
      <c r="G35" s="743">
        <v>0</v>
      </c>
      <c r="H35" s="743">
        <f t="shared" si="5"/>
        <v>0</v>
      </c>
      <c r="I35" s="45">
        <f t="shared" si="6"/>
        <v>0</v>
      </c>
      <c r="J35" s="333" t="str">
        <f t="shared" si="7"/>
        <v/>
      </c>
      <c r="K35" s="745">
        <f t="shared" si="8"/>
        <v>0</v>
      </c>
    </row>
    <row r="36" spans="1:12" ht="12.75" customHeight="1" x14ac:dyDescent="0.2">
      <c r="A36" s="93" t="s">
        <v>502</v>
      </c>
      <c r="B36" s="425"/>
      <c r="C36" s="244">
        <f t="shared" ref="C36:K36" si="9">SUM(C25:C35)</f>
        <v>3127736445.1299996</v>
      </c>
      <c r="D36" s="75">
        <f>SUM(D25:D35)</f>
        <v>2902257718.1098685</v>
      </c>
      <c r="E36" s="74">
        <f>SUM(E25:E35)</f>
        <v>0</v>
      </c>
      <c r="F36" s="74">
        <f t="shared" si="9"/>
        <v>225817128.34</v>
      </c>
      <c r="G36" s="74">
        <f t="shared" si="9"/>
        <v>887316946.64419997</v>
      </c>
      <c r="H36" s="74">
        <f t="shared" si="9"/>
        <v>967419239.36995625</v>
      </c>
      <c r="I36" s="74">
        <f t="shared" si="6"/>
        <v>-80102292.725756288</v>
      </c>
      <c r="J36" s="334">
        <f t="shared" si="7"/>
        <v>-8.2799979022459697E-2</v>
      </c>
      <c r="K36" s="146">
        <f t="shared" si="9"/>
        <v>2902257718.1098685</v>
      </c>
    </row>
    <row r="37" spans="1:12" ht="5.0999999999999996" customHeight="1" x14ac:dyDescent="0.2">
      <c r="A37" s="43"/>
      <c r="B37" s="422"/>
      <c r="C37" s="135"/>
      <c r="D37" s="47"/>
      <c r="E37" s="45"/>
      <c r="F37" s="45"/>
      <c r="G37" s="45"/>
      <c r="H37" s="45"/>
      <c r="I37" s="48"/>
      <c r="J37" s="48"/>
      <c r="K37" s="145"/>
    </row>
    <row r="38" spans="1:12" ht="12.75" customHeight="1" x14ac:dyDescent="0.2">
      <c r="A38" s="88" t="s">
        <v>503</v>
      </c>
      <c r="B38" s="422"/>
      <c r="C38" s="110">
        <f t="shared" ref="C38:H38" si="10">C22-C36</f>
        <v>-481476590.92000008</v>
      </c>
      <c r="D38" s="52">
        <f t="shared" si="10"/>
        <v>390004282.92513132</v>
      </c>
      <c r="E38" s="51">
        <f t="shared" si="10"/>
        <v>0</v>
      </c>
      <c r="F38" s="51">
        <f t="shared" si="10"/>
        <v>1069137.8200000226</v>
      </c>
      <c r="G38" s="51">
        <f t="shared" si="10"/>
        <v>423980261.359115</v>
      </c>
      <c r="H38" s="51">
        <f t="shared" si="10"/>
        <v>130001427.64171052</v>
      </c>
      <c r="I38" s="103">
        <f>I22-I36</f>
        <v>293978833.71740448</v>
      </c>
      <c r="J38" s="103">
        <f t="shared" si="7"/>
        <v>2.2613508101435831</v>
      </c>
      <c r="K38" s="195">
        <f>K22-K36</f>
        <v>390004282.92513132</v>
      </c>
    </row>
    <row r="39" spans="1:12" ht="19.95" customHeight="1" x14ac:dyDescent="0.2">
      <c r="A39" s="949" t="s">
        <v>1160</v>
      </c>
      <c r="B39" s="422"/>
      <c r="C39" s="758">
        <v>581015839.45028496</v>
      </c>
      <c r="D39" s="755">
        <v>650954999.63499999</v>
      </c>
      <c r="E39" s="743"/>
      <c r="F39" s="743">
        <v>18085560</v>
      </c>
      <c r="G39" s="743">
        <v>275608564.630279</v>
      </c>
      <c r="H39" s="743">
        <f>D39/12*4</f>
        <v>216984999.87833333</v>
      </c>
      <c r="I39" s="48">
        <f>G39-H39</f>
        <v>58623564.751945674</v>
      </c>
      <c r="J39" s="103">
        <f t="shared" si="7"/>
        <v>0.27017335200505455</v>
      </c>
      <c r="K39" s="745">
        <f>D39</f>
        <v>650954999.63499999</v>
      </c>
    </row>
    <row r="40" spans="1:12" ht="39.6" customHeight="1" x14ac:dyDescent="0.2">
      <c r="A40" s="949" t="s">
        <v>1161</v>
      </c>
      <c r="B40" s="422"/>
      <c r="C40" s="758"/>
      <c r="D40" s="755"/>
      <c r="E40" s="743"/>
      <c r="F40" s="743"/>
      <c r="G40" s="743"/>
      <c r="H40" s="743"/>
      <c r="I40" s="48">
        <f>G40-H40</f>
        <v>0</v>
      </c>
      <c r="J40" s="103" t="str">
        <f t="shared" si="7"/>
        <v/>
      </c>
      <c r="K40" s="745">
        <f t="shared" ref="K40:K41" si="11">D40</f>
        <v>0</v>
      </c>
    </row>
    <row r="41" spans="1:12" ht="12.75" customHeight="1" x14ac:dyDescent="0.2">
      <c r="A41" s="521" t="s">
        <v>1162</v>
      </c>
      <c r="B41" s="422"/>
      <c r="C41" s="759"/>
      <c r="D41" s="760"/>
      <c r="E41" s="761"/>
      <c r="F41" s="761"/>
      <c r="G41" s="761"/>
      <c r="H41" s="743"/>
      <c r="I41" s="48">
        <f>G41-H41</f>
        <v>0</v>
      </c>
      <c r="J41" s="103" t="str">
        <f t="shared" si="7"/>
        <v/>
      </c>
      <c r="K41" s="745">
        <f t="shared" si="11"/>
        <v>0</v>
      </c>
    </row>
    <row r="42" spans="1:12" x14ac:dyDescent="0.2">
      <c r="A42" s="251" t="s">
        <v>775</v>
      </c>
      <c r="B42" s="524"/>
      <c r="C42" s="253">
        <f t="shared" ref="C42:H42" si="12">C38+SUM(C39:C41)</f>
        <v>99539248.530284882</v>
      </c>
      <c r="D42" s="254">
        <f t="shared" si="12"/>
        <v>1040959282.5601313</v>
      </c>
      <c r="E42" s="255">
        <f t="shared" si="12"/>
        <v>0</v>
      </c>
      <c r="F42" s="255">
        <f t="shared" si="12"/>
        <v>19154697.820000023</v>
      </c>
      <c r="G42" s="255">
        <f t="shared" si="12"/>
        <v>699588825.98939395</v>
      </c>
      <c r="H42" s="255">
        <f t="shared" si="12"/>
        <v>346986427.52004385</v>
      </c>
      <c r="I42" s="332"/>
      <c r="J42" s="332"/>
      <c r="K42" s="256">
        <f>K38+SUM(K39:K41)</f>
        <v>1040959282.5601313</v>
      </c>
    </row>
    <row r="43" spans="1:12" ht="12.75" customHeight="1" x14ac:dyDescent="0.2">
      <c r="A43" s="40" t="s">
        <v>479</v>
      </c>
      <c r="B43" s="422"/>
      <c r="C43" s="759"/>
      <c r="D43" s="760"/>
      <c r="E43" s="761"/>
      <c r="F43" s="761"/>
      <c r="G43" s="761"/>
      <c r="H43" s="761"/>
      <c r="I43" s="100">
        <f>G43-H43</f>
        <v>0</v>
      </c>
      <c r="J43" s="100" t="str">
        <f>IF(I43=0,"",I43/H43)</f>
        <v/>
      </c>
      <c r="K43" s="762"/>
    </row>
    <row r="44" spans="1:12" ht="12.75" customHeight="1" x14ac:dyDescent="0.2">
      <c r="A44" s="88" t="s">
        <v>480</v>
      </c>
      <c r="B44" s="422"/>
      <c r="C44" s="110">
        <f t="shared" ref="C44:H44" si="13">C42-C43</f>
        <v>99539248.530284882</v>
      </c>
      <c r="D44" s="52">
        <f t="shared" si="13"/>
        <v>1040959282.5601313</v>
      </c>
      <c r="E44" s="51">
        <f t="shared" si="13"/>
        <v>0</v>
      </c>
      <c r="F44" s="51">
        <f t="shared" si="13"/>
        <v>19154697.820000023</v>
      </c>
      <c r="G44" s="51">
        <f t="shared" si="13"/>
        <v>699588825.98939395</v>
      </c>
      <c r="H44" s="51">
        <f t="shared" si="13"/>
        <v>346986427.52004385</v>
      </c>
      <c r="I44" s="330"/>
      <c r="J44" s="330"/>
      <c r="K44" s="195">
        <f>K42-K43</f>
        <v>1040959282.5601313</v>
      </c>
    </row>
    <row r="45" spans="1:12" ht="12.75" customHeight="1" x14ac:dyDescent="0.2">
      <c r="A45" s="40" t="s">
        <v>481</v>
      </c>
      <c r="B45" s="422"/>
      <c r="C45" s="758"/>
      <c r="D45" s="755"/>
      <c r="E45" s="743"/>
      <c r="F45" s="743"/>
      <c r="G45" s="743"/>
      <c r="H45" s="743"/>
      <c r="I45" s="274"/>
      <c r="J45" s="274"/>
      <c r="K45" s="745"/>
    </row>
    <row r="46" spans="1:12" ht="12.75" customHeight="1" x14ac:dyDescent="0.2">
      <c r="A46" s="530" t="s">
        <v>148</v>
      </c>
      <c r="B46" s="429"/>
      <c r="C46" s="532">
        <f t="shared" ref="C46:H46" si="14">SUM(C44:C45)</f>
        <v>99539248.530284882</v>
      </c>
      <c r="D46" s="533">
        <f t="shared" si="14"/>
        <v>1040959282.5601313</v>
      </c>
      <c r="E46" s="531">
        <f t="shared" si="14"/>
        <v>0</v>
      </c>
      <c r="F46" s="531">
        <f t="shared" si="14"/>
        <v>19154697.820000023</v>
      </c>
      <c r="G46" s="531">
        <f t="shared" si="14"/>
        <v>699588825.98939395</v>
      </c>
      <c r="H46" s="531">
        <f t="shared" si="14"/>
        <v>346986427.52004385</v>
      </c>
      <c r="I46" s="274"/>
      <c r="J46" s="274"/>
      <c r="K46" s="532">
        <f>SUM(K44:K45)</f>
        <v>1040959282.5601313</v>
      </c>
      <c r="L46" s="101"/>
    </row>
    <row r="47" spans="1:12" ht="12.75" customHeight="1" x14ac:dyDescent="0.2">
      <c r="A47" s="257" t="s">
        <v>492</v>
      </c>
      <c r="B47" s="523"/>
      <c r="C47" s="759"/>
      <c r="D47" s="760"/>
      <c r="E47" s="761"/>
      <c r="F47" s="761"/>
      <c r="G47" s="761"/>
      <c r="H47" s="761"/>
      <c r="I47" s="331"/>
      <c r="J47" s="331"/>
      <c r="K47" s="762"/>
    </row>
    <row r="48" spans="1:12" ht="12.75" customHeight="1" x14ac:dyDescent="0.2">
      <c r="A48" s="95" t="s">
        <v>923</v>
      </c>
      <c r="B48" s="421"/>
      <c r="C48" s="245">
        <f t="shared" ref="C48:H48" si="15">C46+C47</f>
        <v>99539248.530284882</v>
      </c>
      <c r="D48" s="78">
        <f t="shared" si="15"/>
        <v>1040959282.5601313</v>
      </c>
      <c r="E48" s="77">
        <f t="shared" si="15"/>
        <v>0</v>
      </c>
      <c r="F48" s="77">
        <f t="shared" si="15"/>
        <v>19154697.820000023</v>
      </c>
      <c r="G48" s="77">
        <f t="shared" si="15"/>
        <v>699588825.98939395</v>
      </c>
      <c r="H48" s="77">
        <f t="shared" si="15"/>
        <v>346986427.52004385</v>
      </c>
      <c r="I48" s="337"/>
      <c r="J48" s="337"/>
      <c r="K48" s="235">
        <f>K46+K47</f>
        <v>1040959282.5601313</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6">C22+SUM(C39:C41)</f>
        <v>3227275693.6602845</v>
      </c>
      <c r="D53" s="63">
        <f t="shared" si="16"/>
        <v>3943217000.6700001</v>
      </c>
      <c r="E53" s="63">
        <f t="shared" si="16"/>
        <v>0</v>
      </c>
      <c r="F53" s="63">
        <f t="shared" si="16"/>
        <v>244971826.16000003</v>
      </c>
      <c r="G53" s="63">
        <f t="shared" si="16"/>
        <v>1586905772.633594</v>
      </c>
      <c r="H53" s="63">
        <f t="shared" si="16"/>
        <v>1314405666.8900001</v>
      </c>
      <c r="I53" s="63"/>
      <c r="J53" s="63"/>
      <c r="K53" s="63">
        <f>K22+SUM(K39:K41)</f>
        <v>3943217000.6700001</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32" activePane="bottomRight" state="frozen"/>
      <selection pane="topRight"/>
      <selection pane="bottomLeft"/>
      <selection pane="bottomRight" activeCell="C24" sqref="C24:K74"/>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15" t="str">
        <f>muni&amp; " - "&amp;S71D&amp; " - "&amp;date</f>
        <v>LIM354 Polokwane - Table C5 Monthly Budget Statement - Capital Expenditure (municipal vote, functional classification and funding) - M04 October</v>
      </c>
      <c r="B1" s="1015"/>
      <c r="C1" s="1015"/>
      <c r="D1" s="1015"/>
      <c r="E1" s="1015"/>
      <c r="F1" s="1015"/>
      <c r="G1" s="1015"/>
      <c r="H1" s="1015"/>
      <c r="I1" s="1015"/>
      <c r="J1" s="1015"/>
      <c r="K1" s="1015"/>
    </row>
    <row r="2" spans="1:12" x14ac:dyDescent="0.2">
      <c r="A2" s="1013" t="str">
        <f>Vdesc</f>
        <v>Vote Description</v>
      </c>
      <c r="B2" s="1022" t="str">
        <f>head27</f>
        <v>Ref</v>
      </c>
      <c r="C2" s="140" t="str">
        <f>Head1</f>
        <v>2016/17</v>
      </c>
      <c r="D2" s="246" t="str">
        <f>Head2</f>
        <v>Budget Year 2017/18</v>
      </c>
      <c r="E2" s="230"/>
      <c r="F2" s="230"/>
      <c r="G2" s="230"/>
      <c r="H2" s="230"/>
      <c r="I2" s="230"/>
      <c r="J2" s="230"/>
      <c r="K2" s="231"/>
    </row>
    <row r="3" spans="1:12" ht="20.399999999999999" x14ac:dyDescent="0.2">
      <c r="A3" s="1014"/>
      <c r="B3" s="102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688</v>
      </c>
      <c r="B4" s="421">
        <v>1</v>
      </c>
      <c r="C4" s="188"/>
      <c r="D4" s="247"/>
      <c r="E4" s="242"/>
      <c r="F4" s="83"/>
      <c r="G4" s="83"/>
      <c r="H4" s="83"/>
      <c r="I4" s="83"/>
      <c r="J4" s="243" t="s">
        <v>595</v>
      </c>
      <c r="K4" s="224"/>
    </row>
    <row r="5" spans="1:12" ht="11.25" customHeight="1" x14ac:dyDescent="0.2">
      <c r="A5" s="183" t="s">
        <v>683</v>
      </c>
      <c r="B5" s="522">
        <v>2</v>
      </c>
      <c r="C5" s="135"/>
      <c r="D5" s="259"/>
      <c r="E5" s="45"/>
      <c r="F5" s="45"/>
      <c r="G5" s="45"/>
      <c r="H5" s="45"/>
      <c r="I5" s="45"/>
      <c r="J5" s="45"/>
      <c r="K5" s="145"/>
      <c r="L5" s="101"/>
    </row>
    <row r="6" spans="1:12" ht="13.5" customHeight="1" x14ac:dyDescent="0.2">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487</v>
      </c>
      <c r="B23" s="422">
        <v>2</v>
      </c>
      <c r="C23" s="135"/>
      <c r="D23" s="259"/>
      <c r="E23" s="45"/>
      <c r="F23" s="45"/>
      <c r="G23" s="45"/>
      <c r="H23" s="45"/>
      <c r="I23" s="45"/>
      <c r="J23" s="333"/>
      <c r="K23" s="145"/>
      <c r="L23" s="101"/>
    </row>
    <row r="24" spans="1:12" ht="12.75" customHeight="1" x14ac:dyDescent="0.2">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
      <c r="A27" s="410" t="str">
        <f>'Org structure'!A5</f>
        <v>Vote 4 - Engineering Services</v>
      </c>
      <c r="B27" s="422"/>
      <c r="C27" s="135">
        <f>'C5C'!C209</f>
        <v>572338539.25579</v>
      </c>
      <c r="D27" s="259">
        <f>'C5C'!D209</f>
        <v>819524000</v>
      </c>
      <c r="E27" s="45">
        <f>'C5C'!E209</f>
        <v>0</v>
      </c>
      <c r="F27" s="45">
        <f>'C5C'!F209</f>
        <v>60313358.870999992</v>
      </c>
      <c r="G27" s="45">
        <f>'C5C'!G209</f>
        <v>241305285.3712</v>
      </c>
      <c r="H27" s="45">
        <f>'C5C'!H209</f>
        <v>273174666.66666669</v>
      </c>
      <c r="I27" s="45">
        <f>'C5C'!I209</f>
        <v>-31869381.295466691</v>
      </c>
      <c r="J27" s="333">
        <f t="shared" si="3"/>
        <v>-0.11666301888218047</v>
      </c>
      <c r="K27" s="145">
        <f>'C5C'!K209</f>
        <v>819524000</v>
      </c>
      <c r="L27" s="706"/>
    </row>
    <row r="28" spans="1:12" ht="12.75" customHeight="1" x14ac:dyDescent="0.2">
      <c r="A28" s="410" t="str">
        <f>'Org structure'!A6</f>
        <v>Vote 5 -  Community Services</v>
      </c>
      <c r="B28" s="422"/>
      <c r="C28" s="135">
        <f>'C5C'!C220</f>
        <v>25710025.191999998</v>
      </c>
      <c r="D28" s="259">
        <f>'C5C'!D220</f>
        <v>35332000</v>
      </c>
      <c r="E28" s="45">
        <f>'C5C'!E220</f>
        <v>0</v>
      </c>
      <c r="F28" s="45">
        <f>'C5C'!F220</f>
        <v>1207754.8398</v>
      </c>
      <c r="G28" s="45">
        <f>'C5C'!G220</f>
        <v>2285998.6782</v>
      </c>
      <c r="H28" s="45">
        <f>'C5C'!H220</f>
        <v>11777333.333333334</v>
      </c>
      <c r="I28" s="45">
        <f>'C5C'!I220</f>
        <v>-9491334.6551333331</v>
      </c>
      <c r="J28" s="333">
        <f t="shared" si="3"/>
        <v>-0.80589844801879307</v>
      </c>
      <c r="K28" s="145">
        <f>'C5C'!K220</f>
        <v>35332000</v>
      </c>
      <c r="L28" s="706"/>
    </row>
    <row r="29" spans="1:12" ht="12.75" customHeight="1" x14ac:dyDescent="0.2">
      <c r="A29" s="410" t="str">
        <f>'Org structure'!A7</f>
        <v>Vote 6 - Community Development</v>
      </c>
      <c r="B29" s="422"/>
      <c r="C29" s="135">
        <f>'C5C'!C231</f>
        <v>73005725.805519998</v>
      </c>
      <c r="D29" s="259">
        <f>'C5C'!D231</f>
        <v>93249000</v>
      </c>
      <c r="E29" s="45">
        <f>'C5C'!E231</f>
        <v>0</v>
      </c>
      <c r="F29" s="45">
        <f>'C5C'!F231</f>
        <v>3405894.8597999997</v>
      </c>
      <c r="G29" s="45">
        <f>'C5C'!G231</f>
        <v>16378464.580985</v>
      </c>
      <c r="H29" s="45">
        <f>'C5C'!H231</f>
        <v>31083000</v>
      </c>
      <c r="I29" s="45">
        <f>'C5C'!I231</f>
        <v>-14704535.419015</v>
      </c>
      <c r="J29" s="333">
        <f t="shared" si="3"/>
        <v>-0.47307323678586366</v>
      </c>
      <c r="K29" s="145">
        <f>'C5C'!K231</f>
        <v>93249000</v>
      </c>
      <c r="L29" s="706"/>
    </row>
    <row r="30" spans="1:12" ht="12.75" customHeight="1" x14ac:dyDescent="0.2">
      <c r="A30" s="410" t="str">
        <f>'Org structure'!A8</f>
        <v>Vote 7 - Corporate  and Shared Services</v>
      </c>
      <c r="B30" s="422"/>
      <c r="C30" s="135">
        <f>'C5C'!C242</f>
        <v>1349371.8186000001</v>
      </c>
      <c r="D30" s="259">
        <f>'C5C'!D242</f>
        <v>43750000</v>
      </c>
      <c r="E30" s="45">
        <f>'C5C'!E242</f>
        <v>0</v>
      </c>
      <c r="F30" s="45">
        <f>'C5C'!F242</f>
        <v>3365987.9627999989</v>
      </c>
      <c r="G30" s="45">
        <f>'C5C'!G242</f>
        <v>15069510.962799998</v>
      </c>
      <c r="H30" s="45">
        <f>'C5C'!H242</f>
        <v>14583333.333333332</v>
      </c>
      <c r="I30" s="45">
        <f>'C5C'!I242</f>
        <v>486177.62946666591</v>
      </c>
      <c r="J30" s="333">
        <f t="shared" si="3"/>
        <v>3.3337894591999949E-2</v>
      </c>
      <c r="K30" s="145">
        <f>'C5C'!K242</f>
        <v>43750000</v>
      </c>
      <c r="L30" s="706"/>
    </row>
    <row r="31" spans="1:12" ht="12.75" customHeight="1" x14ac:dyDescent="0.2">
      <c r="A31" s="410" t="str">
        <f>'Org structure'!A9</f>
        <v>Vote 8 - Planning and Economic Development</v>
      </c>
      <c r="B31" s="422"/>
      <c r="C31" s="135">
        <f>'C5C'!C253</f>
        <v>1136692.6206</v>
      </c>
      <c r="D31" s="259">
        <f>'C5C'!D253</f>
        <v>10000000</v>
      </c>
      <c r="E31" s="45">
        <f>'C5C'!E253</f>
        <v>0</v>
      </c>
      <c r="F31" s="45">
        <f>'C5C'!F253</f>
        <v>898125.32220000005</v>
      </c>
      <c r="G31" s="45">
        <f>'C5C'!G253</f>
        <v>898125.32220000005</v>
      </c>
      <c r="H31" s="45">
        <f>'C5C'!H253</f>
        <v>3333333.333333333</v>
      </c>
      <c r="I31" s="45">
        <f>'C5C'!I253</f>
        <v>-2435208.0111333327</v>
      </c>
      <c r="J31" s="333">
        <f t="shared" si="3"/>
        <v>-0.73056240333999989</v>
      </c>
      <c r="K31" s="145">
        <f>'C5C'!K253</f>
        <v>10000000</v>
      </c>
      <c r="L31" s="706"/>
    </row>
    <row r="32" spans="1:12" ht="12.75" customHeight="1" x14ac:dyDescent="0.2">
      <c r="A32" s="410" t="str">
        <f>'Org structure'!A10</f>
        <v>Vote 9 - Budget and Treasury</v>
      </c>
      <c r="B32" s="422"/>
      <c r="C32" s="135">
        <f>'C5C'!C264</f>
        <v>7503421.118999999</v>
      </c>
      <c r="D32" s="259">
        <f>'C5C'!D264</f>
        <v>6151000</v>
      </c>
      <c r="E32" s="45">
        <f>'C5C'!E264</f>
        <v>0</v>
      </c>
      <c r="F32" s="45">
        <f>'C5C'!F264</f>
        <v>0</v>
      </c>
      <c r="G32" s="45">
        <f>'C5C'!G264</f>
        <v>0</v>
      </c>
      <c r="H32" s="45">
        <f>'C5C'!H264</f>
        <v>2050333.3333333333</v>
      </c>
      <c r="I32" s="45">
        <f>'C5C'!I264</f>
        <v>-2050333.3333333333</v>
      </c>
      <c r="J32" s="333">
        <f t="shared" si="3"/>
        <v>-1</v>
      </c>
      <c r="K32" s="145">
        <f>'C5C'!K264</f>
        <v>6151000</v>
      </c>
      <c r="L32" s="706"/>
    </row>
    <row r="33" spans="1:12" ht="12.75" customHeight="1" x14ac:dyDescent="0.2">
      <c r="A33" s="410" t="str">
        <f>'Org structure'!A11</f>
        <v>Vote 10 - Transport Operations</v>
      </c>
      <c r="B33" s="422"/>
      <c r="C33" s="135">
        <f>'C5C'!C275</f>
        <v>133769802.81399</v>
      </c>
      <c r="D33" s="259">
        <f>'C5C'!D275</f>
        <v>222112000</v>
      </c>
      <c r="E33" s="45">
        <f>'C5C'!E275</f>
        <v>0</v>
      </c>
      <c r="F33" s="45">
        <f>'C5C'!F275</f>
        <v>0</v>
      </c>
      <c r="G33" s="45">
        <f>'C5C'!G275</f>
        <v>0</v>
      </c>
      <c r="H33" s="45">
        <f>'C5C'!H275</f>
        <v>74037333.333333328</v>
      </c>
      <c r="I33" s="45">
        <f>'C5C'!I275</f>
        <v>-74037333.333333328</v>
      </c>
      <c r="J33" s="333">
        <f t="shared" si="3"/>
        <v>-1</v>
      </c>
      <c r="K33" s="145">
        <f>'C5C'!K275</f>
        <v>222112000</v>
      </c>
      <c r="L33" s="706"/>
    </row>
    <row r="34" spans="1:12" ht="12.75" customHeight="1" x14ac:dyDescent="0.2">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783</v>
      </c>
      <c r="B39" s="523">
        <v>4</v>
      </c>
      <c r="C39" s="262">
        <f t="shared" ref="C39:I39" si="4">SUM(C24:C38)</f>
        <v>815422957.62549996</v>
      </c>
      <c r="D39" s="263">
        <f t="shared" si="4"/>
        <v>1230118000</v>
      </c>
      <c r="E39" s="162">
        <f t="shared" si="4"/>
        <v>0</v>
      </c>
      <c r="F39" s="162">
        <f t="shared" si="4"/>
        <v>69191121.855599985</v>
      </c>
      <c r="G39" s="162">
        <f t="shared" si="4"/>
        <v>275937384.91538501</v>
      </c>
      <c r="H39" s="162">
        <f t="shared" si="4"/>
        <v>410039333.33333325</v>
      </c>
      <c r="I39" s="74">
        <f t="shared" si="4"/>
        <v>-134101948.41794837</v>
      </c>
      <c r="J39" s="334">
        <f t="shared" si="3"/>
        <v>-0.32704654777333975</v>
      </c>
      <c r="K39" s="264">
        <f>SUM(K24:K38)</f>
        <v>1230118000</v>
      </c>
      <c r="L39" s="101"/>
    </row>
    <row r="40" spans="1:12" ht="12.75" customHeight="1" x14ac:dyDescent="0.2">
      <c r="A40" s="93" t="s">
        <v>784</v>
      </c>
      <c r="B40" s="425"/>
      <c r="C40" s="244">
        <f t="shared" ref="C40:I40" si="5">C39+C21</f>
        <v>815422957.62549996</v>
      </c>
      <c r="D40" s="261">
        <f t="shared" si="5"/>
        <v>1230118000</v>
      </c>
      <c r="E40" s="74">
        <f t="shared" si="5"/>
        <v>0</v>
      </c>
      <c r="F40" s="74">
        <f t="shared" si="5"/>
        <v>69191121.855599985</v>
      </c>
      <c r="G40" s="74">
        <f t="shared" si="5"/>
        <v>275937384.91538501</v>
      </c>
      <c r="H40" s="74">
        <f t="shared" si="5"/>
        <v>410039333.33333325</v>
      </c>
      <c r="I40" s="74">
        <f t="shared" si="5"/>
        <v>-134101948.41794837</v>
      </c>
      <c r="J40" s="334">
        <f>IF(I40=0,"",I40/H40)</f>
        <v>-0.32704654777333975</v>
      </c>
      <c r="K40" s="146">
        <f>K39+K21</f>
        <v>1230118000</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1256</v>
      </c>
      <c r="B42" s="422"/>
      <c r="C42" s="135"/>
      <c r="D42" s="259"/>
      <c r="E42" s="45"/>
      <c r="F42" s="45"/>
      <c r="G42" s="45"/>
      <c r="H42" s="45"/>
      <c r="I42" s="45"/>
      <c r="J42" s="333"/>
      <c r="K42" s="145"/>
      <c r="L42" s="101"/>
    </row>
    <row r="43" spans="1:12" ht="12.75" customHeight="1" x14ac:dyDescent="0.2">
      <c r="A43" s="417" t="s">
        <v>145</v>
      </c>
      <c r="B43" s="424"/>
      <c r="C43" s="650">
        <f t="shared" ref="C43:H43" si="6">SUM(C44:C46)</f>
        <v>33663073.795720004</v>
      </c>
      <c r="D43" s="678">
        <f t="shared" si="6"/>
        <v>49898000</v>
      </c>
      <c r="E43" s="646">
        <f t="shared" si="6"/>
        <v>0</v>
      </c>
      <c r="F43" s="646">
        <f t="shared" si="6"/>
        <v>3365987.9627999989</v>
      </c>
      <c r="G43" s="646">
        <f t="shared" si="6"/>
        <v>15069511.452999998</v>
      </c>
      <c r="H43" s="646">
        <f t="shared" si="6"/>
        <v>16632666.666666666</v>
      </c>
      <c r="I43" s="45">
        <f t="shared" ref="I43:I62" si="7">G43-H43</f>
        <v>-1563155.2136666682</v>
      </c>
      <c r="J43" s="333">
        <f>IF(I43=0,"",I43/H43)</f>
        <v>-9.3981034129624524E-2</v>
      </c>
      <c r="K43" s="650">
        <f>SUM(K44:K46)</f>
        <v>49898000</v>
      </c>
      <c r="L43" s="101"/>
    </row>
    <row r="44" spans="1:12" ht="12.75" customHeight="1" x14ac:dyDescent="0.2">
      <c r="A44" s="419" t="s">
        <v>113</v>
      </c>
      <c r="B44" s="422"/>
      <c r="C44" s="745">
        <v>609379</v>
      </c>
      <c r="D44" s="763"/>
      <c r="E44" s="743"/>
      <c r="F44" s="743"/>
      <c r="G44" s="743"/>
      <c r="H44" s="743">
        <f>D44/12*4</f>
        <v>0</v>
      </c>
      <c r="I44" s="45">
        <f t="shared" si="7"/>
        <v>0</v>
      </c>
      <c r="J44" s="333" t="str">
        <f t="shared" ref="J44:J63" si="8">IF(I44=0,"",I44/H44)</f>
        <v/>
      </c>
      <c r="K44" s="745">
        <f>D44</f>
        <v>0</v>
      </c>
      <c r="L44" s="101"/>
    </row>
    <row r="45" spans="1:12" ht="12.75" customHeight="1" x14ac:dyDescent="0.2">
      <c r="A45" s="419" t="s">
        <v>1164</v>
      </c>
      <c r="B45" s="422"/>
      <c r="C45" s="764">
        <v>9023109.8609999996</v>
      </c>
      <c r="D45" s="765">
        <v>49898000</v>
      </c>
      <c r="E45" s="766"/>
      <c r="F45" s="969">
        <v>3365987.9627999989</v>
      </c>
      <c r="G45" s="766">
        <f>F45+11703523.4902</f>
        <v>15069511.452999998</v>
      </c>
      <c r="H45" s="743">
        <f t="shared" ref="H45:H46" si="9">D45/12*4</f>
        <v>16632666.666666666</v>
      </c>
      <c r="I45" s="45">
        <f t="shared" si="7"/>
        <v>-1563155.2136666682</v>
      </c>
      <c r="J45" s="333">
        <f t="shared" si="8"/>
        <v>-9.3981034129624524E-2</v>
      </c>
      <c r="K45" s="745">
        <f t="shared" ref="K45:K46" si="10">D45</f>
        <v>49898000</v>
      </c>
      <c r="L45" s="101"/>
    </row>
    <row r="46" spans="1:12" ht="12.75" customHeight="1" x14ac:dyDescent="0.2">
      <c r="A46" s="419" t="s">
        <v>1176</v>
      </c>
      <c r="B46" s="422"/>
      <c r="C46" s="745">
        <v>24030584.934720002</v>
      </c>
      <c r="D46" s="763"/>
      <c r="E46" s="743"/>
      <c r="F46" s="743"/>
      <c r="G46" s="743"/>
      <c r="H46" s="743">
        <f t="shared" si="9"/>
        <v>0</v>
      </c>
      <c r="I46" s="45">
        <f t="shared" si="7"/>
        <v>0</v>
      </c>
      <c r="J46" s="333" t="str">
        <f t="shared" si="8"/>
        <v/>
      </c>
      <c r="K46" s="745">
        <f t="shared" si="10"/>
        <v>0</v>
      </c>
      <c r="L46" s="101"/>
    </row>
    <row r="47" spans="1:12" ht="12.75" customHeight="1" x14ac:dyDescent="0.2">
      <c r="A47" s="417" t="s">
        <v>114</v>
      </c>
      <c r="B47" s="422"/>
      <c r="C47" s="650">
        <f t="shared" ref="C47:H47" si="11">SUM(C48:C52)</f>
        <v>64644342.492400005</v>
      </c>
      <c r="D47" s="678">
        <f t="shared" si="11"/>
        <v>112030000</v>
      </c>
      <c r="E47" s="646">
        <f t="shared" si="11"/>
        <v>0</v>
      </c>
      <c r="F47" s="646">
        <f t="shared" si="11"/>
        <v>4560120.2243999997</v>
      </c>
      <c r="G47" s="646">
        <f t="shared" si="11"/>
        <v>18376805.588585004</v>
      </c>
      <c r="H47" s="646">
        <f t="shared" si="11"/>
        <v>37343333.333333328</v>
      </c>
      <c r="I47" s="45">
        <f t="shared" si="7"/>
        <v>-18966527.744748324</v>
      </c>
      <c r="J47" s="333">
        <f t="shared" si="8"/>
        <v>-0.50789594960497175</v>
      </c>
      <c r="K47" s="650">
        <f>SUM(K48:K52)</f>
        <v>112030000</v>
      </c>
      <c r="L47" s="101"/>
    </row>
    <row r="48" spans="1:12" ht="12.75" customHeight="1" x14ac:dyDescent="0.2">
      <c r="A48" s="419" t="s">
        <v>115</v>
      </c>
      <c r="B48" s="422"/>
      <c r="C48" s="745">
        <v>16392511.1786</v>
      </c>
      <c r="D48" s="763">
        <v>54000000</v>
      </c>
      <c r="E48" s="743"/>
      <c r="F48" s="970">
        <v>4303909.0092000002</v>
      </c>
      <c r="G48" s="743">
        <f>F48+10833877.604985</f>
        <v>15137786.614185002</v>
      </c>
      <c r="H48" s="743">
        <f t="shared" ref="H48:H52" si="12">D48/12*4</f>
        <v>18000000</v>
      </c>
      <c r="I48" s="45">
        <f t="shared" si="7"/>
        <v>-2862213.3858149983</v>
      </c>
      <c r="J48" s="333">
        <f t="shared" si="8"/>
        <v>-0.1590118547674999</v>
      </c>
      <c r="K48" s="745">
        <f>D48</f>
        <v>54000000</v>
      </c>
      <c r="L48" s="101"/>
    </row>
    <row r="49" spans="1:12" ht="12.75" customHeight="1" x14ac:dyDescent="0.2">
      <c r="A49" s="419" t="s">
        <v>116</v>
      </c>
      <c r="B49" s="422"/>
      <c r="C49" s="745">
        <v>47094361.677200004</v>
      </c>
      <c r="D49" s="763">
        <v>50249000</v>
      </c>
      <c r="E49" s="743"/>
      <c r="F49" s="970">
        <v>256211.21519999992</v>
      </c>
      <c r="G49" s="743">
        <f>F49+2608150.0032</f>
        <v>2864361.2184000001</v>
      </c>
      <c r="H49" s="743">
        <f t="shared" si="12"/>
        <v>16749666.666666666</v>
      </c>
      <c r="I49" s="45">
        <f t="shared" si="7"/>
        <v>-13885305.448266666</v>
      </c>
      <c r="J49" s="333">
        <f t="shared" si="8"/>
        <v>-0.8289899569105853</v>
      </c>
      <c r="K49" s="745">
        <f t="shared" ref="K49:K52" si="13">D49</f>
        <v>50249000</v>
      </c>
      <c r="L49" s="101"/>
    </row>
    <row r="50" spans="1:12" ht="12.75" customHeight="1" x14ac:dyDescent="0.2">
      <c r="A50" s="419" t="s">
        <v>117</v>
      </c>
      <c r="B50" s="422"/>
      <c r="C50" s="745">
        <v>1157469.6366000001</v>
      </c>
      <c r="D50" s="763">
        <v>7781000</v>
      </c>
      <c r="E50" s="743"/>
      <c r="F50" s="970"/>
      <c r="G50" s="743">
        <v>374657.75599999999</v>
      </c>
      <c r="H50" s="743">
        <f t="shared" si="12"/>
        <v>2593666.6666666665</v>
      </c>
      <c r="I50" s="45">
        <f t="shared" si="7"/>
        <v>-2219008.9106666665</v>
      </c>
      <c r="J50" s="333">
        <f t="shared" si="8"/>
        <v>-0.85554899524482708</v>
      </c>
      <c r="K50" s="745">
        <f t="shared" si="13"/>
        <v>7781000</v>
      </c>
      <c r="L50" s="101"/>
    </row>
    <row r="51" spans="1:12" ht="12.75" customHeight="1" x14ac:dyDescent="0.2">
      <c r="A51" s="419" t="s">
        <v>734</v>
      </c>
      <c r="B51" s="422"/>
      <c r="C51" s="745">
        <v>0</v>
      </c>
      <c r="D51" s="763"/>
      <c r="E51" s="743"/>
      <c r="F51" s="743"/>
      <c r="G51" s="743"/>
      <c r="H51" s="743">
        <f t="shared" si="12"/>
        <v>0</v>
      </c>
      <c r="I51" s="45">
        <f t="shared" si="7"/>
        <v>0</v>
      </c>
      <c r="J51" s="333" t="str">
        <f t="shared" si="8"/>
        <v/>
      </c>
      <c r="K51" s="745">
        <f t="shared" si="13"/>
        <v>0</v>
      </c>
      <c r="L51" s="101"/>
    </row>
    <row r="52" spans="1:12" ht="12.75" customHeight="1" x14ac:dyDescent="0.2">
      <c r="A52" s="419" t="s">
        <v>631</v>
      </c>
      <c r="B52" s="422"/>
      <c r="C52" s="764">
        <v>0</v>
      </c>
      <c r="D52" s="765"/>
      <c r="E52" s="766"/>
      <c r="F52" s="766"/>
      <c r="G52" s="766"/>
      <c r="H52" s="743">
        <f t="shared" si="12"/>
        <v>0</v>
      </c>
      <c r="I52" s="45">
        <f t="shared" si="7"/>
        <v>0</v>
      </c>
      <c r="J52" s="333" t="str">
        <f t="shared" si="8"/>
        <v/>
      </c>
      <c r="K52" s="745">
        <f t="shared" si="13"/>
        <v>0</v>
      </c>
      <c r="L52" s="101"/>
    </row>
    <row r="53" spans="1:12" ht="12.75" customHeight="1" x14ac:dyDescent="0.2">
      <c r="A53" s="417" t="s">
        <v>118</v>
      </c>
      <c r="B53" s="422"/>
      <c r="C53" s="650">
        <f t="shared" ref="C53:H53" si="14">SUM(C54:C56)</f>
        <v>220051724.67657995</v>
      </c>
      <c r="D53" s="678">
        <f t="shared" si="14"/>
        <v>418716000</v>
      </c>
      <c r="E53" s="646">
        <f t="shared" si="14"/>
        <v>0</v>
      </c>
      <c r="F53" s="646">
        <f t="shared" si="14"/>
        <v>22183720.639800001</v>
      </c>
      <c r="G53" s="646">
        <f t="shared" si="14"/>
        <v>66000894.826399997</v>
      </c>
      <c r="H53" s="646">
        <f t="shared" si="14"/>
        <v>139572000</v>
      </c>
      <c r="I53" s="45">
        <f t="shared" si="7"/>
        <v>-73571105.173600003</v>
      </c>
      <c r="J53" s="333">
        <f t="shared" si="8"/>
        <v>-0.52711937332416248</v>
      </c>
      <c r="K53" s="650">
        <f>SUM(K54:K56)</f>
        <v>418716000</v>
      </c>
      <c r="L53" s="101"/>
    </row>
    <row r="54" spans="1:12" ht="12.75" customHeight="1" x14ac:dyDescent="0.2">
      <c r="A54" s="419" t="s">
        <v>119</v>
      </c>
      <c r="B54" s="422"/>
      <c r="C54" s="745">
        <v>1061734.6224</v>
      </c>
      <c r="D54" s="763">
        <v>10000000</v>
      </c>
      <c r="E54" s="743"/>
      <c r="F54" s="743">
        <v>898125.32220000005</v>
      </c>
      <c r="G54" s="743">
        <f>F54</f>
        <v>898125.32220000005</v>
      </c>
      <c r="H54" s="743">
        <f t="shared" ref="H54:H56" si="15">D54/12*4</f>
        <v>3333333.3333333335</v>
      </c>
      <c r="I54" s="45">
        <f t="shared" si="7"/>
        <v>-2435208.0111333337</v>
      </c>
      <c r="J54" s="333">
        <f t="shared" si="8"/>
        <v>-0.73056240334000011</v>
      </c>
      <c r="K54" s="745">
        <f>D54</f>
        <v>10000000</v>
      </c>
      <c r="L54" s="101"/>
    </row>
    <row r="55" spans="1:12" ht="12.75" customHeight="1" x14ac:dyDescent="0.2">
      <c r="A55" s="419" t="s">
        <v>120</v>
      </c>
      <c r="B55" s="422"/>
      <c r="C55" s="745">
        <v>218989990.05417997</v>
      </c>
      <c r="D55" s="763">
        <v>408716000</v>
      </c>
      <c r="E55" s="743"/>
      <c r="F55" s="743">
        <v>21285595.317600001</v>
      </c>
      <c r="G55" s="743">
        <f>F55+43817174.1866</f>
        <v>65102769.504199997</v>
      </c>
      <c r="H55" s="743">
        <f t="shared" si="15"/>
        <v>136238666.66666666</v>
      </c>
      <c r="I55" s="45">
        <f t="shared" si="7"/>
        <v>-71135897.16246666</v>
      </c>
      <c r="J55" s="333">
        <f t="shared" si="8"/>
        <v>-0.52214175977304533</v>
      </c>
      <c r="K55" s="745">
        <f t="shared" ref="K55:K56" si="16">D55</f>
        <v>408716000</v>
      </c>
      <c r="L55" s="101"/>
    </row>
    <row r="56" spans="1:12" ht="12.75" customHeight="1" x14ac:dyDescent="0.2">
      <c r="A56" s="419" t="s">
        <v>121</v>
      </c>
      <c r="B56" s="422"/>
      <c r="C56" s="745">
        <v>0</v>
      </c>
      <c r="D56" s="763"/>
      <c r="E56" s="743"/>
      <c r="F56" s="743"/>
      <c r="G56" s="743"/>
      <c r="H56" s="743">
        <f t="shared" si="15"/>
        <v>0</v>
      </c>
      <c r="I56" s="45">
        <f t="shared" si="7"/>
        <v>0</v>
      </c>
      <c r="J56" s="333" t="str">
        <f t="shared" si="8"/>
        <v/>
      </c>
      <c r="K56" s="745">
        <f t="shared" si="16"/>
        <v>0</v>
      </c>
      <c r="L56" s="101"/>
    </row>
    <row r="57" spans="1:12" ht="12.75" customHeight="1" x14ac:dyDescent="0.2">
      <c r="A57" s="417" t="s">
        <v>122</v>
      </c>
      <c r="B57" s="422"/>
      <c r="C57" s="650">
        <f t="shared" ref="C57:H57" si="17">SUM(C58:C61)</f>
        <v>497063817.40280002</v>
      </c>
      <c r="D57" s="678">
        <f t="shared" si="17"/>
        <v>649474000</v>
      </c>
      <c r="E57" s="646">
        <f t="shared" si="17"/>
        <v>0</v>
      </c>
      <c r="F57" s="646">
        <f t="shared" si="17"/>
        <v>39081293.028599992</v>
      </c>
      <c r="G57" s="646">
        <f t="shared" si="17"/>
        <v>176490173.58479998</v>
      </c>
      <c r="H57" s="646">
        <f t="shared" si="17"/>
        <v>216491333.33333331</v>
      </c>
      <c r="I57" s="45">
        <f t="shared" si="7"/>
        <v>-40001159.748533338</v>
      </c>
      <c r="J57" s="333">
        <f t="shared" si="8"/>
        <v>-0.18477025907980923</v>
      </c>
      <c r="K57" s="650">
        <f>SUM(K58:K61)</f>
        <v>649474000</v>
      </c>
      <c r="L57" s="101"/>
    </row>
    <row r="58" spans="1:12" ht="12.75" customHeight="1" x14ac:dyDescent="0.2">
      <c r="A58" s="419" t="s">
        <v>1233</v>
      </c>
      <c r="B58" s="422"/>
      <c r="C58" s="745">
        <v>22385868.3594</v>
      </c>
      <c r="D58" s="763">
        <v>84050000</v>
      </c>
      <c r="E58" s="743"/>
      <c r="F58" s="743">
        <v>12441.6294</v>
      </c>
      <c r="G58" s="743">
        <f>F58+55594.45</f>
        <v>68036.079400000002</v>
      </c>
      <c r="H58" s="743">
        <f t="shared" ref="H58:H62" si="18">D58/12*4</f>
        <v>28016666.666666668</v>
      </c>
      <c r="I58" s="45">
        <f t="shared" si="7"/>
        <v>-27948630.587266669</v>
      </c>
      <c r="J58" s="333">
        <f t="shared" si="8"/>
        <v>-0.99757158550624636</v>
      </c>
      <c r="K58" s="745">
        <f>D58</f>
        <v>84050000</v>
      </c>
      <c r="L58" s="101"/>
    </row>
    <row r="59" spans="1:12" ht="12.75" customHeight="1" x14ac:dyDescent="0.2">
      <c r="A59" s="419" t="s">
        <v>1237</v>
      </c>
      <c r="B59" s="422"/>
      <c r="C59" s="745">
        <v>462036762.93980002</v>
      </c>
      <c r="D59" s="763">
        <v>416838000</v>
      </c>
      <c r="E59" s="743"/>
      <c r="F59" s="743">
        <v>39015321.923999995</v>
      </c>
      <c r="G59" s="743">
        <f>F59+121049034.8456</f>
        <v>160064356.76959997</v>
      </c>
      <c r="H59" s="743">
        <f t="shared" si="18"/>
        <v>138946000</v>
      </c>
      <c r="I59" s="45">
        <f t="shared" si="7"/>
        <v>21118356.769599974</v>
      </c>
      <c r="J59" s="333">
        <f t="shared" si="8"/>
        <v>0.15198967058857379</v>
      </c>
      <c r="K59" s="745">
        <f t="shared" ref="K59:K62" si="19">D59</f>
        <v>416838000</v>
      </c>
      <c r="L59" s="101"/>
    </row>
    <row r="60" spans="1:12" ht="12.75" customHeight="1" x14ac:dyDescent="0.2">
      <c r="A60" s="419" t="s">
        <v>123</v>
      </c>
      <c r="B60" s="422"/>
      <c r="C60" s="764"/>
      <c r="D60" s="765">
        <v>132035000</v>
      </c>
      <c r="E60" s="766"/>
      <c r="F60" s="766"/>
      <c r="G60" s="766">
        <v>16070123.065199999</v>
      </c>
      <c r="H60" s="743">
        <f t="shared" si="18"/>
        <v>44011666.666666664</v>
      </c>
      <c r="I60" s="45">
        <f t="shared" si="7"/>
        <v>-27941543.601466663</v>
      </c>
      <c r="J60" s="333">
        <f t="shared" si="8"/>
        <v>-0.63486674597190129</v>
      </c>
      <c r="K60" s="745">
        <f t="shared" si="19"/>
        <v>132035000</v>
      </c>
      <c r="L60" s="101"/>
    </row>
    <row r="61" spans="1:12" ht="12.75" customHeight="1" x14ac:dyDescent="0.2">
      <c r="A61" s="419" t="s">
        <v>124</v>
      </c>
      <c r="B61" s="422"/>
      <c r="C61" s="745">
        <v>12641186.103599999</v>
      </c>
      <c r="D61" s="763">
        <v>16551000</v>
      </c>
      <c r="E61" s="743"/>
      <c r="F61" s="743">
        <v>53529.475199999993</v>
      </c>
      <c r="G61" s="743">
        <f>F61+234128.1954</f>
        <v>287657.67060000001</v>
      </c>
      <c r="H61" s="743">
        <f t="shared" si="18"/>
        <v>5517000</v>
      </c>
      <c r="I61" s="45">
        <f t="shared" si="7"/>
        <v>-5229342.3294000002</v>
      </c>
      <c r="J61" s="333">
        <f t="shared" si="8"/>
        <v>-0.94785976606851552</v>
      </c>
      <c r="K61" s="745">
        <f t="shared" si="19"/>
        <v>16551000</v>
      </c>
      <c r="L61" s="101"/>
    </row>
    <row r="62" spans="1:12" ht="12.75" customHeight="1" x14ac:dyDescent="0.2">
      <c r="A62" s="417" t="s">
        <v>741</v>
      </c>
      <c r="B62" s="422"/>
      <c r="C62" s="745">
        <v>0</v>
      </c>
      <c r="D62" s="763"/>
      <c r="E62" s="743"/>
      <c r="F62" s="743"/>
      <c r="G62" s="743"/>
      <c r="H62" s="743">
        <f t="shared" si="18"/>
        <v>0</v>
      </c>
      <c r="I62" s="45">
        <f t="shared" si="7"/>
        <v>0</v>
      </c>
      <c r="J62" s="333" t="str">
        <f t="shared" si="8"/>
        <v/>
      </c>
      <c r="K62" s="745">
        <f t="shared" si="19"/>
        <v>0</v>
      </c>
      <c r="L62" s="101"/>
    </row>
    <row r="63" spans="1:12" ht="12.75" customHeight="1" x14ac:dyDescent="0.2">
      <c r="A63" s="540" t="s">
        <v>1255</v>
      </c>
      <c r="B63" s="543">
        <v>3</v>
      </c>
      <c r="C63" s="544">
        <f>C43+C47+C53+C57+C62</f>
        <v>815422958.36750007</v>
      </c>
      <c r="D63" s="545">
        <f t="shared" ref="D63:I63" si="20">D43+D47+D53+D57+D62</f>
        <v>1230118000</v>
      </c>
      <c r="E63" s="481">
        <f t="shared" si="20"/>
        <v>0</v>
      </c>
      <c r="F63" s="481">
        <f t="shared" si="20"/>
        <v>69191121.855599999</v>
      </c>
      <c r="G63" s="481">
        <f t="shared" si="20"/>
        <v>275937385.45278496</v>
      </c>
      <c r="H63" s="481">
        <f t="shared" si="20"/>
        <v>410039333.33333331</v>
      </c>
      <c r="I63" s="481">
        <f t="shared" si="20"/>
        <v>-134101947.88054833</v>
      </c>
      <c r="J63" s="546">
        <f t="shared" si="8"/>
        <v>-0.32704654646273368</v>
      </c>
      <c r="K63" s="547">
        <f>K43+K47+K53+K57+K62</f>
        <v>1230118000</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484</v>
      </c>
      <c r="B65" s="170"/>
      <c r="C65" s="135"/>
      <c r="D65" s="259"/>
      <c r="E65" s="45"/>
      <c r="F65" s="45"/>
      <c r="G65" s="45"/>
      <c r="H65" s="45"/>
      <c r="I65" s="45"/>
      <c r="J65" s="333"/>
      <c r="K65" s="145"/>
      <c r="L65" s="101"/>
    </row>
    <row r="66" spans="1:12" ht="12.75" customHeight="1" x14ac:dyDescent="0.2">
      <c r="A66" s="108" t="s">
        <v>455</v>
      </c>
      <c r="B66" s="170"/>
      <c r="C66" s="758">
        <v>569507215.12131</v>
      </c>
      <c r="D66" s="763">
        <v>650955000</v>
      </c>
      <c r="E66" s="743"/>
      <c r="F66" s="743">
        <v>18085560.814200003</v>
      </c>
      <c r="G66" s="743">
        <f>F66+134365933.107985</f>
        <v>152451493.922185</v>
      </c>
      <c r="H66" s="743">
        <f t="shared" ref="H66:H69" si="21">D66/12*4</f>
        <v>216985000</v>
      </c>
      <c r="I66" s="45">
        <f t="shared" ref="I66:I74" si="22">G66-H66</f>
        <v>-64533506.077814996</v>
      </c>
      <c r="J66" s="333">
        <f t="shared" ref="J66:J74" si="23">IF(I66=0,"",I66/H66)</f>
        <v>-0.29740998722407075</v>
      </c>
      <c r="K66" s="745">
        <f>D66</f>
        <v>650955000</v>
      </c>
      <c r="L66" s="101"/>
    </row>
    <row r="67" spans="1:12" ht="12.75" customHeight="1" x14ac:dyDescent="0.2">
      <c r="A67" s="108" t="s">
        <v>624</v>
      </c>
      <c r="B67" s="170"/>
      <c r="C67" s="758"/>
      <c r="D67" s="763"/>
      <c r="E67" s="743"/>
      <c r="F67" s="743"/>
      <c r="G67" s="743"/>
      <c r="H67" s="743">
        <f t="shared" si="21"/>
        <v>0</v>
      </c>
      <c r="I67" s="45">
        <f t="shared" si="22"/>
        <v>0</v>
      </c>
      <c r="J67" s="333" t="str">
        <f t="shared" si="23"/>
        <v/>
      </c>
      <c r="K67" s="745">
        <f t="shared" ref="K67:K69" si="24">D67</f>
        <v>0</v>
      </c>
      <c r="L67" s="101"/>
    </row>
    <row r="68" spans="1:12" ht="12.75" customHeight="1" x14ac:dyDescent="0.2">
      <c r="A68" s="108" t="s">
        <v>625</v>
      </c>
      <c r="B68" s="170"/>
      <c r="C68" s="758"/>
      <c r="D68" s="763"/>
      <c r="E68" s="743"/>
      <c r="F68" s="743"/>
      <c r="G68" s="743"/>
      <c r="H68" s="743">
        <f t="shared" si="21"/>
        <v>0</v>
      </c>
      <c r="I68" s="45">
        <f t="shared" si="22"/>
        <v>0</v>
      </c>
      <c r="J68" s="333" t="str">
        <f t="shared" si="23"/>
        <v/>
      </c>
      <c r="K68" s="745">
        <f t="shared" si="24"/>
        <v>0</v>
      </c>
      <c r="L68" s="101"/>
    </row>
    <row r="69" spans="1:12" ht="12.75" customHeight="1" x14ac:dyDescent="0.2">
      <c r="A69" s="541" t="s">
        <v>72</v>
      </c>
      <c r="B69" s="249"/>
      <c r="C69" s="759"/>
      <c r="D69" s="767"/>
      <c r="E69" s="761"/>
      <c r="F69" s="761"/>
      <c r="G69" s="761"/>
      <c r="H69" s="743">
        <f t="shared" si="21"/>
        <v>0</v>
      </c>
      <c r="I69" s="100">
        <f t="shared" si="22"/>
        <v>0</v>
      </c>
      <c r="J69" s="338" t="str">
        <f t="shared" si="23"/>
        <v/>
      </c>
      <c r="K69" s="745">
        <f t="shared" si="24"/>
        <v>0</v>
      </c>
      <c r="L69" s="101"/>
    </row>
    <row r="70" spans="1:12" ht="12.75" customHeight="1" x14ac:dyDescent="0.2">
      <c r="A70" s="701" t="s">
        <v>990</v>
      </c>
      <c r="B70" s="170"/>
      <c r="C70" s="110">
        <f t="shared" ref="C70:H70" si="25">SUM(C66:C69)</f>
        <v>569507215.12131</v>
      </c>
      <c r="D70" s="260">
        <f t="shared" si="25"/>
        <v>650955000</v>
      </c>
      <c r="E70" s="51">
        <f t="shared" si="25"/>
        <v>0</v>
      </c>
      <c r="F70" s="51">
        <f t="shared" si="25"/>
        <v>18085560.814200003</v>
      </c>
      <c r="G70" s="51">
        <f t="shared" si="25"/>
        <v>152451493.922185</v>
      </c>
      <c r="H70" s="51">
        <f t="shared" si="25"/>
        <v>216985000</v>
      </c>
      <c r="I70" s="51">
        <f t="shared" si="22"/>
        <v>-64533506.077814996</v>
      </c>
      <c r="J70" s="147">
        <f t="shared" si="23"/>
        <v>-0.29740998722407075</v>
      </c>
      <c r="K70" s="51">
        <f>SUM(K66:K69)</f>
        <v>650955000</v>
      </c>
      <c r="L70" s="707"/>
    </row>
    <row r="71" spans="1:12" ht="12.75" customHeight="1" x14ac:dyDescent="0.2">
      <c r="A71" s="107" t="s">
        <v>491</v>
      </c>
      <c r="B71" s="170">
        <v>5</v>
      </c>
      <c r="C71" s="758"/>
      <c r="D71" s="763"/>
      <c r="E71" s="743"/>
      <c r="F71" s="743"/>
      <c r="G71" s="743"/>
      <c r="H71" s="743">
        <f t="shared" ref="H71:H73" si="26">D71/12*4</f>
        <v>0</v>
      </c>
      <c r="I71" s="45">
        <f t="shared" si="22"/>
        <v>0</v>
      </c>
      <c r="J71" s="333" t="str">
        <f t="shared" si="23"/>
        <v/>
      </c>
      <c r="K71" s="745">
        <f>D71</f>
        <v>0</v>
      </c>
      <c r="L71" s="101"/>
    </row>
    <row r="72" spans="1:12" ht="12.75" customHeight="1" x14ac:dyDescent="0.2">
      <c r="A72" s="107" t="s">
        <v>802</v>
      </c>
      <c r="B72" s="170">
        <v>6</v>
      </c>
      <c r="C72" s="758">
        <v>143573637.00059998</v>
      </c>
      <c r="D72" s="763">
        <v>239000000</v>
      </c>
      <c r="E72" s="743"/>
      <c r="F72" s="743">
        <v>29983931.695799999</v>
      </c>
      <c r="G72" s="743">
        <f>F72+32270340.7758</f>
        <v>62254272.471599996</v>
      </c>
      <c r="H72" s="743">
        <f t="shared" si="26"/>
        <v>79666666.666666672</v>
      </c>
      <c r="I72" s="45">
        <f t="shared" si="22"/>
        <v>-17412394.195066676</v>
      </c>
      <c r="J72" s="333">
        <f t="shared" si="23"/>
        <v>-0.21856561751129716</v>
      </c>
      <c r="K72" s="745">
        <f t="shared" ref="K72:K73" si="27">D72</f>
        <v>239000000</v>
      </c>
      <c r="L72" s="101"/>
    </row>
    <row r="73" spans="1:12" ht="12.75" customHeight="1" x14ac:dyDescent="0.2">
      <c r="A73" s="107" t="s">
        <v>485</v>
      </c>
      <c r="B73" s="249"/>
      <c r="C73" s="759">
        <v>102342106.84980011</v>
      </c>
      <c r="D73" s="767">
        <v>340163000</v>
      </c>
      <c r="E73" s="761"/>
      <c r="F73" s="761">
        <v>21121629.345600002</v>
      </c>
      <c r="G73" s="761">
        <f>F73+40109989.6662</f>
        <v>61231619.011799999</v>
      </c>
      <c r="H73" s="761">
        <f t="shared" si="26"/>
        <v>113387666.66666667</v>
      </c>
      <c r="I73" s="100">
        <f t="shared" si="22"/>
        <v>-52156047.654866673</v>
      </c>
      <c r="J73" s="338">
        <f t="shared" si="23"/>
        <v>-0.45997990070818995</v>
      </c>
      <c r="K73" s="745">
        <f t="shared" si="27"/>
        <v>340163000</v>
      </c>
      <c r="L73" s="101"/>
    </row>
    <row r="74" spans="1:12" ht="12.75" customHeight="1" x14ac:dyDescent="0.2">
      <c r="A74" s="542" t="s">
        <v>922</v>
      </c>
      <c r="B74" s="120"/>
      <c r="C74" s="245">
        <f t="shared" ref="C74:K74" si="28">SUM(C70:C73)</f>
        <v>815422958.97171009</v>
      </c>
      <c r="D74" s="266">
        <f t="shared" si="28"/>
        <v>1230118000</v>
      </c>
      <c r="E74" s="77">
        <f t="shared" si="28"/>
        <v>0</v>
      </c>
      <c r="F74" s="77">
        <f>SUM(F70:F73)</f>
        <v>69191121.855599999</v>
      </c>
      <c r="G74" s="77">
        <f>SUM(G70:G73)</f>
        <v>275937385.40558499</v>
      </c>
      <c r="H74" s="77">
        <f>SUM(H70:H73)</f>
        <v>410039333.33333337</v>
      </c>
      <c r="I74" s="77">
        <f t="shared" si="22"/>
        <v>-134101947.92774838</v>
      </c>
      <c r="J74" s="336">
        <f t="shared" si="23"/>
        <v>-0.32704654657784465</v>
      </c>
      <c r="K74" s="235">
        <f t="shared" si="28"/>
        <v>1230118000</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152</v>
      </c>
      <c r="B76" s="65"/>
      <c r="C76" s="80"/>
      <c r="D76" s="80"/>
      <c r="E76" s="80"/>
      <c r="F76" s="80"/>
      <c r="G76" s="80"/>
      <c r="H76" s="80"/>
      <c r="I76" s="80"/>
      <c r="J76" s="80"/>
      <c r="K76" s="80"/>
    </row>
    <row r="77" spans="1:12" ht="12" customHeight="1" x14ac:dyDescent="0.2">
      <c r="A77" s="1025" t="s">
        <v>150</v>
      </c>
      <c r="B77" s="1025"/>
      <c r="C77" s="1025"/>
      <c r="D77" s="1025"/>
      <c r="E77" s="1025"/>
      <c r="F77" s="1025"/>
      <c r="G77" s="1025"/>
      <c r="H77" s="1025"/>
      <c r="I77" s="1025"/>
      <c r="J77" s="1025"/>
      <c r="K77" s="1025"/>
    </row>
    <row r="78" spans="1:12" ht="12" customHeight="1" x14ac:dyDescent="0.2">
      <c r="A78" s="1025" t="s">
        <v>1257</v>
      </c>
      <c r="B78" s="1025"/>
      <c r="C78" s="1025"/>
      <c r="D78" s="1025"/>
      <c r="E78" s="1025"/>
      <c r="F78" s="1025"/>
      <c r="G78" s="1025"/>
      <c r="H78" s="1025"/>
      <c r="I78" s="1025"/>
      <c r="J78" s="1025"/>
      <c r="K78" s="1025"/>
    </row>
    <row r="79" spans="1:12" ht="12" customHeight="1" x14ac:dyDescent="0.2">
      <c r="A79" s="1026" t="s">
        <v>539</v>
      </c>
      <c r="B79" s="1025"/>
      <c r="C79" s="1025"/>
      <c r="D79" s="1025"/>
      <c r="E79" s="1025"/>
      <c r="F79" s="1025"/>
      <c r="G79" s="1025"/>
      <c r="H79" s="1025"/>
      <c r="I79" s="1025"/>
      <c r="J79" s="1025"/>
      <c r="K79" s="1025"/>
    </row>
    <row r="80" spans="1:12" ht="12" customHeight="1" x14ac:dyDescent="0.2">
      <c r="A80" s="593" t="s">
        <v>151</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743</v>
      </c>
      <c r="B86" s="65"/>
      <c r="C86" s="702">
        <f>C40-C74</f>
        <v>-1.3462101221084595</v>
      </c>
      <c r="D86" s="702">
        <f t="shared" ref="D86:K86" si="29">D40-D74</f>
        <v>0</v>
      </c>
      <c r="E86" s="702">
        <f t="shared" si="29"/>
        <v>0</v>
      </c>
      <c r="F86" s="702">
        <f t="shared" si="29"/>
        <v>0</v>
      </c>
      <c r="G86" s="702">
        <f t="shared" si="29"/>
        <v>-0.4901999831199646</v>
      </c>
      <c r="H86" s="702">
        <f t="shared" si="29"/>
        <v>0</v>
      </c>
      <c r="I86" s="702"/>
      <c r="J86" s="702"/>
      <c r="K86" s="702">
        <f t="shared" si="29"/>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25" activePane="bottomRight" state="frozen"/>
      <selection pane="topRight"/>
      <selection pane="bottomLeft"/>
      <selection pane="bottomRight" activeCell="F352" sqref="F352"/>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15" t="str">
        <f>muni&amp; " - "&amp;S71D&amp; " - "&amp;"A"&amp; " - "&amp;date</f>
        <v>LIM354 Polokwane - Table C5 Monthly Budget Statement - Capital Expenditure (municipal vote, functional classification and funding) - A - M04 October</v>
      </c>
      <c r="B1" s="1015"/>
      <c r="C1" s="1015"/>
      <c r="D1" s="1015"/>
      <c r="E1" s="1015"/>
      <c r="F1" s="1015"/>
      <c r="G1" s="1015"/>
      <c r="H1" s="1015"/>
      <c r="I1" s="1015"/>
      <c r="J1" s="1015"/>
      <c r="K1" s="1015"/>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
      <c r="A209" s="469" t="str">
        <f>'Org structure'!A5</f>
        <v>Vote 4 - Engineering Services</v>
      </c>
      <c r="B209" s="443"/>
      <c r="C209" s="506">
        <f t="shared" ref="C209:K209" si="29">SUM(C210:C219)</f>
        <v>572338539.25579</v>
      </c>
      <c r="D209" s="447">
        <f t="shared" si="29"/>
        <v>819524000</v>
      </c>
      <c r="E209" s="444">
        <f t="shared" si="29"/>
        <v>0</v>
      </c>
      <c r="F209" s="446">
        <f t="shared" si="29"/>
        <v>60313358.870999992</v>
      </c>
      <c r="G209" s="444">
        <f t="shared" si="29"/>
        <v>241305285.3712</v>
      </c>
      <c r="H209" s="446">
        <f t="shared" si="29"/>
        <v>273174666.66666669</v>
      </c>
      <c r="I209" s="45">
        <f t="shared" si="27"/>
        <v>-31869381.295466691</v>
      </c>
      <c r="J209" s="333">
        <f t="shared" si="28"/>
        <v>-0.11666301888218047</v>
      </c>
      <c r="K209" s="445">
        <f t="shared" si="29"/>
        <v>819524000</v>
      </c>
      <c r="L209" s="49"/>
      <c r="M209" s="476"/>
      <c r="N209" s="476"/>
      <c r="O209" s="476"/>
      <c r="P209" s="476"/>
      <c r="Q209" s="476"/>
      <c r="R209" s="476"/>
      <c r="S209" s="476"/>
      <c r="T209" s="476"/>
      <c r="U209" s="476"/>
      <c r="V209" s="476"/>
      <c r="W209" s="476"/>
    </row>
    <row r="210" spans="1:23" ht="11.25" customHeight="1" x14ac:dyDescent="0.2">
      <c r="A210" s="410" t="str">
        <f>'Org structure'!E36</f>
        <v>4,1 - Roads and streets</v>
      </c>
      <c r="B210" s="448"/>
      <c r="C210" s="397">
        <v>86396219.956589997</v>
      </c>
      <c r="D210" s="386">
        <v>158104000</v>
      </c>
      <c r="E210" s="387"/>
      <c r="F210" s="475">
        <v>20152804.6776</v>
      </c>
      <c r="G210" s="387">
        <f>F210+38603608.8692</f>
        <v>58756413.546800002</v>
      </c>
      <c r="H210" s="475">
        <f t="shared" ref="H210:H219" si="30">D210/12*4</f>
        <v>52701333.333333336</v>
      </c>
      <c r="I210" s="45">
        <f t="shared" si="27"/>
        <v>6055080.2134666666</v>
      </c>
      <c r="J210" s="333">
        <f t="shared" si="28"/>
        <v>0.11489425087537317</v>
      </c>
      <c r="K210" s="398">
        <f>D210</f>
        <v>158104000</v>
      </c>
      <c r="L210" s="49"/>
      <c r="M210" s="476"/>
      <c r="N210" s="476"/>
      <c r="O210" s="476"/>
      <c r="P210" s="476"/>
      <c r="Q210" s="476"/>
      <c r="R210" s="476"/>
      <c r="S210" s="476"/>
      <c r="T210" s="476"/>
      <c r="U210" s="476"/>
      <c r="V210" s="476"/>
      <c r="W210" s="476"/>
    </row>
    <row r="211" spans="1:23" ht="11.25" customHeight="1" x14ac:dyDescent="0.2">
      <c r="A211" s="410" t="str">
        <f>'Org structure'!E37</f>
        <v>4,2 - Stormwater</v>
      </c>
      <c r="B211" s="448"/>
      <c r="C211" s="397"/>
      <c r="D211" s="386">
        <v>28500000</v>
      </c>
      <c r="E211" s="387"/>
      <c r="F211" s="475">
        <v>1132790.6400000001</v>
      </c>
      <c r="G211" s="387">
        <f>F211+5213565.3174</f>
        <v>6346355.9573999997</v>
      </c>
      <c r="H211" s="475">
        <f t="shared" si="30"/>
        <v>9500000</v>
      </c>
      <c r="I211" s="45">
        <f t="shared" si="27"/>
        <v>-3153644.0426000003</v>
      </c>
      <c r="J211" s="333">
        <f t="shared" si="28"/>
        <v>-0.33196253080000004</v>
      </c>
      <c r="K211" s="398">
        <f t="shared" ref="K211:K219" si="31">D211</f>
        <v>28500000</v>
      </c>
      <c r="L211" s="49"/>
      <c r="M211" s="476"/>
      <c r="N211" s="476"/>
      <c r="O211" s="476"/>
      <c r="P211" s="476"/>
      <c r="Q211" s="476"/>
      <c r="R211" s="476"/>
      <c r="S211" s="476"/>
      <c r="T211" s="476"/>
      <c r="U211" s="476"/>
      <c r="V211" s="476"/>
      <c r="W211" s="476"/>
    </row>
    <row r="212" spans="1:23" ht="11.25" customHeight="1" x14ac:dyDescent="0.2">
      <c r="A212" s="410" t="str">
        <f>'Org structure'!E38</f>
        <v>4,3 - Sewer Purification</v>
      </c>
      <c r="B212" s="448"/>
      <c r="C212" s="397"/>
      <c r="D212" s="386"/>
      <c r="E212" s="387"/>
      <c r="F212" s="475"/>
      <c r="G212" s="387"/>
      <c r="H212" s="475">
        <f t="shared" si="30"/>
        <v>0</v>
      </c>
      <c r="I212" s="45">
        <f t="shared" si="27"/>
        <v>0</v>
      </c>
      <c r="J212" s="333" t="str">
        <f t="shared" si="28"/>
        <v/>
      </c>
      <c r="K212" s="398">
        <f t="shared" si="31"/>
        <v>0</v>
      </c>
      <c r="L212" s="49"/>
      <c r="M212" s="476"/>
      <c r="N212" s="476"/>
      <c r="O212" s="476"/>
      <c r="P212" s="476"/>
      <c r="Q212" s="476"/>
      <c r="R212" s="476"/>
      <c r="S212" s="476"/>
      <c r="T212" s="476"/>
      <c r="U212" s="476"/>
      <c r="V212" s="476"/>
      <c r="W212" s="476"/>
    </row>
    <row r="213" spans="1:23" ht="11.25" customHeight="1" x14ac:dyDescent="0.2">
      <c r="A213" s="410" t="str">
        <f>'Org structure'!E39</f>
        <v>4,4 - Sewer Reticulation</v>
      </c>
      <c r="B213" s="448"/>
      <c r="C213" s="397"/>
      <c r="D213" s="386">
        <v>132032000</v>
      </c>
      <c r="E213" s="387"/>
      <c r="F213" s="475"/>
      <c r="G213" s="387">
        <v>16070123.065199999</v>
      </c>
      <c r="H213" s="475">
        <f t="shared" si="30"/>
        <v>44010666.666666664</v>
      </c>
      <c r="I213" s="45">
        <f t="shared" si="27"/>
        <v>-27940543.601466663</v>
      </c>
      <c r="J213" s="333">
        <f t="shared" si="28"/>
        <v>-0.63485844950012116</v>
      </c>
      <c r="K213" s="398">
        <f t="shared" si="31"/>
        <v>132032000</v>
      </c>
      <c r="L213" s="49"/>
      <c r="M213" s="476"/>
      <c r="N213" s="476"/>
      <c r="O213" s="476"/>
      <c r="P213" s="476"/>
      <c r="Q213" s="476"/>
      <c r="R213" s="476"/>
      <c r="S213" s="476"/>
      <c r="T213" s="476"/>
      <c r="U213" s="476"/>
      <c r="V213" s="476"/>
      <c r="W213" s="476"/>
    </row>
    <row r="214" spans="1:23" ht="11.25" customHeight="1" x14ac:dyDescent="0.2">
      <c r="A214" s="410" t="str">
        <f>'Org structure'!E40</f>
        <v>4,5 - Water Distribution</v>
      </c>
      <c r="B214" s="448"/>
      <c r="C214" s="397">
        <v>463556450.93980002</v>
      </c>
      <c r="D214" s="386"/>
      <c r="E214" s="387"/>
      <c r="F214" s="475"/>
      <c r="G214" s="387"/>
      <c r="H214" s="475">
        <f t="shared" si="30"/>
        <v>0</v>
      </c>
      <c r="I214" s="45">
        <f t="shared" si="27"/>
        <v>0</v>
      </c>
      <c r="J214" s="333" t="str">
        <f t="shared" si="28"/>
        <v/>
      </c>
      <c r="K214" s="398">
        <f t="shared" si="31"/>
        <v>0</v>
      </c>
      <c r="L214" s="49"/>
      <c r="M214" s="476"/>
      <c r="N214" s="476"/>
      <c r="O214" s="476"/>
      <c r="P214" s="476"/>
      <c r="Q214" s="476"/>
      <c r="R214" s="476"/>
      <c r="S214" s="476"/>
      <c r="T214" s="476"/>
      <c r="U214" s="476"/>
      <c r="V214" s="476"/>
      <c r="W214" s="476"/>
    </row>
    <row r="215" spans="1:23" ht="11.25" customHeight="1" x14ac:dyDescent="0.2">
      <c r="A215" s="410" t="str">
        <f>'Org structure'!E41</f>
        <v>4,6 - Water Purification</v>
      </c>
      <c r="B215" s="448"/>
      <c r="C215" s="397"/>
      <c r="D215" s="386"/>
      <c r="E215" s="387"/>
      <c r="F215" s="475"/>
      <c r="G215" s="387"/>
      <c r="H215" s="475">
        <f t="shared" si="30"/>
        <v>0</v>
      </c>
      <c r="I215" s="45">
        <f t="shared" si="27"/>
        <v>0</v>
      </c>
      <c r="J215" s="333" t="str">
        <f t="shared" si="28"/>
        <v/>
      </c>
      <c r="K215" s="398">
        <f t="shared" si="31"/>
        <v>0</v>
      </c>
      <c r="L215" s="49"/>
      <c r="M215" s="476"/>
      <c r="N215" s="476"/>
      <c r="O215" s="476"/>
      <c r="P215" s="476"/>
      <c r="Q215" s="476"/>
      <c r="R215" s="476"/>
      <c r="S215" s="476"/>
      <c r="T215" s="476"/>
      <c r="U215" s="476"/>
      <c r="V215" s="476"/>
      <c r="W215" s="476"/>
    </row>
    <row r="216" spans="1:23" ht="11.25" customHeight="1" x14ac:dyDescent="0.2">
      <c r="A216" s="410" t="str">
        <f>'Org structure'!E42</f>
        <v>4,7 - Water Provision</v>
      </c>
      <c r="B216" s="448"/>
      <c r="C216" s="397"/>
      <c r="D216" s="386">
        <v>416838000</v>
      </c>
      <c r="E216" s="387"/>
      <c r="F216" s="475">
        <v>39015321.923999995</v>
      </c>
      <c r="G216" s="387">
        <f>F216+121049034.8456</f>
        <v>160064356.76959997</v>
      </c>
      <c r="H216" s="475">
        <f t="shared" si="30"/>
        <v>138946000</v>
      </c>
      <c r="I216" s="45">
        <f t="shared" si="27"/>
        <v>21118356.769599974</v>
      </c>
      <c r="J216" s="333">
        <f t="shared" si="28"/>
        <v>0.15198967058857379</v>
      </c>
      <c r="K216" s="398">
        <f t="shared" si="31"/>
        <v>416838000</v>
      </c>
      <c r="L216" s="49"/>
      <c r="M216" s="476"/>
      <c r="N216" s="476"/>
      <c r="O216" s="476"/>
      <c r="P216" s="476"/>
      <c r="Q216" s="476"/>
      <c r="R216" s="476"/>
      <c r="S216" s="476"/>
      <c r="T216" s="476"/>
      <c r="U216" s="476"/>
      <c r="V216" s="476"/>
      <c r="W216" s="476"/>
    </row>
    <row r="217" spans="1:23" ht="11.25" customHeight="1" x14ac:dyDescent="0.2">
      <c r="A217" s="410" t="str">
        <f>'Org structure'!E43</f>
        <v>4,8 - Electrical Workshop</v>
      </c>
      <c r="B217" s="448"/>
      <c r="C217" s="397"/>
      <c r="D217" s="386"/>
      <c r="E217" s="387"/>
      <c r="F217" s="475"/>
      <c r="G217" s="387"/>
      <c r="H217" s="475">
        <f t="shared" si="30"/>
        <v>0</v>
      </c>
      <c r="I217" s="45">
        <f t="shared" si="27"/>
        <v>0</v>
      </c>
      <c r="J217" s="333" t="str">
        <f t="shared" si="28"/>
        <v/>
      </c>
      <c r="K217" s="398">
        <f t="shared" si="31"/>
        <v>0</v>
      </c>
      <c r="L217" s="49"/>
      <c r="M217" s="476"/>
      <c r="N217" s="476"/>
      <c r="O217" s="476"/>
      <c r="P217" s="476"/>
      <c r="Q217" s="476"/>
      <c r="R217" s="476"/>
      <c r="S217" s="476"/>
      <c r="T217" s="476"/>
      <c r="U217" s="476"/>
      <c r="V217" s="476"/>
      <c r="W217" s="476"/>
    </row>
    <row r="218" spans="1:23" ht="11.25" customHeight="1" x14ac:dyDescent="0.2">
      <c r="A218" s="410" t="str">
        <f>'Org structure'!E44</f>
        <v>4,9 - Electricity Distribution</v>
      </c>
      <c r="B218" s="448"/>
      <c r="C218" s="397">
        <v>22385868.3594</v>
      </c>
      <c r="D218" s="386">
        <v>84050000</v>
      </c>
      <c r="E218" s="387"/>
      <c r="F218" s="475">
        <v>12441.6294</v>
      </c>
      <c r="G218" s="387">
        <f>F218+55594.4028</f>
        <v>68036.032200000001</v>
      </c>
      <c r="H218" s="475">
        <f t="shared" si="30"/>
        <v>28016666.666666668</v>
      </c>
      <c r="I218" s="45">
        <f t="shared" si="27"/>
        <v>-27948630.634466667</v>
      </c>
      <c r="J218" s="333">
        <f t="shared" si="28"/>
        <v>-0.99757158719095773</v>
      </c>
      <c r="K218" s="398">
        <f t="shared" si="31"/>
        <v>84050000</v>
      </c>
      <c r="L218" s="49"/>
      <c r="M218" s="476"/>
      <c r="N218" s="476"/>
      <c r="O218" s="476"/>
      <c r="P218" s="476"/>
      <c r="Q218" s="476"/>
      <c r="R218" s="476"/>
      <c r="S218" s="476"/>
      <c r="T218" s="476"/>
      <c r="U218" s="476"/>
      <c r="V218" s="476"/>
      <c r="W218" s="476"/>
    </row>
    <row r="219" spans="1:23" ht="11.25" customHeight="1" x14ac:dyDescent="0.2">
      <c r="A219" s="410" t="str">
        <f>'Org structure'!E45</f>
        <v>4.10 - Other Engineering services</v>
      </c>
      <c r="B219" s="448"/>
      <c r="C219" s="397"/>
      <c r="D219" s="386"/>
      <c r="E219" s="387"/>
      <c r="F219" s="475"/>
      <c r="G219" s="387"/>
      <c r="H219" s="475">
        <f t="shared" si="30"/>
        <v>0</v>
      </c>
      <c r="I219" s="45">
        <f t="shared" si="27"/>
        <v>0</v>
      </c>
      <c r="J219" s="333" t="str">
        <f t="shared" si="28"/>
        <v/>
      </c>
      <c r="K219" s="398">
        <f t="shared" si="31"/>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32">SUM(C221:C230)</f>
        <v>25710025.191999998</v>
      </c>
      <c r="D220" s="447">
        <f t="shared" si="32"/>
        <v>35332000</v>
      </c>
      <c r="E220" s="444">
        <f t="shared" si="32"/>
        <v>0</v>
      </c>
      <c r="F220" s="446">
        <f t="shared" si="32"/>
        <v>1207754.8398</v>
      </c>
      <c r="G220" s="444">
        <f t="shared" si="32"/>
        <v>2285998.6782</v>
      </c>
      <c r="H220" s="446">
        <f t="shared" si="32"/>
        <v>11777333.333333334</v>
      </c>
      <c r="I220" s="45">
        <f t="shared" si="27"/>
        <v>-9491334.6551333331</v>
      </c>
      <c r="J220" s="333">
        <f t="shared" si="28"/>
        <v>-0.80589844801879307</v>
      </c>
      <c r="K220" s="445">
        <f t="shared" si="32"/>
        <v>35332000</v>
      </c>
      <c r="L220" s="49"/>
      <c r="M220" s="476"/>
      <c r="N220" s="476"/>
      <c r="O220" s="476"/>
      <c r="P220" s="476"/>
      <c r="Q220" s="476"/>
      <c r="R220" s="476"/>
      <c r="S220" s="476"/>
      <c r="T220" s="476"/>
      <c r="U220" s="476"/>
      <c r="V220" s="476"/>
      <c r="W220" s="476"/>
    </row>
    <row r="221" spans="1:23" ht="11.25" customHeight="1" x14ac:dyDescent="0.2">
      <c r="A221" s="410" t="str">
        <f>'Org structure'!E47</f>
        <v>5,1 - 5.1 - Licensing</v>
      </c>
      <c r="B221" s="448"/>
      <c r="C221" s="397"/>
      <c r="D221" s="386"/>
      <c r="E221" s="387"/>
      <c r="F221" s="475"/>
      <c r="G221" s="387"/>
      <c r="H221" s="475">
        <f t="shared" ref="H221:H230" si="33">D221/12*4</f>
        <v>0</v>
      </c>
      <c r="I221" s="45">
        <f t="shared" si="27"/>
        <v>0</v>
      </c>
      <c r="J221" s="333" t="str">
        <f t="shared" si="28"/>
        <v/>
      </c>
      <c r="K221" s="398">
        <f>D221</f>
        <v>0</v>
      </c>
      <c r="L221" s="49"/>
      <c r="M221" s="476"/>
      <c r="N221" s="476"/>
      <c r="O221" s="476"/>
      <c r="P221" s="476"/>
      <c r="Q221" s="476"/>
      <c r="R221" s="476"/>
      <c r="S221" s="476"/>
      <c r="T221" s="476"/>
      <c r="U221" s="476"/>
      <c r="V221" s="476"/>
      <c r="W221" s="476"/>
    </row>
    <row r="222" spans="1:23" ht="11.25" customHeight="1" x14ac:dyDescent="0.2">
      <c r="A222" s="410" t="str">
        <f>'Org structure'!E48</f>
        <v>5,2 - 5.2 - Vehicle Licensing and Testing</v>
      </c>
      <c r="B222" s="448"/>
      <c r="C222" s="397"/>
      <c r="D222" s="386"/>
      <c r="E222" s="387"/>
      <c r="F222" s="475"/>
      <c r="G222" s="387"/>
      <c r="H222" s="475">
        <f t="shared" si="33"/>
        <v>0</v>
      </c>
      <c r="I222" s="45">
        <f t="shared" si="27"/>
        <v>0</v>
      </c>
      <c r="J222" s="333" t="str">
        <f t="shared" si="28"/>
        <v/>
      </c>
      <c r="K222" s="398">
        <f t="shared" ref="K222:K230" si="34">D222</f>
        <v>0</v>
      </c>
      <c r="L222" s="49"/>
      <c r="M222" s="476"/>
      <c r="N222" s="476"/>
      <c r="O222" s="476"/>
      <c r="P222" s="476"/>
      <c r="Q222" s="476"/>
      <c r="R222" s="476"/>
      <c r="S222" s="476"/>
      <c r="T222" s="476"/>
      <c r="U222" s="476"/>
      <c r="V222" s="476"/>
      <c r="W222" s="476"/>
    </row>
    <row r="223" spans="1:23" ht="11.25" customHeight="1" x14ac:dyDescent="0.2">
      <c r="A223" s="410" t="str">
        <f>'Org structure'!E49</f>
        <v>5,3 - 5.3 - Traffic</v>
      </c>
      <c r="B223" s="448"/>
      <c r="C223" s="397"/>
      <c r="D223" s="386"/>
      <c r="E223" s="387"/>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
      <c r="A224" s="410" t="str">
        <f>'Org structure'!E50</f>
        <v>5,4 - 5.4 - Security Services</v>
      </c>
      <c r="B224" s="448"/>
      <c r="C224" s="964">
        <v>382457.01839999994</v>
      </c>
      <c r="D224" s="386"/>
      <c r="E224" s="387"/>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
      <c r="A225" s="410" t="str">
        <f>'Org structure'!E51</f>
        <v>5,5 - 5.5 - Fire and Emergency Services</v>
      </c>
      <c r="B225" s="448"/>
      <c r="C225" s="397">
        <v>1390550.4084000001</v>
      </c>
      <c r="D225" s="386">
        <v>7781000</v>
      </c>
      <c r="E225" s="387"/>
      <c r="F225" s="475"/>
      <c r="G225" s="387">
        <v>732957.75600000005</v>
      </c>
      <c r="H225" s="475">
        <f t="shared" si="33"/>
        <v>2593666.6666666665</v>
      </c>
      <c r="I225" s="45">
        <f t="shared" si="27"/>
        <v>-1860708.9106666665</v>
      </c>
      <c r="J225" s="333">
        <f t="shared" si="28"/>
        <v>-0.7174047978408945</v>
      </c>
      <c r="K225" s="398">
        <f t="shared" si="34"/>
        <v>7781000</v>
      </c>
      <c r="L225" s="49"/>
      <c r="M225" s="476"/>
      <c r="N225" s="476"/>
      <c r="O225" s="476"/>
      <c r="P225" s="476"/>
      <c r="Q225" s="476"/>
      <c r="R225" s="476"/>
      <c r="S225" s="476"/>
      <c r="T225" s="476"/>
      <c r="U225" s="476"/>
      <c r="V225" s="476"/>
      <c r="W225" s="476"/>
    </row>
    <row r="226" spans="1:23" ht="11.25" customHeight="1" x14ac:dyDescent="0.2">
      <c r="A226" s="410" t="str">
        <f>'Org structure'!E52</f>
        <v>5,6 - 5.6 - Cemeteries</v>
      </c>
      <c r="B226" s="448"/>
      <c r="C226" s="397"/>
      <c r="D226" s="386"/>
      <c r="E226" s="387"/>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
      <c r="A227" s="410" t="str">
        <f>'Org structure'!E53</f>
        <v>5,7 - 5.7 - Nature Reserve</v>
      </c>
      <c r="B227" s="448"/>
      <c r="C227" s="397"/>
      <c r="D227" s="386"/>
      <c r="E227" s="387"/>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
      <c r="A228" s="410" t="str">
        <f>'Org structure'!E54</f>
        <v>5,8 - 5.8 - Parks and Open Areas</v>
      </c>
      <c r="B228" s="448"/>
      <c r="C228" s="397">
        <v>10689457.191400001</v>
      </c>
      <c r="D228" s="386">
        <v>9400000</v>
      </c>
      <c r="E228" s="387"/>
      <c r="F228" s="968">
        <v>1154225.3646</v>
      </c>
      <c r="G228" s="387">
        <f>F228+153147.8262</f>
        <v>1307373.1908</v>
      </c>
      <c r="H228" s="475">
        <f t="shared" si="33"/>
        <v>3133333.3333333335</v>
      </c>
      <c r="I228" s="45">
        <f t="shared" si="27"/>
        <v>-1825960.1425333335</v>
      </c>
      <c r="J228" s="333">
        <f t="shared" si="28"/>
        <v>-0.58275323697872339</v>
      </c>
      <c r="K228" s="398">
        <f t="shared" si="34"/>
        <v>9400000</v>
      </c>
      <c r="L228" s="49"/>
      <c r="M228" s="476"/>
      <c r="N228" s="476"/>
      <c r="O228" s="476"/>
      <c r="P228" s="476"/>
      <c r="Q228" s="476"/>
      <c r="R228" s="476"/>
      <c r="S228" s="476"/>
      <c r="T228" s="476"/>
      <c r="U228" s="476"/>
      <c r="V228" s="476"/>
      <c r="W228" s="476"/>
    </row>
    <row r="229" spans="1:23" ht="11.25" customHeight="1" x14ac:dyDescent="0.2">
      <c r="A229" s="410" t="str">
        <f>'Org structure'!E55</f>
        <v>5,9 - 5.9 - Waste Management</v>
      </c>
      <c r="B229" s="448"/>
      <c r="C229" s="963">
        <v>12641186.103599999</v>
      </c>
      <c r="D229" s="386">
        <v>16551000</v>
      </c>
      <c r="E229" s="387"/>
      <c r="F229" s="475">
        <v>53529.475199999993</v>
      </c>
      <c r="G229" s="387">
        <f>F229+192138.2562</f>
        <v>245667.73139999999</v>
      </c>
      <c r="H229" s="475">
        <f t="shared" si="33"/>
        <v>5517000</v>
      </c>
      <c r="I229" s="45">
        <f t="shared" si="27"/>
        <v>-5271332.2686000001</v>
      </c>
      <c r="J229" s="333">
        <f t="shared" si="28"/>
        <v>-0.95547077553017945</v>
      </c>
      <c r="K229" s="398">
        <f t="shared" si="34"/>
        <v>16551000</v>
      </c>
      <c r="L229" s="49"/>
      <c r="M229" s="476"/>
      <c r="N229" s="476"/>
      <c r="O229" s="476"/>
      <c r="P229" s="476"/>
      <c r="Q229" s="476"/>
      <c r="R229" s="476"/>
      <c r="S229" s="476"/>
      <c r="T229" s="476"/>
      <c r="U229" s="476"/>
      <c r="V229" s="476"/>
      <c r="W229" s="476"/>
    </row>
    <row r="230" spans="1:23" ht="11.25" customHeight="1" x14ac:dyDescent="0.2">
      <c r="A230" s="410" t="str">
        <f>'Org structure'!E56</f>
        <v>5.10 - 5.10 - Other Community Services</v>
      </c>
      <c r="B230" s="448"/>
      <c r="C230" s="397">
        <v>606374.47019999998</v>
      </c>
      <c r="D230" s="386">
        <v>1600000</v>
      </c>
      <c r="E230" s="387"/>
      <c r="F230" s="475"/>
      <c r="G230" s="387"/>
      <c r="H230" s="475">
        <f t="shared" si="33"/>
        <v>533333.33333333337</v>
      </c>
      <c r="I230" s="45">
        <f t="shared" si="27"/>
        <v>-533333.33333333337</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
      <c r="A231" s="469" t="str">
        <f>'Org structure'!A7</f>
        <v>Vote 6 - Community Development</v>
      </c>
      <c r="B231" s="443"/>
      <c r="C231" s="506">
        <f t="shared" ref="C231:K231" si="35">SUM(C232:C241)</f>
        <v>73005725.805519998</v>
      </c>
      <c r="D231" s="447">
        <f t="shared" si="35"/>
        <v>93249000</v>
      </c>
      <c r="E231" s="444">
        <f t="shared" si="35"/>
        <v>0</v>
      </c>
      <c r="F231" s="446">
        <f t="shared" si="35"/>
        <v>3405894.8597999997</v>
      </c>
      <c r="G231" s="444">
        <f t="shared" si="35"/>
        <v>16378464.580985</v>
      </c>
      <c r="H231" s="446">
        <f t="shared" si="35"/>
        <v>31083000</v>
      </c>
      <c r="I231" s="45">
        <f t="shared" si="27"/>
        <v>-14704535.419015</v>
      </c>
      <c r="J231" s="333">
        <f t="shared" si="28"/>
        <v>-0.47307323678586366</v>
      </c>
      <c r="K231" s="445">
        <f t="shared" si="35"/>
        <v>93249000</v>
      </c>
      <c r="L231" s="49"/>
      <c r="M231" s="476"/>
      <c r="N231" s="476"/>
      <c r="O231" s="476"/>
      <c r="P231" s="476"/>
      <c r="Q231" s="476"/>
      <c r="R231" s="476"/>
      <c r="S231" s="476"/>
      <c r="T231" s="476"/>
      <c r="U231" s="476"/>
      <c r="V231" s="476"/>
      <c r="W231" s="476"/>
    </row>
    <row r="232" spans="1:23" ht="11.25" customHeight="1" x14ac:dyDescent="0.2">
      <c r="A232" s="410" t="str">
        <f>'Org structure'!E58</f>
        <v>6,1 - 6.1 - Sport and Recreation</v>
      </c>
      <c r="B232" s="448"/>
      <c r="C232" s="397">
        <v>45843370.681999996</v>
      </c>
      <c r="D232" s="386">
        <v>50249000</v>
      </c>
      <c r="E232" s="387"/>
      <c r="F232" s="475">
        <v>256211.21519999992</v>
      </c>
      <c r="G232" s="387">
        <f>F232+2608150.0032</f>
        <v>2864361.2184000001</v>
      </c>
      <c r="H232" s="475">
        <f t="shared" ref="H232:H241" si="36">D232/12*4</f>
        <v>16749666.666666666</v>
      </c>
      <c r="I232" s="45">
        <f t="shared" si="27"/>
        <v>-13885305.448266666</v>
      </c>
      <c r="J232" s="333">
        <f t="shared" si="28"/>
        <v>-0.8289899569105853</v>
      </c>
      <c r="K232" s="398">
        <f>D232</f>
        <v>50249000</v>
      </c>
      <c r="L232" s="49"/>
      <c r="M232" s="476"/>
      <c r="N232" s="476"/>
      <c r="O232" s="476"/>
      <c r="P232" s="476"/>
      <c r="Q232" s="476"/>
      <c r="R232" s="476"/>
      <c r="S232" s="476"/>
      <c r="T232" s="476"/>
      <c r="U232" s="476"/>
      <c r="V232" s="476"/>
      <c r="W232" s="476"/>
    </row>
    <row r="233" spans="1:23" ht="11.25" customHeight="1" x14ac:dyDescent="0.2">
      <c r="A233" s="410" t="str">
        <f>'Org structure'!E59</f>
        <v>6,2 - 6.2 - Swimming Pools</v>
      </c>
      <c r="B233" s="448"/>
      <c r="C233" s="397"/>
      <c r="D233" s="386"/>
      <c r="E233" s="387"/>
      <c r="F233" s="475"/>
      <c r="G233" s="387"/>
      <c r="H233" s="475">
        <f t="shared" si="36"/>
        <v>0</v>
      </c>
      <c r="I233" s="45">
        <f t="shared" si="27"/>
        <v>0</v>
      </c>
      <c r="J233" s="333" t="str">
        <f t="shared" si="28"/>
        <v/>
      </c>
      <c r="K233" s="398">
        <f t="shared" ref="K233:K241" si="37">D233</f>
        <v>0</v>
      </c>
      <c r="L233" s="49"/>
      <c r="M233" s="476"/>
      <c r="N233" s="476"/>
      <c r="O233" s="476"/>
      <c r="P233" s="476"/>
      <c r="Q233" s="476"/>
      <c r="R233" s="476"/>
      <c r="S233" s="476"/>
      <c r="T233" s="476"/>
      <c r="U233" s="476"/>
      <c r="V233" s="476"/>
      <c r="W233" s="476"/>
    </row>
    <row r="234" spans="1:23" ht="11.25" customHeight="1" x14ac:dyDescent="0.2">
      <c r="A234" s="410" t="str">
        <f>'Org structure'!E60</f>
        <v>6,3 - 6.3 - Facility commercialization</v>
      </c>
      <c r="B234" s="448"/>
      <c r="C234" s="397"/>
      <c r="D234" s="386"/>
      <c r="E234" s="387"/>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
      <c r="A235" s="410" t="str">
        <f>'Org structure'!E61</f>
        <v>6,4 - 6.4 - Civic Centre</v>
      </c>
      <c r="B235" s="448"/>
      <c r="C235" s="397">
        <v>11199112.56452</v>
      </c>
      <c r="D235" s="386"/>
      <c r="E235" s="387"/>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
      <c r="A236" s="410" t="str">
        <f>'Org structure'!E62</f>
        <v>6,5 - 6.5 - Public Toilets</v>
      </c>
      <c r="B236" s="448"/>
      <c r="C236" s="397"/>
      <c r="D236" s="386">
        <v>700000</v>
      </c>
      <c r="E236" s="387"/>
      <c r="F236" s="475"/>
      <c r="G236" s="387"/>
      <c r="H236" s="475">
        <f t="shared" si="36"/>
        <v>233333.33333333334</v>
      </c>
      <c r="I236" s="45">
        <f t="shared" si="27"/>
        <v>-233333.33333333334</v>
      </c>
      <c r="J236" s="333">
        <f t="shared" si="28"/>
        <v>-1</v>
      </c>
      <c r="K236" s="398">
        <f t="shared" si="37"/>
        <v>700000</v>
      </c>
      <c r="L236" s="49"/>
      <c r="M236" s="476"/>
      <c r="N236" s="476"/>
      <c r="O236" s="476"/>
      <c r="P236" s="476"/>
      <c r="Q236" s="476"/>
      <c r="R236" s="476"/>
      <c r="S236" s="476"/>
      <c r="T236" s="476"/>
      <c r="U236" s="476"/>
      <c r="V236" s="476"/>
      <c r="W236" s="476"/>
    </row>
    <row r="237" spans="1:23" ht="11.25" customHeight="1" x14ac:dyDescent="0.2">
      <c r="A237" s="410" t="str">
        <f>'Org structure'!E63</f>
        <v>6,6 - 6.6 - Community centres</v>
      </c>
      <c r="B237" s="448"/>
      <c r="C237" s="962">
        <v>1089377.8896000001</v>
      </c>
      <c r="D237" s="386">
        <v>1400000</v>
      </c>
      <c r="E237" s="387"/>
      <c r="F237" s="475"/>
      <c r="G237" s="387">
        <v>407928.70799999998</v>
      </c>
      <c r="H237" s="475">
        <f t="shared" si="36"/>
        <v>466666.66666666669</v>
      </c>
      <c r="I237" s="45">
        <f t="shared" si="27"/>
        <v>-58737.958666666702</v>
      </c>
      <c r="J237" s="333">
        <f t="shared" si="28"/>
        <v>-0.12586705428571435</v>
      </c>
      <c r="K237" s="398">
        <f t="shared" si="37"/>
        <v>1400000</v>
      </c>
      <c r="L237" s="49"/>
      <c r="M237" s="476"/>
      <c r="N237" s="476"/>
      <c r="O237" s="476"/>
      <c r="P237" s="476"/>
      <c r="Q237" s="476"/>
      <c r="R237" s="476"/>
      <c r="S237" s="476"/>
      <c r="T237" s="476"/>
      <c r="U237" s="476"/>
      <c r="V237" s="476"/>
      <c r="W237" s="476"/>
    </row>
    <row r="238" spans="1:23" ht="11.25" customHeight="1" x14ac:dyDescent="0.2">
      <c r="A238" s="410" t="str">
        <f>'Org structure'!E64</f>
        <v>6,7 - 6.7 - Art Museum</v>
      </c>
      <c r="B238" s="448"/>
      <c r="C238" s="397"/>
      <c r="D238" s="386"/>
      <c r="E238" s="387"/>
      <c r="F238" s="475"/>
      <c r="G238" s="387"/>
      <c r="H238" s="475">
        <f t="shared" si="36"/>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
      <c r="A239" s="410" t="str">
        <f>'Org structure'!E65</f>
        <v>6,8 - 6.8 - Libraries</v>
      </c>
      <c r="B239" s="448"/>
      <c r="C239" s="397">
        <v>943916.16960000002</v>
      </c>
      <c r="D239" s="386">
        <v>3450000</v>
      </c>
      <c r="E239" s="387"/>
      <c r="F239" s="475">
        <v>1004007.5988</v>
      </c>
      <c r="G239" s="387">
        <f>F239</f>
        <v>1004007.5988</v>
      </c>
      <c r="H239" s="475">
        <f t="shared" si="36"/>
        <v>1150000</v>
      </c>
      <c r="I239" s="45">
        <f t="shared" si="27"/>
        <v>-145992.40119999996</v>
      </c>
      <c r="J239" s="333">
        <f t="shared" si="28"/>
        <v>-0.12694991408695649</v>
      </c>
      <c r="K239" s="398">
        <f t="shared" si="37"/>
        <v>3450000</v>
      </c>
      <c r="L239" s="49"/>
      <c r="M239" s="476"/>
      <c r="N239" s="476"/>
      <c r="O239" s="476"/>
      <c r="P239" s="476"/>
      <c r="Q239" s="476"/>
      <c r="R239" s="476"/>
      <c r="S239" s="476"/>
      <c r="T239" s="476"/>
      <c r="U239" s="476"/>
      <c r="V239" s="476"/>
      <c r="W239" s="476"/>
    </row>
    <row r="240" spans="1:23" ht="11.25" customHeight="1" x14ac:dyDescent="0.2">
      <c r="A240" s="410" t="str">
        <f>'Org structure'!E66</f>
        <v>6,9 - 6.9 - Museums</v>
      </c>
      <c r="B240" s="448"/>
      <c r="C240" s="397"/>
      <c r="D240" s="386">
        <v>800000</v>
      </c>
      <c r="E240" s="387"/>
      <c r="F240" s="475"/>
      <c r="G240" s="387">
        <v>68709.225000000006</v>
      </c>
      <c r="H240" s="475">
        <f t="shared" si="36"/>
        <v>266666.66666666669</v>
      </c>
      <c r="I240" s="45">
        <f t="shared" si="27"/>
        <v>-197957.44166666668</v>
      </c>
      <c r="J240" s="333">
        <f t="shared" si="28"/>
        <v>-0.74234040624999997</v>
      </c>
      <c r="K240" s="398">
        <f t="shared" si="37"/>
        <v>800000</v>
      </c>
      <c r="L240" s="49"/>
      <c r="M240" s="476"/>
      <c r="N240" s="476"/>
      <c r="O240" s="476"/>
      <c r="P240" s="476"/>
      <c r="Q240" s="476"/>
      <c r="R240" s="476"/>
      <c r="S240" s="476"/>
      <c r="T240" s="476"/>
      <c r="U240" s="476"/>
      <c r="V240" s="476"/>
      <c r="W240" s="476"/>
    </row>
    <row r="241" spans="1:23" ht="11.25" customHeight="1" x14ac:dyDescent="0.2">
      <c r="A241" s="410" t="str">
        <f>'Org structure'!E67</f>
        <v>6.10 - 6.10 - Other Community Development</v>
      </c>
      <c r="B241" s="448"/>
      <c r="C241" s="397">
        <v>13929948.4998</v>
      </c>
      <c r="D241" s="386">
        <v>36650000</v>
      </c>
      <c r="E241" s="387"/>
      <c r="F241" s="475">
        <v>2145676.0458</v>
      </c>
      <c r="G241" s="387">
        <f>F241+9887781.784985</f>
        <v>12033457.830785001</v>
      </c>
      <c r="H241" s="475">
        <f t="shared" si="36"/>
        <v>12216666.666666666</v>
      </c>
      <c r="I241" s="45">
        <f t="shared" si="27"/>
        <v>-183208.83588166535</v>
      </c>
      <c r="J241" s="333">
        <f t="shared" si="28"/>
        <v>-1.4996630495088569E-2</v>
      </c>
      <c r="K241" s="398">
        <f t="shared" si="37"/>
        <v>36650000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38">SUM(C243:C252)</f>
        <v>1349371.8186000001</v>
      </c>
      <c r="D242" s="447">
        <f t="shared" si="38"/>
        <v>43750000</v>
      </c>
      <c r="E242" s="444">
        <f t="shared" si="38"/>
        <v>0</v>
      </c>
      <c r="F242" s="446">
        <f t="shared" si="38"/>
        <v>3365987.9627999989</v>
      </c>
      <c r="G242" s="444">
        <f t="shared" si="38"/>
        <v>15069510.962799998</v>
      </c>
      <c r="H242" s="446">
        <f t="shared" si="38"/>
        <v>14583333.333333332</v>
      </c>
      <c r="I242" s="45">
        <f t="shared" si="27"/>
        <v>486177.62946666591</v>
      </c>
      <c r="J242" s="333">
        <f t="shared" si="28"/>
        <v>3.3337894591999949E-2</v>
      </c>
      <c r="K242" s="445">
        <f t="shared" si="38"/>
        <v>43750000</v>
      </c>
      <c r="L242" s="49"/>
      <c r="M242" s="476"/>
      <c r="N242" s="476"/>
      <c r="O242" s="476"/>
      <c r="P242" s="476"/>
      <c r="Q242" s="476"/>
      <c r="R242" s="476"/>
      <c r="S242" s="476"/>
      <c r="T242" s="476"/>
      <c r="U242" s="476"/>
      <c r="V242" s="476"/>
      <c r="W242" s="476"/>
    </row>
    <row r="243" spans="1:23" ht="11.25" customHeight="1" x14ac:dyDescent="0.2">
      <c r="A243" s="410" t="str">
        <f>'Org structure'!E69</f>
        <v>7,1 - 7.1 - Information Services</v>
      </c>
      <c r="B243" s="448"/>
      <c r="C243" s="397">
        <v>1349371.8186000001</v>
      </c>
      <c r="D243" s="386">
        <v>8750000</v>
      </c>
      <c r="E243" s="387"/>
      <c r="F243" s="967">
        <v>743488.1298</v>
      </c>
      <c r="G243" s="387">
        <f>F243+360397</f>
        <v>1103885.1298</v>
      </c>
      <c r="H243" s="475">
        <f t="shared" ref="H243:H252" si="39">D243/12*4</f>
        <v>2916666.6666666665</v>
      </c>
      <c r="I243" s="45">
        <f t="shared" si="27"/>
        <v>-1812781.5368666665</v>
      </c>
      <c r="J243" s="333">
        <f t="shared" si="28"/>
        <v>-0.62152509835428571</v>
      </c>
      <c r="K243" s="398">
        <f>D243</f>
        <v>8750000</v>
      </c>
      <c r="L243" s="49"/>
      <c r="M243" s="476"/>
      <c r="N243" s="476"/>
      <c r="O243" s="476"/>
      <c r="P243" s="476"/>
      <c r="Q243" s="476"/>
      <c r="R243" s="476"/>
      <c r="S243" s="476"/>
      <c r="T243" s="476"/>
      <c r="U243" s="476"/>
      <c r="V243" s="476"/>
      <c r="W243" s="476"/>
    </row>
    <row r="244" spans="1:23" ht="11.25" customHeight="1" x14ac:dyDescent="0.2">
      <c r="A244" s="410" t="str">
        <f>'Org structure'!E70</f>
        <v>7,2 - 7.2 - Organisational Development</v>
      </c>
      <c r="B244" s="448"/>
      <c r="C244" s="397"/>
      <c r="D244" s="386"/>
      <c r="E244" s="387"/>
      <c r="F244" s="475"/>
      <c r="G244" s="387"/>
      <c r="H244" s="475">
        <f t="shared" si="39"/>
        <v>0</v>
      </c>
      <c r="I244" s="45">
        <f t="shared" si="27"/>
        <v>0</v>
      </c>
      <c r="J244" s="333" t="str">
        <f t="shared" si="28"/>
        <v/>
      </c>
      <c r="K244" s="398">
        <f t="shared" ref="K244:K252" si="40">D244</f>
        <v>0</v>
      </c>
      <c r="L244" s="49"/>
      <c r="M244" s="476"/>
      <c r="N244" s="476"/>
      <c r="O244" s="476"/>
      <c r="P244" s="476"/>
      <c r="Q244" s="476"/>
      <c r="R244" s="476"/>
      <c r="S244" s="476"/>
      <c r="T244" s="476"/>
      <c r="U244" s="476"/>
      <c r="V244" s="476"/>
      <c r="W244" s="476"/>
    </row>
    <row r="245" spans="1:23" ht="11.25" customHeight="1" x14ac:dyDescent="0.2">
      <c r="A245" s="410" t="str">
        <f>'Org structure'!E71</f>
        <v>7,3 - 7.3 - Personnel</v>
      </c>
      <c r="B245" s="448"/>
      <c r="C245" s="397"/>
      <c r="D245" s="386"/>
      <c r="E245" s="387"/>
      <c r="F245" s="475"/>
      <c r="G245" s="387"/>
      <c r="H245" s="475">
        <f t="shared" si="39"/>
        <v>0</v>
      </c>
      <c r="I245" s="45">
        <f t="shared" si="27"/>
        <v>0</v>
      </c>
      <c r="J245" s="333" t="str">
        <f t="shared" si="28"/>
        <v/>
      </c>
      <c r="K245" s="398">
        <f t="shared" si="40"/>
        <v>0</v>
      </c>
      <c r="L245" s="49"/>
      <c r="M245" s="476"/>
      <c r="N245" s="476"/>
      <c r="O245" s="476"/>
      <c r="P245" s="476"/>
      <c r="Q245" s="476"/>
      <c r="R245" s="476"/>
      <c r="S245" s="476"/>
      <c r="T245" s="476"/>
      <c r="U245" s="476"/>
      <c r="V245" s="476"/>
      <c r="W245" s="476"/>
    </row>
    <row r="246" spans="1:23" ht="11.25" customHeight="1" x14ac:dyDescent="0.2">
      <c r="A246" s="410" t="str">
        <f>'Org structure'!E72</f>
        <v>7,4 - 7.4 - Training and Skills Development</v>
      </c>
      <c r="B246" s="448"/>
      <c r="C246" s="397"/>
      <c r="D246" s="386"/>
      <c r="E246" s="387"/>
      <c r="F246" s="475"/>
      <c r="G246" s="387"/>
      <c r="H246" s="475">
        <f t="shared" si="39"/>
        <v>0</v>
      </c>
      <c r="I246" s="45">
        <f t="shared" si="27"/>
        <v>0</v>
      </c>
      <c r="J246" s="333" t="str">
        <f t="shared" si="28"/>
        <v/>
      </c>
      <c r="K246" s="398">
        <f t="shared" si="40"/>
        <v>0</v>
      </c>
      <c r="L246" s="49"/>
      <c r="M246" s="476"/>
      <c r="N246" s="476"/>
      <c r="O246" s="476"/>
      <c r="P246" s="476"/>
      <c r="Q246" s="476"/>
      <c r="R246" s="476"/>
      <c r="S246" s="476"/>
      <c r="T246" s="476"/>
      <c r="U246" s="476"/>
      <c r="V246" s="476"/>
      <c r="W246" s="476"/>
    </row>
    <row r="247" spans="1:23" ht="11.25" customHeight="1" x14ac:dyDescent="0.2">
      <c r="A247" s="410" t="str">
        <f>'Org structure'!E73</f>
        <v>7,5 - 7.5 - Occupational Health and Safety</v>
      </c>
      <c r="B247" s="448"/>
      <c r="C247" s="397"/>
      <c r="D247" s="386"/>
      <c r="E247" s="387"/>
      <c r="F247" s="475"/>
      <c r="G247" s="387"/>
      <c r="H247" s="475">
        <f t="shared" si="39"/>
        <v>0</v>
      </c>
      <c r="I247" s="45">
        <f t="shared" si="27"/>
        <v>0</v>
      </c>
      <c r="J247" s="333" t="str">
        <f t="shared" si="28"/>
        <v/>
      </c>
      <c r="K247" s="398">
        <f t="shared" si="40"/>
        <v>0</v>
      </c>
      <c r="L247" s="49"/>
      <c r="M247" s="476"/>
      <c r="N247" s="476"/>
      <c r="O247" s="476"/>
      <c r="P247" s="476"/>
      <c r="Q247" s="476"/>
      <c r="R247" s="476"/>
      <c r="S247" s="476"/>
      <c r="T247" s="476"/>
      <c r="U247" s="476"/>
      <c r="V247" s="476"/>
      <c r="W247" s="476"/>
    </row>
    <row r="248" spans="1:23" ht="11.25" customHeight="1" x14ac:dyDescent="0.2">
      <c r="A248" s="410" t="str">
        <f>'Org structure'!E74</f>
        <v>7,6 - 7.6 - Legal Services</v>
      </c>
      <c r="B248" s="448"/>
      <c r="C248" s="397"/>
      <c r="D248" s="386"/>
      <c r="E248" s="387"/>
      <c r="F248" s="475"/>
      <c r="G248" s="387"/>
      <c r="H248" s="475">
        <f t="shared" si="39"/>
        <v>0</v>
      </c>
      <c r="I248" s="45">
        <f t="shared" si="27"/>
        <v>0</v>
      </c>
      <c r="J248" s="333" t="str">
        <f t="shared" si="28"/>
        <v/>
      </c>
      <c r="K248" s="398">
        <f t="shared" si="40"/>
        <v>0</v>
      </c>
      <c r="L248" s="49"/>
      <c r="M248" s="476"/>
      <c r="N248" s="476"/>
      <c r="O248" s="476"/>
      <c r="P248" s="476"/>
      <c r="Q248" s="476"/>
      <c r="R248" s="476"/>
      <c r="S248" s="476"/>
      <c r="T248" s="476"/>
      <c r="U248" s="476"/>
      <c r="V248" s="476"/>
      <c r="W248" s="476"/>
    </row>
    <row r="249" spans="1:23" ht="11.25" customHeight="1" x14ac:dyDescent="0.2">
      <c r="A249" s="410" t="str">
        <f>'Org structure'!E75</f>
        <v>7,7 - 7.7 - Secretariat</v>
      </c>
      <c r="B249" s="448"/>
      <c r="C249" s="397"/>
      <c r="D249" s="386"/>
      <c r="E249" s="387"/>
      <c r="F249" s="475"/>
      <c r="G249" s="387"/>
      <c r="H249" s="475">
        <f t="shared" si="39"/>
        <v>0</v>
      </c>
      <c r="I249" s="45">
        <f t="shared" si="27"/>
        <v>0</v>
      </c>
      <c r="J249" s="333" t="str">
        <f t="shared" si="28"/>
        <v/>
      </c>
      <c r="K249" s="398">
        <f t="shared" si="40"/>
        <v>0</v>
      </c>
      <c r="L249" s="49"/>
      <c r="M249" s="476"/>
      <c r="N249" s="476"/>
      <c r="O249" s="476"/>
      <c r="P249" s="476"/>
      <c r="Q249" s="476"/>
      <c r="R249" s="476"/>
      <c r="S249" s="476"/>
      <c r="T249" s="476"/>
      <c r="U249" s="476"/>
      <c r="V249" s="476"/>
      <c r="W249" s="476"/>
    </row>
    <row r="250" spans="1:23" ht="11.25" customHeight="1" x14ac:dyDescent="0.2">
      <c r="A250" s="410" t="str">
        <f>'Org structure'!E76</f>
        <v>7,8 - 7.8 - Mechanical Workshop</v>
      </c>
      <c r="B250" s="448"/>
      <c r="C250" s="397"/>
      <c r="D250" s="386"/>
      <c r="E250" s="387"/>
      <c r="F250" s="475"/>
      <c r="G250" s="387"/>
      <c r="H250" s="475">
        <f t="shared" si="39"/>
        <v>0</v>
      </c>
      <c r="I250" s="45">
        <f t="shared" si="27"/>
        <v>0</v>
      </c>
      <c r="J250" s="333" t="str">
        <f t="shared" si="28"/>
        <v/>
      </c>
      <c r="K250" s="398">
        <f t="shared" si="40"/>
        <v>0</v>
      </c>
      <c r="L250" s="49"/>
      <c r="M250" s="476"/>
      <c r="N250" s="476"/>
      <c r="O250" s="476"/>
      <c r="P250" s="476"/>
      <c r="Q250" s="476"/>
      <c r="R250" s="476"/>
      <c r="S250" s="476"/>
      <c r="T250" s="476"/>
      <c r="U250" s="476"/>
      <c r="V250" s="476"/>
      <c r="W250" s="476"/>
    </row>
    <row r="251" spans="1:23" ht="11.25" customHeight="1" x14ac:dyDescent="0.2">
      <c r="A251" s="410" t="str">
        <f>'Org structure'!E77</f>
        <v>7,9 - 7.9 - Fleet Management</v>
      </c>
      <c r="B251" s="448"/>
      <c r="C251" s="397"/>
      <c r="D251" s="386">
        <v>35000000</v>
      </c>
      <c r="E251" s="387"/>
      <c r="F251" s="475">
        <v>2622499.8329999992</v>
      </c>
      <c r="G251" s="387">
        <f>F251+11343126</f>
        <v>13965625.832999999</v>
      </c>
      <c r="H251" s="475">
        <f t="shared" si="39"/>
        <v>11666666.666666666</v>
      </c>
      <c r="I251" s="45">
        <f t="shared" si="27"/>
        <v>2298959.1663333327</v>
      </c>
      <c r="J251" s="333">
        <f t="shared" si="28"/>
        <v>0.19705364282857138</v>
      </c>
      <c r="K251" s="398">
        <f t="shared" si="40"/>
        <v>35000000</v>
      </c>
      <c r="L251" s="49"/>
      <c r="M251" s="476"/>
      <c r="N251" s="476"/>
      <c r="O251" s="476"/>
      <c r="P251" s="476"/>
      <c r="Q251" s="476"/>
      <c r="R251" s="476"/>
      <c r="S251" s="476"/>
      <c r="T251" s="476"/>
      <c r="U251" s="476"/>
      <c r="V251" s="476"/>
      <c r="W251" s="476"/>
    </row>
    <row r="252" spans="1:23" ht="11.25" customHeight="1" x14ac:dyDescent="0.2">
      <c r="A252" s="410" t="str">
        <f>'Org structure'!E78</f>
        <v>7.10 - 7.10 - Other Corporate and Shared services</v>
      </c>
      <c r="B252" s="448"/>
      <c r="C252" s="397"/>
      <c r="D252" s="386"/>
      <c r="E252" s="387"/>
      <c r="F252" s="475"/>
      <c r="G252" s="387"/>
      <c r="H252" s="475">
        <f t="shared" si="39"/>
        <v>0</v>
      </c>
      <c r="I252" s="45">
        <f t="shared" si="27"/>
        <v>0</v>
      </c>
      <c r="J252" s="333" t="str">
        <f t="shared" si="28"/>
        <v/>
      </c>
      <c r="K252" s="398">
        <f t="shared" si="40"/>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41">SUM(C254:C263)</f>
        <v>1136692.6206</v>
      </c>
      <c r="D253" s="447">
        <f t="shared" si="41"/>
        <v>10000000</v>
      </c>
      <c r="E253" s="444">
        <f t="shared" si="41"/>
        <v>0</v>
      </c>
      <c r="F253" s="446">
        <f t="shared" si="41"/>
        <v>898125.32220000005</v>
      </c>
      <c r="G253" s="444">
        <f t="shared" si="41"/>
        <v>898125.32220000005</v>
      </c>
      <c r="H253" s="446">
        <f t="shared" si="41"/>
        <v>3333333.333333333</v>
      </c>
      <c r="I253" s="45">
        <f t="shared" si="27"/>
        <v>-2435208.0111333327</v>
      </c>
      <c r="J253" s="333">
        <f t="shared" si="28"/>
        <v>-0.73056240333999989</v>
      </c>
      <c r="K253" s="445">
        <f t="shared" si="41"/>
        <v>10000000</v>
      </c>
      <c r="L253" s="49"/>
      <c r="M253" s="476"/>
      <c r="N253" s="476"/>
      <c r="O253" s="476"/>
      <c r="P253" s="476"/>
      <c r="Q253" s="476"/>
      <c r="R253" s="476"/>
      <c r="S253" s="476"/>
      <c r="T253" s="476"/>
      <c r="U253" s="476"/>
      <c r="V253" s="476"/>
      <c r="W253" s="476"/>
    </row>
    <row r="254" spans="1:23" ht="11.25" customHeight="1" x14ac:dyDescent="0.2">
      <c r="A254" s="410" t="str">
        <f>'Org structure'!E80</f>
        <v>8,1 - 8.1 - Landuse Management</v>
      </c>
      <c r="B254" s="448"/>
      <c r="C254" s="397">
        <v>362499.08100000001</v>
      </c>
      <c r="D254" s="386">
        <v>8000000</v>
      </c>
      <c r="E254" s="387"/>
      <c r="F254" s="475"/>
      <c r="G254" s="387"/>
      <c r="H254" s="475">
        <f t="shared" ref="H254:H263" si="42">D254/12*4</f>
        <v>2666666.6666666665</v>
      </c>
      <c r="I254" s="45">
        <f t="shared" si="27"/>
        <v>-2666666.6666666665</v>
      </c>
      <c r="J254" s="333">
        <f t="shared" si="28"/>
        <v>-1</v>
      </c>
      <c r="K254" s="398">
        <f>D254</f>
        <v>8000000</v>
      </c>
      <c r="L254" s="49"/>
      <c r="M254" s="476"/>
      <c r="N254" s="476"/>
      <c r="O254" s="476"/>
      <c r="P254" s="476"/>
      <c r="Q254" s="476"/>
      <c r="R254" s="476"/>
      <c r="S254" s="476"/>
      <c r="T254" s="476"/>
      <c r="U254" s="476"/>
      <c r="V254" s="476"/>
      <c r="W254" s="476"/>
    </row>
    <row r="255" spans="1:23" ht="11.25" customHeight="1" x14ac:dyDescent="0.2">
      <c r="A255" s="410" t="str">
        <f>'Org structure'!E81</f>
        <v>8,2 - 8.2 - Spatial Planning</v>
      </c>
      <c r="B255" s="448"/>
      <c r="C255" s="397"/>
      <c r="D255" s="386"/>
      <c r="E255" s="387"/>
      <c r="F255" s="475"/>
      <c r="G255" s="387"/>
      <c r="H255" s="475">
        <f t="shared" si="42"/>
        <v>0</v>
      </c>
      <c r="I255" s="45">
        <f t="shared" si="27"/>
        <v>0</v>
      </c>
      <c r="J255" s="333" t="str">
        <f t="shared" si="28"/>
        <v/>
      </c>
      <c r="K255" s="398">
        <f t="shared" ref="K255:K263" si="43">D255</f>
        <v>0</v>
      </c>
      <c r="L255" s="49"/>
      <c r="M255" s="476"/>
      <c r="N255" s="476"/>
      <c r="O255" s="476"/>
      <c r="P255" s="476"/>
      <c r="Q255" s="476"/>
      <c r="R255" s="476"/>
      <c r="S255" s="476"/>
      <c r="T255" s="476"/>
      <c r="U255" s="476"/>
      <c r="V255" s="476"/>
      <c r="W255" s="476"/>
    </row>
    <row r="256" spans="1:23" ht="11.25" customHeight="1" x14ac:dyDescent="0.2">
      <c r="A256" s="410" t="str">
        <f>'Org structure'!E82</f>
        <v>8,2 - 8.2 - Spatial Planning</v>
      </c>
      <c r="B256" s="448"/>
      <c r="C256" s="397"/>
      <c r="D256" s="386"/>
      <c r="E256" s="387"/>
      <c r="F256" s="475"/>
      <c r="G256" s="387"/>
      <c r="H256" s="475">
        <f t="shared" si="42"/>
        <v>0</v>
      </c>
      <c r="I256" s="45">
        <f t="shared" si="27"/>
        <v>0</v>
      </c>
      <c r="J256" s="333" t="str">
        <f t="shared" si="28"/>
        <v/>
      </c>
      <c r="K256" s="398">
        <f t="shared" si="43"/>
        <v>0</v>
      </c>
      <c r="L256" s="49"/>
      <c r="M256" s="476"/>
      <c r="N256" s="476"/>
      <c r="O256" s="476"/>
      <c r="P256" s="476"/>
      <c r="Q256" s="476"/>
      <c r="R256" s="476"/>
      <c r="S256" s="476"/>
      <c r="T256" s="476"/>
      <c r="U256" s="476"/>
      <c r="V256" s="476"/>
      <c r="W256" s="476"/>
    </row>
    <row r="257" spans="1:23" ht="11.25" customHeight="1" x14ac:dyDescent="0.2">
      <c r="A257" s="410" t="str">
        <f>'Org structure'!E83</f>
        <v>8,4 - 8.4 - Transport Operations</v>
      </c>
      <c r="B257" s="448"/>
      <c r="C257" s="397"/>
      <c r="D257" s="386"/>
      <c r="E257" s="387"/>
      <c r="F257" s="475"/>
      <c r="G257" s="387"/>
      <c r="H257" s="475">
        <f t="shared" si="42"/>
        <v>0</v>
      </c>
      <c r="I257" s="45">
        <f t="shared" si="27"/>
        <v>0</v>
      </c>
      <c r="J257" s="333" t="str">
        <f t="shared" si="28"/>
        <v/>
      </c>
      <c r="K257" s="398">
        <f t="shared" si="43"/>
        <v>0</v>
      </c>
      <c r="L257" s="49"/>
      <c r="M257" s="476"/>
      <c r="N257" s="476"/>
      <c r="O257" s="476"/>
      <c r="P257" s="476"/>
      <c r="Q257" s="476"/>
      <c r="R257" s="476"/>
      <c r="S257" s="476"/>
      <c r="T257" s="476"/>
      <c r="U257" s="476"/>
      <c r="V257" s="476"/>
      <c r="W257" s="476"/>
    </row>
    <row r="258" spans="1:23" ht="11.25" customHeight="1" x14ac:dyDescent="0.2">
      <c r="A258" s="410" t="str">
        <f>'Org structure'!E84</f>
        <v>8,5 - 8.5 - Housing</v>
      </c>
      <c r="B258" s="448"/>
      <c r="C258" s="397"/>
      <c r="D258" s="386"/>
      <c r="E258" s="387"/>
      <c r="F258" s="475"/>
      <c r="G258" s="387"/>
      <c r="H258" s="475">
        <f t="shared" si="42"/>
        <v>0</v>
      </c>
      <c r="I258" s="45">
        <f t="shared" si="27"/>
        <v>0</v>
      </c>
      <c r="J258" s="333" t="str">
        <f t="shared" si="28"/>
        <v/>
      </c>
      <c r="K258" s="398">
        <f t="shared" si="43"/>
        <v>0</v>
      </c>
      <c r="L258" s="49"/>
      <c r="M258" s="476"/>
      <c r="N258" s="476"/>
      <c r="O258" s="476"/>
      <c r="P258" s="476"/>
      <c r="Q258" s="476"/>
      <c r="R258" s="476"/>
      <c r="S258" s="476"/>
      <c r="T258" s="476"/>
      <c r="U258" s="476"/>
      <c r="V258" s="476"/>
      <c r="W258" s="476"/>
    </row>
    <row r="259" spans="1:23" ht="11.25" customHeight="1" x14ac:dyDescent="0.2">
      <c r="A259" s="410" t="str">
        <f>'Org structure'!E85</f>
        <v>8,6 - 8.6 - Building Inspectorate</v>
      </c>
      <c r="B259" s="448"/>
      <c r="C259" s="397"/>
      <c r="D259" s="386"/>
      <c r="E259" s="387"/>
      <c r="F259" s="475"/>
      <c r="G259" s="387"/>
      <c r="H259" s="475">
        <f t="shared" si="42"/>
        <v>0</v>
      </c>
      <c r="I259" s="45">
        <f t="shared" si="27"/>
        <v>0</v>
      </c>
      <c r="J259" s="333" t="str">
        <f t="shared" si="28"/>
        <v/>
      </c>
      <c r="K259" s="398">
        <f t="shared" si="43"/>
        <v>0</v>
      </c>
      <c r="L259" s="49"/>
      <c r="M259" s="476"/>
      <c r="N259" s="476"/>
      <c r="O259" s="476"/>
      <c r="P259" s="476"/>
      <c r="Q259" s="476"/>
      <c r="R259" s="476"/>
      <c r="S259" s="476"/>
      <c r="T259" s="476"/>
      <c r="U259" s="476"/>
      <c r="V259" s="476"/>
      <c r="W259" s="476"/>
    </row>
    <row r="260" spans="1:23" ht="11.25" customHeight="1" x14ac:dyDescent="0.2">
      <c r="A260" s="410" t="str">
        <f>'Org structure'!E86</f>
        <v>8,7 - 8.7 - Enterprise Development</v>
      </c>
      <c r="B260" s="448"/>
      <c r="C260" s="397"/>
      <c r="D260" s="386"/>
      <c r="E260" s="387"/>
      <c r="F260" s="475"/>
      <c r="G260" s="387"/>
      <c r="H260" s="475">
        <f t="shared" si="42"/>
        <v>0</v>
      </c>
      <c r="I260" s="45">
        <f t="shared" si="27"/>
        <v>0</v>
      </c>
      <c r="J260" s="333" t="str">
        <f t="shared" si="28"/>
        <v/>
      </c>
      <c r="K260" s="398">
        <f t="shared" si="43"/>
        <v>0</v>
      </c>
      <c r="L260" s="49"/>
      <c r="M260" s="476"/>
      <c r="N260" s="476"/>
      <c r="O260" s="476"/>
      <c r="P260" s="476"/>
      <c r="Q260" s="476"/>
      <c r="R260" s="476"/>
      <c r="S260" s="476"/>
      <c r="T260" s="476"/>
      <c r="U260" s="476"/>
      <c r="V260" s="476"/>
      <c r="W260" s="476"/>
    </row>
    <row r="261" spans="1:23" ht="11.25" customHeight="1" x14ac:dyDescent="0.2">
      <c r="A261" s="410" t="str">
        <f>'Org structure'!E87</f>
        <v>8,8 - 8.8 - Investment Promotion and Tourism</v>
      </c>
      <c r="B261" s="448"/>
      <c r="C261" s="397"/>
      <c r="D261" s="386"/>
      <c r="E261" s="387"/>
      <c r="F261" s="475"/>
      <c r="G261" s="387"/>
      <c r="H261" s="475">
        <f t="shared" si="42"/>
        <v>0</v>
      </c>
      <c r="I261" s="45">
        <f t="shared" si="27"/>
        <v>0</v>
      </c>
      <c r="J261" s="333" t="str">
        <f t="shared" si="28"/>
        <v/>
      </c>
      <c r="K261" s="398">
        <f t="shared" si="43"/>
        <v>0</v>
      </c>
      <c r="L261" s="49"/>
      <c r="M261" s="476"/>
      <c r="N261" s="476"/>
      <c r="O261" s="476"/>
      <c r="P261" s="476"/>
      <c r="Q261" s="476"/>
      <c r="R261" s="476"/>
      <c r="S261" s="476"/>
      <c r="T261" s="476"/>
      <c r="U261" s="476"/>
      <c r="V261" s="476"/>
      <c r="W261" s="476"/>
    </row>
    <row r="262" spans="1:23" ht="11.25" customHeight="1" x14ac:dyDescent="0.2">
      <c r="A262" s="410" t="str">
        <f>'Org structure'!E88</f>
        <v>8,9 - 8.9 - Economic Planning and Development</v>
      </c>
      <c r="B262" s="448"/>
      <c r="C262" s="397">
        <v>774193.53960000002</v>
      </c>
      <c r="D262" s="386">
        <v>2000000</v>
      </c>
      <c r="E262" s="387"/>
      <c r="F262" s="973">
        <v>898125.32220000005</v>
      </c>
      <c r="G262" s="387">
        <f>F262</f>
        <v>898125.32220000005</v>
      </c>
      <c r="H262" s="475">
        <f t="shared" si="42"/>
        <v>666666.66666666663</v>
      </c>
      <c r="I262" s="45">
        <f t="shared" si="27"/>
        <v>231458.65553333343</v>
      </c>
      <c r="J262" s="333">
        <f t="shared" si="28"/>
        <v>0.34718798330000017</v>
      </c>
      <c r="K262" s="398">
        <f t="shared" si="43"/>
        <v>2000000</v>
      </c>
      <c r="L262" s="49"/>
      <c r="M262" s="476"/>
      <c r="N262" s="476"/>
      <c r="O262" s="476"/>
      <c r="P262" s="476"/>
      <c r="Q262" s="476"/>
      <c r="R262" s="476"/>
      <c r="S262" s="476"/>
      <c r="T262" s="476"/>
      <c r="U262" s="476"/>
      <c r="V262" s="476"/>
      <c r="W262" s="476"/>
    </row>
    <row r="263" spans="1:23" ht="11.25" customHeight="1" x14ac:dyDescent="0.2">
      <c r="A263" s="410" t="str">
        <f>'Org structure'!E89</f>
        <v>8.10 - 8.10 - Other Planning and Economic Development</v>
      </c>
      <c r="B263" s="448"/>
      <c r="C263" s="397"/>
      <c r="D263" s="386"/>
      <c r="E263" s="387"/>
      <c r="F263" s="475"/>
      <c r="G263" s="387"/>
      <c r="H263" s="475">
        <f t="shared" si="42"/>
        <v>0</v>
      </c>
      <c r="I263" s="45">
        <f t="shared" si="27"/>
        <v>0</v>
      </c>
      <c r="J263" s="333" t="str">
        <f t="shared" si="28"/>
        <v/>
      </c>
      <c r="K263" s="398">
        <f t="shared" si="43"/>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44">SUM(C265:C274)</f>
        <v>7503421.118999999</v>
      </c>
      <c r="D264" s="447">
        <f t="shared" si="44"/>
        <v>6151000</v>
      </c>
      <c r="E264" s="444">
        <f t="shared" si="44"/>
        <v>0</v>
      </c>
      <c r="F264" s="446">
        <f t="shared" si="44"/>
        <v>0</v>
      </c>
      <c r="G264" s="444">
        <f t="shared" si="44"/>
        <v>0</v>
      </c>
      <c r="H264" s="446">
        <f t="shared" si="44"/>
        <v>2050333.3333333333</v>
      </c>
      <c r="I264" s="45">
        <f t="shared" ref="I264:I327" si="45">G264-H264</f>
        <v>-2050333.3333333333</v>
      </c>
      <c r="J264" s="333">
        <f t="shared" ref="J264:J327" si="46">IF(I264=0,"",I264/H264)</f>
        <v>-1</v>
      </c>
      <c r="K264" s="445">
        <f t="shared" si="44"/>
        <v>6151000</v>
      </c>
      <c r="L264" s="49"/>
      <c r="M264" s="476"/>
      <c r="N264" s="476"/>
      <c r="O264" s="476"/>
      <c r="P264" s="476"/>
      <c r="Q264" s="476"/>
      <c r="R264" s="476"/>
      <c r="S264" s="476"/>
      <c r="T264" s="476"/>
      <c r="U264" s="476"/>
      <c r="V264" s="476"/>
      <c r="W264" s="476"/>
    </row>
    <row r="265" spans="1:23" ht="11.25" customHeight="1" x14ac:dyDescent="0.2">
      <c r="A265" s="410" t="str">
        <f>'Org structure'!E91</f>
        <v>9,1 - Chief Financial Officer</v>
      </c>
      <c r="B265" s="448"/>
      <c r="C265" s="397"/>
      <c r="D265" s="386"/>
      <c r="E265" s="387"/>
      <c r="F265" s="475"/>
      <c r="G265" s="387"/>
      <c r="H265" s="475">
        <f t="shared" ref="H265:H274" si="47">D265/12*4</f>
        <v>0</v>
      </c>
      <c r="I265" s="45">
        <f t="shared" si="45"/>
        <v>0</v>
      </c>
      <c r="J265" s="333" t="str">
        <f t="shared" si="46"/>
        <v/>
      </c>
      <c r="K265" s="398">
        <f>D265</f>
        <v>0</v>
      </c>
      <c r="L265" s="49"/>
      <c r="M265" s="476"/>
      <c r="N265" s="476"/>
      <c r="O265" s="476"/>
      <c r="P265" s="476"/>
      <c r="Q265" s="476"/>
      <c r="R265" s="476"/>
      <c r="S265" s="476"/>
      <c r="T265" s="476"/>
      <c r="U265" s="476"/>
      <c r="V265" s="476"/>
      <c r="W265" s="476"/>
    </row>
    <row r="266" spans="1:23" ht="11.25" customHeight="1" x14ac:dyDescent="0.2">
      <c r="A266" s="410" t="str">
        <f>'Org structure'!E92</f>
        <v>9,2 - Inter Govenmental Transfers</v>
      </c>
      <c r="B266" s="448"/>
      <c r="C266" s="397"/>
      <c r="D266" s="386"/>
      <c r="E266" s="387"/>
      <c r="F266" s="475"/>
      <c r="G266" s="387"/>
      <c r="H266" s="475">
        <f t="shared" si="47"/>
        <v>0</v>
      </c>
      <c r="I266" s="45">
        <f t="shared" si="45"/>
        <v>0</v>
      </c>
      <c r="J266" s="333" t="str">
        <f t="shared" si="46"/>
        <v/>
      </c>
      <c r="K266" s="398">
        <f t="shared" ref="K266:K274" si="48">D266</f>
        <v>0</v>
      </c>
      <c r="L266" s="49"/>
      <c r="M266" s="476"/>
      <c r="N266" s="476"/>
      <c r="O266" s="476"/>
      <c r="P266" s="476"/>
      <c r="Q266" s="476"/>
      <c r="R266" s="476"/>
      <c r="S266" s="476"/>
      <c r="T266" s="476"/>
      <c r="U266" s="476"/>
      <c r="V266" s="476"/>
      <c r="W266" s="476"/>
    </row>
    <row r="267" spans="1:23" ht="11.25" customHeight="1" x14ac:dyDescent="0.2">
      <c r="A267" s="410" t="str">
        <f>'Org structure'!E93</f>
        <v>9,3 - Budget and Treasury</v>
      </c>
      <c r="B267" s="448"/>
      <c r="C267" s="961">
        <v>517418.30940000003</v>
      </c>
      <c r="D267" s="386">
        <v>6151000</v>
      </c>
      <c r="E267" s="387"/>
      <c r="F267" s="475"/>
      <c r="G267" s="387"/>
      <c r="H267" s="475">
        <f t="shared" si="47"/>
        <v>2050333.3333333333</v>
      </c>
      <c r="I267" s="45">
        <f t="shared" si="45"/>
        <v>-2050333.3333333333</v>
      </c>
      <c r="J267" s="333">
        <f t="shared" si="46"/>
        <v>-1</v>
      </c>
      <c r="K267" s="398">
        <f t="shared" si="48"/>
        <v>6151000</v>
      </c>
      <c r="L267" s="49"/>
      <c r="M267" s="476"/>
      <c r="N267" s="476"/>
      <c r="O267" s="476"/>
      <c r="P267" s="476"/>
      <c r="Q267" s="476"/>
      <c r="R267" s="476"/>
      <c r="S267" s="476"/>
      <c r="T267" s="476"/>
      <c r="U267" s="476"/>
      <c r="V267" s="476"/>
      <c r="W267" s="476"/>
    </row>
    <row r="268" spans="1:23" ht="11.25" customHeight="1" x14ac:dyDescent="0.2">
      <c r="A268" s="410" t="str">
        <f>'Org structure'!E94</f>
        <v>9,4 - Assesment Rates</v>
      </c>
      <c r="B268" s="448"/>
      <c r="C268" s="397"/>
      <c r="D268" s="386"/>
      <c r="E268" s="387"/>
      <c r="F268" s="475"/>
      <c r="G268" s="387"/>
      <c r="H268" s="475">
        <f t="shared" si="47"/>
        <v>0</v>
      </c>
      <c r="I268" s="45">
        <f t="shared" si="45"/>
        <v>0</v>
      </c>
      <c r="J268" s="333" t="str">
        <f t="shared" si="46"/>
        <v/>
      </c>
      <c r="K268" s="398">
        <f t="shared" si="48"/>
        <v>0</v>
      </c>
      <c r="L268" s="49"/>
      <c r="M268" s="476"/>
      <c r="N268" s="476"/>
      <c r="O268" s="476"/>
      <c r="P268" s="476"/>
      <c r="Q268" s="476"/>
      <c r="R268" s="476"/>
      <c r="S268" s="476"/>
      <c r="T268" s="476"/>
      <c r="U268" s="476"/>
      <c r="V268" s="476"/>
      <c r="W268" s="476"/>
    </row>
    <row r="269" spans="1:23" ht="11.25" customHeight="1" x14ac:dyDescent="0.2">
      <c r="A269" s="410" t="str">
        <f>'Org structure'!E95</f>
        <v>9,5 - Supply Chain Management</v>
      </c>
      <c r="B269" s="448"/>
      <c r="C269" s="397">
        <v>6986002.8095999993</v>
      </c>
      <c r="D269" s="386"/>
      <c r="E269" s="387"/>
      <c r="F269" s="475"/>
      <c r="G269" s="387"/>
      <c r="H269" s="475">
        <f t="shared" si="47"/>
        <v>0</v>
      </c>
      <c r="I269" s="45">
        <f t="shared" si="45"/>
        <v>0</v>
      </c>
      <c r="J269" s="333" t="str">
        <f t="shared" si="46"/>
        <v/>
      </c>
      <c r="K269" s="398">
        <f t="shared" si="48"/>
        <v>0</v>
      </c>
      <c r="L269" s="49"/>
      <c r="M269" s="476"/>
      <c r="N269" s="476"/>
      <c r="O269" s="476"/>
      <c r="P269" s="476"/>
      <c r="Q269" s="476"/>
      <c r="R269" s="476"/>
      <c r="S269" s="476"/>
      <c r="T269" s="476"/>
      <c r="U269" s="476"/>
      <c r="V269" s="476"/>
      <c r="W269" s="476"/>
    </row>
    <row r="270" spans="1:23" ht="11.25" customHeight="1" x14ac:dyDescent="0.2">
      <c r="A270" s="410">
        <f>'Org structure'!E96</f>
        <v>0</v>
      </c>
      <c r="B270" s="448"/>
      <c r="C270" s="397"/>
      <c r="D270" s="386"/>
      <c r="E270" s="387"/>
      <c r="F270" s="475"/>
      <c r="G270" s="387"/>
      <c r="H270" s="475">
        <f t="shared" si="47"/>
        <v>0</v>
      </c>
      <c r="I270" s="45">
        <f t="shared" si="45"/>
        <v>0</v>
      </c>
      <c r="J270" s="333" t="str">
        <f t="shared" si="46"/>
        <v/>
      </c>
      <c r="K270" s="398">
        <f t="shared" si="48"/>
        <v>0</v>
      </c>
      <c r="L270" s="49"/>
      <c r="M270" s="476"/>
      <c r="N270" s="476"/>
      <c r="O270" s="476"/>
      <c r="P270" s="476"/>
      <c r="Q270" s="476"/>
      <c r="R270" s="476"/>
      <c r="S270" s="476"/>
      <c r="T270" s="476"/>
      <c r="U270" s="476"/>
      <c r="V270" s="476"/>
      <c r="W270" s="476"/>
    </row>
    <row r="271" spans="1:23" ht="11.25" customHeight="1" x14ac:dyDescent="0.2">
      <c r="A271" s="410">
        <f>'Org structure'!E97</f>
        <v>0</v>
      </c>
      <c r="B271" s="448"/>
      <c r="C271" s="397"/>
      <c r="D271" s="386"/>
      <c r="E271" s="387"/>
      <c r="F271" s="475"/>
      <c r="G271" s="387"/>
      <c r="H271" s="475">
        <f t="shared" si="47"/>
        <v>0</v>
      </c>
      <c r="I271" s="45">
        <f t="shared" si="45"/>
        <v>0</v>
      </c>
      <c r="J271" s="333" t="str">
        <f t="shared" si="46"/>
        <v/>
      </c>
      <c r="K271" s="398">
        <f t="shared" si="48"/>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c r="D272" s="386"/>
      <c r="E272" s="387"/>
      <c r="F272" s="475"/>
      <c r="G272" s="387"/>
      <c r="H272" s="475">
        <f t="shared" si="47"/>
        <v>0</v>
      </c>
      <c r="I272" s="45">
        <f t="shared" si="45"/>
        <v>0</v>
      </c>
      <c r="J272" s="333" t="str">
        <f t="shared" si="46"/>
        <v/>
      </c>
      <c r="K272" s="398">
        <f t="shared" si="48"/>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c r="D273" s="386"/>
      <c r="E273" s="387"/>
      <c r="F273" s="475"/>
      <c r="G273" s="387"/>
      <c r="H273" s="475">
        <f t="shared" si="47"/>
        <v>0</v>
      </c>
      <c r="I273" s="45">
        <f t="shared" si="45"/>
        <v>0</v>
      </c>
      <c r="J273" s="333" t="str">
        <f t="shared" si="46"/>
        <v/>
      </c>
      <c r="K273" s="398">
        <f t="shared" si="48"/>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c r="D274" s="386"/>
      <c r="E274" s="387"/>
      <c r="F274" s="475"/>
      <c r="G274" s="387"/>
      <c r="H274" s="475">
        <f t="shared" si="47"/>
        <v>0</v>
      </c>
      <c r="I274" s="45">
        <f t="shared" si="45"/>
        <v>0</v>
      </c>
      <c r="J274" s="333" t="str">
        <f t="shared" si="46"/>
        <v/>
      </c>
      <c r="K274" s="398">
        <f t="shared" si="48"/>
        <v>0</v>
      </c>
      <c r="L274" s="49"/>
      <c r="M274" s="476"/>
      <c r="N274" s="476"/>
      <c r="O274" s="476"/>
      <c r="P274" s="476"/>
      <c r="Q274" s="476"/>
      <c r="R274" s="476"/>
      <c r="S274" s="476"/>
      <c r="T274" s="476"/>
      <c r="U274" s="476"/>
      <c r="V274" s="476"/>
      <c r="W274" s="476"/>
    </row>
    <row r="275" spans="1:23" ht="11.25" customHeight="1" x14ac:dyDescent="0.2">
      <c r="A275" s="469" t="str">
        <f>'Org structure'!A11</f>
        <v>Vote 10 - Transport Operations</v>
      </c>
      <c r="B275" s="448"/>
      <c r="C275" s="506">
        <f t="shared" ref="C275:H275" si="49">SUM(C276:C285)</f>
        <v>133769802.81399</v>
      </c>
      <c r="D275" s="447">
        <f t="shared" si="49"/>
        <v>222112000</v>
      </c>
      <c r="E275" s="444">
        <f t="shared" si="49"/>
        <v>0</v>
      </c>
      <c r="F275" s="446">
        <f t="shared" si="49"/>
        <v>0</v>
      </c>
      <c r="G275" s="444">
        <f t="shared" si="49"/>
        <v>0</v>
      </c>
      <c r="H275" s="446">
        <f t="shared" si="49"/>
        <v>74037333.333333328</v>
      </c>
      <c r="I275" s="45">
        <f t="shared" si="45"/>
        <v>-74037333.333333328</v>
      </c>
      <c r="J275" s="333">
        <f t="shared" si="46"/>
        <v>-1</v>
      </c>
      <c r="K275" s="445">
        <f>SUM(K276:K285)</f>
        <v>222112000</v>
      </c>
      <c r="L275" s="49"/>
      <c r="M275" s="476"/>
      <c r="N275" s="476"/>
      <c r="O275" s="476"/>
      <c r="P275" s="476"/>
      <c r="Q275" s="476"/>
      <c r="R275" s="476"/>
      <c r="S275" s="476"/>
      <c r="T275" s="476"/>
      <c r="U275" s="476"/>
      <c r="V275" s="476"/>
      <c r="W275" s="476"/>
    </row>
    <row r="276" spans="1:23" ht="11.25" customHeight="1" x14ac:dyDescent="0.2">
      <c r="A276" s="410" t="str">
        <f>'Org structure'!E102</f>
        <v>10,1 - Transport Operations</v>
      </c>
      <c r="B276" s="448"/>
      <c r="C276" s="397">
        <v>133769802.81399</v>
      </c>
      <c r="D276" s="386">
        <v>222112000</v>
      </c>
      <c r="E276" s="387"/>
      <c r="F276" s="475"/>
      <c r="G276" s="387"/>
      <c r="H276" s="475">
        <f t="shared" ref="H276:H285" si="50">D276/12*4</f>
        <v>74037333.333333328</v>
      </c>
      <c r="I276" s="45">
        <f t="shared" si="45"/>
        <v>-74037333.333333328</v>
      </c>
      <c r="J276" s="333">
        <f t="shared" si="46"/>
        <v>-1</v>
      </c>
      <c r="K276" s="398">
        <f>D276</f>
        <v>222112000</v>
      </c>
      <c r="L276" s="49"/>
      <c r="M276" s="476"/>
      <c r="N276" s="476"/>
      <c r="O276" s="476"/>
      <c r="P276" s="476"/>
      <c r="Q276" s="476"/>
      <c r="R276" s="476"/>
      <c r="S276" s="476"/>
      <c r="T276" s="476"/>
      <c r="U276" s="476"/>
      <c r="V276" s="476"/>
      <c r="W276" s="476"/>
    </row>
    <row r="277" spans="1:23" ht="11.25" customHeight="1" x14ac:dyDescent="0.2">
      <c r="A277" s="410">
        <f>'Org structure'!E103</f>
        <v>0</v>
      </c>
      <c r="B277" s="448"/>
      <c r="C277" s="397"/>
      <c r="D277" s="386"/>
      <c r="E277" s="387"/>
      <c r="F277" s="475"/>
      <c r="G277" s="387"/>
      <c r="H277" s="475">
        <f t="shared" si="50"/>
        <v>0</v>
      </c>
      <c r="I277" s="45">
        <f t="shared" si="45"/>
        <v>0</v>
      </c>
      <c r="J277" s="333" t="str">
        <f t="shared" si="46"/>
        <v/>
      </c>
      <c r="K277" s="398">
        <f t="shared" ref="K277:K285" si="51">D277</f>
        <v>0</v>
      </c>
      <c r="L277" s="49"/>
      <c r="M277" s="476"/>
      <c r="N277" s="476"/>
      <c r="O277" s="476"/>
      <c r="P277" s="476"/>
      <c r="Q277" s="476"/>
      <c r="R277" s="476"/>
      <c r="S277" s="476"/>
      <c r="T277" s="476"/>
      <c r="U277" s="476"/>
      <c r="V277" s="476"/>
      <c r="W277" s="476"/>
    </row>
    <row r="278" spans="1:23" ht="11.25" customHeight="1" x14ac:dyDescent="0.2">
      <c r="A278" s="410">
        <f>'Org structure'!E104</f>
        <v>0</v>
      </c>
      <c r="B278" s="448"/>
      <c r="C278" s="397"/>
      <c r="D278" s="386"/>
      <c r="E278" s="387"/>
      <c r="F278" s="475"/>
      <c r="G278" s="387"/>
      <c r="H278" s="475">
        <f t="shared" si="50"/>
        <v>0</v>
      </c>
      <c r="I278" s="45">
        <f t="shared" si="45"/>
        <v>0</v>
      </c>
      <c r="J278" s="333" t="str">
        <f t="shared" si="46"/>
        <v/>
      </c>
      <c r="K278" s="398">
        <f t="shared" si="51"/>
        <v>0</v>
      </c>
      <c r="L278" s="49"/>
      <c r="M278" s="476"/>
      <c r="N278" s="476"/>
      <c r="O278" s="476"/>
      <c r="P278" s="476"/>
      <c r="Q278" s="476"/>
      <c r="R278" s="476"/>
      <c r="S278" s="476"/>
      <c r="T278" s="476"/>
      <c r="U278" s="476"/>
      <c r="V278" s="476"/>
      <c r="W278" s="476"/>
    </row>
    <row r="279" spans="1:23" ht="11.25" customHeight="1" x14ac:dyDescent="0.2">
      <c r="A279" s="410">
        <f>'Org structure'!E105</f>
        <v>0</v>
      </c>
      <c r="B279" s="448"/>
      <c r="C279" s="397"/>
      <c r="D279" s="386"/>
      <c r="E279" s="387"/>
      <c r="F279" s="475"/>
      <c r="G279" s="387"/>
      <c r="H279" s="475">
        <f t="shared" si="50"/>
        <v>0</v>
      </c>
      <c r="I279" s="45">
        <f t="shared" si="45"/>
        <v>0</v>
      </c>
      <c r="J279" s="333" t="str">
        <f t="shared" si="46"/>
        <v/>
      </c>
      <c r="K279" s="398">
        <f t="shared" si="51"/>
        <v>0</v>
      </c>
      <c r="L279" s="49"/>
      <c r="M279" s="476"/>
      <c r="N279" s="476"/>
      <c r="O279" s="476"/>
      <c r="P279" s="476"/>
      <c r="Q279" s="476"/>
      <c r="R279" s="476"/>
      <c r="S279" s="476"/>
      <c r="T279" s="476"/>
      <c r="U279" s="476"/>
      <c r="V279" s="476"/>
      <c r="W279" s="476"/>
    </row>
    <row r="280" spans="1:23" ht="11.25" customHeight="1" x14ac:dyDescent="0.2">
      <c r="A280" s="410">
        <f>'Org structure'!E106</f>
        <v>0</v>
      </c>
      <c r="B280" s="448"/>
      <c r="C280" s="397"/>
      <c r="D280" s="386"/>
      <c r="E280" s="387"/>
      <c r="F280" s="475"/>
      <c r="G280" s="387"/>
      <c r="H280" s="475">
        <f t="shared" si="50"/>
        <v>0</v>
      </c>
      <c r="I280" s="45">
        <f t="shared" si="45"/>
        <v>0</v>
      </c>
      <c r="J280" s="333" t="str">
        <f t="shared" si="46"/>
        <v/>
      </c>
      <c r="K280" s="398">
        <f t="shared" si="51"/>
        <v>0</v>
      </c>
      <c r="L280" s="49"/>
      <c r="M280" s="476"/>
      <c r="N280" s="476"/>
      <c r="O280" s="476"/>
      <c r="P280" s="476"/>
      <c r="Q280" s="476"/>
      <c r="R280" s="476"/>
      <c r="S280" s="476"/>
      <c r="T280" s="476"/>
      <c r="U280" s="476"/>
      <c r="V280" s="476"/>
      <c r="W280" s="476"/>
    </row>
    <row r="281" spans="1:23" ht="11.25" customHeight="1" x14ac:dyDescent="0.2">
      <c r="A281" s="410">
        <f>'Org structure'!E107</f>
        <v>0</v>
      </c>
      <c r="B281" s="448"/>
      <c r="C281" s="397"/>
      <c r="D281" s="386"/>
      <c r="E281" s="387"/>
      <c r="F281" s="475"/>
      <c r="G281" s="387"/>
      <c r="H281" s="475">
        <f t="shared" si="50"/>
        <v>0</v>
      </c>
      <c r="I281" s="45">
        <f t="shared" si="45"/>
        <v>0</v>
      </c>
      <c r="J281" s="333" t="str">
        <f t="shared" si="46"/>
        <v/>
      </c>
      <c r="K281" s="398">
        <f t="shared" si="51"/>
        <v>0</v>
      </c>
      <c r="L281" s="49"/>
      <c r="M281" s="476"/>
      <c r="N281" s="476"/>
      <c r="O281" s="476"/>
      <c r="P281" s="476"/>
      <c r="Q281" s="476"/>
      <c r="R281" s="476"/>
      <c r="S281" s="476"/>
      <c r="T281" s="476"/>
      <c r="U281" s="476"/>
      <c r="V281" s="476"/>
      <c r="W281" s="476"/>
    </row>
    <row r="282" spans="1:23" ht="11.25" customHeight="1" x14ac:dyDescent="0.2">
      <c r="A282" s="410">
        <f>'Org structure'!E108</f>
        <v>0</v>
      </c>
      <c r="B282" s="448"/>
      <c r="C282" s="397"/>
      <c r="D282" s="386"/>
      <c r="E282" s="387"/>
      <c r="F282" s="475"/>
      <c r="G282" s="387"/>
      <c r="H282" s="475">
        <f t="shared" si="50"/>
        <v>0</v>
      </c>
      <c r="I282" s="45">
        <f t="shared" si="45"/>
        <v>0</v>
      </c>
      <c r="J282" s="333" t="str">
        <f t="shared" si="46"/>
        <v/>
      </c>
      <c r="K282" s="398">
        <f t="shared" si="51"/>
        <v>0</v>
      </c>
      <c r="L282" s="49"/>
      <c r="M282" s="476"/>
      <c r="N282" s="476"/>
      <c r="O282" s="476"/>
      <c r="P282" s="476"/>
      <c r="Q282" s="476"/>
      <c r="R282" s="476"/>
      <c r="S282" s="476"/>
      <c r="T282" s="476"/>
      <c r="U282" s="476"/>
      <c r="V282" s="476"/>
      <c r="W282" s="476"/>
    </row>
    <row r="283" spans="1:23" ht="11.25" customHeight="1" x14ac:dyDescent="0.2">
      <c r="A283" s="410">
        <f>'Org structure'!E109</f>
        <v>0</v>
      </c>
      <c r="B283" s="448"/>
      <c r="C283" s="397"/>
      <c r="D283" s="386"/>
      <c r="E283" s="387"/>
      <c r="F283" s="475"/>
      <c r="G283" s="387"/>
      <c r="H283" s="475">
        <f t="shared" si="50"/>
        <v>0</v>
      </c>
      <c r="I283" s="45">
        <f t="shared" si="45"/>
        <v>0</v>
      </c>
      <c r="J283" s="333" t="str">
        <f t="shared" si="46"/>
        <v/>
      </c>
      <c r="K283" s="398">
        <f t="shared" si="51"/>
        <v>0</v>
      </c>
      <c r="L283" s="49"/>
      <c r="M283" s="476"/>
      <c r="N283" s="476"/>
      <c r="O283" s="476"/>
      <c r="P283" s="476"/>
      <c r="Q283" s="476"/>
      <c r="R283" s="476"/>
      <c r="S283" s="476"/>
      <c r="T283" s="476"/>
      <c r="U283" s="476"/>
      <c r="V283" s="476"/>
      <c r="W283" s="476"/>
    </row>
    <row r="284" spans="1:23" ht="11.25" customHeight="1" x14ac:dyDescent="0.2">
      <c r="A284" s="410">
        <f>'Org structure'!E110</f>
        <v>0</v>
      </c>
      <c r="B284" s="448"/>
      <c r="C284" s="397"/>
      <c r="D284" s="386"/>
      <c r="E284" s="387"/>
      <c r="F284" s="475"/>
      <c r="G284" s="387"/>
      <c r="H284" s="475">
        <f t="shared" si="50"/>
        <v>0</v>
      </c>
      <c r="I284" s="45">
        <f t="shared" si="45"/>
        <v>0</v>
      </c>
      <c r="J284" s="333" t="str">
        <f t="shared" si="46"/>
        <v/>
      </c>
      <c r="K284" s="398">
        <f t="shared" si="51"/>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c r="D285" s="386"/>
      <c r="E285" s="387"/>
      <c r="F285" s="475"/>
      <c r="G285" s="387"/>
      <c r="H285" s="475">
        <f t="shared" si="50"/>
        <v>0</v>
      </c>
      <c r="I285" s="45">
        <f t="shared" si="45"/>
        <v>0</v>
      </c>
      <c r="J285" s="333" t="str">
        <f t="shared" si="46"/>
        <v/>
      </c>
      <c r="K285" s="398">
        <f t="shared" si="51"/>
        <v>0</v>
      </c>
      <c r="L285" s="49"/>
      <c r="M285" s="476"/>
      <c r="N285" s="476"/>
      <c r="O285" s="476"/>
      <c r="P285" s="476"/>
      <c r="Q285" s="476"/>
      <c r="R285" s="476"/>
      <c r="S285" s="476"/>
      <c r="T285" s="476"/>
      <c r="U285" s="476"/>
      <c r="V285" s="476"/>
      <c r="W285" s="476"/>
    </row>
    <row r="286" spans="1:23" ht="11.25" customHeight="1" x14ac:dyDescent="0.2">
      <c r="A286" s="469" t="str">
        <f>'Org structure'!A12</f>
        <v>Vote 11 - [NAME OF VOTE 11]</v>
      </c>
      <c r="B286" s="448"/>
      <c r="C286" s="506">
        <f t="shared" ref="C286:K286" si="52">SUM(C287:C296)</f>
        <v>0</v>
      </c>
      <c r="D286" s="447">
        <f t="shared" si="52"/>
        <v>0</v>
      </c>
      <c r="E286" s="444">
        <f t="shared" si="52"/>
        <v>0</v>
      </c>
      <c r="F286" s="446">
        <f t="shared" si="52"/>
        <v>0</v>
      </c>
      <c r="G286" s="444">
        <f t="shared" si="52"/>
        <v>0</v>
      </c>
      <c r="H286" s="446">
        <f t="shared" si="52"/>
        <v>0</v>
      </c>
      <c r="I286" s="45">
        <f t="shared" si="45"/>
        <v>0</v>
      </c>
      <c r="J286" s="333" t="str">
        <f t="shared" si="46"/>
        <v/>
      </c>
      <c r="K286" s="445">
        <f t="shared" si="52"/>
        <v>0</v>
      </c>
      <c r="L286" s="49"/>
      <c r="M286" s="476"/>
      <c r="N286" s="476"/>
      <c r="O286" s="476"/>
      <c r="P286" s="476"/>
      <c r="Q286" s="476"/>
      <c r="R286" s="476"/>
      <c r="S286" s="476"/>
      <c r="T286" s="476"/>
      <c r="U286" s="476"/>
      <c r="V286" s="476"/>
      <c r="W286" s="476"/>
    </row>
    <row r="287" spans="1:23" ht="11.25" customHeight="1" x14ac:dyDescent="0.2">
      <c r="A287" s="410" t="str">
        <f>'Org structure'!E113</f>
        <v>11.1 - [Name of sub-vote]</v>
      </c>
      <c r="B287" s="448"/>
      <c r="C287" s="397"/>
      <c r="D287" s="386"/>
      <c r="E287" s="387"/>
      <c r="F287" s="475"/>
      <c r="G287" s="387"/>
      <c r="H287" s="475"/>
      <c r="I287" s="45">
        <f t="shared" si="45"/>
        <v>0</v>
      </c>
      <c r="J287" s="333" t="str">
        <f t="shared" si="46"/>
        <v/>
      </c>
      <c r="K287" s="398"/>
      <c r="L287" s="49"/>
      <c r="M287" s="476"/>
      <c r="N287" s="476"/>
      <c r="O287" s="476"/>
      <c r="P287" s="476"/>
      <c r="Q287" s="476"/>
      <c r="R287" s="476"/>
      <c r="S287" s="476"/>
      <c r="T287" s="476"/>
      <c r="U287" s="476"/>
      <c r="V287" s="476"/>
      <c r="W287" s="476"/>
    </row>
    <row r="288" spans="1:23" ht="11.25" customHeight="1" x14ac:dyDescent="0.2">
      <c r="A288" s="410">
        <f>'Org structure'!E114</f>
        <v>0</v>
      </c>
      <c r="B288" s="448"/>
      <c r="C288" s="397"/>
      <c r="D288" s="386"/>
      <c r="E288" s="387"/>
      <c r="F288" s="475"/>
      <c r="G288" s="387"/>
      <c r="H288" s="475"/>
      <c r="I288" s="45">
        <f t="shared" si="45"/>
        <v>0</v>
      </c>
      <c r="J288" s="333" t="str">
        <f t="shared" si="46"/>
        <v/>
      </c>
      <c r="K288" s="398"/>
      <c r="L288" s="49"/>
      <c r="M288" s="476"/>
      <c r="N288" s="476"/>
      <c r="O288" s="476"/>
      <c r="P288" s="476"/>
      <c r="Q288" s="476"/>
      <c r="R288" s="476"/>
      <c r="S288" s="476"/>
      <c r="T288" s="476"/>
      <c r="U288" s="476"/>
      <c r="V288" s="476"/>
      <c r="W288" s="476"/>
    </row>
    <row r="289" spans="1:23" ht="11.25" customHeight="1" x14ac:dyDescent="0.2">
      <c r="A289" s="410">
        <f>'Org structure'!E115</f>
        <v>0</v>
      </c>
      <c r="B289" s="448"/>
      <c r="C289" s="397"/>
      <c r="D289" s="386"/>
      <c r="E289" s="387"/>
      <c r="F289" s="475"/>
      <c r="G289" s="387"/>
      <c r="H289" s="475"/>
      <c r="I289" s="45">
        <f t="shared" si="45"/>
        <v>0</v>
      </c>
      <c r="J289" s="333" t="str">
        <f t="shared" si="46"/>
        <v/>
      </c>
      <c r="K289" s="398"/>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c r="E290" s="387"/>
      <c r="F290" s="475"/>
      <c r="G290" s="387"/>
      <c r="H290" s="475"/>
      <c r="I290" s="45">
        <f t="shared" si="45"/>
        <v>0</v>
      </c>
      <c r="J290" s="333" t="str">
        <f t="shared" si="46"/>
        <v/>
      </c>
      <c r="K290" s="398"/>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c r="E291" s="387"/>
      <c r="F291" s="475"/>
      <c r="G291" s="387"/>
      <c r="H291" s="475"/>
      <c r="I291" s="45">
        <f t="shared" si="45"/>
        <v>0</v>
      </c>
      <c r="J291" s="333" t="str">
        <f t="shared" si="46"/>
        <v/>
      </c>
      <c r="K291" s="398"/>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c r="E292" s="387"/>
      <c r="F292" s="475"/>
      <c r="G292" s="387"/>
      <c r="H292" s="475"/>
      <c r="I292" s="45">
        <f t="shared" si="45"/>
        <v>0</v>
      </c>
      <c r="J292" s="333" t="str">
        <f t="shared" si="46"/>
        <v/>
      </c>
      <c r="K292" s="398"/>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c r="E293" s="387"/>
      <c r="F293" s="475"/>
      <c r="G293" s="387"/>
      <c r="H293" s="475"/>
      <c r="I293" s="45">
        <f t="shared" si="45"/>
        <v>0</v>
      </c>
      <c r="J293" s="333" t="str">
        <f t="shared" si="46"/>
        <v/>
      </c>
      <c r="K293" s="398"/>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c r="E294" s="387"/>
      <c r="F294" s="475"/>
      <c r="G294" s="387"/>
      <c r="H294" s="475"/>
      <c r="I294" s="45">
        <f t="shared" si="45"/>
        <v>0</v>
      </c>
      <c r="J294" s="333" t="str">
        <f t="shared" si="46"/>
        <v/>
      </c>
      <c r="K294" s="398"/>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c r="E295" s="387"/>
      <c r="F295" s="475"/>
      <c r="G295" s="387"/>
      <c r="H295" s="475"/>
      <c r="I295" s="45">
        <f t="shared" si="45"/>
        <v>0</v>
      </c>
      <c r="J295" s="333" t="str">
        <f t="shared" si="46"/>
        <v/>
      </c>
      <c r="K295" s="398"/>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c r="E296" s="387"/>
      <c r="F296" s="475"/>
      <c r="G296" s="387"/>
      <c r="H296" s="475"/>
      <c r="I296" s="45">
        <f t="shared" si="45"/>
        <v>0</v>
      </c>
      <c r="J296" s="333" t="str">
        <f t="shared" si="46"/>
        <v/>
      </c>
      <c r="K296" s="398"/>
      <c r="L296" s="49"/>
      <c r="M296" s="476"/>
      <c r="N296" s="476"/>
      <c r="O296" s="476"/>
      <c r="P296" s="476"/>
      <c r="Q296" s="476"/>
      <c r="R296" s="476"/>
      <c r="S296" s="476"/>
      <c r="T296" s="476"/>
      <c r="U296" s="476"/>
      <c r="V296" s="476"/>
      <c r="W296" s="476"/>
    </row>
    <row r="297" spans="1:23" ht="11.25" customHeight="1" x14ac:dyDescent="0.2">
      <c r="A297" s="469" t="str">
        <f>'Org structure'!A13</f>
        <v>Vote 12 - [NAME OF VOTE 12]</v>
      </c>
      <c r="B297" s="448"/>
      <c r="C297" s="506">
        <f t="shared" ref="C297:K297" si="53">SUM(C298:C307)</f>
        <v>0</v>
      </c>
      <c r="D297" s="447">
        <f t="shared" si="53"/>
        <v>0</v>
      </c>
      <c r="E297" s="444">
        <f t="shared" si="53"/>
        <v>0</v>
      </c>
      <c r="F297" s="446">
        <f t="shared" si="53"/>
        <v>0</v>
      </c>
      <c r="G297" s="444">
        <f t="shared" si="53"/>
        <v>0</v>
      </c>
      <c r="H297" s="446">
        <f t="shared" si="53"/>
        <v>0</v>
      </c>
      <c r="I297" s="45">
        <f t="shared" si="45"/>
        <v>0</v>
      </c>
      <c r="J297" s="333" t="str">
        <f t="shared" si="46"/>
        <v/>
      </c>
      <c r="K297" s="445">
        <f t="shared" si="53"/>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c r="E298" s="387"/>
      <c r="F298" s="475"/>
      <c r="G298" s="387"/>
      <c r="H298" s="475"/>
      <c r="I298" s="45">
        <f t="shared" si="45"/>
        <v>0</v>
      </c>
      <c r="J298" s="333" t="str">
        <f t="shared" si="46"/>
        <v/>
      </c>
      <c r="K298" s="398"/>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c r="E299" s="387"/>
      <c r="F299" s="475"/>
      <c r="G299" s="387"/>
      <c r="H299" s="475"/>
      <c r="I299" s="45">
        <f t="shared" si="45"/>
        <v>0</v>
      </c>
      <c r="J299" s="333" t="str">
        <f t="shared" si="46"/>
        <v/>
      </c>
      <c r="K299" s="398"/>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c r="E300" s="387"/>
      <c r="F300" s="475"/>
      <c r="G300" s="387"/>
      <c r="H300" s="475"/>
      <c r="I300" s="45">
        <f t="shared" si="45"/>
        <v>0</v>
      </c>
      <c r="J300" s="333" t="str">
        <f t="shared" si="46"/>
        <v/>
      </c>
      <c r="K300" s="398"/>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c r="E301" s="387"/>
      <c r="F301" s="475"/>
      <c r="G301" s="387"/>
      <c r="H301" s="475"/>
      <c r="I301" s="45">
        <f t="shared" si="45"/>
        <v>0</v>
      </c>
      <c r="J301" s="333" t="str">
        <f t="shared" si="46"/>
        <v/>
      </c>
      <c r="K301" s="398"/>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c r="E302" s="387"/>
      <c r="F302" s="475"/>
      <c r="G302" s="387"/>
      <c r="H302" s="475"/>
      <c r="I302" s="45">
        <f t="shared" si="45"/>
        <v>0</v>
      </c>
      <c r="J302" s="333" t="str">
        <f t="shared" si="46"/>
        <v/>
      </c>
      <c r="K302" s="398"/>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c r="E303" s="387"/>
      <c r="F303" s="475"/>
      <c r="G303" s="387"/>
      <c r="H303" s="475"/>
      <c r="I303" s="45">
        <f t="shared" si="45"/>
        <v>0</v>
      </c>
      <c r="J303" s="333" t="str">
        <f t="shared" si="46"/>
        <v/>
      </c>
      <c r="K303" s="398"/>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c r="E304" s="387"/>
      <c r="F304" s="475"/>
      <c r="G304" s="387"/>
      <c r="H304" s="475"/>
      <c r="I304" s="45">
        <f t="shared" si="45"/>
        <v>0</v>
      </c>
      <c r="J304" s="333" t="str">
        <f t="shared" si="46"/>
        <v/>
      </c>
      <c r="K304" s="398"/>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c r="E305" s="387"/>
      <c r="F305" s="475"/>
      <c r="G305" s="387"/>
      <c r="H305" s="475"/>
      <c r="I305" s="45">
        <f t="shared" si="45"/>
        <v>0</v>
      </c>
      <c r="J305" s="333" t="str">
        <f t="shared" si="46"/>
        <v/>
      </c>
      <c r="K305" s="398"/>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c r="E306" s="387"/>
      <c r="F306" s="475"/>
      <c r="G306" s="387"/>
      <c r="H306" s="475"/>
      <c r="I306" s="45">
        <f t="shared" si="45"/>
        <v>0</v>
      </c>
      <c r="J306" s="333" t="str">
        <f t="shared" si="46"/>
        <v/>
      </c>
      <c r="K306" s="398"/>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c r="E307" s="387"/>
      <c r="F307" s="475"/>
      <c r="G307" s="387"/>
      <c r="H307" s="475"/>
      <c r="I307" s="45">
        <f t="shared" si="45"/>
        <v>0</v>
      </c>
      <c r="J307" s="333" t="str">
        <f t="shared" si="46"/>
        <v/>
      </c>
      <c r="K307" s="398"/>
      <c r="L307" s="49"/>
      <c r="M307" s="476"/>
      <c r="N307" s="476"/>
      <c r="O307" s="476"/>
      <c r="P307" s="476"/>
      <c r="Q307" s="476"/>
      <c r="R307" s="476"/>
      <c r="S307" s="476"/>
      <c r="T307" s="476"/>
      <c r="U307" s="476"/>
      <c r="V307" s="476"/>
      <c r="W307" s="476"/>
    </row>
    <row r="308" spans="1:23" ht="11.25" customHeight="1" x14ac:dyDescent="0.2">
      <c r="A308" s="469" t="str">
        <f>'Org structure'!A14</f>
        <v>Vote 13 - [NAME OF VOTE 13]</v>
      </c>
      <c r="B308" s="448"/>
      <c r="C308" s="506">
        <f t="shared" ref="C308:K308" si="54">SUM(C309:C318)</f>
        <v>0</v>
      </c>
      <c r="D308" s="447">
        <f t="shared" si="54"/>
        <v>0</v>
      </c>
      <c r="E308" s="444">
        <f t="shared" si="54"/>
        <v>0</v>
      </c>
      <c r="F308" s="446">
        <f t="shared" si="54"/>
        <v>0</v>
      </c>
      <c r="G308" s="444">
        <f t="shared" si="54"/>
        <v>0</v>
      </c>
      <c r="H308" s="446">
        <f t="shared" si="54"/>
        <v>0</v>
      </c>
      <c r="I308" s="45">
        <f t="shared" si="45"/>
        <v>0</v>
      </c>
      <c r="J308" s="333" t="str">
        <f t="shared" si="46"/>
        <v/>
      </c>
      <c r="K308" s="445">
        <f t="shared" si="54"/>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c r="E309" s="387"/>
      <c r="F309" s="475"/>
      <c r="G309" s="387"/>
      <c r="H309" s="475"/>
      <c r="I309" s="45">
        <f t="shared" si="45"/>
        <v>0</v>
      </c>
      <c r="J309" s="333" t="str">
        <f t="shared" si="46"/>
        <v/>
      </c>
      <c r="K309" s="398"/>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c r="E310" s="387"/>
      <c r="F310" s="475"/>
      <c r="G310" s="387"/>
      <c r="H310" s="475"/>
      <c r="I310" s="45">
        <f t="shared" si="45"/>
        <v>0</v>
      </c>
      <c r="J310" s="333" t="str">
        <f t="shared" si="46"/>
        <v/>
      </c>
      <c r="K310" s="398"/>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c r="E311" s="387"/>
      <c r="F311" s="475"/>
      <c r="G311" s="387"/>
      <c r="H311" s="475"/>
      <c r="I311" s="45">
        <f t="shared" si="45"/>
        <v>0</v>
      </c>
      <c r="J311" s="333" t="str">
        <f t="shared" si="46"/>
        <v/>
      </c>
      <c r="K311" s="398"/>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c r="E312" s="387"/>
      <c r="F312" s="475"/>
      <c r="G312" s="387"/>
      <c r="H312" s="475"/>
      <c r="I312" s="45">
        <f t="shared" si="45"/>
        <v>0</v>
      </c>
      <c r="J312" s="333" t="str">
        <f t="shared" si="46"/>
        <v/>
      </c>
      <c r="K312" s="398"/>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c r="E313" s="387"/>
      <c r="F313" s="475"/>
      <c r="G313" s="387"/>
      <c r="H313" s="475"/>
      <c r="I313" s="45">
        <f t="shared" si="45"/>
        <v>0</v>
      </c>
      <c r="J313" s="333" t="str">
        <f t="shared" si="46"/>
        <v/>
      </c>
      <c r="K313" s="398"/>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c r="E314" s="387"/>
      <c r="F314" s="475"/>
      <c r="G314" s="387"/>
      <c r="H314" s="475"/>
      <c r="I314" s="45">
        <f t="shared" si="45"/>
        <v>0</v>
      </c>
      <c r="J314" s="333" t="str">
        <f t="shared" si="46"/>
        <v/>
      </c>
      <c r="K314" s="398"/>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c r="E315" s="387"/>
      <c r="F315" s="475"/>
      <c r="G315" s="387"/>
      <c r="H315" s="475"/>
      <c r="I315" s="45">
        <f t="shared" si="45"/>
        <v>0</v>
      </c>
      <c r="J315" s="333" t="str">
        <f t="shared" si="46"/>
        <v/>
      </c>
      <c r="K315" s="398"/>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c r="E316" s="387"/>
      <c r="F316" s="475"/>
      <c r="G316" s="387"/>
      <c r="H316" s="475"/>
      <c r="I316" s="45">
        <f t="shared" si="45"/>
        <v>0</v>
      </c>
      <c r="J316" s="333" t="str">
        <f t="shared" si="46"/>
        <v/>
      </c>
      <c r="K316" s="398"/>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c r="E317" s="387"/>
      <c r="F317" s="475"/>
      <c r="G317" s="387"/>
      <c r="H317" s="475"/>
      <c r="I317" s="45">
        <f t="shared" si="45"/>
        <v>0</v>
      </c>
      <c r="J317" s="333" t="str">
        <f t="shared" si="46"/>
        <v/>
      </c>
      <c r="K317" s="398"/>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c r="E318" s="387"/>
      <c r="F318" s="475"/>
      <c r="G318" s="387"/>
      <c r="H318" s="475"/>
      <c r="I318" s="45">
        <f t="shared" si="45"/>
        <v>0</v>
      </c>
      <c r="J318" s="333" t="str">
        <f t="shared" si="46"/>
        <v/>
      </c>
      <c r="K318" s="398"/>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55">SUM(C320:C329)</f>
        <v>0</v>
      </c>
      <c r="D319" s="447">
        <f t="shared" si="55"/>
        <v>0</v>
      </c>
      <c r="E319" s="444">
        <f t="shared" si="55"/>
        <v>0</v>
      </c>
      <c r="F319" s="446">
        <f t="shared" si="55"/>
        <v>0</v>
      </c>
      <c r="G319" s="444">
        <f t="shared" si="55"/>
        <v>0</v>
      </c>
      <c r="H319" s="446">
        <f t="shared" si="55"/>
        <v>0</v>
      </c>
      <c r="I319" s="45">
        <f t="shared" si="45"/>
        <v>0</v>
      </c>
      <c r="J319" s="333" t="str">
        <f t="shared" si="46"/>
        <v/>
      </c>
      <c r="K319" s="445">
        <f t="shared" si="55"/>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c r="E320" s="387"/>
      <c r="F320" s="475"/>
      <c r="G320" s="387"/>
      <c r="H320" s="475"/>
      <c r="I320" s="45">
        <f t="shared" si="45"/>
        <v>0</v>
      </c>
      <c r="J320" s="333" t="str">
        <f t="shared" si="46"/>
        <v/>
      </c>
      <c r="K320" s="398"/>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c r="E321" s="387"/>
      <c r="F321" s="475"/>
      <c r="G321" s="387"/>
      <c r="H321" s="475"/>
      <c r="I321" s="45">
        <f t="shared" si="45"/>
        <v>0</v>
      </c>
      <c r="J321" s="333" t="str">
        <f t="shared" si="46"/>
        <v/>
      </c>
      <c r="K321" s="398"/>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c r="E322" s="387"/>
      <c r="F322" s="475"/>
      <c r="G322" s="387"/>
      <c r="H322" s="475"/>
      <c r="I322" s="45">
        <f t="shared" si="45"/>
        <v>0</v>
      </c>
      <c r="J322" s="333" t="str">
        <f t="shared" si="46"/>
        <v/>
      </c>
      <c r="K322" s="398"/>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c r="E323" s="387"/>
      <c r="F323" s="475"/>
      <c r="G323" s="387"/>
      <c r="H323" s="475"/>
      <c r="I323" s="45">
        <f t="shared" si="45"/>
        <v>0</v>
      </c>
      <c r="J323" s="333" t="str">
        <f t="shared" si="46"/>
        <v/>
      </c>
      <c r="K323" s="398"/>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c r="E324" s="387"/>
      <c r="F324" s="475"/>
      <c r="G324" s="387"/>
      <c r="H324" s="475"/>
      <c r="I324" s="45">
        <f t="shared" si="45"/>
        <v>0</v>
      </c>
      <c r="J324" s="333" t="str">
        <f t="shared" si="46"/>
        <v/>
      </c>
      <c r="K324" s="398"/>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c r="E325" s="387"/>
      <c r="F325" s="475"/>
      <c r="G325" s="387"/>
      <c r="H325" s="475"/>
      <c r="I325" s="45">
        <f t="shared" si="45"/>
        <v>0</v>
      </c>
      <c r="J325" s="333" t="str">
        <f t="shared" si="46"/>
        <v/>
      </c>
      <c r="K325" s="398"/>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c r="E326" s="387"/>
      <c r="F326" s="475"/>
      <c r="G326" s="387"/>
      <c r="H326" s="475"/>
      <c r="I326" s="45">
        <f t="shared" si="45"/>
        <v>0</v>
      </c>
      <c r="J326" s="333" t="str">
        <f t="shared" si="46"/>
        <v/>
      </c>
      <c r="K326" s="398"/>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c r="E327" s="387"/>
      <c r="F327" s="475"/>
      <c r="G327" s="387"/>
      <c r="H327" s="475"/>
      <c r="I327" s="45">
        <f t="shared" si="45"/>
        <v>0</v>
      </c>
      <c r="J327" s="333" t="str">
        <f t="shared" si="46"/>
        <v/>
      </c>
      <c r="K327" s="398"/>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c r="E328" s="387"/>
      <c r="F328" s="475"/>
      <c r="G328" s="387"/>
      <c r="H328" s="475"/>
      <c r="I328" s="45">
        <f t="shared" ref="I328:I343" si="56">G328-H328</f>
        <v>0</v>
      </c>
      <c r="J328" s="333" t="str">
        <f t="shared" ref="J328:J343" si="57">IF(I328=0,"",I328/H328)</f>
        <v/>
      </c>
      <c r="K328" s="398"/>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c r="E329" s="387"/>
      <c r="F329" s="475"/>
      <c r="G329" s="387"/>
      <c r="H329" s="475"/>
      <c r="I329" s="45">
        <f t="shared" si="56"/>
        <v>0</v>
      </c>
      <c r="J329" s="333" t="str">
        <f t="shared" si="57"/>
        <v/>
      </c>
      <c r="K329" s="398"/>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58">SUM(C331:C340)</f>
        <v>0</v>
      </c>
      <c r="D330" s="447">
        <f t="shared" si="58"/>
        <v>0</v>
      </c>
      <c r="E330" s="444">
        <f t="shared" si="58"/>
        <v>0</v>
      </c>
      <c r="F330" s="446">
        <f t="shared" si="58"/>
        <v>0</v>
      </c>
      <c r="G330" s="444">
        <f t="shared" si="58"/>
        <v>0</v>
      </c>
      <c r="H330" s="446">
        <f t="shared" si="58"/>
        <v>0</v>
      </c>
      <c r="I330" s="45">
        <f t="shared" si="56"/>
        <v>0</v>
      </c>
      <c r="J330" s="333" t="str">
        <f t="shared" si="57"/>
        <v/>
      </c>
      <c r="K330" s="445">
        <f t="shared" si="58"/>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c r="D331" s="386"/>
      <c r="E331" s="387"/>
      <c r="F331" s="475"/>
      <c r="G331" s="387"/>
      <c r="H331" s="475"/>
      <c r="I331" s="45">
        <f t="shared" si="56"/>
        <v>0</v>
      </c>
      <c r="J331" s="333" t="str">
        <f t="shared" si="57"/>
        <v/>
      </c>
      <c r="K331" s="398"/>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c r="D332" s="386"/>
      <c r="E332" s="387"/>
      <c r="F332" s="475"/>
      <c r="G332" s="387"/>
      <c r="H332" s="475"/>
      <c r="I332" s="45">
        <f t="shared" si="56"/>
        <v>0</v>
      </c>
      <c r="J332" s="333" t="str">
        <f t="shared" si="57"/>
        <v/>
      </c>
      <c r="K332" s="398"/>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c r="D333" s="386"/>
      <c r="E333" s="387"/>
      <c r="F333" s="475"/>
      <c r="G333" s="387"/>
      <c r="H333" s="475"/>
      <c r="I333" s="45">
        <f t="shared" si="56"/>
        <v>0</v>
      </c>
      <c r="J333" s="333" t="str">
        <f t="shared" si="57"/>
        <v/>
      </c>
      <c r="K333" s="398"/>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c r="D334" s="386"/>
      <c r="E334" s="387"/>
      <c r="F334" s="475"/>
      <c r="G334" s="387"/>
      <c r="H334" s="475"/>
      <c r="I334" s="45">
        <f t="shared" si="56"/>
        <v>0</v>
      </c>
      <c r="J334" s="333" t="str">
        <f t="shared" si="57"/>
        <v/>
      </c>
      <c r="K334" s="398"/>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c r="D335" s="386"/>
      <c r="E335" s="387"/>
      <c r="F335" s="475"/>
      <c r="G335" s="387"/>
      <c r="H335" s="475"/>
      <c r="I335" s="45">
        <f t="shared" si="56"/>
        <v>0</v>
      </c>
      <c r="J335" s="333" t="str">
        <f t="shared" si="57"/>
        <v/>
      </c>
      <c r="K335" s="398"/>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c r="D336" s="386"/>
      <c r="E336" s="387"/>
      <c r="F336" s="475"/>
      <c r="G336" s="387"/>
      <c r="H336" s="475"/>
      <c r="I336" s="45">
        <f t="shared" si="56"/>
        <v>0</v>
      </c>
      <c r="J336" s="333" t="str">
        <f t="shared" si="57"/>
        <v/>
      </c>
      <c r="K336" s="398"/>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c r="D337" s="386"/>
      <c r="E337" s="387"/>
      <c r="F337" s="475"/>
      <c r="G337" s="387"/>
      <c r="H337" s="475"/>
      <c r="I337" s="45">
        <f t="shared" si="56"/>
        <v>0</v>
      </c>
      <c r="J337" s="333" t="str">
        <f t="shared" si="57"/>
        <v/>
      </c>
      <c r="K337" s="398"/>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c r="D338" s="386"/>
      <c r="E338" s="387"/>
      <c r="F338" s="475"/>
      <c r="G338" s="387"/>
      <c r="H338" s="475"/>
      <c r="I338" s="45">
        <f t="shared" si="56"/>
        <v>0</v>
      </c>
      <c r="J338" s="333" t="str">
        <f t="shared" si="57"/>
        <v/>
      </c>
      <c r="K338" s="398"/>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c r="D339" s="386"/>
      <c r="E339" s="387"/>
      <c r="F339" s="475"/>
      <c r="G339" s="387"/>
      <c r="H339" s="475"/>
      <c r="I339" s="45">
        <f t="shared" si="56"/>
        <v>0</v>
      </c>
      <c r="J339" s="333" t="str">
        <f t="shared" si="57"/>
        <v/>
      </c>
      <c r="K339" s="398"/>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c r="D340" s="386"/>
      <c r="E340" s="387"/>
      <c r="F340" s="475"/>
      <c r="G340" s="387"/>
      <c r="H340" s="475"/>
      <c r="I340" s="45">
        <f t="shared" si="56"/>
        <v>0</v>
      </c>
      <c r="J340" s="333" t="str">
        <f t="shared" si="57"/>
        <v/>
      </c>
      <c r="K340" s="398"/>
      <c r="L340" s="455">
        <f t="shared" ref="L340:W340" si="59">SUM(L175:L251)</f>
        <v>0</v>
      </c>
      <c r="M340" s="456">
        <f t="shared" si="59"/>
        <v>0</v>
      </c>
      <c r="N340" s="456">
        <f t="shared" si="59"/>
        <v>0</v>
      </c>
      <c r="O340" s="456">
        <f t="shared" si="59"/>
        <v>0</v>
      </c>
      <c r="P340" s="456">
        <f t="shared" si="59"/>
        <v>0</v>
      </c>
      <c r="Q340" s="456">
        <f t="shared" si="59"/>
        <v>0</v>
      </c>
      <c r="R340" s="456">
        <f t="shared" si="59"/>
        <v>0</v>
      </c>
      <c r="S340" s="456">
        <f t="shared" si="59"/>
        <v>0</v>
      </c>
      <c r="T340" s="456">
        <f t="shared" si="59"/>
        <v>0</v>
      </c>
      <c r="U340" s="456">
        <f t="shared" si="59"/>
        <v>0</v>
      </c>
      <c r="V340" s="456">
        <f t="shared" si="59"/>
        <v>0</v>
      </c>
      <c r="W340" s="456">
        <f t="shared" si="59"/>
        <v>0</v>
      </c>
    </row>
    <row r="341" spans="1:24" ht="12.75" customHeight="1" x14ac:dyDescent="0.2">
      <c r="A341" s="720" t="s">
        <v>822</v>
      </c>
      <c r="B341" s="721"/>
      <c r="C341" s="511">
        <f>C176+C187+C198+C209+C220+C231+C242+C253+C264+C286+C297+C308+C319+C330+C275</f>
        <v>815422957.62549996</v>
      </c>
      <c r="D341" s="478">
        <f t="shared" ref="D341:K341" si="60">D176+D187+D198+D209+D220+D231+D242+D253+D264+D286+D297+D308+D319+D330+D275</f>
        <v>1230118000</v>
      </c>
      <c r="E341" s="433">
        <f t="shared" si="60"/>
        <v>0</v>
      </c>
      <c r="F341" s="477">
        <f t="shared" si="60"/>
        <v>69191121.855599985</v>
      </c>
      <c r="G341" s="433">
        <f t="shared" si="60"/>
        <v>275937384.91538501</v>
      </c>
      <c r="H341" s="477">
        <f t="shared" si="60"/>
        <v>410039333.33333325</v>
      </c>
      <c r="I341" s="433">
        <f t="shared" si="56"/>
        <v>-134101948.41794825</v>
      </c>
      <c r="J341" s="433">
        <f t="shared" si="57"/>
        <v>-0.32704654777333947</v>
      </c>
      <c r="K341" s="516">
        <f t="shared" si="60"/>
        <v>1230118000</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56"/>
        <v>0</v>
      </c>
      <c r="J342" s="51" t="str">
        <f t="shared" si="57"/>
        <v/>
      </c>
      <c r="K342" s="195"/>
      <c r="L342" s="483">
        <f t="shared" ref="L342:W342" si="61">L171-L340</f>
        <v>0</v>
      </c>
      <c r="M342" s="484">
        <f t="shared" si="61"/>
        <v>0</v>
      </c>
      <c r="N342" s="484">
        <f t="shared" si="61"/>
        <v>0</v>
      </c>
      <c r="O342" s="484">
        <f t="shared" si="61"/>
        <v>0</v>
      </c>
      <c r="P342" s="484">
        <f t="shared" si="61"/>
        <v>0</v>
      </c>
      <c r="Q342" s="484">
        <f t="shared" si="61"/>
        <v>0</v>
      </c>
      <c r="R342" s="484">
        <f t="shared" si="61"/>
        <v>0</v>
      </c>
      <c r="S342" s="484">
        <f t="shared" si="61"/>
        <v>0</v>
      </c>
      <c r="T342" s="484">
        <f t="shared" si="61"/>
        <v>0</v>
      </c>
      <c r="U342" s="484">
        <f t="shared" si="61"/>
        <v>0</v>
      </c>
      <c r="V342" s="484">
        <f t="shared" si="61"/>
        <v>0</v>
      </c>
      <c r="W342" s="484">
        <f t="shared" si="61"/>
        <v>0</v>
      </c>
    </row>
    <row r="343" spans="1:24" s="489" customFormat="1" ht="13.5" customHeight="1" thickTop="1" x14ac:dyDescent="0.2">
      <c r="A343" s="54" t="s">
        <v>784</v>
      </c>
      <c r="B343" s="480"/>
      <c r="C343" s="512">
        <f>C172+C341</f>
        <v>815422957.62549996</v>
      </c>
      <c r="D343" s="515">
        <f t="shared" ref="D343:K343" si="62">D172+D341</f>
        <v>1230118000</v>
      </c>
      <c r="E343" s="56">
        <f t="shared" si="62"/>
        <v>0</v>
      </c>
      <c r="F343" s="482">
        <f t="shared" si="62"/>
        <v>69191121.855599985</v>
      </c>
      <c r="G343" s="56">
        <f t="shared" si="62"/>
        <v>275937384.91538501</v>
      </c>
      <c r="H343" s="482">
        <f t="shared" si="62"/>
        <v>410039333.33333325</v>
      </c>
      <c r="I343" s="56">
        <f t="shared" si="56"/>
        <v>-134101948.41794825</v>
      </c>
      <c r="J343" s="56">
        <f t="shared" si="57"/>
        <v>-0.32704654777333947</v>
      </c>
      <c r="K343" s="236">
        <f t="shared" si="62"/>
        <v>1230118000</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126</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tabSelected="1" zoomScaleNormal="100" workbookViewId="0">
      <pane xSplit="2" ySplit="4" topLeftCell="C17" activePane="bottomRight" state="frozen"/>
      <selection pane="topRight"/>
      <selection pane="bottomLeft"/>
      <selection pane="bottomRight" activeCell="G21" sqref="G21"/>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28" t="str">
        <f>muni&amp; " - "&amp;S71E&amp; " - "&amp;date</f>
        <v>LIM354 Polokwane - Table C6 Monthly Budget Statement - Financial Position - M04 October</v>
      </c>
      <c r="B1" s="1028"/>
      <c r="C1" s="1028"/>
      <c r="D1" s="1028"/>
      <c r="E1" s="1028"/>
      <c r="F1" s="1028"/>
      <c r="G1" s="1028"/>
    </row>
    <row r="2" spans="1:8" x14ac:dyDescent="0.2">
      <c r="A2" s="1013" t="str">
        <f>desc</f>
        <v>Description</v>
      </c>
      <c r="B2" s="1006" t="str">
        <f>head27</f>
        <v>Ref</v>
      </c>
      <c r="C2" s="141" t="str">
        <f>Head1</f>
        <v>2016/17</v>
      </c>
      <c r="D2" s="246" t="str">
        <f>Head2</f>
        <v>Budget Year 2017/18</v>
      </c>
      <c r="E2" s="230"/>
      <c r="F2" s="230"/>
      <c r="G2" s="231"/>
    </row>
    <row r="3" spans="1:8" ht="20.399999999999999" x14ac:dyDescent="0.2">
      <c r="A3" s="1014"/>
      <c r="B3" s="1017"/>
      <c r="C3" s="141" t="str">
        <f>Head5</f>
        <v>Audited Outcome</v>
      </c>
      <c r="D3" s="258" t="str">
        <f>Head6</f>
        <v>Original Budget</v>
      </c>
      <c r="E3" s="142" t="str">
        <f>Head7</f>
        <v>Adjusted Budget</v>
      </c>
      <c r="F3" s="142" t="str">
        <f>Head39</f>
        <v>YearTD actual</v>
      </c>
      <c r="G3" s="165" t="str">
        <f>Head8</f>
        <v>Full Year Forecast</v>
      </c>
    </row>
    <row r="4" spans="1:8" x14ac:dyDescent="0.2">
      <c r="A4" s="35" t="s">
        <v>688</v>
      </c>
      <c r="B4" s="120">
        <v>1</v>
      </c>
      <c r="C4" s="188"/>
      <c r="D4" s="247"/>
      <c r="E4" s="242"/>
      <c r="F4" s="83"/>
      <c r="G4" s="224"/>
    </row>
    <row r="5" spans="1:8" ht="11.25" customHeight="1" x14ac:dyDescent="0.2">
      <c r="A5" s="183" t="s">
        <v>562</v>
      </c>
      <c r="B5" s="187"/>
      <c r="C5" s="171"/>
      <c r="D5" s="268"/>
      <c r="E5" s="37"/>
      <c r="F5" s="37"/>
      <c r="G5" s="227"/>
    </row>
    <row r="6" spans="1:8" ht="11.25" customHeight="1" x14ac:dyDescent="0.2">
      <c r="A6" s="88" t="s">
        <v>563</v>
      </c>
      <c r="B6" s="170"/>
      <c r="C6" s="41"/>
      <c r="D6" s="269"/>
      <c r="E6" s="104"/>
      <c r="F6" s="104"/>
      <c r="G6" s="267"/>
    </row>
    <row r="7" spans="1:8" ht="12.75" customHeight="1" x14ac:dyDescent="0.2">
      <c r="A7" s="40" t="s">
        <v>808</v>
      </c>
      <c r="B7" s="170"/>
      <c r="C7" s="758">
        <v>98037995.372471005</v>
      </c>
      <c r="D7" s="763">
        <v>266470910.87045139</v>
      </c>
      <c r="E7" s="743"/>
      <c r="F7" s="743">
        <v>303012447.16999996</v>
      </c>
      <c r="G7" s="745">
        <f>D7</f>
        <v>266470910.87045139</v>
      </c>
    </row>
    <row r="8" spans="1:8" ht="12.75" customHeight="1" x14ac:dyDescent="0.2">
      <c r="A8" s="40" t="s">
        <v>611</v>
      </c>
      <c r="B8" s="170"/>
      <c r="C8" s="758">
        <v>139000000</v>
      </c>
      <c r="D8" s="763">
        <v>99000000</v>
      </c>
      <c r="E8" s="743"/>
      <c r="F8" s="743">
        <v>155000000</v>
      </c>
      <c r="G8" s="745">
        <f t="shared" ref="G8:G12" si="0">D8</f>
        <v>99000000</v>
      </c>
    </row>
    <row r="9" spans="1:8" ht="12.75" customHeight="1" x14ac:dyDescent="0.2">
      <c r="A9" s="40" t="s">
        <v>609</v>
      </c>
      <c r="B9" s="170"/>
      <c r="C9" s="758">
        <v>449468163.14999986</v>
      </c>
      <c r="D9" s="763">
        <v>352295505.38</v>
      </c>
      <c r="E9" s="743"/>
      <c r="F9" s="743">
        <v>600953921.09000003</v>
      </c>
      <c r="G9" s="745">
        <f t="shared" si="0"/>
        <v>352295505.38</v>
      </c>
    </row>
    <row r="10" spans="1:8" ht="12.75" customHeight="1" x14ac:dyDescent="0.2">
      <c r="A10" s="40" t="s">
        <v>610</v>
      </c>
      <c r="B10" s="170"/>
      <c r="C10" s="758">
        <v>55769919.259999998</v>
      </c>
      <c r="D10" s="763">
        <v>40000000</v>
      </c>
      <c r="E10" s="743"/>
      <c r="F10" s="743">
        <v>163115291</v>
      </c>
      <c r="G10" s="745">
        <f t="shared" si="0"/>
        <v>40000000</v>
      </c>
    </row>
    <row r="11" spans="1:8" ht="12.75" customHeight="1" x14ac:dyDescent="0.2">
      <c r="A11" s="40" t="s">
        <v>809</v>
      </c>
      <c r="B11" s="170"/>
      <c r="C11" s="758">
        <v>29151144.159999847</v>
      </c>
      <c r="D11" s="763">
        <v>500000</v>
      </c>
      <c r="E11" s="743"/>
      <c r="F11" s="743">
        <v>151739</v>
      </c>
      <c r="G11" s="745">
        <f t="shared" si="0"/>
        <v>500000</v>
      </c>
    </row>
    <row r="12" spans="1:8" ht="12.75" customHeight="1" x14ac:dyDescent="0.2">
      <c r="A12" s="40" t="s">
        <v>608</v>
      </c>
      <c r="B12" s="170"/>
      <c r="C12" s="758">
        <v>165259918.45999998</v>
      </c>
      <c r="D12" s="763">
        <v>36214114</v>
      </c>
      <c r="E12" s="743"/>
      <c r="F12" s="743">
        <v>93914338</v>
      </c>
      <c r="G12" s="745">
        <f t="shared" si="0"/>
        <v>36214114</v>
      </c>
    </row>
    <row r="13" spans="1:8" ht="12.75" customHeight="1" x14ac:dyDescent="0.2">
      <c r="A13" s="93" t="s">
        <v>653</v>
      </c>
      <c r="B13" s="234"/>
      <c r="C13" s="244">
        <f>SUM(C7:C12)</f>
        <v>936687140.40247059</v>
      </c>
      <c r="D13" s="261">
        <f>SUM(D7:D12)</f>
        <v>794480530.25045133</v>
      </c>
      <c r="E13" s="74">
        <f>SUM(E7:E12)</f>
        <v>0</v>
      </c>
      <c r="F13" s="74">
        <f>SUM(F7:F12)</f>
        <v>1316147736.26</v>
      </c>
      <c r="G13" s="146">
        <f>SUM(G7:G12)</f>
        <v>794480530.25045133</v>
      </c>
    </row>
    <row r="14" spans="1:8" ht="5.0999999999999996" customHeight="1" x14ac:dyDescent="0.2">
      <c r="A14" s="43"/>
      <c r="B14" s="170"/>
      <c r="C14" s="135"/>
      <c r="D14" s="259"/>
      <c r="E14" s="45"/>
      <c r="F14" s="45"/>
      <c r="G14" s="145"/>
    </row>
    <row r="15" spans="1:8" ht="12.75" customHeight="1" x14ac:dyDescent="0.2">
      <c r="A15" s="88" t="s">
        <v>465</v>
      </c>
      <c r="B15" s="170"/>
      <c r="C15" s="135"/>
      <c r="D15" s="259"/>
      <c r="E15" s="45"/>
      <c r="F15" s="45"/>
      <c r="G15" s="145"/>
    </row>
    <row r="16" spans="1:8" ht="12.75" customHeight="1" x14ac:dyDescent="0.2">
      <c r="A16" s="40" t="s">
        <v>607</v>
      </c>
      <c r="B16" s="170"/>
      <c r="C16" s="758"/>
      <c r="D16" s="763"/>
      <c r="E16" s="743"/>
      <c r="F16" s="743"/>
      <c r="G16" s="745">
        <f>D16</f>
        <v>0</v>
      </c>
      <c r="H16" s="40"/>
    </row>
    <row r="17" spans="1:8" ht="12.75" customHeight="1" x14ac:dyDescent="0.2">
      <c r="A17" s="40" t="s">
        <v>564</v>
      </c>
      <c r="B17" s="170"/>
      <c r="C17" s="758">
        <v>105549058.16</v>
      </c>
      <c r="D17" s="763">
        <v>123200000</v>
      </c>
      <c r="E17" s="743"/>
      <c r="F17" s="743">
        <v>219349800</v>
      </c>
      <c r="G17" s="745">
        <f t="shared" ref="G17:G24" si="1">D17</f>
        <v>123200000</v>
      </c>
      <c r="H17" s="40"/>
    </row>
    <row r="18" spans="1:8" ht="12.75" customHeight="1" x14ac:dyDescent="0.2">
      <c r="A18" s="40" t="s">
        <v>606</v>
      </c>
      <c r="B18" s="170"/>
      <c r="C18" s="758">
        <v>656976468.94999993</v>
      </c>
      <c r="D18" s="763">
        <v>658489237</v>
      </c>
      <c r="E18" s="743"/>
      <c r="F18" s="743">
        <v>656976468.95000005</v>
      </c>
      <c r="G18" s="745">
        <f t="shared" si="1"/>
        <v>658489237</v>
      </c>
      <c r="H18" s="40"/>
    </row>
    <row r="19" spans="1:8" ht="12.75" customHeight="1" x14ac:dyDescent="0.2">
      <c r="A19" s="40" t="s">
        <v>287</v>
      </c>
      <c r="B19" s="170"/>
      <c r="C19" s="758"/>
      <c r="D19" s="763"/>
      <c r="E19" s="743"/>
      <c r="F19" s="743"/>
      <c r="G19" s="745">
        <f t="shared" si="1"/>
        <v>0</v>
      </c>
      <c r="H19" s="40"/>
    </row>
    <row r="20" spans="1:8" ht="12.75" customHeight="1" x14ac:dyDescent="0.2">
      <c r="A20" s="40" t="s">
        <v>605</v>
      </c>
      <c r="B20" s="170"/>
      <c r="C20" s="758">
        <v>13256602148.677526</v>
      </c>
      <c r="D20" s="763">
        <v>10291534411.523993</v>
      </c>
      <c r="E20" s="743"/>
      <c r="F20" s="743">
        <v>13532539534</v>
      </c>
      <c r="G20" s="745">
        <f t="shared" si="1"/>
        <v>10291534411.523993</v>
      </c>
    </row>
    <row r="21" spans="1:8" ht="12.75" customHeight="1" x14ac:dyDescent="0.2">
      <c r="A21" s="40" t="s">
        <v>735</v>
      </c>
      <c r="B21" s="170"/>
      <c r="C21" s="758">
        <v>15595443.249999998</v>
      </c>
      <c r="D21" s="763">
        <v>8999025</v>
      </c>
      <c r="E21" s="743"/>
      <c r="F21" s="743">
        <v>15595443.249999998</v>
      </c>
      <c r="G21" s="745">
        <f t="shared" si="1"/>
        <v>8999025</v>
      </c>
      <c r="H21" s="40"/>
    </row>
    <row r="22" spans="1:8" ht="12.75" customHeight="1" x14ac:dyDescent="0.2">
      <c r="A22" s="40" t="s">
        <v>477</v>
      </c>
      <c r="B22" s="170"/>
      <c r="C22" s="758">
        <v>8439900</v>
      </c>
      <c r="D22" s="763">
        <v>2073968</v>
      </c>
      <c r="E22" s="743"/>
      <c r="F22" s="743">
        <v>8439900</v>
      </c>
      <c r="G22" s="745">
        <f t="shared" si="1"/>
        <v>2073968</v>
      </c>
      <c r="H22" s="40"/>
    </row>
    <row r="23" spans="1:8" ht="12.75" customHeight="1" x14ac:dyDescent="0.2">
      <c r="A23" s="40" t="s">
        <v>478</v>
      </c>
      <c r="B23" s="170"/>
      <c r="C23" s="758">
        <v>3102448.16</v>
      </c>
      <c r="D23" s="763">
        <v>15609153</v>
      </c>
      <c r="E23" s="743"/>
      <c r="F23" s="743">
        <v>3102448.16</v>
      </c>
      <c r="G23" s="745">
        <f t="shared" si="1"/>
        <v>15609153</v>
      </c>
      <c r="H23" s="40"/>
    </row>
    <row r="24" spans="1:8" ht="12.75" customHeight="1" x14ac:dyDescent="0.2">
      <c r="A24" s="40" t="s">
        <v>818</v>
      </c>
      <c r="B24" s="170"/>
      <c r="C24" s="758"/>
      <c r="D24" s="763">
        <v>16609153</v>
      </c>
      <c r="E24" s="743"/>
      <c r="F24" s="743">
        <v>16609153</v>
      </c>
      <c r="G24" s="745">
        <f t="shared" si="1"/>
        <v>16609153</v>
      </c>
      <c r="H24" s="40"/>
    </row>
    <row r="25" spans="1:8" ht="12.75" customHeight="1" x14ac:dyDescent="0.2">
      <c r="A25" s="93" t="s">
        <v>652</v>
      </c>
      <c r="B25" s="234"/>
      <c r="C25" s="244">
        <f>SUM(C16:C24)</f>
        <v>14046265467.197527</v>
      </c>
      <c r="D25" s="261">
        <f>SUM(D16:D24)</f>
        <v>11116514947.523993</v>
      </c>
      <c r="E25" s="74">
        <f>SUM(E16:E24)</f>
        <v>0</v>
      </c>
      <c r="F25" s="74">
        <f>SUM(F16:F24)</f>
        <v>14452612747.360001</v>
      </c>
      <c r="G25" s="146">
        <f>SUM(G16:G24)</f>
        <v>11116514947.523993</v>
      </c>
      <c r="H25" s="40"/>
    </row>
    <row r="26" spans="1:8" ht="12.75" customHeight="1" x14ac:dyDescent="0.2">
      <c r="A26" s="93" t="s">
        <v>801</v>
      </c>
      <c r="B26" s="234"/>
      <c r="C26" s="244">
        <f>C13+C25</f>
        <v>14982952607.599998</v>
      </c>
      <c r="D26" s="261">
        <f>D13+D25</f>
        <v>11910995477.774445</v>
      </c>
      <c r="E26" s="74">
        <f>E13+E25</f>
        <v>0</v>
      </c>
      <c r="F26" s="74">
        <f>F13+F25</f>
        <v>15768760483.620001</v>
      </c>
      <c r="G26" s="146">
        <f>G13+G25</f>
        <v>11910995477.774445</v>
      </c>
    </row>
    <row r="27" spans="1:8" ht="5.0999999999999996" customHeight="1" x14ac:dyDescent="0.2">
      <c r="A27" s="43"/>
      <c r="B27" s="170"/>
      <c r="C27" s="135"/>
      <c r="D27" s="259"/>
      <c r="E27" s="45"/>
      <c r="F27" s="45"/>
      <c r="G27" s="145"/>
    </row>
    <row r="28" spans="1:8" ht="12.75" customHeight="1" x14ac:dyDescent="0.2">
      <c r="A28" s="36" t="s">
        <v>466</v>
      </c>
      <c r="B28" s="170"/>
      <c r="C28" s="135"/>
      <c r="D28" s="259"/>
      <c r="E28" s="45"/>
      <c r="F28" s="45"/>
      <c r="G28" s="145"/>
    </row>
    <row r="29" spans="1:8" ht="12.75" customHeight="1" x14ac:dyDescent="0.2">
      <c r="A29" s="88" t="s">
        <v>565</v>
      </c>
      <c r="B29" s="176"/>
      <c r="C29" s="135"/>
      <c r="D29" s="259"/>
      <c r="E29" s="45"/>
      <c r="F29" s="45"/>
      <c r="G29" s="145"/>
    </row>
    <row r="30" spans="1:8" ht="12.75" customHeight="1" x14ac:dyDescent="0.2">
      <c r="A30" s="40" t="s">
        <v>767</v>
      </c>
      <c r="B30" s="170"/>
      <c r="C30" s="758">
        <v>80616010.199999988</v>
      </c>
      <c r="D30" s="763"/>
      <c r="E30" s="743"/>
      <c r="F30" s="743"/>
      <c r="G30" s="745">
        <f>D30</f>
        <v>0</v>
      </c>
    </row>
    <row r="31" spans="1:8" ht="12.75" customHeight="1" x14ac:dyDescent="0.2">
      <c r="A31" s="40" t="s">
        <v>802</v>
      </c>
      <c r="B31" s="170"/>
      <c r="C31" s="758">
        <v>59829253</v>
      </c>
      <c r="D31" s="763">
        <v>122498679</v>
      </c>
      <c r="E31" s="743"/>
      <c r="F31" s="743">
        <v>59829253</v>
      </c>
      <c r="G31" s="745">
        <f t="shared" ref="G31:G34" si="2">D31</f>
        <v>122498679</v>
      </c>
    </row>
    <row r="32" spans="1:8" ht="12.75" customHeight="1" x14ac:dyDescent="0.2">
      <c r="A32" s="40" t="s">
        <v>604</v>
      </c>
      <c r="B32" s="170"/>
      <c r="C32" s="758">
        <v>70952968.109999999</v>
      </c>
      <c r="D32" s="763">
        <v>75000000</v>
      </c>
      <c r="E32" s="743"/>
      <c r="F32" s="743">
        <v>71282311</v>
      </c>
      <c r="G32" s="745">
        <f t="shared" si="2"/>
        <v>75000000</v>
      </c>
    </row>
    <row r="33" spans="1:7" ht="12.75" customHeight="1" x14ac:dyDescent="0.2">
      <c r="A33" s="40" t="s">
        <v>810</v>
      </c>
      <c r="B33" s="170"/>
      <c r="C33" s="758">
        <v>481746460.87</v>
      </c>
      <c r="D33" s="763">
        <v>404823350</v>
      </c>
      <c r="E33" s="743"/>
      <c r="F33" s="743">
        <f>[6]Sheet1!$F$23+[6]Sheet1!$F$22</f>
        <v>492810443.99453002</v>
      </c>
      <c r="G33" s="745">
        <f t="shared" si="2"/>
        <v>404823350</v>
      </c>
    </row>
    <row r="34" spans="1:7" ht="12.75" customHeight="1" x14ac:dyDescent="0.2">
      <c r="A34" s="40" t="s">
        <v>566</v>
      </c>
      <c r="B34" s="170"/>
      <c r="C34" s="758">
        <v>33971316.280000001</v>
      </c>
      <c r="D34" s="763">
        <v>70000000</v>
      </c>
      <c r="E34" s="743"/>
      <c r="F34" s="743">
        <v>50740600</v>
      </c>
      <c r="G34" s="745">
        <f t="shared" si="2"/>
        <v>70000000</v>
      </c>
    </row>
    <row r="35" spans="1:7" ht="12.75" customHeight="1" x14ac:dyDescent="0.2">
      <c r="A35" s="93" t="s">
        <v>470</v>
      </c>
      <c r="B35" s="234"/>
      <c r="C35" s="244">
        <f>SUM(C30:C34)</f>
        <v>727116008.46000004</v>
      </c>
      <c r="D35" s="261">
        <f>SUM(D30:D34)</f>
        <v>672322029</v>
      </c>
      <c r="E35" s="74">
        <f>SUM(E30:E34)</f>
        <v>0</v>
      </c>
      <c r="F35" s="74">
        <f>SUM(F30:F34)</f>
        <v>674662607.99452996</v>
      </c>
      <c r="G35" s="146">
        <f>SUM(G30:G34)</f>
        <v>672322029</v>
      </c>
    </row>
    <row r="36" spans="1:7" ht="5.0999999999999996" customHeight="1" x14ac:dyDescent="0.2">
      <c r="A36" s="43"/>
      <c r="B36" s="170"/>
      <c r="C36" s="135"/>
      <c r="D36" s="259"/>
      <c r="E36" s="45"/>
      <c r="F36" s="45"/>
      <c r="G36" s="145"/>
    </row>
    <row r="37" spans="1:7" ht="12.75" customHeight="1" x14ac:dyDescent="0.2">
      <c r="A37" s="88" t="s">
        <v>468</v>
      </c>
      <c r="B37" s="170"/>
      <c r="C37" s="135"/>
      <c r="D37" s="259"/>
      <c r="E37" s="45"/>
      <c r="F37" s="45"/>
      <c r="G37" s="145"/>
    </row>
    <row r="38" spans="1:7" ht="12.75" customHeight="1" x14ac:dyDescent="0.2">
      <c r="A38" s="40" t="s">
        <v>802</v>
      </c>
      <c r="B38" s="170"/>
      <c r="C38" s="758">
        <v>346547557</v>
      </c>
      <c r="D38" s="763">
        <v>518013000</v>
      </c>
      <c r="E38" s="743"/>
      <c r="F38" s="743">
        <v>551547557</v>
      </c>
      <c r="G38" s="745">
        <f>D38</f>
        <v>518013000</v>
      </c>
    </row>
    <row r="39" spans="1:7" ht="12.75" customHeight="1" x14ac:dyDescent="0.2">
      <c r="A39" s="40" t="s">
        <v>566</v>
      </c>
      <c r="B39" s="170"/>
      <c r="C39" s="758">
        <v>275077810.13999999</v>
      </c>
      <c r="D39" s="763">
        <v>190870400</v>
      </c>
      <c r="E39" s="743"/>
      <c r="F39" s="743">
        <v>275077810.13999999</v>
      </c>
      <c r="G39" s="745">
        <f>D39</f>
        <v>190870400</v>
      </c>
    </row>
    <row r="40" spans="1:7" ht="12.75" customHeight="1" x14ac:dyDescent="0.2">
      <c r="A40" s="93" t="s">
        <v>469</v>
      </c>
      <c r="B40" s="234"/>
      <c r="C40" s="244">
        <f>SUM(C38:C39)</f>
        <v>621625367.13999999</v>
      </c>
      <c r="D40" s="261">
        <f>SUM(D38:D39)</f>
        <v>708883400</v>
      </c>
      <c r="E40" s="74">
        <f>SUM(E38:E39)</f>
        <v>0</v>
      </c>
      <c r="F40" s="74">
        <f>SUM(F38:F39)</f>
        <v>826625367.13999999</v>
      </c>
      <c r="G40" s="146">
        <f>SUM(G38:G39)</f>
        <v>708883400</v>
      </c>
    </row>
    <row r="41" spans="1:7" ht="12.75" customHeight="1" x14ac:dyDescent="0.2">
      <c r="A41" s="93" t="s">
        <v>1</v>
      </c>
      <c r="B41" s="234"/>
      <c r="C41" s="244">
        <f>C35+C40</f>
        <v>1348741375.5999999</v>
      </c>
      <c r="D41" s="261">
        <f>D35+D40</f>
        <v>1381205429</v>
      </c>
      <c r="E41" s="74">
        <f>E35+E40</f>
        <v>0</v>
      </c>
      <c r="F41" s="74">
        <f>F35+F40</f>
        <v>1501287975.1345301</v>
      </c>
      <c r="G41" s="146">
        <f>G35+G40</f>
        <v>1381205429</v>
      </c>
    </row>
    <row r="42" spans="1:7" ht="5.0999999999999996" customHeight="1" x14ac:dyDescent="0.2">
      <c r="A42" s="43"/>
      <c r="B42" s="170"/>
      <c r="C42" s="135"/>
      <c r="D42" s="259"/>
      <c r="E42" s="45"/>
      <c r="F42" s="45"/>
      <c r="G42" s="145"/>
    </row>
    <row r="43" spans="1:7" ht="12.75" customHeight="1" x14ac:dyDescent="0.2">
      <c r="A43" s="95" t="s">
        <v>800</v>
      </c>
      <c r="B43" s="120">
        <v>2</v>
      </c>
      <c r="C43" s="245">
        <f>C26-C41</f>
        <v>13634211231.999998</v>
      </c>
      <c r="D43" s="266">
        <f>D26-D41</f>
        <v>10529790048.774445</v>
      </c>
      <c r="E43" s="77">
        <f>E26-E41</f>
        <v>0</v>
      </c>
      <c r="F43" s="77">
        <f>F26-F41</f>
        <v>14267472508.48547</v>
      </c>
      <c r="G43" s="235">
        <f>G26-G41</f>
        <v>10529790048.774445</v>
      </c>
    </row>
    <row r="44" spans="1:7" ht="5.0999999999999996" customHeight="1" x14ac:dyDescent="0.2">
      <c r="A44" s="43"/>
      <c r="B44" s="170"/>
      <c r="C44" s="135"/>
      <c r="D44" s="259"/>
      <c r="E44" s="45"/>
      <c r="F44" s="45"/>
      <c r="G44" s="145"/>
    </row>
    <row r="45" spans="1:7" ht="12.75" customHeight="1" x14ac:dyDescent="0.2">
      <c r="A45" s="36" t="s">
        <v>654</v>
      </c>
      <c r="B45" s="170"/>
      <c r="C45" s="135"/>
      <c r="D45" s="259"/>
      <c r="E45" s="45"/>
      <c r="F45" s="45"/>
      <c r="G45" s="145"/>
    </row>
    <row r="46" spans="1:7" ht="12.75" customHeight="1" x14ac:dyDescent="0.2">
      <c r="A46" s="40" t="s">
        <v>589</v>
      </c>
      <c r="B46" s="170"/>
      <c r="C46" s="758">
        <v>6434297569</v>
      </c>
      <c r="D46" s="763">
        <v>7121270847.9744453</v>
      </c>
      <c r="E46" s="743"/>
      <c r="F46" s="743">
        <v>10830954240.48547</v>
      </c>
      <c r="G46" s="745">
        <f>D46</f>
        <v>7121270847.9744453</v>
      </c>
    </row>
    <row r="47" spans="1:7" ht="12.75" customHeight="1" x14ac:dyDescent="0.2">
      <c r="A47" s="40" t="s">
        <v>932</v>
      </c>
      <c r="B47" s="170"/>
      <c r="C47" s="758">
        <v>7199913663</v>
      </c>
      <c r="D47" s="763">
        <v>3408519200.7999997</v>
      </c>
      <c r="E47" s="743"/>
      <c r="F47" s="743">
        <v>3436518268</v>
      </c>
      <c r="G47" s="745">
        <f>D47</f>
        <v>3408519200.7999997</v>
      </c>
    </row>
    <row r="48" spans="1:7" ht="12.75" customHeight="1" x14ac:dyDescent="0.2">
      <c r="A48" s="54" t="s">
        <v>647</v>
      </c>
      <c r="B48" s="237">
        <v>2</v>
      </c>
      <c r="C48" s="113">
        <f>SUM(C46:C47)</f>
        <v>13634211232</v>
      </c>
      <c r="D48" s="272">
        <f>SUM(D46:D47)</f>
        <v>10529790048.774445</v>
      </c>
      <c r="E48" s="56">
        <f>SUM(E46:E47)</f>
        <v>0</v>
      </c>
      <c r="F48" s="56">
        <f>SUM(F46:F47)</f>
        <v>14267472508.48547</v>
      </c>
      <c r="G48" s="236">
        <f>SUM(G46:G47)</f>
        <v>10529790048.774445</v>
      </c>
    </row>
    <row r="49" spans="1:7" ht="12.75" customHeight="1" x14ac:dyDescent="0.2">
      <c r="A49" s="79" t="str">
        <f>head27a</f>
        <v>References</v>
      </c>
      <c r="B49" s="59"/>
      <c r="C49" s="50"/>
      <c r="D49" s="50"/>
      <c r="E49" s="50"/>
      <c r="F49" s="50"/>
      <c r="G49" s="50"/>
    </row>
    <row r="50" spans="1:7" ht="13.5" customHeight="1" x14ac:dyDescent="0.2">
      <c r="A50" s="1027" t="s">
        <v>153</v>
      </c>
      <c r="B50" s="1027"/>
      <c r="C50" s="1027"/>
      <c r="D50" s="1027"/>
      <c r="E50" s="1027"/>
      <c r="F50" s="1027"/>
      <c r="G50" s="1027"/>
    </row>
    <row r="51" spans="1:7" ht="13.5" customHeight="1" x14ac:dyDescent="0.2">
      <c r="A51" s="81" t="s">
        <v>928</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743</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39" activePane="bottomRight" state="frozen"/>
      <selection pane="topRight"/>
      <selection pane="bottomLeft"/>
      <selection pane="bottomRight" activeCell="C7" sqref="C7:K41"/>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"&amp;S71F&amp; " - "&amp;date</f>
        <v>LIM354 Polokwane - Table C7 Monthly Budget Statement - Cash Flow  - M04 October</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120">
        <v>1</v>
      </c>
      <c r="C4" s="188"/>
      <c r="D4" s="241"/>
      <c r="E4" s="242"/>
      <c r="F4" s="83"/>
      <c r="G4" s="83"/>
      <c r="H4" s="83"/>
      <c r="I4" s="83"/>
      <c r="J4" s="243" t="s">
        <v>595</v>
      </c>
      <c r="K4" s="224"/>
    </row>
    <row r="5" spans="1:11" ht="12.75" customHeight="1" x14ac:dyDescent="0.2">
      <c r="A5" s="273" t="s">
        <v>861</v>
      </c>
      <c r="B5" s="187"/>
      <c r="C5" s="171"/>
      <c r="D5" s="38"/>
      <c r="E5" s="37"/>
      <c r="F5" s="37"/>
      <c r="G5" s="37"/>
      <c r="H5" s="37"/>
      <c r="I5" s="37"/>
      <c r="J5" s="37"/>
      <c r="K5" s="227"/>
    </row>
    <row r="6" spans="1:11" ht="12.75" customHeight="1" x14ac:dyDescent="0.2">
      <c r="A6" s="88" t="s">
        <v>926</v>
      </c>
      <c r="B6" s="170"/>
      <c r="C6" s="41"/>
      <c r="D6" s="105"/>
      <c r="E6" s="104"/>
      <c r="F6" s="104"/>
      <c r="G6" s="104"/>
      <c r="H6" s="104"/>
      <c r="I6" s="104"/>
      <c r="J6" s="104"/>
      <c r="K6" s="267"/>
    </row>
    <row r="7" spans="1:11" ht="12.75" customHeight="1" x14ac:dyDescent="0.2">
      <c r="A7" s="521" t="s">
        <v>962</v>
      </c>
      <c r="B7" s="170"/>
      <c r="C7" s="758">
        <v>299935075.72000003</v>
      </c>
      <c r="D7" s="755">
        <v>341608960</v>
      </c>
      <c r="E7" s="743"/>
      <c r="F7" s="960">
        <v>29208700.530000001</v>
      </c>
      <c r="G7" s="960">
        <v>113054234.07000923</v>
      </c>
      <c r="H7" s="743">
        <f t="shared" ref="H7:H13" si="0">D7/12*4</f>
        <v>113869653.33333333</v>
      </c>
      <c r="I7" s="45">
        <f t="shared" ref="I7:I13" si="1">G7-H7</f>
        <v>-815419.2633240968</v>
      </c>
      <c r="J7" s="333">
        <f>IF(I7=0,"",I7/H7)</f>
        <v>-7.1609883709499028E-3</v>
      </c>
      <c r="K7" s="745">
        <f>D7</f>
        <v>341608960</v>
      </c>
    </row>
    <row r="8" spans="1:11" ht="12.75" customHeight="1" x14ac:dyDescent="0.2">
      <c r="A8" s="521" t="s">
        <v>993</v>
      </c>
      <c r="B8" s="170"/>
      <c r="C8" s="758">
        <v>1207106650.1800003</v>
      </c>
      <c r="D8" s="755">
        <v>1331879200.0020001</v>
      </c>
      <c r="E8" s="743"/>
      <c r="F8" s="960">
        <v>99168203.799999997</v>
      </c>
      <c r="G8" s="960">
        <v>368693167.89000005</v>
      </c>
      <c r="H8" s="743">
        <f t="shared" si="0"/>
        <v>443959733.33400005</v>
      </c>
      <c r="I8" s="45">
        <f t="shared" si="1"/>
        <v>-75266565.444000006</v>
      </c>
      <c r="J8" s="333">
        <f>IF(I8=0,"",I8/H8)</f>
        <v>-0.16953466675631013</v>
      </c>
      <c r="K8" s="745">
        <f t="shared" ref="K8:K13" si="2">D8</f>
        <v>1331879200.0020001</v>
      </c>
    </row>
    <row r="9" spans="1:11" ht="12.75" customHeight="1" x14ac:dyDescent="0.2">
      <c r="A9" s="521" t="s">
        <v>464</v>
      </c>
      <c r="B9" s="170"/>
      <c r="C9" s="758">
        <v>361553903.56999922</v>
      </c>
      <c r="D9" s="755">
        <v>278799100.62309998</v>
      </c>
      <c r="E9" s="743"/>
      <c r="F9" s="960">
        <v>61539999.699999988</v>
      </c>
      <c r="G9" s="960">
        <v>403185022.42999095</v>
      </c>
      <c r="H9" s="743">
        <f t="shared" si="0"/>
        <v>92933033.541033328</v>
      </c>
      <c r="I9" s="45">
        <f t="shared" si="1"/>
        <v>310251988.88895762</v>
      </c>
      <c r="J9" s="333">
        <f>IF(I9=0,"",I9/H9)</f>
        <v>3.3384468048379161</v>
      </c>
      <c r="K9" s="745">
        <f t="shared" si="2"/>
        <v>278799100.62309998</v>
      </c>
    </row>
    <row r="10" spans="1:11" ht="12.75" customHeight="1" x14ac:dyDescent="0.2">
      <c r="A10" s="87" t="s">
        <v>717</v>
      </c>
      <c r="B10" s="172"/>
      <c r="C10" s="758">
        <v>743575754</v>
      </c>
      <c r="D10" s="755">
        <v>968911000.36500001</v>
      </c>
      <c r="E10" s="743"/>
      <c r="F10" s="960">
        <v>36655718.290623531</v>
      </c>
      <c r="G10" s="960">
        <v>435903779.29062355</v>
      </c>
      <c r="H10" s="743">
        <f t="shared" si="0"/>
        <v>322970333.45499998</v>
      </c>
      <c r="I10" s="45">
        <f t="shared" si="1"/>
        <v>112933445.83562356</v>
      </c>
      <c r="J10" s="333">
        <f>IF(I10=0,"",I10/H10)</f>
        <v>0.34967126741180632</v>
      </c>
      <c r="K10" s="745">
        <f t="shared" si="2"/>
        <v>968911000.36500001</v>
      </c>
    </row>
    <row r="11" spans="1:11" ht="12.75" customHeight="1" x14ac:dyDescent="0.2">
      <c r="A11" s="87" t="s">
        <v>718</v>
      </c>
      <c r="B11" s="172"/>
      <c r="C11" s="758">
        <v>548523446.61000001</v>
      </c>
      <c r="D11" s="755">
        <v>650954999.63499999</v>
      </c>
      <c r="E11" s="743"/>
      <c r="F11" s="960">
        <v>113399281.70937647</v>
      </c>
      <c r="G11" s="960">
        <v>333835219.70937645</v>
      </c>
      <c r="H11" s="743">
        <f t="shared" si="0"/>
        <v>216984999.87833333</v>
      </c>
      <c r="I11" s="45">
        <f t="shared" si="1"/>
        <v>116850219.83104312</v>
      </c>
      <c r="J11" s="333">
        <f t="shared" ref="J11:J18" si="3">IF(I11=0,"",I11/H11)</f>
        <v>0.53851750073305871</v>
      </c>
      <c r="K11" s="745">
        <f t="shared" si="2"/>
        <v>650954999.63499999</v>
      </c>
    </row>
    <row r="12" spans="1:11" ht="12.75" customHeight="1" x14ac:dyDescent="0.2">
      <c r="A12" s="87" t="s">
        <v>912</v>
      </c>
      <c r="B12" s="172"/>
      <c r="C12" s="758">
        <v>34088470.740000002</v>
      </c>
      <c r="D12" s="755">
        <v>103867980</v>
      </c>
      <c r="E12" s="743"/>
      <c r="F12" s="960">
        <v>5343993</v>
      </c>
      <c r="G12" s="960">
        <v>33357098.969999999</v>
      </c>
      <c r="H12" s="743">
        <f t="shared" si="0"/>
        <v>34622660</v>
      </c>
      <c r="I12" s="45">
        <f t="shared" si="1"/>
        <v>-1265561.0300000012</v>
      </c>
      <c r="J12" s="333">
        <f t="shared" si="3"/>
        <v>-3.6552969355907405E-2</v>
      </c>
      <c r="K12" s="745">
        <f t="shared" si="2"/>
        <v>103867980</v>
      </c>
    </row>
    <row r="13" spans="1:11" ht="12.75" customHeight="1" x14ac:dyDescent="0.2">
      <c r="A13" s="87" t="s">
        <v>687</v>
      </c>
      <c r="B13" s="172"/>
      <c r="C13" s="758"/>
      <c r="D13" s="755"/>
      <c r="E13" s="743"/>
      <c r="F13" s="960"/>
      <c r="G13" s="960">
        <v>0</v>
      </c>
      <c r="H13" s="743">
        <f t="shared" si="0"/>
        <v>0</v>
      </c>
      <c r="I13" s="45">
        <f t="shared" si="1"/>
        <v>0</v>
      </c>
      <c r="J13" s="333" t="str">
        <f t="shared" si="3"/>
        <v/>
      </c>
      <c r="K13" s="745">
        <f t="shared" si="2"/>
        <v>0</v>
      </c>
    </row>
    <row r="14" spans="1:11" ht="12.75" customHeight="1" x14ac:dyDescent="0.2">
      <c r="A14" s="89" t="s">
        <v>927</v>
      </c>
      <c r="B14" s="172"/>
      <c r="C14" s="135"/>
      <c r="D14" s="47"/>
      <c r="E14" s="45"/>
      <c r="F14" s="45"/>
      <c r="G14" s="45"/>
      <c r="H14" s="45"/>
      <c r="I14" s="45"/>
      <c r="J14" s="333"/>
      <c r="K14" s="145"/>
    </row>
    <row r="15" spans="1:11" ht="12.75" customHeight="1" x14ac:dyDescent="0.2">
      <c r="A15" s="87" t="s">
        <v>719</v>
      </c>
      <c r="B15" s="172"/>
      <c r="C15" s="758">
        <v>-1861611606.0899999</v>
      </c>
      <c r="D15" s="755">
        <v>-2447710832.2043753</v>
      </c>
      <c r="E15" s="743"/>
      <c r="F15" s="743">
        <v>-286514554.67999995</v>
      </c>
      <c r="G15" s="743">
        <v>-1315933258.7162147</v>
      </c>
      <c r="H15" s="743">
        <f>D15/12*4</f>
        <v>-815903610.73479176</v>
      </c>
      <c r="I15" s="45">
        <f>H15-G15</f>
        <v>500029647.9814229</v>
      </c>
      <c r="J15" s="333">
        <f t="shared" si="3"/>
        <v>-0.61285382415589873</v>
      </c>
      <c r="K15" s="745">
        <f>D15</f>
        <v>-2447710832.2043753</v>
      </c>
    </row>
    <row r="16" spans="1:11" ht="12.75" customHeight="1" x14ac:dyDescent="0.2">
      <c r="A16" s="87" t="s">
        <v>463</v>
      </c>
      <c r="B16" s="172"/>
      <c r="C16" s="758">
        <v>-37501259.159999996</v>
      </c>
      <c r="D16" s="755">
        <v>-76000000</v>
      </c>
      <c r="E16" s="743"/>
      <c r="F16" s="743"/>
      <c r="G16" s="743">
        <v>-10179890.960000001</v>
      </c>
      <c r="H16" s="743">
        <f>D16/12*4</f>
        <v>-25333333.333333332</v>
      </c>
      <c r="I16" s="45">
        <f>H16-G16</f>
        <v>-15153442.373333331</v>
      </c>
      <c r="J16" s="333">
        <f t="shared" si="3"/>
        <v>0.59816219894736833</v>
      </c>
      <c r="K16" s="745">
        <f t="shared" ref="K16:K17" si="4">D16</f>
        <v>-76000000</v>
      </c>
    </row>
    <row r="17" spans="1:11" ht="12.75" customHeight="1" x14ac:dyDescent="0.2">
      <c r="A17" s="87" t="s">
        <v>70</v>
      </c>
      <c r="B17" s="172"/>
      <c r="C17" s="758">
        <v>-12120000</v>
      </c>
      <c r="D17" s="755">
        <v>-5720000</v>
      </c>
      <c r="E17" s="743"/>
      <c r="F17" s="743">
        <v>-40000</v>
      </c>
      <c r="G17" s="743">
        <v>-3660000</v>
      </c>
      <c r="H17" s="743">
        <f>D17/12*4</f>
        <v>-1906666.6666666667</v>
      </c>
      <c r="I17" s="45">
        <f>H17-G17</f>
        <v>1753333.3333333333</v>
      </c>
      <c r="J17" s="333">
        <f t="shared" si="3"/>
        <v>-0.91958041958041947</v>
      </c>
      <c r="K17" s="745">
        <f t="shared" si="4"/>
        <v>-5720000</v>
      </c>
    </row>
    <row r="18" spans="1:11" ht="12.75" customHeight="1" x14ac:dyDescent="0.2">
      <c r="A18" s="93" t="s">
        <v>916</v>
      </c>
      <c r="B18" s="234"/>
      <c r="C18" s="244">
        <f t="shared" ref="C18:H18" si="5">SUM(C7:C13)+SUM(C15:C17)</f>
        <v>1283550435.5699992</v>
      </c>
      <c r="D18" s="75">
        <f t="shared" si="5"/>
        <v>1146590408.4207249</v>
      </c>
      <c r="E18" s="74">
        <f t="shared" si="5"/>
        <v>0</v>
      </c>
      <c r="F18" s="74">
        <f t="shared" si="5"/>
        <v>58761342.350000024</v>
      </c>
      <c r="G18" s="74">
        <f t="shared" si="5"/>
        <v>358255372.68378568</v>
      </c>
      <c r="H18" s="74">
        <f t="shared" si="5"/>
        <v>382196802.80690813</v>
      </c>
      <c r="I18" s="74">
        <f>H18-G18</f>
        <v>23941430.123122454</v>
      </c>
      <c r="J18" s="334">
        <f t="shared" si="3"/>
        <v>6.2641628468090668E-2</v>
      </c>
      <c r="K18" s="146">
        <f>SUM(K7:K13)+SUM(K15:K17)</f>
        <v>1146590408.4207249</v>
      </c>
    </row>
    <row r="19" spans="1:11" ht="5.0999999999999996" customHeight="1" x14ac:dyDescent="0.2">
      <c r="A19" s="43"/>
      <c r="B19" s="170"/>
      <c r="C19" s="135"/>
      <c r="D19" s="47"/>
      <c r="E19" s="45"/>
      <c r="F19" s="45"/>
      <c r="G19" s="45"/>
      <c r="H19" s="45"/>
      <c r="I19" s="45"/>
      <c r="J19" s="45"/>
      <c r="K19" s="145"/>
    </row>
    <row r="20" spans="1:11" ht="12.75" customHeight="1" x14ac:dyDescent="0.2">
      <c r="A20" s="88" t="s">
        <v>744</v>
      </c>
      <c r="B20" s="170"/>
      <c r="C20" s="135"/>
      <c r="D20" s="47"/>
      <c r="E20" s="45"/>
      <c r="F20" s="45"/>
      <c r="G20" s="45"/>
      <c r="H20" s="45"/>
      <c r="I20" s="45"/>
      <c r="J20" s="45"/>
      <c r="K20" s="145"/>
    </row>
    <row r="21" spans="1:11" ht="12.75" customHeight="1" x14ac:dyDescent="0.2">
      <c r="A21" s="88" t="s">
        <v>926</v>
      </c>
      <c r="B21" s="170"/>
      <c r="C21" s="135"/>
      <c r="D21" s="47"/>
      <c r="E21" s="45"/>
      <c r="F21" s="45"/>
      <c r="G21" s="45"/>
      <c r="H21" s="45"/>
      <c r="I21" s="45"/>
      <c r="J21" s="45"/>
      <c r="K21" s="145"/>
    </row>
    <row r="22" spans="1:11" ht="12.75" customHeight="1" x14ac:dyDescent="0.2">
      <c r="A22" s="87" t="s">
        <v>953</v>
      </c>
      <c r="B22" s="170"/>
      <c r="C22" s="758">
        <v>272085.74</v>
      </c>
      <c r="D22" s="755">
        <v>28700000</v>
      </c>
      <c r="E22" s="743"/>
      <c r="F22" s="743">
        <v>4813.16</v>
      </c>
      <c r="G22" s="743">
        <v>4813.16</v>
      </c>
      <c r="H22" s="743">
        <f>D22/12*4</f>
        <v>9566666.666666666</v>
      </c>
      <c r="I22" s="45">
        <f>G22-H22</f>
        <v>-9561853.5066666659</v>
      </c>
      <c r="J22" s="333">
        <f t="shared" ref="J22:J28" si="6">IF(I22=0,"",I22/H22)</f>
        <v>-0.99949688222996513</v>
      </c>
      <c r="K22" s="745">
        <f>D22</f>
        <v>28700000</v>
      </c>
    </row>
    <row r="23" spans="1:11" ht="12.75" customHeight="1" x14ac:dyDescent="0.2">
      <c r="A23" s="40" t="s">
        <v>450</v>
      </c>
      <c r="B23" s="170"/>
      <c r="C23" s="758">
        <v>2804009.17</v>
      </c>
      <c r="D23" s="755"/>
      <c r="E23" s="743"/>
      <c r="F23" s="743"/>
      <c r="G23" s="743"/>
      <c r="H23" s="743">
        <f>D23/12*4</f>
        <v>0</v>
      </c>
      <c r="I23" s="45">
        <f>G23-H23</f>
        <v>0</v>
      </c>
      <c r="J23" s="333" t="str">
        <f t="shared" si="6"/>
        <v/>
      </c>
      <c r="K23" s="745">
        <f t="shared" ref="K23:K25" si="7">D23</f>
        <v>0</v>
      </c>
    </row>
    <row r="24" spans="1:11" ht="12.75" customHeight="1" x14ac:dyDescent="0.2">
      <c r="A24" s="40" t="s">
        <v>914</v>
      </c>
      <c r="B24" s="176"/>
      <c r="C24" s="758"/>
      <c r="D24" s="755"/>
      <c r="E24" s="743"/>
      <c r="F24" s="743"/>
      <c r="G24" s="743"/>
      <c r="H24" s="743">
        <f>D24/12*4</f>
        <v>0</v>
      </c>
      <c r="I24" s="45">
        <f>G24-H24</f>
        <v>0</v>
      </c>
      <c r="J24" s="333" t="str">
        <f t="shared" si="6"/>
        <v/>
      </c>
      <c r="K24" s="745">
        <f t="shared" si="7"/>
        <v>0</v>
      </c>
    </row>
    <row r="25" spans="1:11" ht="12.75" customHeight="1" x14ac:dyDescent="0.2">
      <c r="A25" s="40" t="s">
        <v>915</v>
      </c>
      <c r="B25" s="170"/>
      <c r="C25" s="758">
        <v>-732315583.11752903</v>
      </c>
      <c r="D25" s="755"/>
      <c r="E25" s="743"/>
      <c r="F25" s="743"/>
      <c r="G25" s="743"/>
      <c r="H25" s="743">
        <f>D25/12*4</f>
        <v>0</v>
      </c>
      <c r="I25" s="45">
        <f>G25-H25</f>
        <v>0</v>
      </c>
      <c r="J25" s="333" t="str">
        <f t="shared" si="6"/>
        <v/>
      </c>
      <c r="K25" s="745">
        <f t="shared" si="7"/>
        <v>0</v>
      </c>
    </row>
    <row r="26" spans="1:11" ht="12.75" customHeight="1" x14ac:dyDescent="0.2">
      <c r="A26" s="88" t="s">
        <v>927</v>
      </c>
      <c r="B26" s="170"/>
      <c r="C26" s="135"/>
      <c r="D26" s="47"/>
      <c r="E26" s="45"/>
      <c r="F26" s="45"/>
      <c r="G26" s="45"/>
      <c r="H26" s="45"/>
      <c r="I26" s="45"/>
      <c r="J26" s="45"/>
      <c r="K26" s="145"/>
    </row>
    <row r="27" spans="1:11" ht="12.75" customHeight="1" x14ac:dyDescent="0.2">
      <c r="A27" s="40" t="s">
        <v>720</v>
      </c>
      <c r="B27" s="170"/>
      <c r="C27" s="758">
        <v>-687741217.94000006</v>
      </c>
      <c r="D27" s="755">
        <v>-1168612100</v>
      </c>
      <c r="E27" s="743"/>
      <c r="F27" s="743">
        <v>-72094671</v>
      </c>
      <c r="G27" s="743">
        <v>-278840934.023785</v>
      </c>
      <c r="H27" s="743">
        <f>D27/12*4</f>
        <v>-389537366.66666669</v>
      </c>
      <c r="I27" s="45">
        <f>H27-G27</f>
        <v>-110696432.64288169</v>
      </c>
      <c r="J27" s="333">
        <f t="shared" si="6"/>
        <v>0.28417410527295162</v>
      </c>
      <c r="K27" s="745">
        <f>D27</f>
        <v>-1168612100</v>
      </c>
    </row>
    <row r="28" spans="1:11" ht="12.75" customHeight="1" x14ac:dyDescent="0.2">
      <c r="A28" s="93" t="s">
        <v>917</v>
      </c>
      <c r="B28" s="234"/>
      <c r="C28" s="549">
        <f t="shared" ref="C28:H28" si="8">SUM(C22:C25)+C27</f>
        <v>-1416980706.1475291</v>
      </c>
      <c r="D28" s="75">
        <f>SUM(D22:D25)+D27</f>
        <v>-1139912100</v>
      </c>
      <c r="E28" s="74">
        <f t="shared" si="8"/>
        <v>0</v>
      </c>
      <c r="F28" s="74">
        <f t="shared" si="8"/>
        <v>-72089857.840000004</v>
      </c>
      <c r="G28" s="74">
        <f t="shared" si="8"/>
        <v>-278836120.86378497</v>
      </c>
      <c r="H28" s="74">
        <f t="shared" si="8"/>
        <v>-379970700</v>
      </c>
      <c r="I28" s="74">
        <f>H28-G28</f>
        <v>-101134579.13621503</v>
      </c>
      <c r="J28" s="334">
        <f t="shared" si="6"/>
        <v>0.26616415196280929</v>
      </c>
      <c r="K28" s="146">
        <f>SUM(K22:K25)+K27</f>
        <v>-1139912100</v>
      </c>
    </row>
    <row r="29" spans="1:11" ht="5.0999999999999996" customHeight="1" x14ac:dyDescent="0.2">
      <c r="A29" s="43"/>
      <c r="B29" s="170"/>
      <c r="C29" s="135"/>
      <c r="D29" s="47"/>
      <c r="E29" s="45"/>
      <c r="F29" s="45"/>
      <c r="G29" s="45"/>
      <c r="H29" s="45"/>
      <c r="I29" s="45"/>
      <c r="J29" s="45"/>
      <c r="K29" s="145"/>
    </row>
    <row r="30" spans="1:11" ht="12.75" customHeight="1" x14ac:dyDescent="0.2">
      <c r="A30" s="88" t="s">
        <v>766</v>
      </c>
      <c r="B30" s="170"/>
      <c r="C30" s="135"/>
      <c r="D30" s="47"/>
      <c r="E30" s="45"/>
      <c r="F30" s="45"/>
      <c r="G30" s="45"/>
      <c r="H30" s="45"/>
      <c r="I30" s="45"/>
      <c r="J30" s="45"/>
      <c r="K30" s="145"/>
    </row>
    <row r="31" spans="1:11" ht="12.75" customHeight="1" x14ac:dyDescent="0.2">
      <c r="A31" s="88" t="s">
        <v>926</v>
      </c>
      <c r="B31" s="170"/>
      <c r="C31" s="135"/>
      <c r="D31" s="47"/>
      <c r="E31" s="45"/>
      <c r="F31" s="45"/>
      <c r="G31" s="45"/>
      <c r="H31" s="45"/>
      <c r="I31" s="45"/>
      <c r="J31" s="45"/>
      <c r="K31" s="145"/>
    </row>
    <row r="32" spans="1:11" ht="12.75" customHeight="1" x14ac:dyDescent="0.2">
      <c r="A32" s="40" t="s">
        <v>930</v>
      </c>
      <c r="B32" s="170"/>
      <c r="C32" s="758"/>
      <c r="D32" s="755"/>
      <c r="E32" s="743"/>
      <c r="F32" s="743"/>
      <c r="G32" s="743">
        <v>0</v>
      </c>
      <c r="H32" s="743">
        <f>D32/12*4</f>
        <v>0</v>
      </c>
      <c r="I32" s="45">
        <f>G32-H32</f>
        <v>0</v>
      </c>
      <c r="J32" s="333" t="str">
        <f t="shared" ref="J32:J37" si="9">IF(I32=0,"",I32/H32)</f>
        <v/>
      </c>
      <c r="K32" s="745">
        <f>D32</f>
        <v>0</v>
      </c>
    </row>
    <row r="33" spans="1:11" ht="12.75" customHeight="1" x14ac:dyDescent="0.2">
      <c r="A33" s="40" t="s">
        <v>989</v>
      </c>
      <c r="B33" s="170"/>
      <c r="C33" s="758">
        <v>175689251.37</v>
      </c>
      <c r="D33" s="755">
        <v>310000000</v>
      </c>
      <c r="E33" s="743"/>
      <c r="F33" s="743">
        <v>0</v>
      </c>
      <c r="G33" s="743">
        <v>205000000</v>
      </c>
      <c r="H33" s="743">
        <f>D33/12*4</f>
        <v>103333333.33333333</v>
      </c>
      <c r="I33" s="45">
        <f>G33-H33</f>
        <v>101666666.66666667</v>
      </c>
      <c r="J33" s="333">
        <f t="shared" si="9"/>
        <v>0.98387096774193561</v>
      </c>
      <c r="K33" s="745">
        <f t="shared" ref="K33:K34" si="10">D33</f>
        <v>310000000</v>
      </c>
    </row>
    <row r="34" spans="1:11" ht="12.75" customHeight="1" x14ac:dyDescent="0.2">
      <c r="A34" s="40" t="s">
        <v>71</v>
      </c>
      <c r="B34" s="170"/>
      <c r="C34" s="758">
        <v>2089465.0799999982</v>
      </c>
      <c r="D34" s="755">
        <v>40000000</v>
      </c>
      <c r="E34" s="743"/>
      <c r="F34" s="743">
        <v>164482.18</v>
      </c>
      <c r="G34" s="743">
        <v>580274.99</v>
      </c>
      <c r="H34" s="743">
        <f>D34/12*4</f>
        <v>13333333.333333334</v>
      </c>
      <c r="I34" s="45">
        <f>G34-H34</f>
        <v>-12753058.343333334</v>
      </c>
      <c r="J34" s="333">
        <f t="shared" si="9"/>
        <v>-0.95647937574999997</v>
      </c>
      <c r="K34" s="745">
        <f t="shared" si="10"/>
        <v>40000000</v>
      </c>
    </row>
    <row r="35" spans="1:11" ht="12.75" customHeight="1" x14ac:dyDescent="0.2">
      <c r="A35" s="88" t="s">
        <v>927</v>
      </c>
      <c r="B35" s="170"/>
      <c r="C35" s="135"/>
      <c r="D35" s="47"/>
      <c r="E35" s="45"/>
      <c r="F35" s="45"/>
      <c r="G35" s="45"/>
      <c r="H35" s="45"/>
      <c r="I35" s="45"/>
      <c r="J35" s="333" t="str">
        <f t="shared" si="9"/>
        <v/>
      </c>
      <c r="K35" s="145"/>
    </row>
    <row r="36" spans="1:11" ht="12.75" customHeight="1" x14ac:dyDescent="0.2">
      <c r="A36" s="40" t="s">
        <v>929</v>
      </c>
      <c r="B36" s="170"/>
      <c r="C36" s="758">
        <v>-32535499.219999999</v>
      </c>
      <c r="D36" s="755">
        <v>-151000000</v>
      </c>
      <c r="E36" s="743"/>
      <c r="F36" s="743"/>
      <c r="G36" s="743"/>
      <c r="H36" s="743">
        <f>D36/12*4</f>
        <v>-50333333.333333336</v>
      </c>
      <c r="I36" s="45">
        <f>H36-G36</f>
        <v>-50333333.333333336</v>
      </c>
      <c r="J36" s="333">
        <f t="shared" si="9"/>
        <v>1</v>
      </c>
      <c r="K36" s="745">
        <f>D36</f>
        <v>-151000000</v>
      </c>
    </row>
    <row r="37" spans="1:11" ht="12.75" customHeight="1" x14ac:dyDescent="0.2">
      <c r="A37" s="93" t="s">
        <v>918</v>
      </c>
      <c r="B37" s="234"/>
      <c r="C37" s="549">
        <f t="shared" ref="C37:H37" si="11">SUM(C32:C34)+C36</f>
        <v>145243217.22999999</v>
      </c>
      <c r="D37" s="75">
        <f t="shared" si="11"/>
        <v>199000000</v>
      </c>
      <c r="E37" s="74">
        <f t="shared" si="11"/>
        <v>0</v>
      </c>
      <c r="F37" s="74">
        <f t="shared" si="11"/>
        <v>164482.18</v>
      </c>
      <c r="G37" s="74">
        <f t="shared" si="11"/>
        <v>205580274.99000001</v>
      </c>
      <c r="H37" s="74">
        <f t="shared" si="11"/>
        <v>66333333.333333321</v>
      </c>
      <c r="I37" s="74">
        <f>H37-G37</f>
        <v>-139246941.6566667</v>
      </c>
      <c r="J37" s="334">
        <f t="shared" si="9"/>
        <v>-2.0992001254773878</v>
      </c>
      <c r="K37" s="146">
        <f>SUM(K32:K34)+K36</f>
        <v>199000000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931</v>
      </c>
      <c r="B39" s="170"/>
      <c r="C39" s="110">
        <f t="shared" ref="C39:H39" si="12">C18+C28+C37</f>
        <v>11812946.652470082</v>
      </c>
      <c r="D39" s="52">
        <f t="shared" si="12"/>
        <v>205678308.42072487</v>
      </c>
      <c r="E39" s="51">
        <f t="shared" si="12"/>
        <v>0</v>
      </c>
      <c r="F39" s="51">
        <f t="shared" si="12"/>
        <v>-13164033.30999998</v>
      </c>
      <c r="G39" s="51">
        <f t="shared" si="12"/>
        <v>284999526.81000072</v>
      </c>
      <c r="H39" s="51">
        <f t="shared" si="12"/>
        <v>68559436.140241444</v>
      </c>
      <c r="I39" s="330"/>
      <c r="J39" s="330"/>
      <c r="K39" s="195">
        <f>K18+K28+K37</f>
        <v>205678308.42072487</v>
      </c>
    </row>
    <row r="40" spans="1:11" ht="12.75" customHeight="1" x14ac:dyDescent="0.2">
      <c r="A40" s="40" t="s">
        <v>519</v>
      </c>
      <c r="B40" s="170"/>
      <c r="C40" s="758">
        <v>86225048.720000014</v>
      </c>
      <c r="D40" s="755">
        <v>60792602.449726522</v>
      </c>
      <c r="E40" s="743"/>
      <c r="F40" s="274"/>
      <c r="G40" s="743">
        <v>18012920.359999999</v>
      </c>
      <c r="H40" s="45">
        <f>IF(E40=0, D40, E40)</f>
        <v>60792602.449726522</v>
      </c>
      <c r="I40" s="274"/>
      <c r="J40" s="274"/>
      <c r="K40" s="388">
        <f>G40</f>
        <v>18012920.359999999</v>
      </c>
    </row>
    <row r="41" spans="1:11" ht="12.75" customHeight="1" x14ac:dyDescent="0.2">
      <c r="A41" s="130" t="s">
        <v>55</v>
      </c>
      <c r="B41" s="120"/>
      <c r="C41" s="226">
        <f>C39+C40</f>
        <v>98037995.372470096</v>
      </c>
      <c r="D41" s="117">
        <f>D39+D40</f>
        <v>266470910.87045139</v>
      </c>
      <c r="E41" s="116">
        <f>E39+E40</f>
        <v>0</v>
      </c>
      <c r="F41" s="275"/>
      <c r="G41" s="116">
        <f>G39+G40</f>
        <v>303012447.17000073</v>
      </c>
      <c r="H41" s="116">
        <f>H39+H40</f>
        <v>129352038.58996797</v>
      </c>
      <c r="I41" s="275"/>
      <c r="J41" s="275"/>
      <c r="K41" s="191">
        <f>K39+K40</f>
        <v>223691228.78072488</v>
      </c>
    </row>
    <row r="42" spans="1:11" ht="11.25" customHeight="1" x14ac:dyDescent="0.2">
      <c r="A42" s="58" t="s">
        <v>667</v>
      </c>
      <c r="B42" s="59"/>
      <c r="C42" s="63"/>
      <c r="D42" s="63"/>
      <c r="E42" s="63"/>
      <c r="F42" s="63"/>
      <c r="G42" s="63"/>
      <c r="H42" s="63"/>
      <c r="I42" s="63"/>
      <c r="J42" s="63"/>
      <c r="K42" s="63"/>
    </row>
    <row r="43" spans="1:11" ht="11.25" customHeight="1" x14ac:dyDescent="0.2">
      <c r="A43" s="81" t="s">
        <v>153</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38" activePane="bottomRight" state="frozen"/>
      <selection pane="topRight"/>
      <selection pane="bottomLeft"/>
      <selection pane="bottomRight" activeCell="B5" sqref="B5:E19"/>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24" t="str">
        <f>muni&amp; " - "&amp;S71G&amp; " - "&amp;date</f>
        <v>LIM354 Polokwane - Supporting Table SC1 Material variance explanations  - M04 October</v>
      </c>
      <c r="B1" s="1024"/>
      <c r="C1" s="1024"/>
      <c r="D1" s="1024"/>
      <c r="E1" s="1024"/>
    </row>
    <row r="2" spans="1:5" x14ac:dyDescent="0.2">
      <c r="A2" s="1006" t="str">
        <f>head27</f>
        <v>Ref</v>
      </c>
      <c r="B2" s="1013" t="str">
        <f>desc</f>
        <v>Description</v>
      </c>
      <c r="C2" s="270"/>
      <c r="D2" s="270"/>
      <c r="E2" s="276"/>
    </row>
    <row r="3" spans="1:5" x14ac:dyDescent="0.2">
      <c r="A3" s="1017"/>
      <c r="B3" s="1014"/>
      <c r="C3" s="160" t="s">
        <v>448</v>
      </c>
      <c r="D3" s="160" t="s">
        <v>511</v>
      </c>
      <c r="E3" s="28" t="s">
        <v>512</v>
      </c>
    </row>
    <row r="4" spans="1:5" x14ac:dyDescent="0.2">
      <c r="A4" s="120"/>
      <c r="B4" s="35" t="s">
        <v>688</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t="s">
        <v>1158</v>
      </c>
      <c r="C8" s="758">
        <f>'C4-FinPerf RE'!I16</f>
        <v>-6570161.8399999999</v>
      </c>
      <c r="D8" s="768" t="s">
        <v>1607</v>
      </c>
      <c r="E8" s="768" t="s">
        <v>1608</v>
      </c>
    </row>
    <row r="9" spans="1:5" ht="11.25" customHeight="1" x14ac:dyDescent="0.2">
      <c r="A9" s="170"/>
      <c r="B9" s="768" t="s">
        <v>1159</v>
      </c>
      <c r="C9" s="758">
        <f>'C4-FinPerf RE'!I19</f>
        <v>288055386.91930598</v>
      </c>
      <c r="D9" s="768" t="s">
        <v>1613</v>
      </c>
      <c r="E9" s="768" t="s">
        <v>1612</v>
      </c>
    </row>
    <row r="10" spans="1:5" ht="11.25" customHeight="1" x14ac:dyDescent="0.2">
      <c r="A10" s="170">
        <v>2</v>
      </c>
      <c r="B10" s="389" t="str">
        <f>'C4-FinPerf RE'!A24</f>
        <v>Expenditure By Type</v>
      </c>
      <c r="C10" s="390"/>
      <c r="D10" s="390"/>
      <c r="E10" s="390"/>
    </row>
    <row r="11" spans="1:5" ht="11.25" customHeight="1" x14ac:dyDescent="0.2">
      <c r="A11" s="170"/>
      <c r="B11" s="768" t="s">
        <v>867</v>
      </c>
      <c r="C11" s="758">
        <v>-21609936.823017329</v>
      </c>
      <c r="D11" s="768" t="s">
        <v>1609</v>
      </c>
      <c r="E11" s="768" t="s">
        <v>1610</v>
      </c>
    </row>
    <row r="12" spans="1:5" ht="11.25" customHeight="1" x14ac:dyDescent="0.2">
      <c r="A12" s="170"/>
      <c r="B12" s="768" t="s">
        <v>463</v>
      </c>
      <c r="C12" s="758">
        <v>-9820109.0399999991</v>
      </c>
      <c r="D12" s="768" t="s">
        <v>1614</v>
      </c>
      <c r="E12" s="768" t="s">
        <v>1611</v>
      </c>
    </row>
    <row r="13" spans="1:5" ht="11.25" customHeight="1" x14ac:dyDescent="0.2">
      <c r="A13" s="170"/>
      <c r="B13" s="768"/>
      <c r="C13" s="758"/>
      <c r="D13" s="768"/>
      <c r="E13" s="768"/>
    </row>
    <row r="14" spans="1:5" ht="11.25" customHeight="1" x14ac:dyDescent="0.2">
      <c r="A14" s="170"/>
      <c r="B14" s="768"/>
      <c r="C14" s="758"/>
      <c r="D14" s="768"/>
      <c r="E14" s="768"/>
    </row>
    <row r="15" spans="1:5" ht="11.25" customHeight="1" x14ac:dyDescent="0.2">
      <c r="A15" s="170">
        <v>3</v>
      </c>
      <c r="B15" s="389" t="str">
        <f>RIGHT('C5-Capex'!A40,19)</f>
        <v>Capital Expenditure</v>
      </c>
      <c r="C15" s="390"/>
      <c r="D15" s="390"/>
      <c r="E15" s="390"/>
    </row>
    <row r="16" spans="1:5" ht="11.25" customHeight="1" x14ac:dyDescent="0.2">
      <c r="A16" s="170"/>
      <c r="B16" s="768" t="s">
        <v>1615</v>
      </c>
      <c r="C16" s="758">
        <v>-2500000</v>
      </c>
      <c r="D16" s="768" t="s">
        <v>1616</v>
      </c>
      <c r="E16" s="768" t="s">
        <v>1617</v>
      </c>
    </row>
    <row r="17" spans="1:5" ht="11.25" customHeight="1" x14ac:dyDescent="0.2">
      <c r="A17" s="170"/>
      <c r="B17" s="768" t="s">
        <v>1618</v>
      </c>
      <c r="C17" s="758">
        <v>-9954099.9967999998</v>
      </c>
      <c r="D17" s="768" t="s">
        <v>1619</v>
      </c>
      <c r="E17" s="768" t="s">
        <v>1620</v>
      </c>
    </row>
    <row r="18" spans="1:5" ht="11.25" customHeight="1" x14ac:dyDescent="0.2">
      <c r="A18" s="170"/>
      <c r="B18" s="768" t="s">
        <v>1410</v>
      </c>
      <c r="C18" s="758">
        <v>-16937876.934799999</v>
      </c>
      <c r="D18" s="768" t="s">
        <v>1621</v>
      </c>
      <c r="E18" s="768" t="s">
        <v>1622</v>
      </c>
    </row>
    <row r="19" spans="1:5" ht="11.25" customHeight="1" x14ac:dyDescent="0.2">
      <c r="A19" s="170"/>
      <c r="B19" s="768"/>
      <c r="C19" s="758"/>
      <c r="D19" s="768"/>
      <c r="E19" s="768"/>
    </row>
    <row r="20" spans="1:5" ht="11.25" customHeight="1" x14ac:dyDescent="0.2">
      <c r="A20" s="170">
        <v>4</v>
      </c>
      <c r="B20" s="389" t="s">
        <v>84</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85</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86</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87</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880</v>
      </c>
    </row>
    <row r="43" spans="1:5" ht="11.25" customHeight="1" x14ac:dyDescent="0.2">
      <c r="A43" s="34" t="s">
        <v>881</v>
      </c>
    </row>
    <row r="44" spans="1:5" ht="11.25" customHeight="1" x14ac:dyDescent="0.2">
      <c r="A44" s="34" t="s">
        <v>882</v>
      </c>
    </row>
    <row r="45" spans="1:5" ht="11.25" customHeight="1" x14ac:dyDescent="0.2">
      <c r="A45" s="34" t="s">
        <v>883</v>
      </c>
    </row>
    <row r="46" spans="1:5" ht="11.25" customHeight="1" x14ac:dyDescent="0.2">
      <c r="A46" s="34" t="s">
        <v>884</v>
      </c>
    </row>
    <row r="47" spans="1:5" ht="11.25" customHeight="1" x14ac:dyDescent="0.2">
      <c r="A47" s="34" t="s">
        <v>449</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35" activePane="bottomRight" state="frozen"/>
      <selection pane="topRight"/>
      <selection pane="bottomLeft"/>
      <selection pane="bottomRight" activeCell="D7" sqref="D7:H32"/>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24" t="str">
        <f>muni&amp; " - "&amp;S71H&amp; " - "&amp;Head57</f>
        <v>LIM354 Polokwane - Supporting Table SC2 Monthly Budget Statement - performance indicators   - M04 October</v>
      </c>
      <c r="B1" s="1024"/>
      <c r="C1" s="1024"/>
      <c r="D1" s="1024"/>
      <c r="E1" s="1024"/>
      <c r="F1" s="1024"/>
      <c r="G1" s="1024"/>
      <c r="H1" s="1024"/>
    </row>
    <row r="2" spans="1:11" ht="10.199999999999999" x14ac:dyDescent="0.2">
      <c r="A2" s="1029" t="s">
        <v>574</v>
      </c>
      <c r="B2" s="1013" t="s">
        <v>795</v>
      </c>
      <c r="C2" s="1006" t="str">
        <f>head27</f>
        <v>Ref</v>
      </c>
      <c r="D2" s="139" t="str">
        <f>Head1</f>
        <v>2016/17</v>
      </c>
      <c r="E2" s="246" t="str">
        <f>Head2</f>
        <v>Budget Year 2017/18</v>
      </c>
      <c r="F2" s="230"/>
      <c r="G2" s="230"/>
      <c r="H2" s="231"/>
    </row>
    <row r="3" spans="1:11" ht="20.399999999999999" x14ac:dyDescent="0.2">
      <c r="A3" s="1030"/>
      <c r="B3" s="1014"/>
      <c r="C3" s="1017"/>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531</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843</v>
      </c>
      <c r="B7" s="124" t="s">
        <v>88</v>
      </c>
      <c r="C7" s="175"/>
      <c r="D7" s="121">
        <f>IF(ISERROR((D42-D43)/D45),0,((D42-D43)/D45))</f>
        <v>1.5876529327564885E-3</v>
      </c>
      <c r="E7" s="283">
        <f>IF(ISERROR((E42+E44)/E45),0,((E42+E44)/E45))</f>
        <v>9.1308224747382025E-2</v>
      </c>
      <c r="F7" s="125">
        <f>IF(ISERROR((F42+F44)/F45),0,((F42+F44)/F45))</f>
        <v>0</v>
      </c>
      <c r="G7" s="125">
        <f>IF(ISERROR((G42+G44)/G45),0,((G42+G44)/G45))</f>
        <v>1.147266599437774E-2</v>
      </c>
      <c r="H7" s="277">
        <f>IF(ISERROR((H42+H44)/H45),0,((H42+H44)/H45))</f>
        <v>4.0710374982462952E-2</v>
      </c>
    </row>
    <row r="8" spans="1:11" ht="30" customHeight="1" x14ac:dyDescent="0.2">
      <c r="A8" s="127" t="s">
        <v>1079</v>
      </c>
      <c r="B8" s="124" t="s">
        <v>67</v>
      </c>
      <c r="C8" s="175"/>
      <c r="D8" s="121">
        <f>IF(ISERROR(D47/D46),0,(D47/D46))</f>
        <v>0.17607259601653155</v>
      </c>
      <c r="E8" s="283">
        <f>IF(ISERROR(E47/E46),0,(E47/E46))</f>
        <v>0.19429030385702836</v>
      </c>
      <c r="F8" s="125">
        <f>IF(ISERROR(F47/F46),0,(F47/F46))</f>
        <v>0</v>
      </c>
      <c r="G8" s="125">
        <f>IF(ISERROR(G47/G46),0,(G47/G46))</f>
        <v>0.22561014155689704</v>
      </c>
      <c r="H8" s="277">
        <f>IF(ISERROR(H47/H46),0,(H47/H46))</f>
        <v>0.19429030385702836</v>
      </c>
      <c r="J8" s="344"/>
    </row>
    <row r="9" spans="1:11" ht="12.75" customHeight="1" x14ac:dyDescent="0.2">
      <c r="A9" s="128" t="s">
        <v>759</v>
      </c>
      <c r="B9" s="124"/>
      <c r="C9" s="175"/>
      <c r="D9" s="121"/>
      <c r="E9" s="283"/>
      <c r="F9" s="125"/>
      <c r="G9" s="125"/>
      <c r="H9" s="277"/>
    </row>
    <row r="10" spans="1:11" ht="20.399999999999999" x14ac:dyDescent="0.2">
      <c r="A10" s="127" t="s">
        <v>7</v>
      </c>
      <c r="B10" s="124" t="s">
        <v>991</v>
      </c>
      <c r="C10" s="175"/>
      <c r="D10" s="121">
        <f>IF(ISERROR(D48/D49),0,(D48/D49))</f>
        <v>7.1052095686792119E-2</v>
      </c>
      <c r="E10" s="283">
        <f>IF(ISERROR(E48/E49),0,(E48/E49))</f>
        <v>9.9274061890879381E-2</v>
      </c>
      <c r="F10" s="125">
        <f>IF(ISERROR(F48/F49),0,(F48/F49))</f>
        <v>0</v>
      </c>
      <c r="G10" s="125">
        <f>IF(ISERROR(G48/G49),0,(G48/G49))</f>
        <v>7.7391931425683361E-2</v>
      </c>
      <c r="H10" s="277">
        <f>IF(ISERROR(H48/H49),0,(H48/H49))</f>
        <v>9.9274061890879381E-2</v>
      </c>
    </row>
    <row r="11" spans="1:11" ht="12.75" customHeight="1" x14ac:dyDescent="0.2">
      <c r="A11" s="127" t="s">
        <v>758</v>
      </c>
      <c r="B11" s="124" t="s">
        <v>742</v>
      </c>
      <c r="C11" s="175"/>
      <c r="D11" s="121">
        <f>IF(ISERROR(D51/D50),0,(D51/D50))</f>
        <v>4.813218230391994E-2</v>
      </c>
      <c r="E11" s="283">
        <f>IF(ISERROR(E51/E50),0,(E51/E50))</f>
        <v>0.15197596653655912</v>
      </c>
      <c r="F11" s="125">
        <f>IF(ISERROR(F51/F50),0,(F51/F50))</f>
        <v>0</v>
      </c>
      <c r="G11" s="125">
        <f>IF(ISERROR(G51/G50),0,(G51/G50))</f>
        <v>0.16049603522724529</v>
      </c>
      <c r="H11" s="277">
        <f>IF(ISERROR(H51/H50),0,(H51/H50))</f>
        <v>0.15197596653655912</v>
      </c>
    </row>
    <row r="12" spans="1:11" ht="12.75" customHeight="1" x14ac:dyDescent="0.2">
      <c r="A12" s="128" t="s">
        <v>760</v>
      </c>
      <c r="B12" s="124"/>
      <c r="C12" s="175"/>
      <c r="D12" s="121"/>
      <c r="E12" s="283"/>
      <c r="F12" s="125"/>
      <c r="G12" s="125"/>
      <c r="H12" s="277"/>
    </row>
    <row r="13" spans="1:11" ht="12.75" customHeight="1" x14ac:dyDescent="0.2">
      <c r="A13" s="127" t="s">
        <v>1080</v>
      </c>
      <c r="B13" s="124" t="s">
        <v>556</v>
      </c>
      <c r="C13" s="170">
        <v>1</v>
      </c>
      <c r="D13" s="121">
        <f>IF(ISERROR(D52/D53),0,(D52/D53))</f>
        <v>1.2882224149985819</v>
      </c>
      <c r="E13" s="283">
        <f>IF(ISERROR(E52/E53),0,(E52/E53))</f>
        <v>1.1816964132978771</v>
      </c>
      <c r="F13" s="125">
        <f>IF(ISERROR(F52/F53),0,(F52/F53))</f>
        <v>0</v>
      </c>
      <c r="G13" s="125">
        <f>IF(ISERROR(G52/G53),0,(G52/G53))</f>
        <v>1.9508235978459192</v>
      </c>
      <c r="H13" s="277">
        <f>IF(ISERROR(H52/H53),0,(H52/H53))</f>
        <v>1.1816964132978771</v>
      </c>
    </row>
    <row r="14" spans="1:11" ht="12.75" customHeight="1" x14ac:dyDescent="0.2">
      <c r="A14" s="127" t="s">
        <v>761</v>
      </c>
      <c r="B14" s="124" t="s">
        <v>446</v>
      </c>
      <c r="C14" s="175"/>
      <c r="D14" s="121">
        <f>IF(ISERROR(D54/D53),0,(D54/D53))</f>
        <v>0.32599749230457342</v>
      </c>
      <c r="E14" s="283">
        <f>IF(ISERROR(E54/E53),0,(E54/E53))</f>
        <v>0.54359502605328347</v>
      </c>
      <c r="F14" s="125">
        <f>IF(ISERROR(F54/F53),0,(F54/F53))</f>
        <v>0</v>
      </c>
      <c r="G14" s="125">
        <f>IF(ISERROR(G54/G53),0,(G54/G53))</f>
        <v>0.6788762882998155</v>
      </c>
      <c r="H14" s="277">
        <f>IF(ISERROR(H54/H53),0,(H54/H53))</f>
        <v>0.54359502605328347</v>
      </c>
    </row>
    <row r="15" spans="1:11" ht="12.75" customHeight="1" x14ac:dyDescent="0.2">
      <c r="A15" s="128" t="s">
        <v>447</v>
      </c>
      <c r="B15" s="124"/>
      <c r="C15" s="175"/>
      <c r="D15" s="121"/>
      <c r="E15" s="283"/>
      <c r="F15" s="125"/>
      <c r="G15" s="125"/>
      <c r="H15" s="277"/>
    </row>
    <row r="16" spans="1:11" ht="20.399999999999999" x14ac:dyDescent="0.2">
      <c r="A16" s="127" t="s">
        <v>514</v>
      </c>
      <c r="B16" s="124" t="s">
        <v>482</v>
      </c>
      <c r="C16" s="175"/>
      <c r="D16" s="121"/>
      <c r="E16" s="283"/>
      <c r="F16" s="125"/>
      <c r="G16" s="125"/>
      <c r="H16" s="277"/>
    </row>
    <row r="17" spans="1:8" ht="12.75" customHeight="1" x14ac:dyDescent="0.2">
      <c r="A17" s="127" t="s">
        <v>483</v>
      </c>
      <c r="B17" s="124" t="s">
        <v>661</v>
      </c>
      <c r="C17" s="175"/>
      <c r="D17" s="121">
        <f>IF(ISERROR(D59/D55),0,(D59/D55))</f>
        <v>0.20194132700907161</v>
      </c>
      <c r="E17" s="283">
        <f>IF(ISERROR(E59/E55),0,(E59/E55))</f>
        <v>0.11930870181550421</v>
      </c>
      <c r="F17" s="125">
        <f>IF(ISERROR(F59/F55),0,(F59/F55))</f>
        <v>0</v>
      </c>
      <c r="G17" s="125">
        <f>IF(ISERROR(G59/G55),0,(G59/G55))</f>
        <v>0.58279766511030962</v>
      </c>
      <c r="H17" s="277">
        <f>IF(ISERROR(H59/H55),0,(H59/H55))</f>
        <v>0.11930870181550421</v>
      </c>
    </row>
    <row r="18" spans="1:8" ht="20.399999999999999" x14ac:dyDescent="0.2">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815</v>
      </c>
      <c r="C20" s="175"/>
      <c r="D20" s="771"/>
      <c r="E20" s="772"/>
      <c r="F20" s="773"/>
      <c r="G20" s="773"/>
      <c r="H20" s="774"/>
    </row>
    <row r="21" spans="1:8" ht="12.75" customHeight="1" x14ac:dyDescent="0.2">
      <c r="A21" s="128" t="s">
        <v>527</v>
      </c>
      <c r="B21" s="124"/>
      <c r="C21" s="175"/>
      <c r="D21" s="121"/>
      <c r="E21" s="283"/>
      <c r="F21" s="125"/>
      <c r="G21" s="125"/>
      <c r="H21" s="277"/>
    </row>
    <row r="22" spans="1:8" ht="12.75" customHeight="1" x14ac:dyDescent="0.2">
      <c r="A22" s="127" t="s">
        <v>528</v>
      </c>
      <c r="B22" s="124" t="s">
        <v>529</v>
      </c>
      <c r="C22" s="175"/>
      <c r="D22" s="121"/>
      <c r="E22" s="283"/>
      <c r="F22" s="125"/>
      <c r="G22" s="125"/>
      <c r="H22" s="277"/>
    </row>
    <row r="23" spans="1:8" ht="12.75" customHeight="1" x14ac:dyDescent="0.2">
      <c r="A23" s="128" t="s">
        <v>530</v>
      </c>
      <c r="B23" s="124"/>
      <c r="C23" s="175"/>
      <c r="D23" s="121"/>
      <c r="E23" s="283"/>
      <c r="F23" s="125"/>
      <c r="G23" s="125"/>
      <c r="H23" s="277"/>
    </row>
    <row r="24" spans="1:8" ht="27.75" customHeight="1" x14ac:dyDescent="0.2">
      <c r="A24" s="127" t="s">
        <v>517</v>
      </c>
      <c r="B24" s="550" t="s">
        <v>68</v>
      </c>
      <c r="C24" s="252">
        <v>2</v>
      </c>
      <c r="D24" s="771"/>
      <c r="E24" s="772"/>
      <c r="F24" s="773"/>
      <c r="G24" s="773"/>
      <c r="H24" s="774"/>
    </row>
    <row r="25" spans="1:8" ht="27.75" customHeight="1" x14ac:dyDescent="0.2">
      <c r="A25" s="127" t="s">
        <v>516</v>
      </c>
      <c r="B25" s="550" t="s">
        <v>69</v>
      </c>
      <c r="C25" s="252">
        <v>2</v>
      </c>
      <c r="D25" s="771"/>
      <c r="E25" s="772"/>
      <c r="F25" s="773"/>
      <c r="G25" s="773"/>
      <c r="H25" s="774"/>
    </row>
    <row r="26" spans="1:8" ht="27.75" customHeight="1" x14ac:dyDescent="0.2">
      <c r="A26" s="127" t="s">
        <v>488</v>
      </c>
      <c r="B26" s="124" t="s">
        <v>780</v>
      </c>
      <c r="C26" s="175"/>
      <c r="D26" s="121">
        <f>IF(ISERROR(D40/D55),0,(D40/D55))</f>
        <v>0.24610260557892985</v>
      </c>
      <c r="E26" s="283">
        <f>IF(ISERROR(E40/E55),0,(E40/E55))</f>
        <v>0.22586957855574505</v>
      </c>
      <c r="F26" s="125">
        <f>IF(ISERROR(F40/F55),0,(F40/F55))</f>
        <v>0</v>
      </c>
      <c r="G26" s="125">
        <f>IF(ISERROR(G40/G55),0,(G40/G55))</f>
        <v>0.16818651914924418</v>
      </c>
      <c r="H26" s="277">
        <f>IF(ISERROR(H40/H55),0,(H40/H55))</f>
        <v>0.22586957855574505</v>
      </c>
    </row>
    <row r="27" spans="1:8" ht="27.75" customHeight="1" x14ac:dyDescent="0.2">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779</v>
      </c>
      <c r="B28" s="124" t="s">
        <v>762</v>
      </c>
      <c r="C28" s="175"/>
      <c r="D28" s="121">
        <f>IF(ISERROR((D42+D44)/D55),0,((D42+D44)/D55))</f>
        <v>0.29744962679222042</v>
      </c>
      <c r="E28" s="283">
        <f>IF(ISERROR((E42+E44)/E55),0,((E42+E44)/E55))</f>
        <v>8.0491771285727265E-2</v>
      </c>
      <c r="F28" s="125">
        <f>IF(ISERROR((F42+F44)/F55),0,((F42+F44)/F55))</f>
        <v>0</v>
      </c>
      <c r="G28" s="125">
        <f>IF(ISERROR((G42+G44)/G55),0,((G42+G44)/G55))</f>
        <v>7.7632217150074689E-3</v>
      </c>
      <c r="H28" s="277">
        <f>IF(ISERROR((H42+H44)/H55),0,((H42+H44)/H55))</f>
        <v>3.5887787777174524E-2</v>
      </c>
    </row>
    <row r="29" spans="1:8" ht="12.75" customHeight="1" x14ac:dyDescent="0.2">
      <c r="A29" s="282" t="s">
        <v>672</v>
      </c>
      <c r="B29" s="129"/>
      <c r="C29" s="284"/>
      <c r="D29" s="121"/>
      <c r="E29" s="283"/>
      <c r="F29" s="125"/>
      <c r="G29" s="125"/>
      <c r="H29" s="277"/>
    </row>
    <row r="30" spans="1:8" ht="27.75" customHeight="1" x14ac:dyDescent="0.2">
      <c r="A30" s="127" t="s">
        <v>673</v>
      </c>
      <c r="B30" s="124" t="s">
        <v>811</v>
      </c>
      <c r="C30" s="175"/>
      <c r="D30" s="771"/>
      <c r="E30" s="772"/>
      <c r="F30" s="773"/>
      <c r="G30" s="773"/>
      <c r="H30" s="774"/>
    </row>
    <row r="31" spans="1:8" ht="20.399999999999999" x14ac:dyDescent="0.2">
      <c r="A31" s="127" t="s">
        <v>816</v>
      </c>
      <c r="B31" s="124" t="s">
        <v>505</v>
      </c>
      <c r="C31" s="175"/>
      <c r="D31" s="771"/>
      <c r="E31" s="772"/>
      <c r="F31" s="773"/>
      <c r="G31" s="773"/>
      <c r="H31" s="774"/>
    </row>
    <row r="32" spans="1:8" ht="20.399999999999999" x14ac:dyDescent="0.2">
      <c r="A32" s="278" t="s">
        <v>674</v>
      </c>
      <c r="B32" s="133" t="s">
        <v>456</v>
      </c>
      <c r="C32" s="179"/>
      <c r="D32" s="775"/>
      <c r="E32" s="776"/>
      <c r="F32" s="777"/>
      <c r="G32" s="777"/>
      <c r="H32" s="778"/>
    </row>
    <row r="33" spans="1:9" ht="12.75" customHeight="1" x14ac:dyDescent="0.2">
      <c r="A33" s="58" t="s">
        <v>667</v>
      </c>
      <c r="B33" s="68"/>
      <c r="C33" s="68"/>
      <c r="D33" s="126"/>
      <c r="E33" s="126"/>
      <c r="F33" s="126"/>
      <c r="G33" s="126"/>
      <c r="H33" s="126"/>
      <c r="I33" s="68"/>
    </row>
    <row r="34" spans="1:9" ht="12.75" customHeight="1" x14ac:dyDescent="0.2">
      <c r="A34" s="61" t="s">
        <v>518</v>
      </c>
      <c r="B34" s="68"/>
      <c r="C34" s="68"/>
      <c r="D34" s="68"/>
      <c r="E34" s="68"/>
      <c r="F34" s="68"/>
      <c r="G34" s="68"/>
      <c r="H34" s="68"/>
    </row>
    <row r="35" spans="1:9" ht="12.75" customHeight="1" x14ac:dyDescent="0.2">
      <c r="A35" s="122" t="s">
        <v>925</v>
      </c>
    </row>
    <row r="36" spans="1:9" ht="12.75" customHeight="1" x14ac:dyDescent="0.2"/>
    <row r="37" spans="1:9" ht="12.75" customHeight="1" x14ac:dyDescent="0.2">
      <c r="A37" s="341" t="s">
        <v>541</v>
      </c>
      <c r="B37" s="339"/>
      <c r="C37" s="339"/>
      <c r="D37" s="339"/>
      <c r="E37" s="339"/>
      <c r="F37" s="339"/>
      <c r="G37" s="339"/>
      <c r="H37" s="342"/>
    </row>
    <row r="38" spans="1:9" ht="12.75" customHeight="1" x14ac:dyDescent="0.2">
      <c r="A38" s="43" t="str">
        <f>'C6-FinPos'!A38</f>
        <v>Borrowing</v>
      </c>
      <c r="B38" s="68"/>
      <c r="C38" s="68"/>
      <c r="D38" s="85">
        <f>'C6-FinPos'!C38</f>
        <v>346547557</v>
      </c>
      <c r="E38" s="85">
        <f>'C6-FinPos'!D38</f>
        <v>518013000</v>
      </c>
      <c r="F38" s="85">
        <f>'C6-FinPos'!E38</f>
        <v>0</v>
      </c>
      <c r="G38" s="98">
        <f>'C6-FinPos'!F38</f>
        <v>551547557</v>
      </c>
      <c r="H38" s="49">
        <v>0</v>
      </c>
    </row>
    <row r="39" spans="1:9" ht="12.75" customHeight="1" x14ac:dyDescent="0.2">
      <c r="A39" s="43" t="s">
        <v>543</v>
      </c>
      <c r="B39" s="68"/>
      <c r="C39" s="68"/>
      <c r="D39" s="85">
        <f>'C6-FinPos'!C26</f>
        <v>14982952607.599998</v>
      </c>
      <c r="E39" s="85">
        <f>'C6-FinPos'!D26</f>
        <v>11910995477.774445</v>
      </c>
      <c r="F39" s="85">
        <f>'C6-FinPos'!E26</f>
        <v>0</v>
      </c>
      <c r="G39" s="98">
        <f>'C6-FinPos'!F26</f>
        <v>15768760483.620001</v>
      </c>
      <c r="H39" s="49">
        <f>'C6-FinPos'!G26</f>
        <v>11910995477.774445</v>
      </c>
    </row>
    <row r="40" spans="1:9" ht="12.75" customHeight="1" x14ac:dyDescent="0.2">
      <c r="A40" s="43" t="str">
        <f>'C4-FinPerf RE'!A25</f>
        <v>Employee related costs</v>
      </c>
      <c r="B40" s="68"/>
      <c r="C40" s="68"/>
      <c r="D40" s="85">
        <f>'C4-FinPerf RE'!C25</f>
        <v>651251445.15999997</v>
      </c>
      <c r="E40" s="85">
        <f>'C4-FinPerf RE'!D25</f>
        <v>743621830.66886926</v>
      </c>
      <c r="F40" s="85">
        <f>'C4-FinPerf RE'!E25</f>
        <v>0</v>
      </c>
      <c r="G40" s="98">
        <f>'C4-FinPerf RE'!G25</f>
        <v>220542512.98419997</v>
      </c>
      <c r="H40" s="49">
        <f>'C4-FinPerf RE'!K25</f>
        <v>743621830.66886926</v>
      </c>
    </row>
    <row r="41" spans="1:9" ht="12.75" customHeight="1" x14ac:dyDescent="0.2">
      <c r="A41" s="43" t="str">
        <f>A27</f>
        <v>Repairs &amp; Maintenance</v>
      </c>
      <c r="B41" s="68"/>
      <c r="C41" s="68"/>
      <c r="D41" s="779"/>
      <c r="E41" s="779"/>
      <c r="F41" s="779"/>
      <c r="G41" s="779"/>
      <c r="H41" s="780"/>
    </row>
    <row r="42" spans="1:9" ht="12.75" customHeight="1" x14ac:dyDescent="0.2">
      <c r="A42" s="43" t="s">
        <v>544</v>
      </c>
      <c r="B42" s="68"/>
      <c r="C42" s="68"/>
      <c r="D42" s="85">
        <f>'C4-FinPerf RE'!C29</f>
        <v>37501259.159999996</v>
      </c>
      <c r="E42" s="85">
        <f>'C4-FinPerf RE'!D29</f>
        <v>80000000</v>
      </c>
      <c r="F42" s="85">
        <f>'C4-FinPerf RE'!E29</f>
        <v>0</v>
      </c>
      <c r="G42" s="98">
        <f>'C4-FinPerf RE'!G29</f>
        <v>10179890.960000001</v>
      </c>
      <c r="H42" s="49">
        <f>'C4-FinPerf RE'!K29</f>
        <v>80000000</v>
      </c>
    </row>
    <row r="43" spans="1:9" ht="12.75" customHeight="1" x14ac:dyDescent="0.2">
      <c r="A43" s="43" t="s">
        <v>89</v>
      </c>
      <c r="B43" s="68"/>
      <c r="C43" s="68"/>
      <c r="D43" s="85">
        <f>-'C7-CFlow'!C36</f>
        <v>32535499.219999999</v>
      </c>
      <c r="E43" s="85">
        <f>-'C7-CFlow'!D36</f>
        <v>151000000</v>
      </c>
      <c r="F43" s="85">
        <f>-'C7-CFlow'!E36</f>
        <v>0</v>
      </c>
      <c r="G43" s="98">
        <f>-'C7-CFlow'!G36</f>
        <v>0</v>
      </c>
      <c r="H43" s="49">
        <f>-'C7-CFlow'!K36</f>
        <v>151000000</v>
      </c>
    </row>
    <row r="44" spans="1:9" ht="12.75" customHeight="1" x14ac:dyDescent="0.2">
      <c r="A44" s="43" t="s">
        <v>545</v>
      </c>
      <c r="B44" s="68"/>
      <c r="C44" s="68"/>
      <c r="D44" s="85">
        <f>'C4-FinPerf RE'!C28</f>
        <v>749627746.87</v>
      </c>
      <c r="E44" s="85">
        <f>'C4-FinPerf RE'!D28</f>
        <v>185000000</v>
      </c>
      <c r="F44" s="85">
        <f>'C4-FinPerf RE'!E28</f>
        <v>0</v>
      </c>
      <c r="G44" s="98"/>
      <c r="H44" s="49">
        <f>'C4-FinPerf RE'!K26</f>
        <v>38152000</v>
      </c>
    </row>
    <row r="45" spans="1:9" ht="12.75" customHeight="1" x14ac:dyDescent="0.2">
      <c r="A45" s="43" t="s">
        <v>0</v>
      </c>
      <c r="B45" s="68"/>
      <c r="C45" s="68"/>
      <c r="D45" s="85">
        <f>'C4-FinPerf RE'!C36</f>
        <v>3127736445.1299996</v>
      </c>
      <c r="E45" s="85">
        <f>'C4-FinPerf RE'!D36</f>
        <v>2902257718.1098685</v>
      </c>
      <c r="F45" s="85">
        <f>'C4-FinPerf RE'!E36</f>
        <v>0</v>
      </c>
      <c r="G45" s="98">
        <f>'C4-FinPerf RE'!G36</f>
        <v>887316946.64419997</v>
      </c>
      <c r="H45" s="49">
        <f>'C4-FinPerf RE'!K36</f>
        <v>2902257718.1098685</v>
      </c>
    </row>
    <row r="46" spans="1:9" ht="12.75" customHeight="1" x14ac:dyDescent="0.2">
      <c r="A46" s="43" t="str">
        <f>'C5-Capex'!A40</f>
        <v>Total Capital Expenditure</v>
      </c>
      <c r="B46" s="68"/>
      <c r="C46" s="68"/>
      <c r="D46" s="85">
        <f>'C5-Capex'!C40</f>
        <v>815422957.62549996</v>
      </c>
      <c r="E46" s="85">
        <f>'C5-Capex'!D40</f>
        <v>1230118000</v>
      </c>
      <c r="F46" s="85">
        <f>'C5-Capex'!E40</f>
        <v>0</v>
      </c>
      <c r="G46" s="98">
        <f>'C5-Capex'!G40</f>
        <v>275937384.91538501</v>
      </c>
      <c r="H46" s="49">
        <f>'C5-Capex'!K40</f>
        <v>1230118000</v>
      </c>
    </row>
    <row r="47" spans="1:9" ht="12.75" customHeight="1" x14ac:dyDescent="0.2">
      <c r="A47" s="43" t="s">
        <v>548</v>
      </c>
      <c r="B47" s="68"/>
      <c r="C47" s="68"/>
      <c r="D47" s="85">
        <f>'C5-Capex'!C72</f>
        <v>143573637.00059998</v>
      </c>
      <c r="E47" s="85">
        <f>'C5-Capex'!D72</f>
        <v>239000000</v>
      </c>
      <c r="F47" s="85">
        <f>'C5-Capex'!E72</f>
        <v>0</v>
      </c>
      <c r="G47" s="98">
        <f>'C5-Capex'!G72</f>
        <v>62254272.471599996</v>
      </c>
      <c r="H47" s="49">
        <f>'C5-Capex'!K72</f>
        <v>239000000</v>
      </c>
    </row>
    <row r="48" spans="1:9" ht="12.75" customHeight="1" x14ac:dyDescent="0.2">
      <c r="A48" s="43" t="s">
        <v>546</v>
      </c>
      <c r="B48" s="68"/>
      <c r="C48" s="68"/>
      <c r="D48" s="85">
        <f>'C6-FinPos'!C30+'C6-FinPos'!C31+'C6-FinPos'!C33+'C6-FinPos'!C38</f>
        <v>968739281.06999993</v>
      </c>
      <c r="E48" s="85">
        <f>'C6-FinPos'!D30+'C6-FinPos'!D31+'C6-FinPos'!D33+'C6-FinPos'!D38</f>
        <v>1045335029</v>
      </c>
      <c r="F48" s="85">
        <f>'C6-FinPos'!E30+'C6-FinPos'!E31+'C6-FinPos'!E33+'C6-FinPos'!E38</f>
        <v>0</v>
      </c>
      <c r="G48" s="85">
        <f>'C6-FinPos'!F30+'C6-FinPos'!F31+'C6-FinPos'!F33+'C6-FinPos'!F38</f>
        <v>1104187253.99453</v>
      </c>
      <c r="H48" s="49">
        <f>'C6-FinPos'!G30+'C6-FinPos'!G31+'C6-FinPos'!G33+'C6-FinPos'!G38</f>
        <v>1045335029</v>
      </c>
    </row>
    <row r="49" spans="1:8" ht="12.75" customHeight="1" x14ac:dyDescent="0.2">
      <c r="A49" s="43" t="s">
        <v>547</v>
      </c>
      <c r="B49" s="68"/>
      <c r="C49" s="68"/>
      <c r="D49" s="85">
        <f>'C6-FinPos'!C48</f>
        <v>13634211232</v>
      </c>
      <c r="E49" s="85">
        <f>'C6-FinPos'!D48</f>
        <v>10529790048.774445</v>
      </c>
      <c r="F49" s="85">
        <f>'C6-FinPos'!E48</f>
        <v>0</v>
      </c>
      <c r="G49" s="98">
        <f>'C6-FinPos'!F48</f>
        <v>14267472508.48547</v>
      </c>
      <c r="H49" s="49">
        <f>'C6-FinPos'!G48</f>
        <v>10529790048.774445</v>
      </c>
    </row>
    <row r="50" spans="1:8" ht="12.75" customHeight="1" x14ac:dyDescent="0.2">
      <c r="A50" s="43" t="str">
        <f>'C6-FinPos'!A47</f>
        <v>Reserves</v>
      </c>
      <c r="B50" s="68"/>
      <c r="C50" s="68"/>
      <c r="D50" s="85">
        <f>'C6-FinPos'!C47</f>
        <v>7199913663</v>
      </c>
      <c r="E50" s="85">
        <f>'C6-FinPos'!D47</f>
        <v>3408519200.7999997</v>
      </c>
      <c r="F50" s="85">
        <f>'C6-FinPos'!E47</f>
        <v>0</v>
      </c>
      <c r="G50" s="98">
        <f>'C6-FinPos'!F47</f>
        <v>3436518268</v>
      </c>
      <c r="H50" s="49">
        <f>'C6-FinPos'!G47</f>
        <v>3408519200.7999997</v>
      </c>
    </row>
    <row r="51" spans="1:8" ht="12.75" customHeight="1" x14ac:dyDescent="0.2">
      <c r="A51" s="43" t="str">
        <f>'C6-FinPos'!A38</f>
        <v>Borrowing</v>
      </c>
      <c r="B51" s="68"/>
      <c r="C51" s="68"/>
      <c r="D51" s="85">
        <f>'C6-FinPos'!C38</f>
        <v>346547557</v>
      </c>
      <c r="E51" s="85">
        <f>'C6-FinPos'!D38</f>
        <v>518013000</v>
      </c>
      <c r="F51" s="85">
        <f>'C6-FinPos'!E38</f>
        <v>0</v>
      </c>
      <c r="G51" s="98">
        <f>'C6-FinPos'!F38</f>
        <v>551547557</v>
      </c>
      <c r="H51" s="49">
        <f>'C6-FinPos'!G38</f>
        <v>518013000</v>
      </c>
    </row>
    <row r="52" spans="1:8" ht="12.75" customHeight="1" x14ac:dyDescent="0.2">
      <c r="A52" s="43" t="str">
        <f>'C6-FinPos'!A6</f>
        <v>Current assets</v>
      </c>
      <c r="B52" s="68"/>
      <c r="C52" s="68"/>
      <c r="D52" s="85">
        <f>'C6-FinPos'!C13</f>
        <v>936687140.40247059</v>
      </c>
      <c r="E52" s="85">
        <f>'C6-FinPos'!D13</f>
        <v>794480530.25045133</v>
      </c>
      <c r="F52" s="85">
        <f>'C6-FinPos'!E13</f>
        <v>0</v>
      </c>
      <c r="G52" s="98">
        <f>'C6-FinPos'!F13</f>
        <v>1316147736.26</v>
      </c>
      <c r="H52" s="49">
        <f>'C6-FinPos'!G13</f>
        <v>794480530.25045133</v>
      </c>
    </row>
    <row r="53" spans="1:8" ht="12.75" customHeight="1" x14ac:dyDescent="0.2">
      <c r="A53" s="43" t="str">
        <f>'C6-FinPos'!A29</f>
        <v>Current liabilities</v>
      </c>
      <c r="B53" s="68"/>
      <c r="C53" s="68"/>
      <c r="D53" s="85">
        <f>'C6-FinPos'!C35</f>
        <v>727116008.46000004</v>
      </c>
      <c r="E53" s="85">
        <f>'C6-FinPos'!D35</f>
        <v>672322029</v>
      </c>
      <c r="F53" s="85">
        <f>'C6-FinPos'!E35</f>
        <v>0</v>
      </c>
      <c r="G53" s="98">
        <f>'C6-FinPos'!F35</f>
        <v>674662607.99452996</v>
      </c>
      <c r="H53" s="49">
        <f>'C6-FinPos'!G35</f>
        <v>672322029</v>
      </c>
    </row>
    <row r="54" spans="1:8" ht="12.75" customHeight="1" x14ac:dyDescent="0.2">
      <c r="A54" s="43" t="s">
        <v>549</v>
      </c>
      <c r="B54" s="68"/>
      <c r="C54" s="68"/>
      <c r="D54" s="85">
        <f>'C6-FinPos'!C7+'C6-FinPos'!C8</f>
        <v>237037995.372471</v>
      </c>
      <c r="E54" s="85">
        <f>'C6-FinPos'!D7+'C6-FinPos'!D8</f>
        <v>365470910.87045139</v>
      </c>
      <c r="F54" s="85">
        <f>'C6-FinPos'!E7+'C6-FinPos'!E8</f>
        <v>0</v>
      </c>
      <c r="G54" s="98">
        <f>'C6-FinPos'!F7+'C6-FinPos'!F8</f>
        <v>458012447.16999996</v>
      </c>
      <c r="H54" s="49">
        <f>'C6-FinPos'!G7+'C6-FinPos'!G8</f>
        <v>365470910.87045139</v>
      </c>
    </row>
    <row r="55" spans="1:8" ht="12.75" customHeight="1" x14ac:dyDescent="0.2">
      <c r="A55" s="43" t="str">
        <f>'C4-FinPerf RE'!A22</f>
        <v>Total Revenue (excluding capital transfers and contributions)</v>
      </c>
      <c r="B55" s="68"/>
      <c r="C55" s="68"/>
      <c r="D55" s="85">
        <f>'C4-FinPerf RE'!C22</f>
        <v>2646259854.2099996</v>
      </c>
      <c r="E55" s="85">
        <f>'C4-FinPerf RE'!D22</f>
        <v>3292262001.0349998</v>
      </c>
      <c r="F55" s="85">
        <f>'C4-FinPerf RE'!E22</f>
        <v>0</v>
      </c>
      <c r="G55" s="98">
        <f>'C4-FinPerf RE'!G22</f>
        <v>1311297208.003315</v>
      </c>
      <c r="H55" s="49">
        <f>'C4-FinPerf RE'!K22</f>
        <v>3292262001.0349998</v>
      </c>
    </row>
    <row r="56" spans="1:8" ht="12.75" customHeight="1" x14ac:dyDescent="0.2">
      <c r="A56" s="43" t="str">
        <f>'C4-FinPerf RE'!A19</f>
        <v>Transfers and subsidies</v>
      </c>
      <c r="B56" s="68"/>
      <c r="C56" s="68"/>
      <c r="D56" s="85">
        <f>'C4-FinPerf RE'!C19</f>
        <v>743575754</v>
      </c>
      <c r="E56" s="85">
        <f>'C4-FinPerf RE'!D19</f>
        <v>968911000.36500001</v>
      </c>
      <c r="F56" s="85">
        <f>'C4-FinPerf RE'!E19</f>
        <v>0</v>
      </c>
      <c r="G56" s="98">
        <f>'C4-FinPerf RE'!G19</f>
        <v>611025720.37430596</v>
      </c>
      <c r="H56" s="49">
        <f>'C4-FinPerf RE'!K19</f>
        <v>968911000.36500001</v>
      </c>
    </row>
    <row r="57" spans="1:8" ht="12.75" customHeight="1" x14ac:dyDescent="0.2">
      <c r="A57" s="43" t="str">
        <f>'C4-FinPerf RE'!A39</f>
        <v>Transfers and subsidies - capital (monetary allocations) (National / Provincial and District)</v>
      </c>
      <c r="B57" s="68"/>
      <c r="C57" s="68"/>
      <c r="D57" s="85">
        <f>'C4-FinPerf RE'!C39</f>
        <v>581015839.45028496</v>
      </c>
      <c r="E57" s="85">
        <f>'C4-FinPerf RE'!D39</f>
        <v>650954999.63499999</v>
      </c>
      <c r="F57" s="85">
        <f>'C4-FinPerf RE'!E39</f>
        <v>0</v>
      </c>
      <c r="G57" s="98">
        <f>'C4-FinPerf RE'!G39</f>
        <v>275608564.630279</v>
      </c>
      <c r="H57" s="49">
        <f>'C4-FinPerf RE'!K39</f>
        <v>650954999.63499999</v>
      </c>
    </row>
    <row r="58" spans="1:8" ht="12.75" customHeight="1" x14ac:dyDescent="0.2">
      <c r="A58" s="43" t="s">
        <v>457</v>
      </c>
      <c r="B58" s="68"/>
      <c r="C58" s="68"/>
      <c r="D58" s="85">
        <f>'C7-CFlow'!C12+'C7-CFlow'!C36</f>
        <v>1552971.5200000033</v>
      </c>
      <c r="E58" s="85">
        <f>'C7-CFlow'!D12+'C7-CFlow'!D36</f>
        <v>-47132020</v>
      </c>
      <c r="F58" s="85">
        <f>'C7-CFlow'!E12+'C7-CFlow'!E36</f>
        <v>0</v>
      </c>
      <c r="G58" s="98">
        <f>'C7-CFlow'!G16+'C7-CFlow'!G36</f>
        <v>-10179890.960000001</v>
      </c>
      <c r="H58" s="49">
        <f>'C7-CFlow'!K16+'C7-CFlow'!K36</f>
        <v>-227000000</v>
      </c>
    </row>
    <row r="59" spans="1:8" ht="12.75" customHeight="1" x14ac:dyDescent="0.2">
      <c r="A59" s="43" t="s">
        <v>542</v>
      </c>
      <c r="B59" s="68"/>
      <c r="C59" s="68"/>
      <c r="D59" s="85">
        <f>'C6-FinPos'!C9+'C6-FinPos'!C10+'C6-FinPos'!C11+'C6-FinPos'!C16</f>
        <v>534389226.56999969</v>
      </c>
      <c r="E59" s="85">
        <f>'C6-FinPos'!D9+'C6-FinPos'!D10+'C6-FinPos'!D11+'C6-FinPos'!D16</f>
        <v>392795505.38</v>
      </c>
      <c r="F59" s="85">
        <f>'C6-FinPos'!E9+'C6-FinPos'!E10+'C6-FinPos'!E11+'C6-FinPos'!E16</f>
        <v>0</v>
      </c>
      <c r="G59" s="98">
        <f>'C6-FinPos'!F9+'C6-FinPos'!F10+'C6-FinPos'!F11+'C6-FinPos'!F16</f>
        <v>764220951.09000003</v>
      </c>
      <c r="H59" s="49">
        <f>'C6-FinPos'!G9+'C6-FinPos'!G10+'C6-FinPos'!G11+'C6-FinPos'!G16</f>
        <v>392795505.38</v>
      </c>
    </row>
    <row r="60" spans="1:8" ht="12.75" customHeight="1" x14ac:dyDescent="0.2">
      <c r="A60" s="43" t="s">
        <v>458</v>
      </c>
      <c r="B60" s="68"/>
      <c r="C60" s="68"/>
      <c r="D60" s="85">
        <f>SUM('C4-FinPerf RE'!C7:C11)</f>
        <v>1207106650.1800003</v>
      </c>
      <c r="E60" s="85">
        <f>SUM('C4-FinPerf RE'!D7:D11)</f>
        <v>1484279000.0000002</v>
      </c>
      <c r="F60" s="85">
        <f>SUM('C4-FinPerf RE'!E7:E11)</f>
        <v>0</v>
      </c>
      <c r="G60" s="98">
        <f>SUM('C4-FinPerf RE'!G7:G11)</f>
        <v>413802692.63</v>
      </c>
      <c r="H60" s="49"/>
    </row>
    <row r="61" spans="1:8" ht="12.75" customHeight="1" x14ac:dyDescent="0.2">
      <c r="A61" s="43" t="s">
        <v>459</v>
      </c>
      <c r="B61" s="68" t="s">
        <v>460</v>
      </c>
      <c r="C61" s="68"/>
      <c r="D61" s="85">
        <f>'C6-FinPos'!C7+'C6-FinPos'!C8+'C6-FinPos'!C17-'C6-FinPos'!C30</f>
        <v>261971043.33247101</v>
      </c>
      <c r="E61" s="85">
        <f>'C6-FinPos'!D7+'C6-FinPos'!D8+'C6-FinPos'!D17-'C6-FinPos'!D30</f>
        <v>488670910.87045139</v>
      </c>
      <c r="F61" s="85">
        <f>'C6-FinPos'!E7+'C6-FinPos'!E8+'C6-FinPos'!E17-'C6-FinPos'!E30</f>
        <v>0</v>
      </c>
      <c r="G61" s="98">
        <f>'C6-FinPos'!F7+'C6-FinPos'!F8+'C6-FinPos'!F17-'C6-FinPos'!F30</f>
        <v>677362247.16999996</v>
      </c>
      <c r="H61" s="49">
        <f>'C6-FinPos'!G7+'C6-FinPos'!G8+'C6-FinPos'!G17-'C6-FinPos'!G30</f>
        <v>488670910.87045139</v>
      </c>
    </row>
    <row r="62" spans="1:8" ht="12.75" customHeight="1" x14ac:dyDescent="0.2">
      <c r="A62" s="43" t="s">
        <v>748</v>
      </c>
      <c r="B62" s="68"/>
      <c r="C62" s="68"/>
      <c r="D62" s="779"/>
      <c r="E62" s="779"/>
      <c r="F62" s="779"/>
      <c r="G62" s="779"/>
      <c r="H62" s="780"/>
    </row>
    <row r="63" spans="1:8" ht="12.75" customHeight="1" x14ac:dyDescent="0.2">
      <c r="A63" s="43" t="s">
        <v>803</v>
      </c>
      <c r="B63" s="68"/>
      <c r="C63" s="68"/>
      <c r="D63" s="118">
        <f>'C6-FinPos'!C16</f>
        <v>0</v>
      </c>
      <c r="E63" s="118">
        <f>'C6-FinPos'!D16</f>
        <v>0</v>
      </c>
      <c r="F63" s="118">
        <f>'C6-FinPos'!E16</f>
        <v>0</v>
      </c>
      <c r="G63" s="328">
        <f>'C6-FinPos'!F16</f>
        <v>0</v>
      </c>
      <c r="H63" s="343">
        <f>'C6-FinPos'!G16</f>
        <v>0</v>
      </c>
    </row>
    <row r="64" spans="1:8" ht="12.75" customHeight="1" x14ac:dyDescent="0.2">
      <c r="A64" s="43" t="s">
        <v>747</v>
      </c>
      <c r="B64" s="68"/>
      <c r="C64" s="68"/>
      <c r="D64" s="781"/>
      <c r="E64" s="781"/>
      <c r="F64" s="781"/>
      <c r="G64" s="781"/>
      <c r="H64" s="782"/>
    </row>
    <row r="65" spans="1:8" ht="12.75" customHeight="1" x14ac:dyDescent="0.2">
      <c r="A65" s="92" t="s">
        <v>804</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24" t="str">
        <f>muni&amp; " - "&amp;S71I&amp; " - "&amp;Head57</f>
        <v>LIM354 Polokwane - Supporting Table SC3 Monthly Budget Statement - aged debtors - M04 October</v>
      </c>
      <c r="B1" s="1024"/>
      <c r="C1" s="1031"/>
      <c r="D1" s="1031"/>
      <c r="E1" s="1031"/>
      <c r="F1" s="1031"/>
      <c r="G1" s="1031"/>
      <c r="H1" s="1031"/>
      <c r="I1" s="1031"/>
      <c r="J1" s="1031"/>
      <c r="K1" s="1031"/>
      <c r="L1" s="1031"/>
      <c r="M1" s="1031"/>
      <c r="N1" s="163"/>
      <c r="O1" s="409"/>
    </row>
    <row r="2" spans="1:16" ht="13.35" customHeight="1" x14ac:dyDescent="0.2">
      <c r="A2" s="358" t="str">
        <f>desc</f>
        <v>Description</v>
      </c>
      <c r="B2" s="903"/>
      <c r="C2" s="1032" t="str">
        <f>Head2</f>
        <v>Budget Year 2017/18</v>
      </c>
      <c r="D2" s="1033"/>
      <c r="E2" s="1033"/>
      <c r="F2" s="1033"/>
      <c r="G2" s="1033"/>
      <c r="H2" s="1033"/>
      <c r="I2" s="1033"/>
      <c r="J2" s="1033"/>
      <c r="K2" s="1033"/>
      <c r="L2" s="1033"/>
      <c r="M2" s="1033"/>
      <c r="N2" s="1034"/>
      <c r="O2" s="921"/>
    </row>
    <row r="3" spans="1:16" ht="52.5" customHeight="1" x14ac:dyDescent="0.2">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0.199999999999999" x14ac:dyDescent="0.2">
      <c r="A4" s="88" t="s">
        <v>1100</v>
      </c>
      <c r="B4" s="170"/>
      <c r="C4" s="229"/>
      <c r="D4" s="166"/>
      <c r="E4" s="166"/>
      <c r="F4" s="166"/>
      <c r="G4" s="166"/>
      <c r="H4" s="166"/>
      <c r="I4" s="166"/>
      <c r="J4" s="288"/>
      <c r="K4" s="167"/>
      <c r="L4" s="167"/>
      <c r="M4" s="185"/>
      <c r="N4" s="185"/>
      <c r="O4" s="43"/>
    </row>
    <row r="5" spans="1:16" ht="12.75" customHeight="1" x14ac:dyDescent="0.2">
      <c r="A5" s="40" t="s">
        <v>1101</v>
      </c>
      <c r="B5" s="170">
        <v>1200</v>
      </c>
      <c r="C5" s="755">
        <v>23095031.289999999</v>
      </c>
      <c r="D5" s="743">
        <v>14160266.140000001</v>
      </c>
      <c r="E5" s="743">
        <v>6335567.5800000001</v>
      </c>
      <c r="F5" s="743">
        <v>4698030.41</v>
      </c>
      <c r="G5" s="743">
        <v>9821956.9800000004</v>
      </c>
      <c r="H5" s="743">
        <v>3436501.12</v>
      </c>
      <c r="I5" s="743">
        <v>37569686.079999998</v>
      </c>
      <c r="J5" s="754">
        <v>170146945.59</v>
      </c>
      <c r="K5" s="135">
        <f>SUM(C5:J5)</f>
        <v>269263985.19</v>
      </c>
      <c r="L5" s="135">
        <f>SUM(F5:J5)</f>
        <v>225673120.18000001</v>
      </c>
      <c r="M5" s="757"/>
      <c r="N5" s="757"/>
      <c r="O5" s="922"/>
    </row>
    <row r="6" spans="1:16" ht="12.75" customHeight="1" x14ac:dyDescent="0.2">
      <c r="A6" s="40" t="s">
        <v>1103</v>
      </c>
      <c r="B6" s="170">
        <v>1300</v>
      </c>
      <c r="C6" s="755">
        <v>17657128.260000002</v>
      </c>
      <c r="D6" s="743">
        <v>10446739.66</v>
      </c>
      <c r="E6" s="743">
        <v>7048837.46</v>
      </c>
      <c r="F6" s="743">
        <v>5525774.8799999999</v>
      </c>
      <c r="G6" s="743">
        <v>6343738.6699999999</v>
      </c>
      <c r="H6" s="743">
        <v>4463125.87</v>
      </c>
      <c r="I6" s="743">
        <v>15192541.890000001</v>
      </c>
      <c r="J6" s="754">
        <v>49411401.18</v>
      </c>
      <c r="K6" s="135">
        <f>SUM(C6:J6)</f>
        <v>116089287.87</v>
      </c>
      <c r="L6" s="135">
        <f t="shared" ref="L6:L12" si="0">SUM(F6:J6)</f>
        <v>80936582.49000001</v>
      </c>
      <c r="M6" s="757"/>
      <c r="N6" s="757"/>
      <c r="O6" s="922"/>
    </row>
    <row r="7" spans="1:16" ht="12.75" customHeight="1" x14ac:dyDescent="0.2">
      <c r="A7" s="40" t="s">
        <v>1102</v>
      </c>
      <c r="B7" s="170">
        <v>1400</v>
      </c>
      <c r="C7" s="755">
        <v>12059712.699999999</v>
      </c>
      <c r="D7" s="743">
        <v>9387491.3900000006</v>
      </c>
      <c r="E7" s="743">
        <v>7630667.9900000002</v>
      </c>
      <c r="F7" s="743">
        <v>5885389.1799999997</v>
      </c>
      <c r="G7" s="743">
        <v>4613754.34</v>
      </c>
      <c r="H7" s="743">
        <v>4255529.34</v>
      </c>
      <c r="I7" s="743">
        <v>20094623.93</v>
      </c>
      <c r="J7" s="754">
        <v>89380221.829999998</v>
      </c>
      <c r="K7" s="135">
        <f t="shared" ref="K7:K13" si="1">SUM(C7:J7)</f>
        <v>153307390.69999999</v>
      </c>
      <c r="L7" s="135">
        <f t="shared" si="0"/>
        <v>124229518.62</v>
      </c>
      <c r="M7" s="757"/>
      <c r="N7" s="757"/>
      <c r="O7" s="922"/>
    </row>
    <row r="8" spans="1:16" ht="12.75" customHeight="1" x14ac:dyDescent="0.2">
      <c r="A8" s="40" t="s">
        <v>1104</v>
      </c>
      <c r="B8" s="170">
        <v>1500</v>
      </c>
      <c r="C8" s="755">
        <v>4227091.42</v>
      </c>
      <c r="D8" s="743">
        <v>2995808.39</v>
      </c>
      <c r="E8" s="743">
        <v>2018462.51</v>
      </c>
      <c r="F8" s="743">
        <v>882080.56</v>
      </c>
      <c r="G8" s="743">
        <v>692667.57</v>
      </c>
      <c r="H8" s="743">
        <v>781745.89</v>
      </c>
      <c r="I8" s="743">
        <v>3051033.9</v>
      </c>
      <c r="J8" s="754">
        <v>10306339.77</v>
      </c>
      <c r="K8" s="135">
        <f t="shared" si="1"/>
        <v>24955230.010000002</v>
      </c>
      <c r="L8" s="135">
        <f t="shared" si="0"/>
        <v>15713867.689999999</v>
      </c>
      <c r="M8" s="757"/>
      <c r="N8" s="757"/>
      <c r="O8" s="922"/>
    </row>
    <row r="9" spans="1:16" ht="12.75" customHeight="1" x14ac:dyDescent="0.2">
      <c r="A9" s="40" t="s">
        <v>1105</v>
      </c>
      <c r="B9" s="170">
        <v>1600</v>
      </c>
      <c r="C9" s="755">
        <v>5526930.8200000003</v>
      </c>
      <c r="D9" s="743">
        <v>4287909</v>
      </c>
      <c r="E9" s="743">
        <v>3065680.56</v>
      </c>
      <c r="F9" s="743">
        <v>1305230.68</v>
      </c>
      <c r="G9" s="743">
        <v>1450745.16</v>
      </c>
      <c r="H9" s="743">
        <v>1676808.34</v>
      </c>
      <c r="I9" s="743">
        <v>5528337.8600000003</v>
      </c>
      <c r="J9" s="754">
        <v>19038305.93</v>
      </c>
      <c r="K9" s="135">
        <f t="shared" si="1"/>
        <v>41879948.350000001</v>
      </c>
      <c r="L9" s="135">
        <f>SUM(F9:J9)</f>
        <v>28999427.969999999</v>
      </c>
      <c r="M9" s="757"/>
      <c r="N9" s="757"/>
      <c r="O9" s="922"/>
    </row>
    <row r="10" spans="1:16" ht="12.75" customHeight="1" x14ac:dyDescent="0.2">
      <c r="A10" s="40" t="s">
        <v>1106</v>
      </c>
      <c r="B10" s="170">
        <v>1700</v>
      </c>
      <c r="C10" s="755">
        <v>414.27</v>
      </c>
      <c r="D10" s="743">
        <v>148.68</v>
      </c>
      <c r="E10" s="743">
        <v>148.68</v>
      </c>
      <c r="F10" s="743">
        <v>77.56</v>
      </c>
      <c r="G10" s="743">
        <v>54.06</v>
      </c>
      <c r="H10" s="743">
        <v>54.06</v>
      </c>
      <c r="I10" s="743">
        <v>324.36</v>
      </c>
      <c r="J10" s="754">
        <v>1968.86</v>
      </c>
      <c r="K10" s="135">
        <f t="shared" si="1"/>
        <v>3190.5299999999997</v>
      </c>
      <c r="L10" s="135">
        <f>SUM(F10:J10)</f>
        <v>2478.9</v>
      </c>
      <c r="M10" s="757"/>
      <c r="N10" s="757"/>
      <c r="O10" s="922"/>
    </row>
    <row r="11" spans="1:16" ht="12.75" customHeight="1" x14ac:dyDescent="0.2">
      <c r="A11" s="40" t="s">
        <v>1107</v>
      </c>
      <c r="B11" s="170">
        <v>1810</v>
      </c>
      <c r="C11" s="755">
        <v>1326.66</v>
      </c>
      <c r="D11" s="743">
        <v>536185.28</v>
      </c>
      <c r="E11" s="743">
        <v>620682.12</v>
      </c>
      <c r="F11" s="743">
        <v>540568.57999999996</v>
      </c>
      <c r="G11" s="743">
        <v>838229.16</v>
      </c>
      <c r="H11" s="743">
        <v>681221.1</v>
      </c>
      <c r="I11" s="743">
        <v>6170258.5300000003</v>
      </c>
      <c r="J11" s="754">
        <v>135190708.36000001</v>
      </c>
      <c r="K11" s="135">
        <f t="shared" si="1"/>
        <v>144579179.79000002</v>
      </c>
      <c r="L11" s="135">
        <f t="shared" si="0"/>
        <v>143420985.73000002</v>
      </c>
      <c r="M11" s="757"/>
      <c r="N11" s="757"/>
      <c r="O11" s="922"/>
      <c r="P11" s="97"/>
    </row>
    <row r="12" spans="1:16" ht="12.75" customHeight="1" x14ac:dyDescent="0.2">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
      <c r="A13" s="40" t="s">
        <v>741</v>
      </c>
      <c r="B13" s="170">
        <v>1900</v>
      </c>
      <c r="C13" s="755">
        <v>-54081532.670000002</v>
      </c>
      <c r="D13" s="743">
        <v>2251828.89</v>
      </c>
      <c r="E13" s="743">
        <v>1167852.33</v>
      </c>
      <c r="F13" s="743">
        <v>7186030.1799999997</v>
      </c>
      <c r="G13" s="743">
        <v>853146.32</v>
      </c>
      <c r="H13" s="743">
        <v>760436.72</v>
      </c>
      <c r="I13" s="743">
        <v>4341097.95</v>
      </c>
      <c r="J13" s="754">
        <v>127478029.56999999</v>
      </c>
      <c r="K13" s="135">
        <f t="shared" si="1"/>
        <v>89956889.289999992</v>
      </c>
      <c r="L13" s="135">
        <f>SUM(F13:J13)</f>
        <v>140618740.74000001</v>
      </c>
      <c r="M13" s="757"/>
      <c r="N13" s="757"/>
      <c r="O13" s="922"/>
    </row>
    <row r="14" spans="1:16" ht="12.75" customHeight="1" x14ac:dyDescent="0.2">
      <c r="A14" s="54" t="s">
        <v>1109</v>
      </c>
      <c r="B14" s="286">
        <v>2000</v>
      </c>
      <c r="C14" s="57">
        <f t="shared" ref="C14:N14" si="2">SUM(C5:C13)</f>
        <v>8486102.75</v>
      </c>
      <c r="D14" s="56">
        <f t="shared" si="2"/>
        <v>44066377.43</v>
      </c>
      <c r="E14" s="56">
        <f t="shared" si="2"/>
        <v>27887899.230000004</v>
      </c>
      <c r="F14" s="56">
        <f t="shared" si="2"/>
        <v>26023182.029999994</v>
      </c>
      <c r="G14" s="56">
        <f t="shared" si="2"/>
        <v>24614292.260000002</v>
      </c>
      <c r="H14" s="56">
        <f t="shared" si="2"/>
        <v>16055422.440000001</v>
      </c>
      <c r="I14" s="56">
        <f t="shared" si="2"/>
        <v>91947904.500000015</v>
      </c>
      <c r="J14" s="84">
        <f t="shared" si="2"/>
        <v>600953921.09000003</v>
      </c>
      <c r="K14" s="113">
        <f t="shared" si="2"/>
        <v>840035101.73000002</v>
      </c>
      <c r="L14" s="113">
        <f>SUM(L5:L13)</f>
        <v>759594722.32000005</v>
      </c>
      <c r="M14" s="55">
        <f t="shared" si="2"/>
        <v>0</v>
      </c>
      <c r="N14" s="55">
        <f t="shared" si="2"/>
        <v>0</v>
      </c>
      <c r="O14" s="923"/>
    </row>
    <row r="15" spans="1:16" ht="12.75" customHeight="1" x14ac:dyDescent="0.2">
      <c r="A15" s="316" t="str">
        <f>Head1&amp;" - totals only"</f>
        <v>2016/17 - totals only</v>
      </c>
      <c r="B15" s="370"/>
      <c r="C15" s="755">
        <v>7416746.7899999991</v>
      </c>
      <c r="D15" s="743">
        <v>44006302.449999996</v>
      </c>
      <c r="E15" s="743">
        <v>28672547.730000004</v>
      </c>
      <c r="F15" s="743">
        <v>34171803.939999998</v>
      </c>
      <c r="G15" s="743">
        <v>25685660.059999999</v>
      </c>
      <c r="H15" s="743">
        <v>19983288.320000004</v>
      </c>
      <c r="I15" s="743">
        <v>95054171.460000008</v>
      </c>
      <c r="J15" s="754">
        <v>462920657.23999995</v>
      </c>
      <c r="K15" s="805">
        <f>SUM(C15:J15)</f>
        <v>717911177.99000001</v>
      </c>
      <c r="L15" s="371">
        <f>SUM(F15:J15)</f>
        <v>637815581.01999998</v>
      </c>
      <c r="M15" s="804"/>
      <c r="N15" s="904"/>
      <c r="O15" s="50"/>
    </row>
    <row r="16" spans="1:16" ht="12.75" customHeight="1" x14ac:dyDescent="0.2">
      <c r="A16" s="88" t="s">
        <v>1113</v>
      </c>
      <c r="B16" s="170"/>
      <c r="C16" s="47"/>
      <c r="D16" s="45"/>
      <c r="E16" s="45"/>
      <c r="F16" s="45"/>
      <c r="G16" s="45"/>
      <c r="H16" s="45"/>
      <c r="I16" s="45"/>
      <c r="J16" s="109"/>
      <c r="K16" s="135"/>
      <c r="L16" s="654"/>
      <c r="M16" s="46"/>
      <c r="N16" s="905"/>
    </row>
    <row r="17" spans="1:14" ht="12.75" customHeight="1" x14ac:dyDescent="0.2">
      <c r="A17" s="40" t="s">
        <v>1110</v>
      </c>
      <c r="B17" s="170">
        <v>2200</v>
      </c>
      <c r="C17" s="755">
        <v>809940.18999999971</v>
      </c>
      <c r="D17" s="743">
        <v>2249628.27</v>
      </c>
      <c r="E17" s="743">
        <v>2106153.0500000003</v>
      </c>
      <c r="F17" s="743">
        <v>1275006.93</v>
      </c>
      <c r="G17" s="743">
        <v>1016764.79</v>
      </c>
      <c r="H17" s="743">
        <v>931677.3600000001</v>
      </c>
      <c r="I17" s="743">
        <v>5286599.0399999991</v>
      </c>
      <c r="J17" s="754">
        <v>25209094.359999999</v>
      </c>
      <c r="K17" s="135">
        <f>SUM(C17:J17)</f>
        <v>38884863.989999995</v>
      </c>
      <c r="L17" s="654">
        <f>SUM(F17:J17)</f>
        <v>33719142.479999997</v>
      </c>
      <c r="M17" s="757"/>
      <c r="N17" s="758"/>
    </row>
    <row r="18" spans="1:14" ht="12.75" customHeight="1" x14ac:dyDescent="0.2">
      <c r="A18" s="40" t="s">
        <v>1111</v>
      </c>
      <c r="B18" s="170">
        <v>2300</v>
      </c>
      <c r="C18" s="755">
        <v>7596567.0300000031</v>
      </c>
      <c r="D18" s="743">
        <v>6939791.8199999984</v>
      </c>
      <c r="E18" s="743">
        <v>4997587.4700000007</v>
      </c>
      <c r="F18" s="743">
        <v>4529059.66</v>
      </c>
      <c r="G18" s="743">
        <v>4547073.96</v>
      </c>
      <c r="H18" s="743">
        <v>3706704.5799999996</v>
      </c>
      <c r="I18" s="743">
        <v>10894593.35</v>
      </c>
      <c r="J18" s="754">
        <v>71870415.840000004</v>
      </c>
      <c r="K18" s="135">
        <f>SUM(C18:J18)</f>
        <v>115081793.71000001</v>
      </c>
      <c r="L18" s="654">
        <f>SUM(F18:J18)</f>
        <v>95547847.390000001</v>
      </c>
      <c r="M18" s="757"/>
      <c r="N18" s="758"/>
    </row>
    <row r="19" spans="1:14" ht="12.75" customHeight="1" x14ac:dyDescent="0.2">
      <c r="A19" s="40" t="s">
        <v>706</v>
      </c>
      <c r="B19" s="170">
        <v>2400</v>
      </c>
      <c r="C19" s="755">
        <v>6203.8100000023842</v>
      </c>
      <c r="D19" s="743">
        <v>34771727.259999998</v>
      </c>
      <c r="E19" s="743">
        <v>20672118.780000001</v>
      </c>
      <c r="F19" s="743">
        <v>20055794.160000004</v>
      </c>
      <c r="G19" s="743">
        <v>18946001.899999995</v>
      </c>
      <c r="H19" s="743">
        <v>11329628.549999999</v>
      </c>
      <c r="I19" s="743">
        <v>75216201.760000005</v>
      </c>
      <c r="J19" s="754">
        <v>502829778.23000002</v>
      </c>
      <c r="K19" s="135">
        <f>SUM(C19:J19)</f>
        <v>683827454.45000005</v>
      </c>
      <c r="L19" s="654">
        <f>SUM(F19:J19)</f>
        <v>628377404.60000002</v>
      </c>
      <c r="M19" s="757"/>
      <c r="N19" s="758"/>
    </row>
    <row r="20" spans="1:14" ht="12.75" customHeight="1" x14ac:dyDescent="0.2">
      <c r="A20" s="40" t="s">
        <v>741</v>
      </c>
      <c r="B20" s="170">
        <v>2500</v>
      </c>
      <c r="C20" s="755">
        <v>73391.72</v>
      </c>
      <c r="D20" s="743">
        <v>105230.08</v>
      </c>
      <c r="E20" s="743">
        <v>112039.93</v>
      </c>
      <c r="F20" s="743">
        <v>163321.28</v>
      </c>
      <c r="G20" s="743">
        <v>104451.61</v>
      </c>
      <c r="H20" s="743">
        <v>87411.95</v>
      </c>
      <c r="I20" s="743">
        <v>550510.35</v>
      </c>
      <c r="J20" s="754">
        <v>1044632.66</v>
      </c>
      <c r="K20" s="135">
        <f>SUM(C20:J20)</f>
        <v>2240989.58</v>
      </c>
      <c r="L20" s="654">
        <f>SUM(F20:J20)</f>
        <v>1950327.85</v>
      </c>
      <c r="M20" s="757"/>
      <c r="N20" s="759"/>
    </row>
    <row r="21" spans="1:14" ht="12.75" customHeight="1" x14ac:dyDescent="0.2">
      <c r="A21" s="54" t="s">
        <v>1114</v>
      </c>
      <c r="B21" s="286">
        <v>2600</v>
      </c>
      <c r="C21" s="57">
        <f t="shared" ref="C21:I21" si="3">SUM(C17:C20)</f>
        <v>8486102.7500000056</v>
      </c>
      <c r="D21" s="56">
        <f t="shared" si="3"/>
        <v>44066377.429999992</v>
      </c>
      <c r="E21" s="56">
        <f t="shared" si="3"/>
        <v>27887899.230000004</v>
      </c>
      <c r="F21" s="56">
        <f t="shared" si="3"/>
        <v>26023182.030000005</v>
      </c>
      <c r="G21" s="56">
        <f t="shared" si="3"/>
        <v>24614292.259999994</v>
      </c>
      <c r="H21" s="56">
        <f t="shared" si="3"/>
        <v>16055422.439999998</v>
      </c>
      <c r="I21" s="56">
        <f t="shared" si="3"/>
        <v>91947904.5</v>
      </c>
      <c r="J21" s="84">
        <f>SUM(J17:J20)</f>
        <v>600953921.09000003</v>
      </c>
      <c r="K21" s="113">
        <f>SUM(K17:K20)</f>
        <v>840035101.73000014</v>
      </c>
      <c r="L21" s="924">
        <f>SUM(L17:L20)</f>
        <v>759594722.32000005</v>
      </c>
      <c r="M21" s="55">
        <f>SUM(M17:M20)</f>
        <v>0</v>
      </c>
      <c r="N21" s="245">
        <f>SUM(N17:N20)</f>
        <v>0</v>
      </c>
    </row>
    <row r="22" spans="1:14" ht="12.75" customHeight="1" x14ac:dyDescent="0.2">
      <c r="A22" s="58" t="s">
        <v>812</v>
      </c>
      <c r="B22" s="168"/>
      <c r="C22" s="50"/>
      <c r="D22" s="50"/>
      <c r="E22" s="50"/>
      <c r="F22" s="50"/>
      <c r="G22" s="50"/>
      <c r="H22" s="50"/>
      <c r="I22" s="50"/>
      <c r="J22" s="50"/>
      <c r="K22" s="50"/>
      <c r="L22" s="50"/>
      <c r="M22" s="50"/>
      <c r="N22" s="50"/>
    </row>
    <row r="23" spans="1:14" ht="10.199999999999999" x14ac:dyDescent="0.2">
      <c r="A23" s="81" t="s">
        <v>642</v>
      </c>
    </row>
    <row r="24" spans="1:14" ht="10.199999999999999" x14ac:dyDescent="0.2">
      <c r="A24" s="81" t="s">
        <v>550</v>
      </c>
    </row>
    <row r="25" spans="1:14" ht="10.199999999999999" x14ac:dyDescent="0.2">
      <c r="A25" s="81" t="s">
        <v>1115</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24" t="str">
        <f>muni&amp; " - "&amp;S71J&amp; " - "&amp;Head57</f>
        <v>LIM354 Polokwane - Supporting Table SC4 Monthly Budget Statement - aged creditors  - M04 October</v>
      </c>
      <c r="B1" s="1024"/>
      <c r="C1" s="1024"/>
      <c r="D1" s="1024"/>
      <c r="E1" s="1024"/>
      <c r="F1" s="1024"/>
      <c r="G1" s="1024"/>
      <c r="H1" s="1024"/>
      <c r="I1" s="1024"/>
      <c r="J1" s="1024"/>
      <c r="K1" s="1024"/>
    </row>
    <row r="2" spans="1:12" ht="12.75" customHeight="1" x14ac:dyDescent="0.2">
      <c r="A2" s="1013" t="str">
        <f>desc</f>
        <v>Description</v>
      </c>
      <c r="B2" s="1035" t="s">
        <v>757</v>
      </c>
      <c r="C2" s="138" t="str">
        <f>Head2</f>
        <v>Budget Year 2017/18</v>
      </c>
      <c r="D2" s="138"/>
      <c r="E2" s="138"/>
      <c r="F2" s="138"/>
      <c r="G2" s="138"/>
      <c r="H2" s="138"/>
      <c r="I2" s="138"/>
      <c r="J2" s="138"/>
      <c r="K2" s="139"/>
      <c r="L2" s="1042" t="s">
        <v>79</v>
      </c>
    </row>
    <row r="3" spans="1:12" ht="12.75" customHeight="1" x14ac:dyDescent="0.2">
      <c r="A3" s="1048"/>
      <c r="B3" s="1036"/>
      <c r="C3" s="1038" t="s">
        <v>749</v>
      </c>
      <c r="D3" s="1040" t="s">
        <v>750</v>
      </c>
      <c r="E3" s="1040" t="s">
        <v>751</v>
      </c>
      <c r="F3" s="1040" t="s">
        <v>752</v>
      </c>
      <c r="G3" s="1040" t="s">
        <v>753</v>
      </c>
      <c r="H3" s="1040" t="s">
        <v>754</v>
      </c>
      <c r="I3" s="1040" t="s">
        <v>755</v>
      </c>
      <c r="J3" s="1045" t="s">
        <v>756</v>
      </c>
      <c r="K3" s="1047" t="s">
        <v>521</v>
      </c>
      <c r="L3" s="1043"/>
    </row>
    <row r="4" spans="1:12" ht="12.75" customHeight="1" x14ac:dyDescent="0.2">
      <c r="A4" s="35" t="s">
        <v>688</v>
      </c>
      <c r="B4" s="1037"/>
      <c r="C4" s="1039"/>
      <c r="D4" s="1041"/>
      <c r="E4" s="1041"/>
      <c r="F4" s="1041"/>
      <c r="G4" s="1041"/>
      <c r="H4" s="1041"/>
      <c r="I4" s="1041"/>
      <c r="J4" s="1046"/>
      <c r="K4" s="1037"/>
      <c r="L4" s="1044"/>
    </row>
    <row r="5" spans="1:12" ht="12.75" customHeight="1" x14ac:dyDescent="0.2">
      <c r="A5" s="88" t="s">
        <v>684</v>
      </c>
      <c r="B5" s="170"/>
      <c r="C5" s="289"/>
      <c r="D5" s="166"/>
      <c r="E5" s="166"/>
      <c r="F5" s="166"/>
      <c r="G5" s="166"/>
      <c r="H5" s="166"/>
      <c r="I5" s="166"/>
      <c r="J5" s="287"/>
      <c r="K5" s="167"/>
      <c r="L5" s="167"/>
    </row>
    <row r="6" spans="1:12" ht="12.75" customHeight="1" x14ac:dyDescent="0.2">
      <c r="A6" s="40" t="s">
        <v>707</v>
      </c>
      <c r="B6" s="170" t="s">
        <v>708</v>
      </c>
      <c r="C6" s="763">
        <v>50992056.960000001</v>
      </c>
      <c r="D6" s="743"/>
      <c r="E6" s="743"/>
      <c r="F6" s="743"/>
      <c r="G6" s="743"/>
      <c r="H6" s="743"/>
      <c r="I6" s="743"/>
      <c r="J6" s="745"/>
      <c r="K6" s="110">
        <f>SUM(C6:J6)</f>
        <v>50992056.960000001</v>
      </c>
      <c r="L6" s="758">
        <v>51140332.869999997</v>
      </c>
    </row>
    <row r="7" spans="1:12" ht="12.75" customHeight="1" x14ac:dyDescent="0.2">
      <c r="A7" s="40" t="s">
        <v>709</v>
      </c>
      <c r="B7" s="170" t="s">
        <v>710</v>
      </c>
      <c r="C7" s="763">
        <v>18796974.120000001</v>
      </c>
      <c r="D7" s="743"/>
      <c r="E7" s="743"/>
      <c r="F7" s="743"/>
      <c r="G7" s="743"/>
      <c r="H7" s="743"/>
      <c r="I7" s="743"/>
      <c r="J7" s="745"/>
      <c r="K7" s="110">
        <f t="shared" ref="K7:K13" si="0">SUM(C7:J7)</f>
        <v>18796974.120000001</v>
      </c>
      <c r="L7" s="758">
        <v>12500000</v>
      </c>
    </row>
    <row r="8" spans="1:12" ht="12.75" customHeight="1" x14ac:dyDescent="0.2">
      <c r="A8" s="40" t="s">
        <v>711</v>
      </c>
      <c r="B8" s="170" t="s">
        <v>712</v>
      </c>
      <c r="C8" s="763"/>
      <c r="D8" s="743"/>
      <c r="E8" s="743"/>
      <c r="F8" s="743"/>
      <c r="G8" s="743"/>
      <c r="H8" s="743"/>
      <c r="I8" s="743"/>
      <c r="J8" s="745"/>
      <c r="K8" s="110">
        <f t="shared" si="0"/>
        <v>0</v>
      </c>
      <c r="L8" s="758"/>
    </row>
    <row r="9" spans="1:12" ht="12.75" customHeight="1" x14ac:dyDescent="0.2">
      <c r="A9" s="40" t="s">
        <v>612</v>
      </c>
      <c r="B9" s="170" t="s">
        <v>613</v>
      </c>
      <c r="C9" s="763"/>
      <c r="D9" s="743"/>
      <c r="E9" s="743"/>
      <c r="F9" s="743"/>
      <c r="G9" s="743"/>
      <c r="H9" s="743"/>
      <c r="I9" s="743"/>
      <c r="J9" s="745"/>
      <c r="K9" s="110">
        <f t="shared" si="0"/>
        <v>0</v>
      </c>
      <c r="L9" s="758"/>
    </row>
    <row r="10" spans="1:12" ht="12.75" customHeight="1" x14ac:dyDescent="0.2">
      <c r="A10" s="40" t="s">
        <v>614</v>
      </c>
      <c r="B10" s="170" t="s">
        <v>615</v>
      </c>
      <c r="C10" s="763"/>
      <c r="D10" s="743"/>
      <c r="E10" s="743"/>
      <c r="F10" s="743"/>
      <c r="G10" s="743"/>
      <c r="H10" s="743"/>
      <c r="I10" s="743"/>
      <c r="J10" s="745"/>
      <c r="K10" s="110">
        <f t="shared" si="0"/>
        <v>0</v>
      </c>
      <c r="L10" s="758"/>
    </row>
    <row r="11" spans="1:12" ht="12.75" customHeight="1" x14ac:dyDescent="0.2">
      <c r="A11" s="40" t="s">
        <v>616</v>
      </c>
      <c r="B11" s="170" t="s">
        <v>617</v>
      </c>
      <c r="C11" s="763"/>
      <c r="D11" s="743"/>
      <c r="E11" s="743"/>
      <c r="F11" s="743"/>
      <c r="G11" s="743"/>
      <c r="H11" s="743"/>
      <c r="I11" s="743"/>
      <c r="J11" s="745"/>
      <c r="K11" s="110">
        <f t="shared" si="0"/>
        <v>0</v>
      </c>
      <c r="L11" s="758"/>
    </row>
    <row r="12" spans="1:12" ht="12.75" customHeight="1" x14ac:dyDescent="0.2">
      <c r="A12" s="40" t="s">
        <v>618</v>
      </c>
      <c r="B12" s="170" t="s">
        <v>619</v>
      </c>
      <c r="C12" s="763"/>
      <c r="D12" s="743"/>
      <c r="E12" s="743"/>
      <c r="F12" s="743"/>
      <c r="G12" s="743"/>
      <c r="H12" s="743"/>
      <c r="I12" s="743"/>
      <c r="J12" s="745"/>
      <c r="K12" s="110">
        <f t="shared" si="0"/>
        <v>0</v>
      </c>
      <c r="L12" s="758">
        <v>0</v>
      </c>
    </row>
    <row r="13" spans="1:12" ht="12.75" customHeight="1" x14ac:dyDescent="0.2">
      <c r="A13" s="40" t="s">
        <v>620</v>
      </c>
      <c r="B13" s="170" t="s">
        <v>621</v>
      </c>
      <c r="C13" s="763"/>
      <c r="D13" s="743"/>
      <c r="E13" s="743"/>
      <c r="F13" s="743"/>
      <c r="G13" s="743"/>
      <c r="H13" s="743"/>
      <c r="I13" s="743"/>
      <c r="J13" s="745"/>
      <c r="K13" s="110">
        <f t="shared" si="0"/>
        <v>0</v>
      </c>
      <c r="L13" s="758"/>
    </row>
    <row r="14" spans="1:12" ht="12.75" customHeight="1" x14ac:dyDescent="0.2">
      <c r="A14" s="40" t="s">
        <v>741</v>
      </c>
      <c r="B14" s="170" t="s">
        <v>622</v>
      </c>
      <c r="C14" s="763"/>
      <c r="D14" s="743"/>
      <c r="E14" s="743"/>
      <c r="F14" s="743"/>
      <c r="G14" s="743"/>
      <c r="H14" s="743"/>
      <c r="I14" s="743"/>
      <c r="J14" s="745"/>
      <c r="K14" s="110">
        <f>SUM(C14:J14)</f>
        <v>0</v>
      </c>
      <c r="L14" s="758"/>
    </row>
    <row r="15" spans="1:12" ht="12.75" customHeight="1" x14ac:dyDescent="0.2">
      <c r="A15" s="54" t="s">
        <v>950</v>
      </c>
      <c r="B15" s="286">
        <v>1000</v>
      </c>
      <c r="C15" s="272">
        <f>SUM(C6:C14)</f>
        <v>69789031.079999998</v>
      </c>
      <c r="D15" s="56">
        <f t="shared" ref="D15:J15" si="1">SUM(D6:D14)</f>
        <v>0</v>
      </c>
      <c r="E15" s="56">
        <f t="shared" si="1"/>
        <v>0</v>
      </c>
      <c r="F15" s="56">
        <f t="shared" si="1"/>
        <v>0</v>
      </c>
      <c r="G15" s="56">
        <f t="shared" si="1"/>
        <v>0</v>
      </c>
      <c r="H15" s="56">
        <f t="shared" si="1"/>
        <v>0</v>
      </c>
      <c r="I15" s="56">
        <f t="shared" si="1"/>
        <v>0</v>
      </c>
      <c r="J15" s="236">
        <f t="shared" si="1"/>
        <v>0</v>
      </c>
      <c r="K15" s="113">
        <f>SUM(K6:K14)</f>
        <v>69789031.079999998</v>
      </c>
      <c r="L15" s="161">
        <f>SUM(L6:L14)</f>
        <v>63640332.869999997</v>
      </c>
    </row>
    <row r="16" spans="1:12" ht="12.75" customHeight="1" x14ac:dyDescent="0.2">
      <c r="A16" s="58" t="s">
        <v>812</v>
      </c>
      <c r="B16" s="168"/>
      <c r="C16" s="50"/>
      <c r="D16" s="50"/>
      <c r="E16" s="50"/>
      <c r="F16" s="50"/>
      <c r="G16" s="50"/>
      <c r="H16" s="50"/>
      <c r="I16" s="50"/>
      <c r="J16" s="50"/>
      <c r="K16" s="50"/>
    </row>
    <row r="17" spans="1:1" ht="12.75" customHeight="1" x14ac:dyDescent="0.2">
      <c r="A17" s="122" t="s">
        <v>641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A4" sqref="A4:J24"/>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24" t="str">
        <f>muni&amp; " - "&amp;S71K&amp; " - "&amp;Head57</f>
        <v>LIM354 Polokwane - Supporting Table SC5 Monthly Budget Statement - investment portfolio  - M04 October</v>
      </c>
      <c r="B1" s="1024"/>
      <c r="C1" s="1024"/>
      <c r="D1" s="1024"/>
      <c r="E1" s="1024"/>
      <c r="F1" s="1024"/>
      <c r="G1" s="1024"/>
      <c r="H1" s="1024"/>
      <c r="I1" s="1024"/>
      <c r="J1" s="1024"/>
      <c r="K1" s="68"/>
    </row>
    <row r="2" spans="1:11" ht="54" customHeight="1" x14ac:dyDescent="0.2">
      <c r="A2" s="271" t="s">
        <v>924</v>
      </c>
      <c r="B2" s="1035" t="s">
        <v>591</v>
      </c>
      <c r="C2" s="26" t="s">
        <v>131</v>
      </c>
      <c r="D2" s="1049" t="s">
        <v>628</v>
      </c>
      <c r="E2" s="1049" t="s">
        <v>629</v>
      </c>
      <c r="F2" s="1049" t="s">
        <v>557</v>
      </c>
      <c r="G2" s="1049" t="s">
        <v>66</v>
      </c>
      <c r="H2" s="1049" t="s">
        <v>558</v>
      </c>
      <c r="I2" s="1049" t="s">
        <v>919</v>
      </c>
      <c r="J2" s="1051" t="s">
        <v>920</v>
      </c>
      <c r="K2" s="285" t="s">
        <v>520</v>
      </c>
    </row>
    <row r="3" spans="1:11" ht="12.75" customHeight="1" x14ac:dyDescent="0.2">
      <c r="A3" s="35" t="s">
        <v>688</v>
      </c>
      <c r="B3" s="1037"/>
      <c r="C3" s="416" t="s">
        <v>132</v>
      </c>
      <c r="D3" s="1050"/>
      <c r="E3" s="1050"/>
      <c r="F3" s="1050"/>
      <c r="G3" s="1050"/>
      <c r="H3" s="1050"/>
      <c r="I3" s="1050"/>
      <c r="J3" s="1052"/>
      <c r="K3" s="29"/>
    </row>
    <row r="4" spans="1:11" ht="12.75" customHeight="1" x14ac:dyDescent="0.2">
      <c r="A4" s="553" t="s">
        <v>349</v>
      </c>
      <c r="B4" s="172"/>
      <c r="C4" s="556"/>
      <c r="D4" s="538"/>
      <c r="E4" s="538"/>
      <c r="F4" s="538"/>
      <c r="G4" s="538"/>
      <c r="H4" s="538"/>
      <c r="I4" s="538"/>
      <c r="J4" s="539"/>
    </row>
    <row r="5" spans="1:11" ht="12.75" customHeight="1" x14ac:dyDescent="0.2">
      <c r="A5" s="786" t="s">
        <v>1585</v>
      </c>
      <c r="B5" s="170"/>
      <c r="C5" s="755" t="s">
        <v>1589</v>
      </c>
      <c r="D5" s="743" t="s">
        <v>1590</v>
      </c>
      <c r="E5" s="743" t="s">
        <v>1590</v>
      </c>
      <c r="F5" s="743">
        <v>340744</v>
      </c>
      <c r="G5" s="773">
        <v>6.8000000000000005E-2</v>
      </c>
      <c r="H5" s="743">
        <v>58999800</v>
      </c>
      <c r="I5" s="743"/>
      <c r="J5" s="745">
        <f>H5+F5</f>
        <v>59340544</v>
      </c>
    </row>
    <row r="6" spans="1:11" ht="12.75" customHeight="1" x14ac:dyDescent="0.2">
      <c r="A6" s="786" t="s">
        <v>1586</v>
      </c>
      <c r="B6" s="170"/>
      <c r="C6" s="755" t="s">
        <v>1591</v>
      </c>
      <c r="D6" s="743" t="s">
        <v>1592</v>
      </c>
      <c r="E6" s="743" t="s">
        <v>1593</v>
      </c>
      <c r="F6" s="743"/>
      <c r="G6" s="773">
        <v>0</v>
      </c>
      <c r="H6" s="743">
        <v>1000</v>
      </c>
      <c r="I6" s="743"/>
      <c r="J6" s="745">
        <f t="shared" ref="J6:J7" si="0">H6+F6</f>
        <v>1000</v>
      </c>
    </row>
    <row r="7" spans="1:11" ht="12.75" customHeight="1" x14ac:dyDescent="0.2">
      <c r="A7" s="786" t="s">
        <v>1587</v>
      </c>
      <c r="B7" s="170"/>
      <c r="C7" s="755" t="s">
        <v>1594</v>
      </c>
      <c r="D7" s="743" t="s">
        <v>1592</v>
      </c>
      <c r="E7" s="743" t="s">
        <v>1595</v>
      </c>
      <c r="F7" s="743"/>
      <c r="G7" s="773">
        <v>9.8000000000000004E-2</v>
      </c>
      <c r="H7" s="743">
        <v>14483440</v>
      </c>
      <c r="I7" s="743"/>
      <c r="J7" s="745">
        <f t="shared" si="0"/>
        <v>14483440</v>
      </c>
    </row>
    <row r="8" spans="1:11" ht="12.75" customHeight="1" x14ac:dyDescent="0.2">
      <c r="A8" s="786" t="s">
        <v>1587</v>
      </c>
      <c r="B8" s="170"/>
      <c r="C8" s="755" t="s">
        <v>1594</v>
      </c>
      <c r="D8" s="743" t="s">
        <v>1592</v>
      </c>
      <c r="E8" s="743" t="s">
        <v>1595</v>
      </c>
      <c r="F8" s="743"/>
      <c r="G8" s="773">
        <v>9.8000000000000004E-2</v>
      </c>
      <c r="H8" s="743">
        <v>15322817</v>
      </c>
      <c r="I8" s="743"/>
      <c r="J8" s="745">
        <f t="shared" ref="J8:J11" si="1">H8+F8</f>
        <v>15322817</v>
      </c>
    </row>
    <row r="9" spans="1:11" ht="12.75" customHeight="1" x14ac:dyDescent="0.2">
      <c r="A9" s="786" t="s">
        <v>1588</v>
      </c>
      <c r="B9" s="170"/>
      <c r="C9" s="755" t="s">
        <v>1596</v>
      </c>
      <c r="D9" s="743" t="s">
        <v>1592</v>
      </c>
      <c r="E9" s="743" t="s">
        <v>1606</v>
      </c>
      <c r="F9" s="743"/>
      <c r="G9" s="773">
        <v>9.8000000000000004E-2</v>
      </c>
      <c r="H9" s="743">
        <v>43090239</v>
      </c>
      <c r="I9" s="743"/>
      <c r="J9" s="745">
        <f t="shared" si="1"/>
        <v>43090239</v>
      </c>
    </row>
    <row r="10" spans="1:11" ht="12.75" customHeight="1" x14ac:dyDescent="0.2">
      <c r="A10" s="786" t="s">
        <v>1585</v>
      </c>
      <c r="B10" s="170"/>
      <c r="C10" s="755" t="s">
        <v>1602</v>
      </c>
      <c r="D10" s="743" t="s">
        <v>1592</v>
      </c>
      <c r="E10" s="743" t="s">
        <v>1604</v>
      </c>
      <c r="F10" s="743">
        <v>503538</v>
      </c>
      <c r="G10" s="773">
        <v>7.6499999999999999E-2</v>
      </c>
      <c r="H10" s="743">
        <v>77500000</v>
      </c>
      <c r="I10" s="743"/>
      <c r="J10" s="745">
        <f t="shared" si="1"/>
        <v>78003538</v>
      </c>
    </row>
    <row r="11" spans="1:11" ht="12.75" customHeight="1" x14ac:dyDescent="0.2">
      <c r="A11" s="786" t="s">
        <v>1601</v>
      </c>
      <c r="B11" s="170"/>
      <c r="C11" s="755" t="s">
        <v>1603</v>
      </c>
      <c r="D11" s="743" t="s">
        <v>1592</v>
      </c>
      <c r="E11" s="743" t="s">
        <v>1605</v>
      </c>
      <c r="F11" s="743">
        <v>503538</v>
      </c>
      <c r="G11" s="773">
        <v>7.6499999999999999E-2</v>
      </c>
      <c r="H11" s="743">
        <v>77500000</v>
      </c>
      <c r="I11" s="743"/>
      <c r="J11" s="745">
        <f t="shared" si="1"/>
        <v>78003538</v>
      </c>
    </row>
    <row r="12" spans="1:11" ht="12.75" customHeight="1" x14ac:dyDescent="0.2">
      <c r="A12" s="551" t="s">
        <v>133</v>
      </c>
      <c r="B12" s="170"/>
      <c r="C12" s="560"/>
      <c r="D12" s="558"/>
      <c r="E12" s="558">
        <v>0</v>
      </c>
      <c r="F12" s="617">
        <f>SUM(F5:F11)</f>
        <v>1347820</v>
      </c>
      <c r="G12" s="559"/>
      <c r="H12" s="617">
        <f>SUM(H5:H11)</f>
        <v>286897296</v>
      </c>
      <c r="I12" s="617">
        <f>SUM(I5:I11)</f>
        <v>0</v>
      </c>
      <c r="J12" s="619">
        <f>SUM(J5:J11)</f>
        <v>288245116</v>
      </c>
    </row>
    <row r="13" spans="1:11" ht="3.75" customHeight="1" x14ac:dyDescent="0.2">
      <c r="A13" s="552"/>
      <c r="B13" s="170"/>
      <c r="C13" s="556"/>
      <c r="D13" s="538" t="s">
        <v>1597</v>
      </c>
      <c r="E13" s="538"/>
      <c r="F13" s="538"/>
      <c r="G13" s="557"/>
      <c r="H13" s="538"/>
      <c r="I13" s="538"/>
      <c r="J13" s="539"/>
    </row>
    <row r="14" spans="1:11" ht="12.75" customHeight="1" x14ac:dyDescent="0.2">
      <c r="A14" s="553" t="s">
        <v>134</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135</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136</v>
      </c>
      <c r="B24" s="237">
        <v>2</v>
      </c>
      <c r="C24" s="555"/>
      <c r="D24" s="292"/>
      <c r="E24" s="292"/>
      <c r="F24" s="56">
        <f>F12+F22</f>
        <v>1347820</v>
      </c>
      <c r="G24" s="723"/>
      <c r="H24" s="56">
        <f>H12+H22</f>
        <v>286897296</v>
      </c>
      <c r="I24" s="56">
        <f>I12+I22</f>
        <v>0</v>
      </c>
      <c r="J24" s="236">
        <f>J12+J22</f>
        <v>288245116</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921</v>
      </c>
      <c r="B26" s="59"/>
      <c r="C26" s="85"/>
      <c r="D26" s="85"/>
      <c r="E26" s="85"/>
      <c r="F26" s="85"/>
      <c r="G26" s="85"/>
      <c r="H26" s="85"/>
      <c r="I26" s="85"/>
      <c r="J26" s="85"/>
      <c r="N26" s="68"/>
      <c r="O26" s="68"/>
      <c r="P26" s="68"/>
    </row>
    <row r="27" spans="1:16" ht="12.75" customHeight="1" x14ac:dyDescent="0.2">
      <c r="A27" s="61" t="s">
        <v>551</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66" activePane="bottomRight" state="frozen"/>
      <selection pane="topRight"/>
      <selection pane="bottomLeft"/>
      <selection pane="bottomRight" activeCell="C8" sqref="C8:K7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"&amp;S71L&amp; " - "&amp;Head57</f>
        <v>LIM354 Polokwane - Supporting Table SC6 Monthly Budget Statement - transfers and grant receipts  - M04 October</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36" t="s">
        <v>1004</v>
      </c>
      <c r="B5" s="170" t="s">
        <v>988</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643</v>
      </c>
      <c r="B8" s="170"/>
      <c r="C8" s="110">
        <f t="shared" ref="C8:I8" si="0">SUM(C9:C19)</f>
        <v>825673187.32459998</v>
      </c>
      <c r="D8" s="52">
        <f t="shared" si="0"/>
        <v>968911000</v>
      </c>
      <c r="E8" s="51">
        <f t="shared" si="0"/>
        <v>0</v>
      </c>
      <c r="F8" s="51">
        <f t="shared" si="0"/>
        <v>36655718.290623531</v>
      </c>
      <c r="G8" s="51">
        <f t="shared" si="0"/>
        <v>435903780.19272989</v>
      </c>
      <c r="H8" s="51">
        <f t="shared" si="0"/>
        <v>322970333.33333337</v>
      </c>
      <c r="I8" s="51">
        <f t="shared" si="0"/>
        <v>80571904.957290187</v>
      </c>
      <c r="J8" s="346">
        <f t="shared" ref="J8:J38" si="1">IF(I8=0,"",I8/H8)</f>
        <v>0.2494715354370737</v>
      </c>
      <c r="K8" s="195">
        <f>SUM(K9:K19)</f>
        <v>968911000</v>
      </c>
    </row>
    <row r="9" spans="1:11" ht="12.75" customHeight="1" x14ac:dyDescent="0.2">
      <c r="A9" s="788" t="s">
        <v>1017</v>
      </c>
      <c r="B9" s="170"/>
      <c r="C9" s="789">
        <v>655066000</v>
      </c>
      <c r="D9" s="790">
        <v>752064000</v>
      </c>
      <c r="E9" s="744"/>
      <c r="F9" s="744"/>
      <c r="G9" s="744">
        <v>313360000</v>
      </c>
      <c r="H9" s="744">
        <f t="shared" ref="H9:H19" si="2">D9/12*4</f>
        <v>250688000</v>
      </c>
      <c r="I9" s="517">
        <f t="shared" ref="I9:I19" si="3">G9-H9</f>
        <v>62672000</v>
      </c>
      <c r="J9" s="561">
        <f t="shared" si="1"/>
        <v>0.25</v>
      </c>
      <c r="K9" s="746">
        <f>D9</f>
        <v>752064000</v>
      </c>
    </row>
    <row r="10" spans="1:11" ht="12.75" customHeight="1" x14ac:dyDescent="0.2">
      <c r="A10" s="788" t="s">
        <v>1026</v>
      </c>
      <c r="B10" s="170"/>
      <c r="C10" s="758">
        <v>5975000</v>
      </c>
      <c r="D10" s="755">
        <v>4978000</v>
      </c>
      <c r="E10" s="743"/>
      <c r="F10" s="743"/>
      <c r="G10" s="743">
        <v>1245000</v>
      </c>
      <c r="H10" s="743">
        <f t="shared" si="2"/>
        <v>1659333.3333333333</v>
      </c>
      <c r="I10" s="45"/>
      <c r="J10" s="125"/>
      <c r="K10" s="745">
        <f>D10</f>
        <v>4978000</v>
      </c>
    </row>
    <row r="11" spans="1:11" ht="12.75" customHeight="1" x14ac:dyDescent="0.2">
      <c r="A11" s="788" t="s">
        <v>1022</v>
      </c>
      <c r="B11" s="170"/>
      <c r="C11" s="758">
        <v>45000000</v>
      </c>
      <c r="D11" s="755">
        <v>40000000</v>
      </c>
      <c r="E11" s="743"/>
      <c r="F11" s="743">
        <v>13000000</v>
      </c>
      <c r="G11" s="743">
        <f>F11+27000000</f>
        <v>40000000</v>
      </c>
      <c r="H11" s="743">
        <f t="shared" si="2"/>
        <v>13333333.333333334</v>
      </c>
      <c r="I11" s="45"/>
      <c r="J11" s="125"/>
      <c r="K11" s="745">
        <f t="shared" ref="K11:K19" si="4">D11</f>
        <v>40000000</v>
      </c>
    </row>
    <row r="12" spans="1:11" ht="12.75" customHeight="1" x14ac:dyDescent="0.2">
      <c r="A12" s="788" t="s">
        <v>1019</v>
      </c>
      <c r="B12" s="170"/>
      <c r="C12" s="758">
        <v>2619033.3294000002</v>
      </c>
      <c r="D12" s="755">
        <v>2979000</v>
      </c>
      <c r="E12" s="743"/>
      <c r="F12" s="743"/>
      <c r="G12" s="743">
        <v>2979000</v>
      </c>
      <c r="H12" s="743">
        <f t="shared" si="2"/>
        <v>993000</v>
      </c>
      <c r="I12" s="45"/>
      <c r="J12" s="125"/>
      <c r="K12" s="745">
        <f t="shared" si="4"/>
        <v>2979000</v>
      </c>
    </row>
    <row r="13" spans="1:11" ht="12.75" customHeight="1" x14ac:dyDescent="0.2">
      <c r="A13" s="788" t="s">
        <v>50</v>
      </c>
      <c r="B13" s="170"/>
      <c r="C13" s="758">
        <v>46275000</v>
      </c>
      <c r="D13" s="755">
        <v>59011000</v>
      </c>
      <c r="E13" s="743"/>
      <c r="F13" s="743"/>
      <c r="G13" s="743">
        <v>23793541.902106322</v>
      </c>
      <c r="H13" s="743">
        <f t="shared" si="2"/>
        <v>19670333.333333332</v>
      </c>
      <c r="I13" s="45"/>
      <c r="J13" s="125"/>
      <c r="K13" s="745">
        <f t="shared" si="4"/>
        <v>59011000</v>
      </c>
    </row>
    <row r="14" spans="1:11" ht="12.75" customHeight="1" x14ac:dyDescent="0.2">
      <c r="A14" s="788"/>
      <c r="B14" s="170">
        <v>3</v>
      </c>
      <c r="C14" s="758">
        <v>55723300</v>
      </c>
      <c r="D14" s="755">
        <v>94622000</v>
      </c>
      <c r="E14" s="743"/>
      <c r="F14" s="743">
        <v>23655718.290623531</v>
      </c>
      <c r="G14" s="743">
        <f>23840520+F14</f>
        <v>47496238.290623531</v>
      </c>
      <c r="H14" s="743">
        <f t="shared" si="2"/>
        <v>31540666.666666668</v>
      </c>
      <c r="I14" s="45">
        <f t="shared" si="3"/>
        <v>15955571.623956863</v>
      </c>
      <c r="J14" s="125">
        <f t="shared" si="1"/>
        <v>0.50587299858247115</v>
      </c>
      <c r="K14" s="745">
        <f t="shared" si="4"/>
        <v>94622000</v>
      </c>
    </row>
    <row r="15" spans="1:11" ht="12.75" customHeight="1" x14ac:dyDescent="0.2">
      <c r="A15" s="788" t="s">
        <v>1598</v>
      </c>
      <c r="B15" s="170"/>
      <c r="C15" s="758">
        <v>6000000</v>
      </c>
      <c r="D15" s="755">
        <v>6213000</v>
      </c>
      <c r="E15" s="743"/>
      <c r="F15" s="743"/>
      <c r="G15" s="743">
        <v>3000000</v>
      </c>
      <c r="H15" s="743">
        <f t="shared" si="2"/>
        <v>2071000</v>
      </c>
      <c r="I15" s="45">
        <f t="shared" si="3"/>
        <v>929000</v>
      </c>
      <c r="J15" s="125">
        <f t="shared" si="1"/>
        <v>0.44857556735876386</v>
      </c>
      <c r="K15" s="745">
        <f t="shared" si="4"/>
        <v>6213000</v>
      </c>
    </row>
    <row r="16" spans="1:11" ht="12.75" customHeight="1" x14ac:dyDescent="0.2">
      <c r="A16" s="788" t="s">
        <v>1021</v>
      </c>
      <c r="B16" s="170"/>
      <c r="C16" s="758"/>
      <c r="D16" s="755">
        <v>6000000</v>
      </c>
      <c r="E16" s="743"/>
      <c r="F16" s="743"/>
      <c r="G16" s="743">
        <v>2000000</v>
      </c>
      <c r="H16" s="743">
        <f t="shared" si="2"/>
        <v>2000000</v>
      </c>
      <c r="I16" s="45">
        <f t="shared" si="3"/>
        <v>0</v>
      </c>
      <c r="J16" s="125" t="str">
        <f t="shared" si="1"/>
        <v/>
      </c>
      <c r="K16" s="745">
        <f t="shared" si="4"/>
        <v>6000000</v>
      </c>
    </row>
    <row r="17" spans="1:11" ht="12.75" customHeight="1" x14ac:dyDescent="0.2">
      <c r="A17" s="788"/>
      <c r="B17" s="170"/>
      <c r="C17" s="758"/>
      <c r="D17" s="755"/>
      <c r="E17" s="743"/>
      <c r="F17" s="743"/>
      <c r="G17" s="743"/>
      <c r="H17" s="743">
        <f t="shared" si="2"/>
        <v>0</v>
      </c>
      <c r="I17" s="45">
        <f t="shared" si="3"/>
        <v>0</v>
      </c>
      <c r="J17" s="125" t="str">
        <f t="shared" si="1"/>
        <v/>
      </c>
      <c r="K17" s="745">
        <f t="shared" si="4"/>
        <v>0</v>
      </c>
    </row>
    <row r="18" spans="1:11" ht="12.75" customHeight="1" x14ac:dyDescent="0.2">
      <c r="A18" s="788"/>
      <c r="B18" s="170"/>
      <c r="C18" s="758"/>
      <c r="D18" s="755"/>
      <c r="E18" s="743"/>
      <c r="F18" s="743"/>
      <c r="G18" s="743"/>
      <c r="H18" s="743">
        <f t="shared" si="2"/>
        <v>0</v>
      </c>
      <c r="I18" s="45">
        <f t="shared" si="3"/>
        <v>0</v>
      </c>
      <c r="J18" s="125" t="str">
        <f t="shared" si="1"/>
        <v/>
      </c>
      <c r="K18" s="745">
        <f t="shared" si="4"/>
        <v>0</v>
      </c>
    </row>
    <row r="19" spans="1:11" ht="12.75" customHeight="1" x14ac:dyDescent="0.2">
      <c r="A19" s="788" t="s">
        <v>1584</v>
      </c>
      <c r="B19" s="170"/>
      <c r="C19" s="758">
        <v>9014853.9951999988</v>
      </c>
      <c r="D19" s="755">
        <v>3044000</v>
      </c>
      <c r="E19" s="743"/>
      <c r="F19" s="743">
        <v>0</v>
      </c>
      <c r="G19" s="743">
        <v>2030000</v>
      </c>
      <c r="H19" s="743">
        <f t="shared" si="2"/>
        <v>1014666.6666666666</v>
      </c>
      <c r="I19" s="45">
        <f t="shared" si="3"/>
        <v>1015333.3333333334</v>
      </c>
      <c r="J19" s="125">
        <f t="shared" si="1"/>
        <v>1.0006570302233904</v>
      </c>
      <c r="K19" s="745">
        <f t="shared" si="4"/>
        <v>3044000</v>
      </c>
    </row>
    <row r="20" spans="1:11" ht="12.75" customHeight="1" x14ac:dyDescent="0.2">
      <c r="A20" s="107" t="s">
        <v>644</v>
      </c>
      <c r="B20" s="170"/>
      <c r="C20" s="519">
        <f t="shared" ref="C20:I20" si="5">SUM(C21:C26)</f>
        <v>0</v>
      </c>
      <c r="D20" s="478">
        <f t="shared" si="5"/>
        <v>0</v>
      </c>
      <c r="E20" s="433">
        <f t="shared" si="5"/>
        <v>0</v>
      </c>
      <c r="F20" s="433">
        <f t="shared" si="5"/>
        <v>0</v>
      </c>
      <c r="G20" s="433">
        <f t="shared" si="5"/>
        <v>0</v>
      </c>
      <c r="H20" s="433">
        <f t="shared" si="5"/>
        <v>0</v>
      </c>
      <c r="I20" s="433">
        <f t="shared" si="5"/>
        <v>0</v>
      </c>
      <c r="J20" s="562" t="str">
        <f t="shared" si="1"/>
        <v/>
      </c>
      <c r="K20" s="516">
        <f>SUM(K21:K26)</f>
        <v>0</v>
      </c>
    </row>
    <row r="21" spans="1:11" ht="12.75" customHeight="1" x14ac:dyDescent="0.2">
      <c r="A21" s="788"/>
      <c r="B21" s="170"/>
      <c r="C21" s="789"/>
      <c r="D21" s="790"/>
      <c r="E21" s="744"/>
      <c r="F21" s="744"/>
      <c r="G21" s="744"/>
      <c r="H21" s="744"/>
      <c r="I21" s="517">
        <f t="shared" ref="I21:I37" si="6">G21-H21</f>
        <v>0</v>
      </c>
      <c r="J21" s="561" t="str">
        <f t="shared" si="1"/>
        <v/>
      </c>
      <c r="K21" s="746"/>
    </row>
    <row r="22" spans="1:11" ht="12.75" customHeight="1" x14ac:dyDescent="0.2">
      <c r="A22" s="788"/>
      <c r="B22" s="170"/>
      <c r="C22" s="758"/>
      <c r="D22" s="755"/>
      <c r="E22" s="743"/>
      <c r="F22" s="743"/>
      <c r="G22" s="743"/>
      <c r="H22" s="743"/>
      <c r="I22" s="45"/>
      <c r="J22" s="125"/>
      <c r="K22" s="745"/>
    </row>
    <row r="23" spans="1:11" ht="12.75" customHeight="1" x14ac:dyDescent="0.2">
      <c r="A23" s="788"/>
      <c r="B23" s="170"/>
      <c r="C23" s="758"/>
      <c r="D23" s="755"/>
      <c r="E23" s="743"/>
      <c r="F23" s="743"/>
      <c r="G23" s="743"/>
      <c r="H23" s="743"/>
      <c r="I23" s="45">
        <f t="shared" si="6"/>
        <v>0</v>
      </c>
      <c r="J23" s="125" t="str">
        <f t="shared" si="1"/>
        <v/>
      </c>
      <c r="K23" s="745"/>
    </row>
    <row r="24" spans="1:11" ht="12.75" customHeight="1" x14ac:dyDescent="0.2">
      <c r="A24" s="788"/>
      <c r="B24" s="170">
        <v>4</v>
      </c>
      <c r="C24" s="758"/>
      <c r="D24" s="755"/>
      <c r="E24" s="743"/>
      <c r="F24" s="743"/>
      <c r="G24" s="743"/>
      <c r="H24" s="743"/>
      <c r="I24" s="45">
        <f t="shared" si="6"/>
        <v>0</v>
      </c>
      <c r="J24" s="125" t="str">
        <f t="shared" si="1"/>
        <v/>
      </c>
      <c r="K24" s="745"/>
    </row>
    <row r="25" spans="1:11" ht="12.75" customHeight="1" x14ac:dyDescent="0.2">
      <c r="A25" s="788"/>
      <c r="B25" s="170"/>
      <c r="C25" s="758"/>
      <c r="D25" s="755"/>
      <c r="E25" s="743"/>
      <c r="F25" s="743"/>
      <c r="G25" s="743"/>
      <c r="H25" s="743"/>
      <c r="I25" s="45">
        <f t="shared" si="6"/>
        <v>0</v>
      </c>
      <c r="J25" s="125" t="str">
        <f t="shared" si="1"/>
        <v/>
      </c>
      <c r="K25" s="745"/>
    </row>
    <row r="26" spans="1:11" ht="12.75" customHeight="1" x14ac:dyDescent="0.2">
      <c r="A26" s="788" t="s">
        <v>552</v>
      </c>
      <c r="B26" s="170"/>
      <c r="C26" s="758"/>
      <c r="D26" s="755"/>
      <c r="E26" s="743"/>
      <c r="F26" s="743"/>
      <c r="G26" s="743"/>
      <c r="H26" s="743"/>
      <c r="I26" s="45">
        <f t="shared" si="6"/>
        <v>0</v>
      </c>
      <c r="J26" s="125" t="str">
        <f t="shared" si="1"/>
        <v/>
      </c>
      <c r="K26" s="745"/>
    </row>
    <row r="27" spans="1:11" ht="12.75" customHeight="1" x14ac:dyDescent="0.2">
      <c r="A27" s="107" t="s">
        <v>534</v>
      </c>
      <c r="B27" s="170"/>
      <c r="C27" s="519">
        <f t="shared" ref="C27:H27" si="7">SUM(C28:C29)</f>
        <v>0</v>
      </c>
      <c r="D27" s="478">
        <f t="shared" si="7"/>
        <v>0</v>
      </c>
      <c r="E27" s="433">
        <f t="shared" si="7"/>
        <v>0</v>
      </c>
      <c r="F27" s="433">
        <f t="shared" si="7"/>
        <v>0</v>
      </c>
      <c r="G27" s="433">
        <f t="shared" si="7"/>
        <v>0</v>
      </c>
      <c r="H27" s="433">
        <f t="shared" si="7"/>
        <v>0</v>
      </c>
      <c r="I27" s="517">
        <f t="shared" si="6"/>
        <v>0</v>
      </c>
      <c r="J27" s="561" t="str">
        <f t="shared" si="1"/>
        <v/>
      </c>
      <c r="K27" s="516">
        <f>SUM(K28:K29)</f>
        <v>0</v>
      </c>
    </row>
    <row r="28" spans="1:11" ht="12.75" customHeight="1" x14ac:dyDescent="0.2">
      <c r="A28" s="791" t="s">
        <v>587</v>
      </c>
      <c r="B28" s="170"/>
      <c r="C28" s="793"/>
      <c r="D28" s="794"/>
      <c r="E28" s="747"/>
      <c r="F28" s="747"/>
      <c r="G28" s="747"/>
      <c r="H28" s="747"/>
      <c r="I28" s="517">
        <f t="shared" si="6"/>
        <v>0</v>
      </c>
      <c r="J28" s="561" t="str">
        <f t="shared" si="1"/>
        <v/>
      </c>
      <c r="K28" s="748"/>
    </row>
    <row r="29" spans="1:11" ht="12.75" customHeight="1" x14ac:dyDescent="0.2">
      <c r="A29" s="792"/>
      <c r="B29" s="170"/>
      <c r="C29" s="758"/>
      <c r="D29" s="755"/>
      <c r="E29" s="743"/>
      <c r="F29" s="743"/>
      <c r="G29" s="743"/>
      <c r="H29" s="743"/>
      <c r="I29" s="45">
        <f t="shared" si="6"/>
        <v>0</v>
      </c>
      <c r="J29" s="125" t="str">
        <f t="shared" si="1"/>
        <v/>
      </c>
      <c r="K29" s="745"/>
    </row>
    <row r="30" spans="1:11" ht="12.75" customHeight="1" x14ac:dyDescent="0.2">
      <c r="A30" s="107" t="s">
        <v>841</v>
      </c>
      <c r="B30" s="170"/>
      <c r="C30" s="519">
        <f t="shared" ref="C30:H30" si="8">SUM(C31:C37)</f>
        <v>0</v>
      </c>
      <c r="D30" s="478">
        <f t="shared" si="8"/>
        <v>0</v>
      </c>
      <c r="E30" s="433">
        <f t="shared" si="8"/>
        <v>0</v>
      </c>
      <c r="F30" s="433">
        <f t="shared" si="8"/>
        <v>0</v>
      </c>
      <c r="G30" s="433">
        <f t="shared" si="8"/>
        <v>0</v>
      </c>
      <c r="H30" s="433">
        <f t="shared" si="8"/>
        <v>0</v>
      </c>
      <c r="I30" s="517">
        <f t="shared" si="6"/>
        <v>0</v>
      </c>
      <c r="J30" s="561" t="str">
        <f t="shared" si="1"/>
        <v/>
      </c>
      <c r="K30" s="516">
        <f>SUM(K31:K37)</f>
        <v>0</v>
      </c>
    </row>
    <row r="31" spans="1:11" ht="12.75" customHeight="1" x14ac:dyDescent="0.2">
      <c r="A31" s="791" t="s">
        <v>587</v>
      </c>
      <c r="B31" s="170"/>
      <c r="C31" s="793"/>
      <c r="D31" s="794"/>
      <c r="E31" s="747"/>
      <c r="F31" s="747"/>
      <c r="G31" s="747"/>
      <c r="H31" s="747"/>
      <c r="I31" s="517">
        <f t="shared" si="6"/>
        <v>0</v>
      </c>
      <c r="J31" s="561" t="str">
        <f t="shared" si="1"/>
        <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f t="shared" si="6"/>
        <v>0</v>
      </c>
      <c r="J37" s="125" t="str">
        <f t="shared" si="1"/>
        <v/>
      </c>
      <c r="K37" s="745"/>
    </row>
    <row r="38" spans="1:11" ht="12.75" customHeight="1" x14ac:dyDescent="0.2">
      <c r="A38" s="567" t="s">
        <v>62</v>
      </c>
      <c r="B38" s="234">
        <v>5</v>
      </c>
      <c r="C38" s="244">
        <f t="shared" ref="C38:I38" si="9">C8+C20+C27+C30</f>
        <v>825673187.32459998</v>
      </c>
      <c r="D38" s="75">
        <f t="shared" si="9"/>
        <v>968911000</v>
      </c>
      <c r="E38" s="74">
        <f t="shared" si="9"/>
        <v>0</v>
      </c>
      <c r="F38" s="74">
        <f t="shared" si="9"/>
        <v>36655718.290623531</v>
      </c>
      <c r="G38" s="74">
        <f t="shared" si="9"/>
        <v>435903780.19272989</v>
      </c>
      <c r="H38" s="74">
        <f t="shared" si="9"/>
        <v>322970333.33333337</v>
      </c>
      <c r="I38" s="74">
        <f t="shared" si="9"/>
        <v>80571904.957290187</v>
      </c>
      <c r="J38" s="307">
        <f t="shared" si="1"/>
        <v>0.2494715354370737</v>
      </c>
      <c r="K38" s="146">
        <f>K8+K20+K27+K30</f>
        <v>968911000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 t="shared" ref="C41:K41" si="10">SUM(C42:C51)</f>
        <v>617587070.81999993</v>
      </c>
      <c r="D41" s="47">
        <f t="shared" si="10"/>
        <v>650958000</v>
      </c>
      <c r="E41" s="45">
        <f t="shared" si="10"/>
        <v>0</v>
      </c>
      <c r="F41" s="45">
        <f t="shared" si="10"/>
        <v>113399281.70937647</v>
      </c>
      <c r="G41" s="45">
        <f t="shared" si="10"/>
        <v>333835219.80727017</v>
      </c>
      <c r="H41" s="45">
        <f t="shared" si="10"/>
        <v>216985999.99999997</v>
      </c>
      <c r="I41" s="45">
        <f t="shared" si="10"/>
        <v>20484124.764560357</v>
      </c>
      <c r="J41" s="346">
        <f t="shared" ref="J41:J71" si="11">IF(I41=0,"",I41/H41)</f>
        <v>9.4402978830709625E-2</v>
      </c>
      <c r="K41" s="145">
        <f t="shared" si="10"/>
        <v>650958000</v>
      </c>
    </row>
    <row r="42" spans="1:11" ht="12.75" customHeight="1" x14ac:dyDescent="0.2">
      <c r="A42" s="788" t="s">
        <v>50</v>
      </c>
      <c r="B42" s="170"/>
      <c r="C42" s="789">
        <v>258587370.81999999</v>
      </c>
      <c r="D42" s="790">
        <v>293167000</v>
      </c>
      <c r="E42" s="744"/>
      <c r="F42" s="744"/>
      <c r="G42" s="744">
        <v>118206458.09789369</v>
      </c>
      <c r="H42" s="744">
        <f t="shared" ref="H42:H51" si="12">D42/12*4</f>
        <v>97722333.333333328</v>
      </c>
      <c r="I42" s="517">
        <f t="shared" ref="I42:I51" si="13">G42-H42</f>
        <v>20484124.764560357</v>
      </c>
      <c r="J42" s="561">
        <f t="shared" si="11"/>
        <v>0.20961559211535088</v>
      </c>
      <c r="K42" s="746">
        <f>D42</f>
        <v>293167000</v>
      </c>
    </row>
    <row r="43" spans="1:11" ht="12.75" customHeight="1" x14ac:dyDescent="0.2">
      <c r="A43" s="788" t="s">
        <v>1039</v>
      </c>
      <c r="B43" s="170"/>
      <c r="C43" s="758">
        <v>144302700</v>
      </c>
      <c r="D43" s="755">
        <v>122112000</v>
      </c>
      <c r="E43" s="743"/>
      <c r="F43" s="743">
        <v>30528281.709376473</v>
      </c>
      <c r="G43" s="743">
        <f>30342480+F43</f>
        <v>60870761.709376469</v>
      </c>
      <c r="H43" s="743">
        <f t="shared" si="12"/>
        <v>40704000</v>
      </c>
      <c r="I43" s="45"/>
      <c r="J43" s="125"/>
      <c r="K43" s="745">
        <f>D43</f>
        <v>122112000</v>
      </c>
    </row>
    <row r="44" spans="1:11" ht="12.75" customHeight="1" x14ac:dyDescent="0.2">
      <c r="A44" s="788" t="s">
        <v>1030</v>
      </c>
      <c r="B44" s="170"/>
      <c r="C44" s="758">
        <v>180159000</v>
      </c>
      <c r="D44" s="755">
        <v>209679000</v>
      </c>
      <c r="E44" s="743"/>
      <c r="F44" s="743">
        <v>82871000</v>
      </c>
      <c r="G44" s="743">
        <f>F44+61887000</f>
        <v>144758000</v>
      </c>
      <c r="H44" s="743">
        <f t="shared" si="12"/>
        <v>69893000</v>
      </c>
      <c r="I44" s="45"/>
      <c r="J44" s="125"/>
      <c r="K44" s="745">
        <f t="shared" ref="K44:K51" si="14">D44</f>
        <v>209679000</v>
      </c>
    </row>
    <row r="45" spans="1:11" ht="12.75" customHeight="1" x14ac:dyDescent="0.2">
      <c r="A45" s="788" t="s">
        <v>1032</v>
      </c>
      <c r="B45" s="170"/>
      <c r="C45" s="758">
        <v>34538000</v>
      </c>
      <c r="D45" s="755">
        <v>26000000</v>
      </c>
      <c r="E45" s="743"/>
      <c r="F45" s="743"/>
      <c r="G45" s="743">
        <v>10000000</v>
      </c>
      <c r="H45" s="743">
        <f t="shared" si="12"/>
        <v>8666666.666666666</v>
      </c>
      <c r="I45" s="45"/>
      <c r="J45" s="125"/>
      <c r="K45" s="745">
        <f t="shared" si="14"/>
        <v>26000000</v>
      </c>
    </row>
    <row r="46" spans="1:11" ht="12.75" customHeight="1" x14ac:dyDescent="0.2">
      <c r="A46" s="788"/>
      <c r="B46" s="170"/>
      <c r="C46" s="758"/>
      <c r="D46" s="755"/>
      <c r="E46" s="743"/>
      <c r="F46" s="743"/>
      <c r="G46" s="743"/>
      <c r="H46" s="743">
        <f t="shared" si="12"/>
        <v>0</v>
      </c>
      <c r="I46" s="45"/>
      <c r="J46" s="125"/>
      <c r="K46" s="745">
        <f t="shared" si="14"/>
        <v>0</v>
      </c>
    </row>
    <row r="47" spans="1:11" ht="12.75" customHeight="1" x14ac:dyDescent="0.2">
      <c r="A47" s="788"/>
      <c r="B47" s="170"/>
      <c r="C47" s="758"/>
      <c r="D47" s="755"/>
      <c r="E47" s="743"/>
      <c r="F47" s="743"/>
      <c r="G47" s="743"/>
      <c r="H47" s="743">
        <f t="shared" si="12"/>
        <v>0</v>
      </c>
      <c r="I47" s="45">
        <f t="shared" si="13"/>
        <v>0</v>
      </c>
      <c r="J47" s="125" t="str">
        <f t="shared" si="11"/>
        <v/>
      </c>
      <c r="K47" s="745">
        <f t="shared" si="14"/>
        <v>0</v>
      </c>
    </row>
    <row r="48" spans="1:11" ht="12.75" customHeight="1" x14ac:dyDescent="0.2">
      <c r="A48" s="788"/>
      <c r="B48" s="170"/>
      <c r="C48" s="758"/>
      <c r="D48" s="755"/>
      <c r="E48" s="743"/>
      <c r="F48" s="743"/>
      <c r="G48" s="743"/>
      <c r="H48" s="743">
        <f t="shared" si="12"/>
        <v>0</v>
      </c>
      <c r="I48" s="45">
        <f t="shared" si="13"/>
        <v>0</v>
      </c>
      <c r="J48" s="125" t="str">
        <f t="shared" si="11"/>
        <v/>
      </c>
      <c r="K48" s="745">
        <f t="shared" si="14"/>
        <v>0</v>
      </c>
    </row>
    <row r="49" spans="1:11" ht="12.75" customHeight="1" x14ac:dyDescent="0.2">
      <c r="A49" s="788"/>
      <c r="B49" s="170"/>
      <c r="C49" s="758"/>
      <c r="D49" s="755"/>
      <c r="E49" s="743"/>
      <c r="F49" s="743"/>
      <c r="G49" s="743"/>
      <c r="H49" s="743">
        <f t="shared" si="12"/>
        <v>0</v>
      </c>
      <c r="I49" s="45">
        <f t="shared" si="13"/>
        <v>0</v>
      </c>
      <c r="J49" s="125" t="str">
        <f t="shared" si="11"/>
        <v/>
      </c>
      <c r="K49" s="745">
        <f t="shared" si="14"/>
        <v>0</v>
      </c>
    </row>
    <row r="50" spans="1:11" ht="12.75" customHeight="1" x14ac:dyDescent="0.2">
      <c r="A50" s="788"/>
      <c r="B50" s="170"/>
      <c r="C50" s="758"/>
      <c r="D50" s="755"/>
      <c r="E50" s="743"/>
      <c r="F50" s="743"/>
      <c r="G50" s="743"/>
      <c r="H50" s="743">
        <f t="shared" si="12"/>
        <v>0</v>
      </c>
      <c r="I50" s="45">
        <f t="shared" si="13"/>
        <v>0</v>
      </c>
      <c r="J50" s="125" t="str">
        <f t="shared" si="11"/>
        <v/>
      </c>
      <c r="K50" s="745">
        <f t="shared" si="14"/>
        <v>0</v>
      </c>
    </row>
    <row r="51" spans="1:11" ht="12.75" customHeight="1" x14ac:dyDescent="0.2">
      <c r="A51" s="788" t="s">
        <v>553</v>
      </c>
      <c r="B51" s="170"/>
      <c r="C51" s="758"/>
      <c r="D51" s="755"/>
      <c r="E51" s="743"/>
      <c r="F51" s="743"/>
      <c r="G51" s="743"/>
      <c r="H51" s="743">
        <f t="shared" si="12"/>
        <v>0</v>
      </c>
      <c r="I51" s="45">
        <f t="shared" si="13"/>
        <v>0</v>
      </c>
      <c r="J51" s="125" t="str">
        <f t="shared" si="11"/>
        <v/>
      </c>
      <c r="K51" s="745">
        <f t="shared" si="14"/>
        <v>0</v>
      </c>
    </row>
    <row r="52" spans="1:11" ht="12.75" customHeight="1" x14ac:dyDescent="0.2">
      <c r="A52" s="345" t="str">
        <f>A20</f>
        <v>Provincial Government:</v>
      </c>
      <c r="B52" s="170"/>
      <c r="C52" s="519">
        <f t="shared" ref="C52:H52" si="15">SUM(C53:C58)</f>
        <v>0</v>
      </c>
      <c r="D52" s="478">
        <f t="shared" si="15"/>
        <v>0</v>
      </c>
      <c r="E52" s="433">
        <f t="shared" si="15"/>
        <v>0</v>
      </c>
      <c r="F52" s="433">
        <f t="shared" si="15"/>
        <v>0</v>
      </c>
      <c r="G52" s="433">
        <f t="shared" si="15"/>
        <v>0</v>
      </c>
      <c r="H52" s="433">
        <f t="shared" si="15"/>
        <v>0</v>
      </c>
      <c r="I52" s="517">
        <f t="shared" ref="I52:I68" si="16">G52-H52</f>
        <v>0</v>
      </c>
      <c r="J52" s="561" t="str">
        <f>IF(I52=0,"",I52/H52)</f>
        <v/>
      </c>
      <c r="K52" s="516">
        <f>SUM(K53:K58)</f>
        <v>0</v>
      </c>
    </row>
    <row r="53" spans="1:11" ht="12.75" customHeight="1" x14ac:dyDescent="0.2">
      <c r="A53" s="791" t="s">
        <v>587</v>
      </c>
      <c r="B53" s="170"/>
      <c r="C53" s="793"/>
      <c r="D53" s="794"/>
      <c r="E53" s="747"/>
      <c r="F53" s="747"/>
      <c r="G53" s="747"/>
      <c r="H53" s="747"/>
      <c r="I53" s="517">
        <f t="shared" si="16"/>
        <v>0</v>
      </c>
      <c r="J53" s="561" t="str">
        <f>IF(I53=0,"",I53/H53)</f>
        <v/>
      </c>
      <c r="K53" s="748"/>
    </row>
    <row r="54" spans="1:11" ht="12.75" customHeight="1" x14ac:dyDescent="0.2">
      <c r="A54" s="795"/>
      <c r="B54" s="170"/>
      <c r="C54" s="796"/>
      <c r="D54" s="797"/>
      <c r="E54" s="798"/>
      <c r="F54" s="798"/>
      <c r="G54" s="798"/>
      <c r="H54" s="798"/>
      <c r="I54" s="45"/>
      <c r="J54" s="125"/>
      <c r="K54" s="799"/>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f t="shared" si="16"/>
        <v>0</v>
      </c>
      <c r="J58" s="125" t="str">
        <f t="shared" si="11"/>
        <v/>
      </c>
      <c r="K58" s="745"/>
    </row>
    <row r="59" spans="1:11" ht="12.75" customHeight="1" x14ac:dyDescent="0.2">
      <c r="A59" s="107" t="str">
        <f>A27</f>
        <v>District Municipality:</v>
      </c>
      <c r="B59" s="170"/>
      <c r="C59" s="519">
        <f t="shared" ref="C59:H59" si="17">SUM(C60:C61)</f>
        <v>0</v>
      </c>
      <c r="D59" s="478">
        <f t="shared" si="17"/>
        <v>0</v>
      </c>
      <c r="E59" s="433">
        <f t="shared" si="17"/>
        <v>0</v>
      </c>
      <c r="F59" s="433">
        <f t="shared" si="17"/>
        <v>0</v>
      </c>
      <c r="G59" s="433">
        <f t="shared" si="17"/>
        <v>0</v>
      </c>
      <c r="H59" s="433">
        <f t="shared" si="17"/>
        <v>0</v>
      </c>
      <c r="I59" s="517">
        <f t="shared" si="16"/>
        <v>0</v>
      </c>
      <c r="J59" s="561" t="str">
        <f t="shared" si="11"/>
        <v/>
      </c>
      <c r="K59" s="516">
        <f>SUM(K60:K61)</f>
        <v>0</v>
      </c>
    </row>
    <row r="60" spans="1:11" ht="12.75" customHeight="1" x14ac:dyDescent="0.2">
      <c r="A60" s="791" t="s">
        <v>587</v>
      </c>
      <c r="B60" s="170"/>
      <c r="C60" s="793"/>
      <c r="D60" s="794"/>
      <c r="E60" s="747"/>
      <c r="F60" s="747"/>
      <c r="G60" s="747"/>
      <c r="H60" s="747"/>
      <c r="I60" s="517">
        <f t="shared" si="16"/>
        <v>0</v>
      </c>
      <c r="J60" s="561" t="str">
        <f t="shared" si="11"/>
        <v/>
      </c>
      <c r="K60" s="748"/>
    </row>
    <row r="61" spans="1:11" ht="12.75" customHeight="1" x14ac:dyDescent="0.2">
      <c r="A61" s="792"/>
      <c r="B61" s="170"/>
      <c r="C61" s="758"/>
      <c r="D61" s="755"/>
      <c r="E61" s="743"/>
      <c r="F61" s="743"/>
      <c r="G61" s="743"/>
      <c r="H61" s="743"/>
      <c r="I61" s="45">
        <f t="shared" si="16"/>
        <v>0</v>
      </c>
      <c r="J61" s="125" t="str">
        <f t="shared" si="11"/>
        <v/>
      </c>
      <c r="K61" s="745"/>
    </row>
    <row r="62" spans="1:11" ht="12.75" customHeight="1" x14ac:dyDescent="0.2">
      <c r="A62" s="107" t="str">
        <f>A30</f>
        <v>Other grant providers:</v>
      </c>
      <c r="B62" s="170"/>
      <c r="C62" s="519">
        <f t="shared" ref="C62:H62" si="18">SUM(C63:C68)</f>
        <v>0</v>
      </c>
      <c r="D62" s="478">
        <f t="shared" si="18"/>
        <v>0</v>
      </c>
      <c r="E62" s="433">
        <f t="shared" si="18"/>
        <v>0</v>
      </c>
      <c r="F62" s="433">
        <f t="shared" si="18"/>
        <v>0</v>
      </c>
      <c r="G62" s="433">
        <f t="shared" si="18"/>
        <v>0</v>
      </c>
      <c r="H62" s="433">
        <f t="shared" si="18"/>
        <v>0</v>
      </c>
      <c r="I62" s="517">
        <f t="shared" si="16"/>
        <v>0</v>
      </c>
      <c r="J62" s="561" t="str">
        <f t="shared" si="11"/>
        <v/>
      </c>
      <c r="K62" s="516">
        <f>SUM(K63:K68)</f>
        <v>0</v>
      </c>
    </row>
    <row r="63" spans="1:11" ht="12.75" customHeight="1" x14ac:dyDescent="0.2">
      <c r="A63" s="791" t="s">
        <v>587</v>
      </c>
      <c r="B63" s="170"/>
      <c r="C63" s="793"/>
      <c r="D63" s="794"/>
      <c r="E63" s="747"/>
      <c r="F63" s="747"/>
      <c r="G63" s="747"/>
      <c r="H63" s="747"/>
      <c r="I63" s="517">
        <f t="shared" si="16"/>
        <v>0</v>
      </c>
      <c r="J63" s="561" t="str">
        <f>IF(I63=0,"",I63/H63)</f>
        <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f t="shared" si="16"/>
        <v>0</v>
      </c>
      <c r="J68" s="125" t="str">
        <f t="shared" si="11"/>
        <v/>
      </c>
      <c r="K68" s="745"/>
    </row>
    <row r="69" spans="1:11" ht="12.75" customHeight="1" x14ac:dyDescent="0.2">
      <c r="A69" s="566" t="s">
        <v>64</v>
      </c>
      <c r="B69" s="312">
        <v>5</v>
      </c>
      <c r="C69" s="519">
        <f>C41+C52+C59+C62</f>
        <v>617587070.81999993</v>
      </c>
      <c r="D69" s="478">
        <f t="shared" ref="D69:K69" si="19">D41+D52+D59+D62</f>
        <v>650958000</v>
      </c>
      <c r="E69" s="433">
        <f t="shared" si="19"/>
        <v>0</v>
      </c>
      <c r="F69" s="433">
        <f t="shared" si="19"/>
        <v>113399281.70937647</v>
      </c>
      <c r="G69" s="433">
        <f t="shared" si="19"/>
        <v>333835219.80727017</v>
      </c>
      <c r="H69" s="433">
        <f t="shared" si="19"/>
        <v>216985999.99999997</v>
      </c>
      <c r="I69" s="433">
        <f t="shared" si="19"/>
        <v>20484124.764560357</v>
      </c>
      <c r="J69" s="562">
        <f t="shared" si="11"/>
        <v>9.4402978830709625E-2</v>
      </c>
      <c r="K69" s="516">
        <f t="shared" si="19"/>
        <v>650958000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 t="shared" ref="C71:K71" si="20">C38+C69</f>
        <v>1443260258.1445999</v>
      </c>
      <c r="D71" s="308">
        <f t="shared" si="20"/>
        <v>1619869000</v>
      </c>
      <c r="E71" s="309">
        <f t="shared" si="20"/>
        <v>0</v>
      </c>
      <c r="F71" s="309">
        <f t="shared" si="20"/>
        <v>150055000</v>
      </c>
      <c r="G71" s="309">
        <f t="shared" si="20"/>
        <v>769739000</v>
      </c>
      <c r="H71" s="309">
        <f t="shared" si="20"/>
        <v>539956333.33333337</v>
      </c>
      <c r="I71" s="309">
        <f t="shared" si="20"/>
        <v>101056029.72185054</v>
      </c>
      <c r="J71" s="310">
        <f t="shared" si="11"/>
        <v>0.1871559299952969</v>
      </c>
      <c r="K71" s="311">
        <f t="shared" si="20"/>
        <v>1619869000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1002</v>
      </c>
      <c r="B73" s="59"/>
      <c r="C73" s="63"/>
      <c r="D73" s="63"/>
      <c r="E73" s="63"/>
      <c r="F73" s="63"/>
      <c r="G73" s="63"/>
      <c r="H73" s="63"/>
      <c r="I73" s="63"/>
      <c r="J73" s="63"/>
      <c r="K73" s="63"/>
    </row>
    <row r="74" spans="1:11" ht="12.75" customHeight="1" x14ac:dyDescent="0.2">
      <c r="A74" s="81" t="s">
        <v>954</v>
      </c>
      <c r="B74" s="59"/>
      <c r="C74" s="63"/>
      <c r="D74" s="63"/>
      <c r="E74" s="63"/>
      <c r="F74" s="63"/>
      <c r="G74" s="63"/>
      <c r="H74" s="63"/>
      <c r="I74" s="63"/>
      <c r="J74" s="63"/>
      <c r="K74" s="63"/>
    </row>
    <row r="75" spans="1:11" ht="12.75" customHeight="1" x14ac:dyDescent="0.2">
      <c r="A75" s="81" t="s">
        <v>840</v>
      </c>
      <c r="B75" s="59"/>
      <c r="C75" s="63"/>
      <c r="D75" s="63"/>
      <c r="E75" s="63"/>
      <c r="F75" s="63"/>
      <c r="G75" s="63"/>
      <c r="H75" s="63"/>
      <c r="I75" s="63"/>
      <c r="J75" s="63"/>
      <c r="K75" s="63"/>
    </row>
    <row r="76" spans="1:11" ht="12.75" customHeight="1" x14ac:dyDescent="0.2">
      <c r="A76" s="61" t="s">
        <v>533</v>
      </c>
      <c r="B76" s="59"/>
      <c r="C76" s="63"/>
      <c r="D76" s="63"/>
      <c r="E76" s="63"/>
      <c r="F76" s="63"/>
      <c r="G76" s="63"/>
      <c r="H76" s="63"/>
      <c r="I76" s="63"/>
      <c r="J76" s="63"/>
      <c r="K76" s="63"/>
    </row>
    <row r="77" spans="1:11" ht="12.75" customHeight="1" x14ac:dyDescent="0.2">
      <c r="A77" s="22" t="s">
        <v>623</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46" activePane="bottomRight" state="frozen"/>
      <selection pane="topRight"/>
      <selection pane="bottomLeft"/>
      <selection pane="bottomRight" activeCell="C8" sqref="C8:K52"/>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"&amp;S71M&amp; " - "&amp;Head57</f>
        <v>LIM354 Polokwane - Supporting Table SC7(1) Monthly Budget Statement - transfers and grant expenditure  - M04 October</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301"/>
      <c r="E4" s="297"/>
      <c r="F4" s="298"/>
      <c r="G4" s="298"/>
      <c r="H4" s="298"/>
      <c r="I4" s="298"/>
      <c r="J4" s="299" t="s">
        <v>595</v>
      </c>
      <c r="K4" s="300"/>
    </row>
    <row r="5" spans="1:11" ht="12.75" customHeight="1" x14ac:dyDescent="0.2">
      <c r="A5" s="137" t="s">
        <v>554</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 t="shared" ref="C8:I8" si="0">SUM(C9:C17)</f>
        <v>799384894.53048503</v>
      </c>
      <c r="D8" s="52">
        <f t="shared" si="0"/>
        <v>968911000</v>
      </c>
      <c r="E8" s="51">
        <f t="shared" si="0"/>
        <v>0</v>
      </c>
      <c r="F8" s="51">
        <f t="shared" si="0"/>
        <v>72508701.450884998</v>
      </c>
      <c r="G8" s="51">
        <f t="shared" si="0"/>
        <v>274272575.109685</v>
      </c>
      <c r="H8" s="51">
        <f t="shared" si="0"/>
        <v>322970333.33333337</v>
      </c>
      <c r="I8" s="51">
        <f t="shared" si="0"/>
        <v>-47419023.86698167</v>
      </c>
      <c r="J8" s="346">
        <f t="shared" ref="J8:J31" si="1">IF(I8=0,"",I8/H8)</f>
        <v>-0.14682160859041232</v>
      </c>
      <c r="K8" s="195">
        <f>SUM(K9:K17)</f>
        <v>968911000</v>
      </c>
    </row>
    <row r="9" spans="1:11" x14ac:dyDescent="0.2">
      <c r="A9" s="399" t="str">
        <f>'SC6'!A9</f>
        <v>Local Government Equitable Share</v>
      </c>
      <c r="B9" s="170"/>
      <c r="C9" s="789">
        <v>655066000</v>
      </c>
      <c r="D9" s="790">
        <v>752064000</v>
      </c>
      <c r="E9" s="744"/>
      <c r="F9" s="744">
        <v>62672000</v>
      </c>
      <c r="G9" s="744">
        <f>F9+188016000</f>
        <v>250688000</v>
      </c>
      <c r="H9" s="744">
        <f t="shared" ref="H9:H18" si="2">D9/12*4</f>
        <v>250688000</v>
      </c>
      <c r="I9" s="517">
        <f t="shared" ref="I9:I15" si="3">G9-H9</f>
        <v>0</v>
      </c>
      <c r="J9" s="561" t="str">
        <f t="shared" si="1"/>
        <v/>
      </c>
      <c r="K9" s="746">
        <f>D9</f>
        <v>752064000</v>
      </c>
    </row>
    <row r="10" spans="1:11" ht="12.75" customHeight="1" x14ac:dyDescent="0.2">
      <c r="A10" s="399" t="str">
        <f>'SC6'!A10</f>
        <v>EPWP Incentive</v>
      </c>
      <c r="B10" s="170"/>
      <c r="C10" s="758">
        <v>5975000</v>
      </c>
      <c r="D10" s="755">
        <v>4978000</v>
      </c>
      <c r="E10" s="743"/>
      <c r="F10" s="743">
        <v>467654.91999999981</v>
      </c>
      <c r="G10" s="743">
        <f>F10+594102.44</f>
        <v>1061757.3599999999</v>
      </c>
      <c r="H10" s="743">
        <f t="shared" si="2"/>
        <v>1659333.3333333333</v>
      </c>
      <c r="I10" s="45">
        <f t="shared" si="3"/>
        <v>-597575.97333333339</v>
      </c>
      <c r="J10" s="125">
        <f t="shared" si="1"/>
        <v>-0.36013015668943354</v>
      </c>
      <c r="K10" s="745">
        <f>D10</f>
        <v>4978000</v>
      </c>
    </row>
    <row r="11" spans="1:11" ht="12.75" customHeight="1" x14ac:dyDescent="0.2">
      <c r="A11" s="399" t="str">
        <f>'SC6'!A11</f>
        <v>Integrated National Electrification Programme</v>
      </c>
      <c r="B11" s="170"/>
      <c r="C11" s="758">
        <v>28454882.755799998</v>
      </c>
      <c r="D11" s="755">
        <v>40000000</v>
      </c>
      <c r="E11" s="743"/>
      <c r="F11" s="743">
        <v>282300.37739999988</v>
      </c>
      <c r="G11" s="743">
        <f>F11+1930623.1626</f>
        <v>2212923.54</v>
      </c>
      <c r="H11" s="743">
        <f t="shared" si="2"/>
        <v>13333333.333333334</v>
      </c>
      <c r="I11" s="45">
        <f t="shared" si="3"/>
        <v>-11120409.793333333</v>
      </c>
      <c r="J11" s="125">
        <f t="shared" si="1"/>
        <v>-0.83403073449999998</v>
      </c>
      <c r="K11" s="745">
        <f t="shared" ref="K11:K15" si="4">D11</f>
        <v>40000000</v>
      </c>
    </row>
    <row r="12" spans="1:11" ht="12.75" customHeight="1" x14ac:dyDescent="0.2">
      <c r="A12" s="399" t="str">
        <f>'SC6'!A12</f>
        <v xml:space="preserve">Finance Management </v>
      </c>
      <c r="B12" s="170"/>
      <c r="C12" s="758">
        <v>2619033.3294000002</v>
      </c>
      <c r="D12" s="755">
        <v>2979000</v>
      </c>
      <c r="E12" s="743"/>
      <c r="F12" s="743"/>
      <c r="G12" s="743">
        <v>322364.48680000001</v>
      </c>
      <c r="H12" s="743">
        <f t="shared" si="2"/>
        <v>993000</v>
      </c>
      <c r="I12" s="45">
        <f t="shared" si="3"/>
        <v>-670635.51319999993</v>
      </c>
      <c r="J12" s="125">
        <f t="shared" si="1"/>
        <v>-0.67536305458207446</v>
      </c>
      <c r="K12" s="745">
        <f t="shared" si="4"/>
        <v>2979000</v>
      </c>
    </row>
    <row r="13" spans="1:11" ht="12.75" customHeight="1" x14ac:dyDescent="0.2">
      <c r="A13" s="399" t="s">
        <v>1021</v>
      </c>
      <c r="B13" s="170"/>
      <c r="C13" s="758">
        <v>0</v>
      </c>
      <c r="D13" s="755">
        <v>6000000</v>
      </c>
      <c r="E13" s="743"/>
      <c r="F13" s="743"/>
      <c r="G13" s="743"/>
      <c r="H13" s="743">
        <f t="shared" si="2"/>
        <v>2000000</v>
      </c>
      <c r="I13" s="45">
        <f t="shared" si="3"/>
        <v>-2000000</v>
      </c>
      <c r="J13" s="125">
        <f t="shared" si="1"/>
        <v>-1</v>
      </c>
      <c r="K13" s="745">
        <f t="shared" si="4"/>
        <v>6000000</v>
      </c>
    </row>
    <row r="14" spans="1:11" ht="12.75" customHeight="1" x14ac:dyDescent="0.2">
      <c r="A14" s="399" t="str">
        <f>'SC6'!A13</f>
        <v>Municipal Infrastructure Grant (MIG)</v>
      </c>
      <c r="B14" s="170"/>
      <c r="C14" s="758">
        <v>40145905.5418</v>
      </c>
      <c r="D14" s="755">
        <v>59011000</v>
      </c>
      <c r="E14" s="743"/>
      <c r="F14" s="743">
        <v>3595917</v>
      </c>
      <c r="G14" s="743">
        <f>F14+9494435.0594</f>
        <v>13090352.0594</v>
      </c>
      <c r="H14" s="743">
        <f t="shared" si="2"/>
        <v>19670333.333333332</v>
      </c>
      <c r="I14" s="45">
        <f t="shared" si="3"/>
        <v>-6579981.2739333324</v>
      </c>
      <c r="J14" s="125">
        <f t="shared" si="1"/>
        <v>-0.3345129521919642</v>
      </c>
      <c r="K14" s="745">
        <f t="shared" si="4"/>
        <v>59011000</v>
      </c>
    </row>
    <row r="15" spans="1:11" ht="12.75" customHeight="1" x14ac:dyDescent="0.2">
      <c r="A15" s="399" t="s">
        <v>1599</v>
      </c>
      <c r="B15" s="170"/>
      <c r="C15" s="758">
        <v>52109218.908284999</v>
      </c>
      <c r="D15" s="755">
        <v>94622000</v>
      </c>
      <c r="E15" s="743"/>
      <c r="F15" s="743">
        <v>5490829.1534850001</v>
      </c>
      <c r="G15" s="743">
        <f>F15+117166.2</f>
        <v>5607995.3534850003</v>
      </c>
      <c r="H15" s="743">
        <f t="shared" si="2"/>
        <v>31540666.666666668</v>
      </c>
      <c r="I15" s="45">
        <f t="shared" si="3"/>
        <v>-25932671.313181669</v>
      </c>
      <c r="J15" s="125">
        <f t="shared" si="1"/>
        <v>-0.82219794487059039</v>
      </c>
      <c r="K15" s="745">
        <f t="shared" si="4"/>
        <v>94622000</v>
      </c>
    </row>
    <row r="16" spans="1:11" ht="12.75" customHeight="1" x14ac:dyDescent="0.2">
      <c r="A16" s="399" t="s">
        <v>1598</v>
      </c>
      <c r="B16" s="170"/>
      <c r="C16" s="758">
        <v>6000000</v>
      </c>
      <c r="D16" s="755">
        <v>6213000</v>
      </c>
      <c r="E16" s="743"/>
      <c r="F16" s="743"/>
      <c r="G16" s="743">
        <v>199800</v>
      </c>
      <c r="H16" s="743">
        <f t="shared" si="2"/>
        <v>2071000</v>
      </c>
      <c r="I16" s="45">
        <v>-517750</v>
      </c>
      <c r="J16" s="125">
        <v>-1</v>
      </c>
      <c r="K16" s="745">
        <v>6213000</v>
      </c>
    </row>
    <row r="17" spans="1:11" ht="12.75" customHeight="1" x14ac:dyDescent="0.2">
      <c r="A17" s="399" t="s">
        <v>1584</v>
      </c>
      <c r="B17" s="170"/>
      <c r="C17" s="758">
        <v>9014853.9951999988</v>
      </c>
      <c r="D17" s="755">
        <v>3044000</v>
      </c>
      <c r="E17" s="743"/>
      <c r="F17" s="743"/>
      <c r="G17" s="743">
        <v>1089382.31</v>
      </c>
      <c r="H17" s="743">
        <f t="shared" si="2"/>
        <v>1014666.6666666666</v>
      </c>
      <c r="I17" s="45"/>
      <c r="J17" s="125"/>
      <c r="K17" s="745">
        <v>3044000</v>
      </c>
    </row>
    <row r="18" spans="1:11" ht="12.75" customHeight="1" x14ac:dyDescent="0.2">
      <c r="A18" s="399" t="s">
        <v>1584</v>
      </c>
      <c r="B18" s="170"/>
      <c r="C18" s="758"/>
      <c r="D18" s="755"/>
      <c r="E18" s="743"/>
      <c r="F18" s="743"/>
      <c r="G18" s="743"/>
      <c r="H18" s="743">
        <f t="shared" si="2"/>
        <v>0</v>
      </c>
      <c r="I18" s="45"/>
      <c r="J18" s="125"/>
      <c r="K18" s="745"/>
    </row>
    <row r="19" spans="1:11" ht="12.75" customHeight="1" x14ac:dyDescent="0.2">
      <c r="A19" s="400" t="str">
        <f>'SC6'!A20</f>
        <v>Provincial Government:</v>
      </c>
      <c r="B19" s="170"/>
      <c r="C19" s="519">
        <f t="shared" ref="C19:I19" si="5">SUM(C20:C24)</f>
        <v>0</v>
      </c>
      <c r="D19" s="478">
        <f t="shared" si="5"/>
        <v>0</v>
      </c>
      <c r="E19" s="433">
        <f t="shared" si="5"/>
        <v>0</v>
      </c>
      <c r="F19" s="433">
        <f t="shared" si="5"/>
        <v>0</v>
      </c>
      <c r="G19" s="433">
        <f t="shared" si="5"/>
        <v>0</v>
      </c>
      <c r="H19" s="433">
        <f t="shared" si="5"/>
        <v>0</v>
      </c>
      <c r="I19" s="433">
        <f t="shared" si="5"/>
        <v>0</v>
      </c>
      <c r="J19" s="562" t="str">
        <f t="shared" si="1"/>
        <v/>
      </c>
      <c r="K19" s="516">
        <f>SUM(K20:K24)</f>
        <v>0</v>
      </c>
    </row>
    <row r="20" spans="1:11" ht="12.75" customHeight="1" x14ac:dyDescent="0.2">
      <c r="A20" s="399">
        <f>'SC6'!A21</f>
        <v>0</v>
      </c>
      <c r="B20" s="170"/>
      <c r="C20" s="789"/>
      <c r="D20" s="790"/>
      <c r="E20" s="744"/>
      <c r="F20" s="744"/>
      <c r="G20" s="744"/>
      <c r="H20" s="744"/>
      <c r="I20" s="517">
        <f t="shared" ref="I20:I30" si="6">G20-H20</f>
        <v>0</v>
      </c>
      <c r="J20" s="561" t="str">
        <f t="shared" si="1"/>
        <v/>
      </c>
      <c r="K20" s="746"/>
    </row>
    <row r="21" spans="1:11" ht="12.75" customHeight="1" x14ac:dyDescent="0.2">
      <c r="A21" s="399">
        <f>'SC6'!A23</f>
        <v>0</v>
      </c>
      <c r="B21" s="170"/>
      <c r="C21" s="758"/>
      <c r="D21" s="755"/>
      <c r="E21" s="743"/>
      <c r="F21" s="743"/>
      <c r="G21" s="743"/>
      <c r="H21" s="743"/>
      <c r="I21" s="45">
        <f t="shared" si="6"/>
        <v>0</v>
      </c>
      <c r="J21" s="125" t="str">
        <f t="shared" si="1"/>
        <v/>
      </c>
      <c r="K21" s="745"/>
    </row>
    <row r="22" spans="1:11" ht="12.75" customHeight="1" x14ac:dyDescent="0.2">
      <c r="A22" s="399" t="s">
        <v>1021</v>
      </c>
      <c r="B22" s="170"/>
      <c r="C22" s="758"/>
      <c r="D22" s="755"/>
      <c r="E22" s="743"/>
      <c r="F22" s="743"/>
      <c r="G22" s="743"/>
      <c r="H22" s="743"/>
      <c r="I22" s="45">
        <f t="shared" si="6"/>
        <v>0</v>
      </c>
      <c r="J22" s="125" t="str">
        <f t="shared" si="1"/>
        <v/>
      </c>
      <c r="K22" s="745"/>
    </row>
    <row r="23" spans="1:11" ht="12.75" customHeight="1" x14ac:dyDescent="0.2">
      <c r="A23" s="399">
        <f>'SC6'!A25</f>
        <v>0</v>
      </c>
      <c r="B23" s="170"/>
      <c r="C23" s="758"/>
      <c r="D23" s="755"/>
      <c r="E23" s="743"/>
      <c r="F23" s="743"/>
      <c r="G23" s="743"/>
      <c r="H23" s="743"/>
      <c r="I23" s="45">
        <f t="shared" si="6"/>
        <v>0</v>
      </c>
      <c r="J23" s="125" t="str">
        <f t="shared" si="1"/>
        <v/>
      </c>
      <c r="K23" s="745"/>
    </row>
    <row r="24" spans="1:11" ht="12.75" customHeight="1" x14ac:dyDescent="0.2">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
      <c r="A26" s="400"/>
      <c r="B26" s="170"/>
      <c r="C26" s="793"/>
      <c r="D26" s="794"/>
      <c r="E26" s="747"/>
      <c r="F26" s="747"/>
      <c r="G26" s="747"/>
      <c r="H26" s="747"/>
      <c r="I26" s="517">
        <f t="shared" si="6"/>
        <v>0</v>
      </c>
      <c r="J26" s="561" t="str">
        <f t="shared" si="1"/>
        <v/>
      </c>
      <c r="K26" s="748"/>
    </row>
    <row r="27" spans="1:11" ht="12.75" customHeight="1" x14ac:dyDescent="0.2">
      <c r="A27" s="401" t="str">
        <f>'SC6'!A28</f>
        <v>[insert description]</v>
      </c>
      <c r="B27" s="170"/>
      <c r="C27" s="758"/>
      <c r="D27" s="755"/>
      <c r="E27" s="743"/>
      <c r="F27" s="743"/>
      <c r="G27" s="743"/>
      <c r="H27" s="743"/>
      <c r="I27" s="45">
        <f t="shared" si="6"/>
        <v>0</v>
      </c>
      <c r="J27" s="125" t="str">
        <f t="shared" si="1"/>
        <v/>
      </c>
      <c r="K27" s="745"/>
    </row>
    <row r="28" spans="1:11" ht="12.75" customHeight="1" x14ac:dyDescent="0.2">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
      <c r="A29" s="400"/>
      <c r="B29" s="170"/>
      <c r="C29" s="793"/>
      <c r="D29" s="794"/>
      <c r="E29" s="747"/>
      <c r="F29" s="747"/>
      <c r="G29" s="747"/>
      <c r="H29" s="747"/>
      <c r="I29" s="517">
        <f t="shared" si="6"/>
        <v>0</v>
      </c>
      <c r="J29" s="561" t="str">
        <f t="shared" si="1"/>
        <v/>
      </c>
      <c r="K29" s="748"/>
    </row>
    <row r="30" spans="1:11" ht="12.75" customHeight="1" x14ac:dyDescent="0.2">
      <c r="A30" s="401" t="str">
        <f>'SC6'!A31</f>
        <v>[insert description]</v>
      </c>
      <c r="B30" s="170"/>
      <c r="C30" s="758"/>
      <c r="D30" s="755"/>
      <c r="E30" s="743"/>
      <c r="F30" s="743"/>
      <c r="G30" s="743"/>
      <c r="H30" s="743"/>
      <c r="I30" s="45">
        <f t="shared" si="6"/>
        <v>0</v>
      </c>
      <c r="J30" s="125" t="str">
        <f t="shared" si="1"/>
        <v/>
      </c>
      <c r="K30" s="745"/>
    </row>
    <row r="31" spans="1:11" ht="12.75" customHeight="1" x14ac:dyDescent="0.2">
      <c r="A31" s="567" t="s">
        <v>58</v>
      </c>
      <c r="B31" s="234"/>
      <c r="C31" s="244">
        <f>C8+C19+C25+C28</f>
        <v>799384894.53048503</v>
      </c>
      <c r="D31" s="75">
        <f t="shared" ref="D31:I31" si="9">D8+D19+D25+D28</f>
        <v>968911000</v>
      </c>
      <c r="E31" s="74">
        <f t="shared" si="9"/>
        <v>0</v>
      </c>
      <c r="F31" s="74">
        <f t="shared" si="9"/>
        <v>72508701.450884998</v>
      </c>
      <c r="G31" s="74">
        <f t="shared" si="9"/>
        <v>274272575.109685</v>
      </c>
      <c r="H31" s="74">
        <f t="shared" si="9"/>
        <v>322970333.33333337</v>
      </c>
      <c r="I31" s="74">
        <f t="shared" si="9"/>
        <v>-47419023.86698167</v>
      </c>
      <c r="J31" s="307">
        <f t="shared" si="1"/>
        <v>-0.14682160859041232</v>
      </c>
      <c r="K31" s="146">
        <f>K8+K19+K25+K28</f>
        <v>968911000</v>
      </c>
    </row>
    <row r="32" spans="1:11" ht="5.0999999999999996" customHeight="1" x14ac:dyDescent="0.2">
      <c r="A32" s="43"/>
      <c r="B32" s="170"/>
      <c r="C32" s="135"/>
      <c r="D32" s="47"/>
      <c r="E32" s="45"/>
      <c r="F32" s="45"/>
      <c r="G32" s="45"/>
      <c r="H32" s="45"/>
      <c r="I32" s="45"/>
      <c r="J32" s="125"/>
      <c r="K32" s="145"/>
    </row>
    <row r="33" spans="1:11" ht="12.75" customHeight="1" x14ac:dyDescent="0.2">
      <c r="A33" s="553" t="s">
        <v>59</v>
      </c>
      <c r="B33" s="170"/>
      <c r="C33" s="135"/>
      <c r="D33" s="47"/>
      <c r="E33" s="45"/>
      <c r="F33" s="45"/>
      <c r="G33" s="45"/>
      <c r="H33" s="45"/>
      <c r="I33" s="45"/>
      <c r="J33" s="125"/>
      <c r="K33" s="145"/>
    </row>
    <row r="34" spans="1:11" ht="13.5" customHeight="1" x14ac:dyDescent="0.2">
      <c r="A34" s="345" t="str">
        <f>'SC6'!A41</f>
        <v>National Government:</v>
      </c>
      <c r="B34" s="170"/>
      <c r="C34" s="135">
        <f t="shared" ref="C34:K34" si="10">SUM(C35:C40)</f>
        <v>581004567.52528501</v>
      </c>
      <c r="D34" s="47">
        <f t="shared" si="10"/>
        <v>650958000</v>
      </c>
      <c r="E34" s="45">
        <f t="shared" si="10"/>
        <v>0</v>
      </c>
      <c r="F34" s="45">
        <f t="shared" si="10"/>
        <v>18085561.564199999</v>
      </c>
      <c r="G34" s="45">
        <f t="shared" si="10"/>
        <v>153061021.82038501</v>
      </c>
      <c r="H34" s="45">
        <f t="shared" si="10"/>
        <v>216985999.99999997</v>
      </c>
      <c r="I34" s="45">
        <f t="shared" si="10"/>
        <v>-63924978.179614983</v>
      </c>
      <c r="J34" s="346">
        <f t="shared" ref="J34:J49" si="11">IF(I34=0,"",I34/H34)</f>
        <v>-0.29460415962142716</v>
      </c>
      <c r="K34" s="145">
        <f t="shared" si="10"/>
        <v>650958000</v>
      </c>
    </row>
    <row r="35" spans="1:11" ht="12.75" customHeight="1" x14ac:dyDescent="0.2">
      <c r="A35" s="399" t="str">
        <f>'SC6'!A42</f>
        <v>Municipal Infrastructure Grant (MIG)</v>
      </c>
      <c r="B35" s="170"/>
      <c r="C35" s="789">
        <v>236428766.39899999</v>
      </c>
      <c r="D35" s="790">
        <v>293167000</v>
      </c>
      <c r="E35" s="744"/>
      <c r="F35" s="744">
        <f>20548687.9242-3595917</f>
        <v>16952770.924199998</v>
      </c>
      <c r="G35" s="744">
        <f>F35+31687132.72</f>
        <v>48639903.644199997</v>
      </c>
      <c r="H35" s="744">
        <f t="shared" ref="H35:H40" si="12">D35/12*4</f>
        <v>97722333.333333328</v>
      </c>
      <c r="I35" s="517">
        <f t="shared" ref="I35:I40" si="13">G35-H35</f>
        <v>-49082429.689133331</v>
      </c>
      <c r="J35" s="561">
        <f t="shared" si="11"/>
        <v>-0.50226420118021464</v>
      </c>
      <c r="K35" s="746">
        <f>D35</f>
        <v>293167000</v>
      </c>
    </row>
    <row r="36" spans="1:11" ht="12.75" customHeight="1" x14ac:dyDescent="0.2">
      <c r="A36" s="399" t="s">
        <v>1599</v>
      </c>
      <c r="B36" s="170"/>
      <c r="C36" s="758">
        <v>133883774.32468501</v>
      </c>
      <c r="D36" s="755">
        <v>122112000</v>
      </c>
      <c r="E36" s="743"/>
      <c r="F36" s="743"/>
      <c r="G36" s="743">
        <v>2442897.2269849996</v>
      </c>
      <c r="H36" s="743">
        <f t="shared" si="12"/>
        <v>40704000</v>
      </c>
      <c r="I36" s="45">
        <f t="shared" si="13"/>
        <v>-38261102.773015</v>
      </c>
      <c r="J36" s="125">
        <f t="shared" si="11"/>
        <v>-0.93998385350370972</v>
      </c>
      <c r="K36" s="745">
        <f>D36</f>
        <v>122112000</v>
      </c>
    </row>
    <row r="37" spans="1:11" ht="12.75" customHeight="1" x14ac:dyDescent="0.2">
      <c r="A37" s="399" t="s">
        <v>1030</v>
      </c>
      <c r="B37" s="170"/>
      <c r="C37" s="758">
        <v>180159000.0016</v>
      </c>
      <c r="D37" s="755">
        <v>209679000</v>
      </c>
      <c r="E37" s="743"/>
      <c r="F37" s="743"/>
      <c r="G37" s="743">
        <v>95631864.991800025</v>
      </c>
      <c r="H37" s="743">
        <f t="shared" si="12"/>
        <v>69893000</v>
      </c>
      <c r="I37" s="45">
        <f t="shared" si="13"/>
        <v>25738864.991800025</v>
      </c>
      <c r="J37" s="125">
        <f t="shared" si="11"/>
        <v>0.36826098453064005</v>
      </c>
      <c r="K37" s="745">
        <f t="shared" ref="K37:K40" si="14">D37</f>
        <v>209679000</v>
      </c>
    </row>
    <row r="38" spans="1:11" ht="12.75" customHeight="1" x14ac:dyDescent="0.2">
      <c r="A38" s="399" t="s">
        <v>1032</v>
      </c>
      <c r="B38" s="170"/>
      <c r="C38" s="758">
        <v>30533026.799999997</v>
      </c>
      <c r="D38" s="755">
        <v>26000000</v>
      </c>
      <c r="E38" s="743"/>
      <c r="F38" s="743">
        <v>1132790.6399999987</v>
      </c>
      <c r="G38" s="743">
        <f>F38+5213565.3174</f>
        <v>6346355.9573999988</v>
      </c>
      <c r="H38" s="743">
        <f t="shared" si="12"/>
        <v>8666666.666666666</v>
      </c>
      <c r="I38" s="45">
        <f t="shared" si="13"/>
        <v>-2320310.7092666673</v>
      </c>
      <c r="J38" s="125">
        <f t="shared" si="11"/>
        <v>-0.26772815876153855</v>
      </c>
      <c r="K38" s="745">
        <f t="shared" si="14"/>
        <v>26000000</v>
      </c>
    </row>
    <row r="39" spans="1:11" ht="12.75" customHeight="1" x14ac:dyDescent="0.2">
      <c r="A39" s="399"/>
      <c r="B39" s="170"/>
      <c r="C39" s="758"/>
      <c r="D39" s="755">
        <v>0</v>
      </c>
      <c r="E39" s="743"/>
      <c r="F39" s="743"/>
      <c r="G39" s="743"/>
      <c r="H39" s="743">
        <f t="shared" si="12"/>
        <v>0</v>
      </c>
      <c r="I39" s="45">
        <f t="shared" si="13"/>
        <v>0</v>
      </c>
      <c r="J39" s="125" t="str">
        <f t="shared" si="11"/>
        <v/>
      </c>
      <c r="K39" s="745">
        <f t="shared" si="14"/>
        <v>0</v>
      </c>
    </row>
    <row r="40" spans="1:11" ht="12.75" customHeight="1" x14ac:dyDescent="0.2">
      <c r="A40" s="399" t="str">
        <f>'SC6'!A51</f>
        <v>Other capital transfers [insert description]</v>
      </c>
      <c r="B40" s="170"/>
      <c r="C40" s="758"/>
      <c r="D40" s="755">
        <v>0</v>
      </c>
      <c r="E40" s="743"/>
      <c r="F40" s="743"/>
      <c r="G40" s="743"/>
      <c r="H40" s="743">
        <f t="shared" si="12"/>
        <v>0</v>
      </c>
      <c r="I40" s="45">
        <f t="shared" si="13"/>
        <v>0</v>
      </c>
      <c r="J40" s="125" t="str">
        <f t="shared" si="11"/>
        <v/>
      </c>
      <c r="K40" s="745">
        <f t="shared" si="14"/>
        <v>0</v>
      </c>
    </row>
    <row r="41" spans="1:11" ht="12.75" customHeight="1" x14ac:dyDescent="0.2">
      <c r="A41" s="400" t="str">
        <f>'SC6'!A52</f>
        <v>Provincial Government:</v>
      </c>
      <c r="B41" s="170"/>
      <c r="C41" s="519">
        <f t="shared" ref="C41:H41" si="15">SUM(C42:C43)</f>
        <v>0</v>
      </c>
      <c r="D41" s="478">
        <f t="shared" si="15"/>
        <v>0</v>
      </c>
      <c r="E41" s="433">
        <f t="shared" si="15"/>
        <v>0</v>
      </c>
      <c r="F41" s="433">
        <f t="shared" si="15"/>
        <v>0</v>
      </c>
      <c r="G41" s="433">
        <f t="shared" si="15"/>
        <v>0</v>
      </c>
      <c r="H41" s="433">
        <f t="shared" si="15"/>
        <v>0</v>
      </c>
      <c r="I41" s="517">
        <f t="shared" ref="I41:I49" si="16">G41-H41</f>
        <v>0</v>
      </c>
      <c r="J41" s="561" t="str">
        <f t="shared" si="11"/>
        <v/>
      </c>
      <c r="K41" s="516">
        <f>SUM(K42:K43)</f>
        <v>0</v>
      </c>
    </row>
    <row r="42" spans="1:11" ht="12.75" customHeight="1" x14ac:dyDescent="0.2">
      <c r="A42" s="400"/>
      <c r="B42" s="170"/>
      <c r="C42" s="793"/>
      <c r="D42" s="794"/>
      <c r="E42" s="747"/>
      <c r="F42" s="747"/>
      <c r="G42" s="747"/>
      <c r="H42" s="747"/>
      <c r="I42" s="517">
        <f t="shared" si="16"/>
        <v>0</v>
      </c>
      <c r="J42" s="561" t="str">
        <f t="shared" si="11"/>
        <v/>
      </c>
      <c r="K42" s="748"/>
    </row>
    <row r="43" spans="1:11" ht="12.75" customHeight="1" x14ac:dyDescent="0.2">
      <c r="A43" s="399">
        <f>'SC6'!A58</f>
        <v>0</v>
      </c>
      <c r="B43" s="170"/>
      <c r="C43" s="758"/>
      <c r="D43" s="755"/>
      <c r="E43" s="743"/>
      <c r="F43" s="743"/>
      <c r="G43" s="743"/>
      <c r="H43" s="743"/>
      <c r="I43" s="45">
        <f t="shared" si="16"/>
        <v>0</v>
      </c>
      <c r="J43" s="125" t="str">
        <f t="shared" si="11"/>
        <v/>
      </c>
      <c r="K43" s="745"/>
    </row>
    <row r="44" spans="1:11" ht="12.75" customHeight="1" x14ac:dyDescent="0.2">
      <c r="A44" s="400" t="str">
        <f>'SC6'!A59</f>
        <v>District Municipality:</v>
      </c>
      <c r="B44" s="170"/>
      <c r="C44" s="519">
        <f t="shared" ref="C44:H44" si="17">SUM(C45:C46)</f>
        <v>0</v>
      </c>
      <c r="D44" s="478">
        <f t="shared" si="17"/>
        <v>0</v>
      </c>
      <c r="E44" s="433">
        <f t="shared" si="17"/>
        <v>0</v>
      </c>
      <c r="F44" s="433">
        <f t="shared" si="17"/>
        <v>0</v>
      </c>
      <c r="G44" s="433">
        <f t="shared" si="17"/>
        <v>0</v>
      </c>
      <c r="H44" s="433">
        <f t="shared" si="17"/>
        <v>0</v>
      </c>
      <c r="I44" s="517">
        <f t="shared" si="16"/>
        <v>0</v>
      </c>
      <c r="J44" s="561" t="str">
        <f t="shared" si="11"/>
        <v/>
      </c>
      <c r="K44" s="516">
        <f>SUM(K45:K46)</f>
        <v>0</v>
      </c>
    </row>
    <row r="45" spans="1:11" ht="12.75" customHeight="1" x14ac:dyDescent="0.2">
      <c r="A45" s="400"/>
      <c r="B45" s="170"/>
      <c r="C45" s="793"/>
      <c r="D45" s="794"/>
      <c r="E45" s="747"/>
      <c r="F45" s="747"/>
      <c r="G45" s="747"/>
      <c r="H45" s="747"/>
      <c r="I45" s="517">
        <f t="shared" si="16"/>
        <v>0</v>
      </c>
      <c r="J45" s="561" t="str">
        <f t="shared" si="11"/>
        <v/>
      </c>
      <c r="K45" s="748"/>
    </row>
    <row r="46" spans="1:11" ht="12.75" customHeight="1" x14ac:dyDescent="0.2">
      <c r="A46" s="401">
        <f>'SC6'!A61</f>
        <v>0</v>
      </c>
      <c r="B46" s="170"/>
      <c r="C46" s="758"/>
      <c r="D46" s="755"/>
      <c r="E46" s="743"/>
      <c r="F46" s="743"/>
      <c r="G46" s="743"/>
      <c r="H46" s="743"/>
      <c r="I46" s="45">
        <f t="shared" si="16"/>
        <v>0</v>
      </c>
      <c r="J46" s="125" t="str">
        <f t="shared" si="11"/>
        <v/>
      </c>
      <c r="K46" s="745"/>
    </row>
    <row r="47" spans="1:11" ht="12.75" customHeight="1" x14ac:dyDescent="0.2">
      <c r="A47" s="400" t="str">
        <f>'SC6'!A62</f>
        <v>Other grant providers:</v>
      </c>
      <c r="B47" s="170"/>
      <c r="C47" s="519">
        <f t="shared" ref="C47:H47" si="18">SUM(C48:C49)</f>
        <v>0</v>
      </c>
      <c r="D47" s="478">
        <f t="shared" si="18"/>
        <v>0</v>
      </c>
      <c r="E47" s="433">
        <f t="shared" si="18"/>
        <v>0</v>
      </c>
      <c r="F47" s="433">
        <f t="shared" si="18"/>
        <v>0</v>
      </c>
      <c r="G47" s="433">
        <f t="shared" si="18"/>
        <v>0</v>
      </c>
      <c r="H47" s="433">
        <f t="shared" si="18"/>
        <v>0</v>
      </c>
      <c r="I47" s="517">
        <f t="shared" si="16"/>
        <v>0</v>
      </c>
      <c r="J47" s="561" t="str">
        <f t="shared" si="11"/>
        <v/>
      </c>
      <c r="K47" s="516">
        <f>SUM(K48:K49)</f>
        <v>0</v>
      </c>
    </row>
    <row r="48" spans="1:11" ht="12.75" customHeight="1" x14ac:dyDescent="0.2">
      <c r="A48" s="400"/>
      <c r="B48" s="170"/>
      <c r="C48" s="793"/>
      <c r="D48" s="794"/>
      <c r="E48" s="747"/>
      <c r="F48" s="747"/>
      <c r="G48" s="747"/>
      <c r="H48" s="747"/>
      <c r="I48" s="517">
        <f t="shared" si="16"/>
        <v>0</v>
      </c>
      <c r="J48" s="561" t="str">
        <f t="shared" si="11"/>
        <v/>
      </c>
      <c r="K48" s="748"/>
    </row>
    <row r="49" spans="1:11" ht="12.75" customHeight="1" x14ac:dyDescent="0.2">
      <c r="A49" s="401">
        <f>'SC6'!A68</f>
        <v>0</v>
      </c>
      <c r="B49" s="170"/>
      <c r="C49" s="758"/>
      <c r="D49" s="755"/>
      <c r="E49" s="743"/>
      <c r="F49" s="743"/>
      <c r="G49" s="743"/>
      <c r="H49" s="743"/>
      <c r="I49" s="45">
        <f t="shared" si="16"/>
        <v>0</v>
      </c>
      <c r="J49" s="125" t="str">
        <f t="shared" si="11"/>
        <v/>
      </c>
      <c r="K49" s="745"/>
    </row>
    <row r="50" spans="1:11" ht="12.75" customHeight="1" x14ac:dyDescent="0.2">
      <c r="A50" s="566" t="s">
        <v>60</v>
      </c>
      <c r="B50" s="234"/>
      <c r="C50" s="244">
        <f>C34+C41+C44+C47</f>
        <v>581004567.52528501</v>
      </c>
      <c r="D50" s="75">
        <f t="shared" ref="D50:K50" si="19">D34+D41+D44+D47</f>
        <v>650958000</v>
      </c>
      <c r="E50" s="74">
        <f t="shared" si="19"/>
        <v>0</v>
      </c>
      <c r="F50" s="74">
        <f t="shared" si="19"/>
        <v>18085561.564199999</v>
      </c>
      <c r="G50" s="74">
        <f t="shared" si="19"/>
        <v>153061021.82038501</v>
      </c>
      <c r="H50" s="74">
        <f t="shared" si="19"/>
        <v>216985999.99999997</v>
      </c>
      <c r="I50" s="74">
        <f t="shared" si="19"/>
        <v>-63924978.179614983</v>
      </c>
      <c r="J50" s="307">
        <f>IF(I50=0,"",I50/H50)</f>
        <v>-0.29460415962142716</v>
      </c>
      <c r="K50" s="146">
        <f t="shared" si="19"/>
        <v>650958000</v>
      </c>
    </row>
    <row r="51" spans="1:11" ht="5.0999999999999996" customHeight="1" x14ac:dyDescent="0.2">
      <c r="A51" s="552"/>
      <c r="B51" s="170"/>
      <c r="C51" s="135"/>
      <c r="D51" s="47"/>
      <c r="E51" s="45"/>
      <c r="F51" s="45"/>
      <c r="G51" s="45"/>
      <c r="H51" s="45"/>
      <c r="I51" s="45"/>
      <c r="J51" s="125"/>
      <c r="K51" s="145"/>
    </row>
    <row r="52" spans="1:11" ht="12.75" customHeight="1" x14ac:dyDescent="0.2">
      <c r="A52" s="696" t="s">
        <v>137</v>
      </c>
      <c r="B52" s="286"/>
      <c r="C52" s="113">
        <f t="shared" ref="C52:K52" si="20">C31+C50</f>
        <v>1380389462.0557699</v>
      </c>
      <c r="D52" s="57">
        <f t="shared" si="20"/>
        <v>1619869000</v>
      </c>
      <c r="E52" s="56">
        <f t="shared" si="20"/>
        <v>0</v>
      </c>
      <c r="F52" s="56">
        <f t="shared" si="20"/>
        <v>90594263.015084997</v>
      </c>
      <c r="G52" s="56">
        <f t="shared" si="20"/>
        <v>427333596.93007004</v>
      </c>
      <c r="H52" s="56">
        <f t="shared" si="20"/>
        <v>539956333.33333337</v>
      </c>
      <c r="I52" s="56">
        <f t="shared" si="20"/>
        <v>-111344002.04659665</v>
      </c>
      <c r="J52" s="293">
        <f>IF(I52=0,"",I52/H52)</f>
        <v>-0.20620927132983588</v>
      </c>
      <c r="K52" s="236">
        <f t="shared" si="20"/>
        <v>1619869000</v>
      </c>
    </row>
    <row r="53" spans="1:11" ht="12.75" customHeight="1" x14ac:dyDescent="0.2">
      <c r="A53" s="58" t="str">
        <f>head27a</f>
        <v>References</v>
      </c>
      <c r="B53" s="59"/>
      <c r="C53" s="63"/>
      <c r="D53" s="63"/>
      <c r="E53" s="63"/>
      <c r="F53" s="63"/>
      <c r="G53" s="63"/>
      <c r="H53" s="63"/>
      <c r="I53" s="63"/>
      <c r="J53" s="63"/>
      <c r="K53" s="63"/>
    </row>
    <row r="54" spans="1:11" ht="12.75" customHeight="1" x14ac:dyDescent="0.2">
      <c r="A54" s="81"/>
      <c r="B54" s="59"/>
      <c r="C54" s="68"/>
      <c r="D54" s="68"/>
      <c r="E54" s="68"/>
      <c r="F54" s="68"/>
      <c r="G54" s="68"/>
      <c r="H54" s="68"/>
      <c r="I54" s="68"/>
      <c r="J54" s="68"/>
      <c r="K54" s="68"/>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electLockedCells="1" selectUnlockedCell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3" activePane="bottomRight" state="frozen"/>
      <selection pane="topRight"/>
      <selection pane="bottomLeft"/>
      <selection pane="bottomRight" sqref="A1:G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24" t="str">
        <f>muni&amp; " - "&amp;S71T&amp; " - "&amp;Head57</f>
        <v>LIM354 Polokwane - Supporting Table SC7(2) Monthly Budget Statement - Expenditure against approved rollovers - M04 October</v>
      </c>
      <c r="B1" s="1024"/>
      <c r="C1" s="1024"/>
      <c r="D1" s="1024"/>
      <c r="E1" s="1024"/>
      <c r="F1" s="1024"/>
      <c r="G1" s="1024"/>
    </row>
    <row r="2" spans="1:7" ht="21.75" customHeight="1" x14ac:dyDescent="0.2">
      <c r="A2" s="1013" t="str">
        <f>desc</f>
        <v>Description</v>
      </c>
      <c r="B2" s="1006" t="str">
        <f>head27</f>
        <v>Ref</v>
      </c>
      <c r="C2" s="1008" t="str">
        <f>Head2</f>
        <v>Budget Year 2017/18</v>
      </c>
      <c r="D2" s="1009"/>
      <c r="E2" s="1009"/>
      <c r="F2" s="1009"/>
      <c r="G2" s="1010"/>
    </row>
    <row r="3" spans="1:7" ht="39.75" customHeight="1" x14ac:dyDescent="0.2">
      <c r="A3" s="1014"/>
      <c r="B3" s="1017"/>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
      <c r="A4" s="294" t="s">
        <v>688</v>
      </c>
      <c r="B4" s="249"/>
      <c r="C4" s="296"/>
      <c r="D4" s="298"/>
      <c r="E4" s="913"/>
      <c r="F4" s="298"/>
      <c r="G4" s="915" t="s">
        <v>595</v>
      </c>
    </row>
    <row r="5" spans="1:7" ht="12.75" customHeight="1" x14ac:dyDescent="0.2">
      <c r="A5" s="137" t="s">
        <v>554</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1119</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c r="D9" s="744"/>
      <c r="E9" s="744"/>
      <c r="F9" s="517">
        <f>E9-C9</f>
        <v>0</v>
      </c>
      <c r="G9" s="917" t="str">
        <f t="shared" ref="G9:G49" si="0">IF(F9=0,"",F9/C9)</f>
        <v/>
      </c>
    </row>
    <row r="10" spans="1:7" ht="12.75" customHeight="1" x14ac:dyDescent="0.2">
      <c r="A10" s="399" t="str">
        <f>'SC6'!A10</f>
        <v>EPWP Incentive</v>
      </c>
      <c r="B10" s="170"/>
      <c r="C10" s="755"/>
      <c r="D10" s="743"/>
      <c r="E10" s="743"/>
      <c r="F10" s="45">
        <f t="shared" ref="F10:F15" si="1">C10-E10</f>
        <v>0</v>
      </c>
      <c r="G10" s="277" t="str">
        <f t="shared" si="0"/>
        <v/>
      </c>
    </row>
    <row r="11" spans="1:7" ht="12.75" customHeight="1" x14ac:dyDescent="0.2">
      <c r="A11" s="399" t="str">
        <f>'SC6'!A11</f>
        <v>Integrated National Electrification Programme</v>
      </c>
      <c r="B11" s="170"/>
      <c r="C11" s="755"/>
      <c r="D11" s="743"/>
      <c r="E11" s="743"/>
      <c r="F11" s="45">
        <f t="shared" si="1"/>
        <v>0</v>
      </c>
      <c r="G11" s="277" t="str">
        <f t="shared" si="0"/>
        <v/>
      </c>
    </row>
    <row r="12" spans="1:7" ht="12.75" customHeight="1" x14ac:dyDescent="0.2">
      <c r="A12" s="399" t="str">
        <f>'SC6'!A12</f>
        <v xml:space="preserve">Finance Management </v>
      </c>
      <c r="B12" s="170"/>
      <c r="C12" s="755"/>
      <c r="D12" s="743"/>
      <c r="E12" s="743"/>
      <c r="F12" s="45">
        <f t="shared" si="1"/>
        <v>0</v>
      </c>
      <c r="G12" s="277" t="str">
        <f t="shared" si="0"/>
        <v/>
      </c>
    </row>
    <row r="13" spans="1:7" ht="12.75" customHeight="1" x14ac:dyDescent="0.2">
      <c r="A13" s="399" t="str">
        <f>'SC6'!A13</f>
        <v>Municipal Infrastructure Grant (MIG)</v>
      </c>
      <c r="B13" s="170"/>
      <c r="C13" s="755"/>
      <c r="D13" s="743"/>
      <c r="E13" s="743"/>
      <c r="F13" s="45">
        <f t="shared" si="1"/>
        <v>0</v>
      </c>
      <c r="G13" s="277" t="str">
        <f t="shared" si="0"/>
        <v/>
      </c>
    </row>
    <row r="14" spans="1:7" ht="12.75" customHeight="1" x14ac:dyDescent="0.2">
      <c r="A14" s="399">
        <f>'SC6'!A14</f>
        <v>0</v>
      </c>
      <c r="B14" s="170"/>
      <c r="C14" s="755"/>
      <c r="D14" s="743"/>
      <c r="E14" s="743"/>
      <c r="F14" s="45">
        <f t="shared" si="1"/>
        <v>0</v>
      </c>
      <c r="G14" s="277" t="str">
        <f t="shared" si="0"/>
        <v/>
      </c>
    </row>
    <row r="15" spans="1:7" ht="12.75" customHeight="1" x14ac:dyDescent="0.2">
      <c r="A15" s="399" t="str">
        <f>'SC6'!A19</f>
        <v>Municipal Demarcation Transition Grant</v>
      </c>
      <c r="B15" s="170"/>
      <c r="C15" s="755"/>
      <c r="D15" s="743"/>
      <c r="E15" s="743"/>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f>'SC6'!A21</f>
        <v>0</v>
      </c>
      <c r="B17" s="170"/>
      <c r="C17" s="790"/>
      <c r="D17" s="744"/>
      <c r="E17" s="744"/>
      <c r="F17" s="517">
        <f>C17-E17</f>
        <v>0</v>
      </c>
      <c r="G17" s="917" t="str">
        <f t="shared" si="0"/>
        <v/>
      </c>
    </row>
    <row r="18" spans="1:7" ht="12.75" customHeight="1" x14ac:dyDescent="0.2">
      <c r="A18" s="399">
        <f>'SC6'!A23</f>
        <v>0</v>
      </c>
      <c r="B18" s="170"/>
      <c r="C18" s="755"/>
      <c r="D18" s="743"/>
      <c r="E18" s="743"/>
      <c r="F18" s="45">
        <f>C18-E18</f>
        <v>0</v>
      </c>
      <c r="G18" s="277" t="str">
        <f t="shared" si="0"/>
        <v/>
      </c>
    </row>
    <row r="19" spans="1:7" ht="12.75" customHeight="1" x14ac:dyDescent="0.2">
      <c r="A19" s="399">
        <f>'SC6'!A24</f>
        <v>0</v>
      </c>
      <c r="B19" s="170"/>
      <c r="C19" s="755"/>
      <c r="D19" s="743"/>
      <c r="E19" s="743"/>
      <c r="F19" s="45">
        <f>C19-E19</f>
        <v>0</v>
      </c>
      <c r="G19" s="277" t="str">
        <f t="shared" si="0"/>
        <v/>
      </c>
    </row>
    <row r="20" spans="1:7" ht="12.75" customHeight="1" x14ac:dyDescent="0.2">
      <c r="A20" s="399">
        <f>'SC6'!A25</f>
        <v>0</v>
      </c>
      <c r="B20" s="170"/>
      <c r="C20" s="755"/>
      <c r="D20" s="743"/>
      <c r="E20" s="743"/>
      <c r="F20" s="45">
        <f>C20-E20</f>
        <v>0</v>
      </c>
      <c r="G20" s="277" t="str">
        <f t="shared" si="0"/>
        <v/>
      </c>
    </row>
    <row r="21" spans="1:7" ht="12.75" customHeight="1" x14ac:dyDescent="0.2">
      <c r="A21" s="399" t="str">
        <f>'SC6'!A26</f>
        <v>Other transfers and grants [insert description]</v>
      </c>
      <c r="B21" s="170"/>
      <c r="C21" s="755"/>
      <c r="D21" s="743"/>
      <c r="E21" s="743"/>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c r="D23" s="747"/>
      <c r="E23" s="747"/>
      <c r="F23" s="517">
        <f>C23-E23</f>
        <v>0</v>
      </c>
      <c r="G23" s="917" t="str">
        <f t="shared" si="0"/>
        <v/>
      </c>
    </row>
    <row r="24" spans="1:7" ht="12.75" customHeight="1" x14ac:dyDescent="0.2">
      <c r="A24" s="401" t="str">
        <f>'SC6'!A28</f>
        <v>[insert description]</v>
      </c>
      <c r="B24" s="170"/>
      <c r="C24" s="755"/>
      <c r="D24" s="743"/>
      <c r="E24" s="743"/>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c r="D26" s="747"/>
      <c r="E26" s="747"/>
      <c r="F26" s="517">
        <f>C26-E26</f>
        <v>0</v>
      </c>
      <c r="G26" s="917" t="str">
        <f t="shared" si="0"/>
        <v/>
      </c>
    </row>
    <row r="27" spans="1:7" ht="12.75" customHeight="1" x14ac:dyDescent="0.2">
      <c r="A27" s="401" t="str">
        <f>'SC6'!A31</f>
        <v>[insert description]</v>
      </c>
      <c r="B27" s="170"/>
      <c r="C27" s="755"/>
      <c r="D27" s="743"/>
      <c r="E27" s="743"/>
      <c r="F27" s="45">
        <f>C27-E27</f>
        <v>0</v>
      </c>
      <c r="G27" s="277" t="str">
        <f t="shared" si="0"/>
        <v/>
      </c>
    </row>
    <row r="28" spans="1:7" ht="12.75" customHeight="1" x14ac:dyDescent="0.2">
      <c r="A28" s="567" t="s">
        <v>1120</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1121</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Municipal Infrastructure Grant (MIG)</v>
      </c>
      <c r="B32" s="170"/>
      <c r="C32" s="790"/>
      <c r="D32" s="744"/>
      <c r="E32" s="744"/>
      <c r="F32" s="517">
        <f t="shared" ref="F32:F37" si="2">C32-E32</f>
        <v>0</v>
      </c>
      <c r="G32" s="917" t="str">
        <f t="shared" si="0"/>
        <v/>
      </c>
    </row>
    <row r="33" spans="1:7" ht="12.75" customHeight="1" x14ac:dyDescent="0.2">
      <c r="A33" s="399">
        <f>'SC6'!A47</f>
        <v>0</v>
      </c>
      <c r="B33" s="170"/>
      <c r="C33" s="755"/>
      <c r="D33" s="743"/>
      <c r="E33" s="743"/>
      <c r="F33" s="45">
        <f t="shared" si="2"/>
        <v>0</v>
      </c>
      <c r="G33" s="277" t="str">
        <f t="shared" si="0"/>
        <v/>
      </c>
    </row>
    <row r="34" spans="1:7" ht="12.75" customHeight="1" x14ac:dyDescent="0.2">
      <c r="A34" s="399">
        <f>'SC6'!A48</f>
        <v>0</v>
      </c>
      <c r="B34" s="170"/>
      <c r="C34" s="755"/>
      <c r="D34" s="743"/>
      <c r="E34" s="743"/>
      <c r="F34" s="45">
        <f t="shared" si="2"/>
        <v>0</v>
      </c>
      <c r="G34" s="277" t="str">
        <f t="shared" si="0"/>
        <v/>
      </c>
    </row>
    <row r="35" spans="1:7" ht="12.75" customHeight="1" x14ac:dyDescent="0.2">
      <c r="A35" s="399">
        <f>'SC6'!A49</f>
        <v>0</v>
      </c>
      <c r="B35" s="170"/>
      <c r="C35" s="755"/>
      <c r="D35" s="743"/>
      <c r="E35" s="743"/>
      <c r="F35" s="45">
        <f t="shared" si="2"/>
        <v>0</v>
      </c>
      <c r="G35" s="277" t="str">
        <f t="shared" si="0"/>
        <v/>
      </c>
    </row>
    <row r="36" spans="1:7" ht="12.75" customHeight="1" x14ac:dyDescent="0.2">
      <c r="A36" s="399">
        <f>'SC6'!A50</f>
        <v>0</v>
      </c>
      <c r="B36" s="170"/>
      <c r="C36" s="755"/>
      <c r="D36" s="743"/>
      <c r="E36" s="743"/>
      <c r="F36" s="45">
        <f t="shared" si="2"/>
        <v>0</v>
      </c>
      <c r="G36" s="277" t="str">
        <f t="shared" si="0"/>
        <v/>
      </c>
    </row>
    <row r="37" spans="1:7" ht="12.75" customHeight="1" x14ac:dyDescent="0.2">
      <c r="A37" s="399" t="str">
        <f>'SC6'!A51</f>
        <v>Other capital transfers [insert description]</v>
      </c>
      <c r="B37" s="170"/>
      <c r="C37" s="755"/>
      <c r="D37" s="743"/>
      <c r="E37" s="743"/>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c r="D39" s="747"/>
      <c r="E39" s="747"/>
      <c r="F39" s="517">
        <f>C39-E39</f>
        <v>0</v>
      </c>
      <c r="G39" s="917" t="str">
        <f t="shared" si="0"/>
        <v/>
      </c>
    </row>
    <row r="40" spans="1:7" ht="12.75" customHeight="1" x14ac:dyDescent="0.2">
      <c r="A40" s="399">
        <f>'SC6'!A58</f>
        <v>0</v>
      </c>
      <c r="B40" s="170"/>
      <c r="C40" s="755"/>
      <c r="D40" s="743"/>
      <c r="E40" s="743"/>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c r="D42" s="747"/>
      <c r="E42" s="747"/>
      <c r="F42" s="517">
        <f>C42-E42</f>
        <v>0</v>
      </c>
      <c r="G42" s="917" t="str">
        <f t="shared" si="0"/>
        <v/>
      </c>
    </row>
    <row r="43" spans="1:7" ht="12.75" customHeight="1" x14ac:dyDescent="0.2">
      <c r="A43" s="401">
        <f>'SC6'!A61</f>
        <v>0</v>
      </c>
      <c r="B43" s="170"/>
      <c r="C43" s="755"/>
      <c r="D43" s="743"/>
      <c r="E43" s="743"/>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c r="D45" s="747"/>
      <c r="E45" s="747"/>
      <c r="F45" s="517">
        <f>C45-E45</f>
        <v>0</v>
      </c>
      <c r="G45" s="917" t="str">
        <f t="shared" si="0"/>
        <v/>
      </c>
    </row>
    <row r="46" spans="1:7" ht="12.75" customHeight="1" x14ac:dyDescent="0.2">
      <c r="A46" s="401">
        <f>'SC6'!A68</f>
        <v>0</v>
      </c>
      <c r="B46" s="170"/>
      <c r="C46" s="755"/>
      <c r="D46" s="743"/>
      <c r="E46" s="743"/>
      <c r="F46" s="45">
        <f>C46-E46</f>
        <v>0</v>
      </c>
      <c r="G46" s="277" t="str">
        <f t="shared" si="0"/>
        <v/>
      </c>
    </row>
    <row r="47" spans="1:7" ht="12.75" customHeight="1" x14ac:dyDescent="0.2">
      <c r="A47" s="566" t="s">
        <v>1122</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1123</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6" activePane="bottomRight" state="frozen"/>
      <selection pane="topRight"/>
      <selection pane="bottomLeft"/>
      <selection pane="bottomRight" activeCell="C7" sqref="C7:K106"/>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"&amp;S71N&amp; " - "&amp;Head57</f>
        <v>LIM354 Polokwane - Supporting Table SC8 Monthly Budget Statement - councillor and staff benefits  - M04 October</v>
      </c>
      <c r="B1" s="1024"/>
      <c r="C1" s="1024"/>
      <c r="D1" s="1024"/>
      <c r="E1" s="1024"/>
      <c r="F1" s="1024"/>
      <c r="G1" s="1024"/>
      <c r="H1" s="1024"/>
      <c r="I1" s="1024"/>
      <c r="J1" s="1024"/>
      <c r="K1" s="1024"/>
    </row>
    <row r="2" spans="1:11" x14ac:dyDescent="0.2">
      <c r="A2" s="1013" t="s">
        <v>671</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568"/>
      <c r="B5" s="237">
        <v>1</v>
      </c>
      <c r="C5" s="569" t="s">
        <v>600</v>
      </c>
      <c r="D5" s="570" t="s">
        <v>555</v>
      </c>
      <c r="E5" s="571" t="s">
        <v>489</v>
      </c>
      <c r="F5" s="572"/>
      <c r="G5" s="572"/>
      <c r="H5" s="572"/>
      <c r="I5" s="572"/>
      <c r="J5" s="572"/>
      <c r="K5" s="573" t="s">
        <v>627</v>
      </c>
    </row>
    <row r="6" spans="1:11" ht="12.75" customHeight="1" x14ac:dyDescent="0.2">
      <c r="A6" s="575" t="s">
        <v>436</v>
      </c>
      <c r="B6" s="170"/>
      <c r="C6" s="41"/>
      <c r="D6" s="105"/>
      <c r="E6" s="104"/>
      <c r="F6" s="104"/>
      <c r="G6" s="104"/>
      <c r="H6" s="104"/>
      <c r="I6" s="104"/>
      <c r="J6" s="104"/>
      <c r="K6" s="267"/>
    </row>
    <row r="7" spans="1:11" ht="12.75" customHeight="1" x14ac:dyDescent="0.2">
      <c r="A7" s="521" t="s">
        <v>504</v>
      </c>
      <c r="B7" s="170"/>
      <c r="C7" s="758">
        <v>12646824.890000001</v>
      </c>
      <c r="D7" s="755">
        <v>22665572.727000006</v>
      </c>
      <c r="E7" s="743"/>
      <c r="F7" s="743">
        <v>1659987.56</v>
      </c>
      <c r="G7" s="743">
        <v>6602010.25</v>
      </c>
      <c r="H7" s="743">
        <f t="shared" ref="H7:H13" si="0">D7/12*4</f>
        <v>7555190.9090000018</v>
      </c>
      <c r="I7" s="45">
        <f t="shared" ref="I7:I14" si="1">G7-H7</f>
        <v>-953180.65900000185</v>
      </c>
      <c r="J7" s="333">
        <f t="shared" ref="J7:J14" si="2">IF(I7=0,"",I7/H7)</f>
        <v>-0.12616235254420116</v>
      </c>
      <c r="K7" s="745">
        <f>D7</f>
        <v>22665572.727000006</v>
      </c>
    </row>
    <row r="8" spans="1:11" ht="12.75" customHeight="1" x14ac:dyDescent="0.2">
      <c r="A8" s="521" t="s">
        <v>1071</v>
      </c>
      <c r="B8" s="170"/>
      <c r="C8" s="758">
        <v>1893751.98</v>
      </c>
      <c r="D8" s="755">
        <v>3257647.6500000008</v>
      </c>
      <c r="E8" s="743"/>
      <c r="F8" s="743">
        <v>248644.91999999998</v>
      </c>
      <c r="G8" s="743">
        <v>989056.91999999993</v>
      </c>
      <c r="H8" s="743">
        <f t="shared" si="0"/>
        <v>1085882.5500000003</v>
      </c>
      <c r="I8" s="45">
        <f t="shared" si="1"/>
        <v>-96825.630000000354</v>
      </c>
      <c r="J8" s="333">
        <f t="shared" si="2"/>
        <v>-8.9167682084955069E-2</v>
      </c>
      <c r="K8" s="745">
        <f t="shared" ref="K8:K13" si="3">D8</f>
        <v>3257647.6500000008</v>
      </c>
    </row>
    <row r="9" spans="1:11" ht="12.75" customHeight="1" x14ac:dyDescent="0.2">
      <c r="A9" s="521" t="s">
        <v>437</v>
      </c>
      <c r="B9" s="170"/>
      <c r="C9" s="758">
        <v>268069.68</v>
      </c>
      <c r="D9" s="755">
        <v>676216.93</v>
      </c>
      <c r="E9" s="743"/>
      <c r="F9" s="743">
        <v>39026.01</v>
      </c>
      <c r="G9" s="743">
        <v>157924.23000000001</v>
      </c>
      <c r="H9" s="743">
        <f t="shared" si="0"/>
        <v>225405.64333333334</v>
      </c>
      <c r="I9" s="45">
        <f t="shared" si="1"/>
        <v>-67481.41333333333</v>
      </c>
      <c r="J9" s="333">
        <f t="shared" si="2"/>
        <v>-0.29937765681199374</v>
      </c>
      <c r="K9" s="745">
        <f t="shared" si="3"/>
        <v>676216.93</v>
      </c>
    </row>
    <row r="10" spans="1:11" ht="12.75" customHeight="1" x14ac:dyDescent="0.2">
      <c r="A10" s="521" t="s">
        <v>1072</v>
      </c>
      <c r="B10" s="170"/>
      <c r="C10" s="758">
        <v>4503128.1099999994</v>
      </c>
      <c r="D10" s="755">
        <v>8917694.3520000018</v>
      </c>
      <c r="E10" s="743"/>
      <c r="F10" s="743">
        <v>590976.49</v>
      </c>
      <c r="G10" s="743">
        <v>2349923.63</v>
      </c>
      <c r="H10" s="743">
        <f t="shared" si="0"/>
        <v>2972564.7840000005</v>
      </c>
      <c r="I10" s="45">
        <f>G10-H10</f>
        <v>-622641.15400000056</v>
      </c>
      <c r="J10" s="333">
        <f>IF(I10=0,"",I10/H10)</f>
        <v>-0.20946260190909954</v>
      </c>
      <c r="K10" s="745">
        <f t="shared" si="3"/>
        <v>8917694.3520000018</v>
      </c>
    </row>
    <row r="11" spans="1:11" ht="12.75" customHeight="1" x14ac:dyDescent="0.2">
      <c r="A11" s="40" t="s">
        <v>1073</v>
      </c>
      <c r="B11" s="170"/>
      <c r="C11" s="758">
        <v>1293481.02</v>
      </c>
      <c r="D11" s="755">
        <v>2237546.4210000001</v>
      </c>
      <c r="E11" s="743"/>
      <c r="F11" s="743">
        <v>175800</v>
      </c>
      <c r="G11" s="743">
        <v>702745</v>
      </c>
      <c r="H11" s="743">
        <f t="shared" si="0"/>
        <v>745848.80700000003</v>
      </c>
      <c r="I11" s="45">
        <f>G11-H11</f>
        <v>-43103.80700000003</v>
      </c>
      <c r="J11" s="333">
        <f>IF(I11=0,"",I11/H11)</f>
        <v>-5.7791614862769403E-2</v>
      </c>
      <c r="K11" s="745">
        <f t="shared" si="3"/>
        <v>2237546.4210000001</v>
      </c>
    </row>
    <row r="12" spans="1:11" ht="12.75" customHeight="1" x14ac:dyDescent="0.2">
      <c r="A12" s="40" t="s">
        <v>1074</v>
      </c>
      <c r="B12" s="170"/>
      <c r="C12" s="758">
        <v>0</v>
      </c>
      <c r="D12" s="755">
        <v>0</v>
      </c>
      <c r="E12" s="743"/>
      <c r="F12" s="743"/>
      <c r="G12" s="743">
        <v>0</v>
      </c>
      <c r="H12" s="743">
        <f t="shared" si="0"/>
        <v>0</v>
      </c>
      <c r="I12" s="45">
        <f>G12-H12</f>
        <v>0</v>
      </c>
      <c r="J12" s="333" t="str">
        <f>IF(I12=0,"",I12/H12)</f>
        <v/>
      </c>
      <c r="K12" s="745">
        <f t="shared" si="3"/>
        <v>0</v>
      </c>
    </row>
    <row r="13" spans="1:11" ht="12.75" customHeight="1" x14ac:dyDescent="0.2">
      <c r="A13" s="40" t="s">
        <v>1075</v>
      </c>
      <c r="B13" s="170"/>
      <c r="C13" s="758">
        <v>380925.20999999996</v>
      </c>
      <c r="D13" s="755">
        <v>397321.9200000001</v>
      </c>
      <c r="E13" s="743"/>
      <c r="F13" s="743">
        <v>48392.54</v>
      </c>
      <c r="G13" s="743">
        <v>193144.33</v>
      </c>
      <c r="H13" s="743">
        <f t="shared" si="0"/>
        <v>132440.64000000004</v>
      </c>
      <c r="I13" s="45">
        <f t="shared" si="1"/>
        <v>60703.689999999944</v>
      </c>
      <c r="J13" s="333">
        <f t="shared" si="2"/>
        <v>0.45834639578908654</v>
      </c>
      <c r="K13" s="745">
        <f t="shared" si="3"/>
        <v>397321.9200000001</v>
      </c>
    </row>
    <row r="14" spans="1:11" ht="12.75" customHeight="1" x14ac:dyDescent="0.2">
      <c r="A14" s="88" t="s">
        <v>438</v>
      </c>
      <c r="B14" s="170"/>
      <c r="C14" s="519">
        <f t="shared" ref="C14:K14" si="4">SUM(C7:C13)</f>
        <v>20986180.890000001</v>
      </c>
      <c r="D14" s="478">
        <f t="shared" si="4"/>
        <v>38152000.000000015</v>
      </c>
      <c r="E14" s="433">
        <f t="shared" si="4"/>
        <v>0</v>
      </c>
      <c r="F14" s="433">
        <f t="shared" si="4"/>
        <v>2762827.52</v>
      </c>
      <c r="G14" s="433">
        <f t="shared" si="4"/>
        <v>10994804.360000001</v>
      </c>
      <c r="H14" s="433">
        <f t="shared" si="4"/>
        <v>12717333.333333336</v>
      </c>
      <c r="I14" s="433">
        <f t="shared" si="1"/>
        <v>-1722528.9733333346</v>
      </c>
      <c r="J14" s="434">
        <f t="shared" si="2"/>
        <v>-0.13544734011323137</v>
      </c>
      <c r="K14" s="516">
        <f t="shared" si="4"/>
        <v>38152000.000000015</v>
      </c>
    </row>
    <row r="15" spans="1:11" ht="12.75" customHeight="1" x14ac:dyDescent="0.2">
      <c r="A15" s="574" t="s">
        <v>745</v>
      </c>
      <c r="B15" s="170">
        <v>4</v>
      </c>
      <c r="C15" s="174"/>
      <c r="D15" s="306">
        <f>IF(D14=0,"",(D14/C14)-1)</f>
        <v>0.81795821736100627</v>
      </c>
      <c r="E15" s="306" t="str">
        <f>IF(E14=0,"",(E14/C14)-1)</f>
        <v/>
      </c>
      <c r="F15" s="306"/>
      <c r="G15" s="306"/>
      <c r="H15" s="306"/>
      <c r="I15" s="306"/>
      <c r="J15" s="347"/>
      <c r="K15" s="315">
        <f>IF(K14=0,"",(K14/C14)-1)</f>
        <v>0.81795821736100627</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526</v>
      </c>
      <c r="B17" s="170">
        <v>3</v>
      </c>
      <c r="C17" s="41"/>
      <c r="D17" s="105"/>
      <c r="E17" s="104"/>
      <c r="F17" s="104"/>
      <c r="G17" s="104"/>
      <c r="H17" s="104"/>
      <c r="I17" s="104"/>
      <c r="J17" s="333"/>
      <c r="K17" s="267"/>
    </row>
    <row r="18" spans="1:11" ht="12.75" customHeight="1" x14ac:dyDescent="0.2">
      <c r="A18" s="40" t="s">
        <v>504</v>
      </c>
      <c r="B18" s="170"/>
      <c r="C18" s="758">
        <v>3594863.64</v>
      </c>
      <c r="D18" s="755">
        <v>12006952.150571395</v>
      </c>
      <c r="E18" s="743"/>
      <c r="F18" s="743">
        <v>609126.30000000005</v>
      </c>
      <c r="G18" s="743">
        <v>2168052.7442000001</v>
      </c>
      <c r="H18" s="743">
        <f t="shared" ref="H18:H29" si="5">D18/12*4</f>
        <v>4002317.3835237981</v>
      </c>
      <c r="I18" s="45">
        <f t="shared" ref="I18:I30" si="6">G18-H18</f>
        <v>-1834264.639323798</v>
      </c>
      <c r="J18" s="333">
        <f t="shared" ref="J18:J29" si="7">IF(I18=0,"",I18/H18)</f>
        <v>-0.45830064523989328</v>
      </c>
      <c r="K18" s="745">
        <f>D18</f>
        <v>12006952.150571395</v>
      </c>
    </row>
    <row r="19" spans="1:11" ht="12.75" customHeight="1" x14ac:dyDescent="0.2">
      <c r="A19" s="40" t="s">
        <v>1071</v>
      </c>
      <c r="B19" s="170"/>
      <c r="C19" s="758">
        <v>718089.03</v>
      </c>
      <c r="D19" s="755">
        <v>1136449.0594286053</v>
      </c>
      <c r="E19" s="743"/>
      <c r="F19" s="743">
        <v>81488.899999999994</v>
      </c>
      <c r="G19" s="743">
        <v>307765.69999999995</v>
      </c>
      <c r="H19" s="743">
        <f t="shared" si="5"/>
        <v>378816.35314286844</v>
      </c>
      <c r="I19" s="45">
        <f t="shared" si="6"/>
        <v>-71050.653142868483</v>
      </c>
      <c r="J19" s="333">
        <f t="shared" si="7"/>
        <v>-0.18755962500930401</v>
      </c>
      <c r="K19" s="745">
        <f t="shared" ref="K19:K29" si="8">D19</f>
        <v>1136449.0594286053</v>
      </c>
    </row>
    <row r="20" spans="1:11" ht="12.75" customHeight="1" x14ac:dyDescent="0.2">
      <c r="A20" s="40" t="s">
        <v>437</v>
      </c>
      <c r="B20" s="170"/>
      <c r="C20" s="758">
        <v>120495.6</v>
      </c>
      <c r="D20" s="755">
        <v>203363.34</v>
      </c>
      <c r="E20" s="743"/>
      <c r="F20" s="743">
        <v>14462.2</v>
      </c>
      <c r="G20" s="743">
        <v>48366.399999999994</v>
      </c>
      <c r="H20" s="743">
        <f t="shared" si="5"/>
        <v>67787.78</v>
      </c>
      <c r="I20" s="45">
        <f t="shared" si="6"/>
        <v>-19421.380000000005</v>
      </c>
      <c r="J20" s="333">
        <f t="shared" si="7"/>
        <v>-0.28650267054032458</v>
      </c>
      <c r="K20" s="745">
        <f t="shared" si="8"/>
        <v>203363.34</v>
      </c>
    </row>
    <row r="21" spans="1:11" ht="12.75" customHeight="1" x14ac:dyDescent="0.2">
      <c r="A21" s="40" t="s">
        <v>559</v>
      </c>
      <c r="B21" s="170"/>
      <c r="C21" s="758">
        <v>0</v>
      </c>
      <c r="D21" s="755">
        <v>0</v>
      </c>
      <c r="E21" s="743"/>
      <c r="F21" s="743"/>
      <c r="G21" s="743">
        <v>0</v>
      </c>
      <c r="H21" s="743">
        <f t="shared" si="5"/>
        <v>0</v>
      </c>
      <c r="I21" s="45">
        <f t="shared" si="6"/>
        <v>0</v>
      </c>
      <c r="J21" s="333" t="str">
        <f t="shared" si="7"/>
        <v/>
      </c>
      <c r="K21" s="745">
        <f t="shared" si="8"/>
        <v>0</v>
      </c>
    </row>
    <row r="22" spans="1:11" ht="12.75" customHeight="1" x14ac:dyDescent="0.2">
      <c r="A22" s="40" t="s">
        <v>439</v>
      </c>
      <c r="B22" s="170"/>
      <c r="C22" s="758">
        <v>0</v>
      </c>
      <c r="D22" s="755">
        <v>0</v>
      </c>
      <c r="E22" s="743"/>
      <c r="F22" s="743"/>
      <c r="G22" s="743">
        <v>0</v>
      </c>
      <c r="H22" s="743">
        <f t="shared" si="5"/>
        <v>0</v>
      </c>
      <c r="I22" s="45">
        <f>G22-H22</f>
        <v>0</v>
      </c>
      <c r="J22" s="333" t="str">
        <f>IF(I22=0,"",I22/H22)</f>
        <v/>
      </c>
      <c r="K22" s="745">
        <f t="shared" si="8"/>
        <v>0</v>
      </c>
    </row>
    <row r="23" spans="1:11" ht="12.75" customHeight="1" x14ac:dyDescent="0.2">
      <c r="A23" s="40" t="s">
        <v>1072</v>
      </c>
      <c r="B23" s="170"/>
      <c r="C23" s="758">
        <v>556691</v>
      </c>
      <c r="D23" s="755">
        <v>1354500</v>
      </c>
      <c r="E23" s="743"/>
      <c r="F23" s="743">
        <v>100319.82</v>
      </c>
      <c r="G23" s="743">
        <v>355459.46</v>
      </c>
      <c r="H23" s="743">
        <f t="shared" si="5"/>
        <v>451500</v>
      </c>
      <c r="I23" s="45">
        <f>G23-H23</f>
        <v>-96040.539999999979</v>
      </c>
      <c r="J23" s="333">
        <f>IF(I23=0,"",I23/H23)</f>
        <v>-0.21271437430786264</v>
      </c>
      <c r="K23" s="745">
        <f t="shared" si="8"/>
        <v>1354500</v>
      </c>
    </row>
    <row r="24" spans="1:11" ht="12.75" customHeight="1" x14ac:dyDescent="0.2">
      <c r="A24" s="40" t="s">
        <v>1073</v>
      </c>
      <c r="B24" s="170"/>
      <c r="C24" s="758">
        <v>0</v>
      </c>
      <c r="D24" s="755">
        <v>0</v>
      </c>
      <c r="E24" s="743"/>
      <c r="F24" s="743"/>
      <c r="G24" s="743">
        <v>0</v>
      </c>
      <c r="H24" s="743">
        <f t="shared" si="5"/>
        <v>0</v>
      </c>
      <c r="I24" s="45">
        <f>G24-H24</f>
        <v>0</v>
      </c>
      <c r="J24" s="333" t="str">
        <f>IF(I24=0,"",I24/H24)</f>
        <v/>
      </c>
      <c r="K24" s="745">
        <f t="shared" si="8"/>
        <v>0</v>
      </c>
    </row>
    <row r="25" spans="1:11" ht="12.75" customHeight="1" x14ac:dyDescent="0.2">
      <c r="A25" s="40" t="s">
        <v>1074</v>
      </c>
      <c r="B25" s="170"/>
      <c r="C25" s="758">
        <v>42000</v>
      </c>
      <c r="D25" s="755">
        <v>0</v>
      </c>
      <c r="E25" s="743"/>
      <c r="F25" s="743"/>
      <c r="G25" s="743"/>
      <c r="H25" s="743">
        <f t="shared" si="5"/>
        <v>0</v>
      </c>
      <c r="I25" s="45">
        <f>G25-H25</f>
        <v>0</v>
      </c>
      <c r="J25" s="333" t="str">
        <f>IF(I25=0,"",I25/H25)</f>
        <v/>
      </c>
      <c r="K25" s="745">
        <f t="shared" si="8"/>
        <v>0</v>
      </c>
    </row>
    <row r="26" spans="1:11" ht="12.75" customHeight="1" x14ac:dyDescent="0.2">
      <c r="A26" s="40" t="s">
        <v>1075</v>
      </c>
      <c r="B26" s="170"/>
      <c r="C26" s="758">
        <v>1506349.39</v>
      </c>
      <c r="D26" s="755">
        <v>419428.45</v>
      </c>
      <c r="E26" s="743"/>
      <c r="F26" s="743">
        <v>85478.45</v>
      </c>
      <c r="G26" s="743">
        <v>683514.41999999993</v>
      </c>
      <c r="H26" s="743">
        <f t="shared" si="5"/>
        <v>139809.48333333334</v>
      </c>
      <c r="I26" s="45">
        <f t="shared" si="6"/>
        <v>543704.93666666653</v>
      </c>
      <c r="J26" s="333">
        <f t="shared" si="7"/>
        <v>3.8888988336389665</v>
      </c>
      <c r="K26" s="745">
        <f t="shared" si="8"/>
        <v>419428.45</v>
      </c>
    </row>
    <row r="27" spans="1:11" ht="12.75" customHeight="1" x14ac:dyDescent="0.2">
      <c r="A27" s="40" t="s">
        <v>1076</v>
      </c>
      <c r="B27" s="170"/>
      <c r="C27" s="758"/>
      <c r="D27" s="755">
        <v>0</v>
      </c>
      <c r="E27" s="743"/>
      <c r="F27" s="743"/>
      <c r="G27" s="743">
        <v>0</v>
      </c>
      <c r="H27" s="743">
        <f t="shared" si="5"/>
        <v>0</v>
      </c>
      <c r="I27" s="45">
        <f t="shared" si="6"/>
        <v>0</v>
      </c>
      <c r="J27" s="333" t="str">
        <f t="shared" si="7"/>
        <v/>
      </c>
      <c r="K27" s="745">
        <f t="shared" si="8"/>
        <v>0</v>
      </c>
    </row>
    <row r="28" spans="1:11" ht="12.75" customHeight="1" x14ac:dyDescent="0.2">
      <c r="A28" s="40" t="s">
        <v>1077</v>
      </c>
      <c r="B28" s="170"/>
      <c r="C28" s="758"/>
      <c r="D28" s="755"/>
      <c r="E28" s="743"/>
      <c r="F28" s="743"/>
      <c r="G28" s="743">
        <v>0</v>
      </c>
      <c r="H28" s="743">
        <f t="shared" si="5"/>
        <v>0</v>
      </c>
      <c r="I28" s="45">
        <f t="shared" si="6"/>
        <v>0</v>
      </c>
      <c r="J28" s="333" t="str">
        <f t="shared" si="7"/>
        <v/>
      </c>
      <c r="K28" s="745">
        <f t="shared" si="8"/>
        <v>0</v>
      </c>
    </row>
    <row r="29" spans="1:11" ht="12.75" customHeight="1" x14ac:dyDescent="0.2">
      <c r="A29" s="40" t="s">
        <v>1078</v>
      </c>
      <c r="B29" s="170">
        <v>2</v>
      </c>
      <c r="C29" s="758"/>
      <c r="D29" s="755"/>
      <c r="E29" s="743"/>
      <c r="F29" s="743"/>
      <c r="G29" s="743">
        <v>0</v>
      </c>
      <c r="H29" s="743">
        <f t="shared" si="5"/>
        <v>0</v>
      </c>
      <c r="I29" s="45">
        <f t="shared" si="6"/>
        <v>0</v>
      </c>
      <c r="J29" s="333" t="str">
        <f t="shared" si="7"/>
        <v/>
      </c>
      <c r="K29" s="745">
        <f t="shared" si="8"/>
        <v>0</v>
      </c>
    </row>
    <row r="30" spans="1:11" ht="12.75" customHeight="1" x14ac:dyDescent="0.2">
      <c r="A30" s="88" t="s">
        <v>440</v>
      </c>
      <c r="B30" s="170"/>
      <c r="C30" s="519">
        <f t="shared" ref="C30:K30" si="9">SUM(C18:C29)</f>
        <v>6538488.6599999992</v>
      </c>
      <c r="D30" s="478">
        <f t="shared" si="9"/>
        <v>15120693</v>
      </c>
      <c r="E30" s="433">
        <f t="shared" si="9"/>
        <v>0</v>
      </c>
      <c r="F30" s="433">
        <f>SUM(F18:F29)</f>
        <v>890875.66999999993</v>
      </c>
      <c r="G30" s="433">
        <f>SUM(G18:G29)</f>
        <v>3563158.7241999996</v>
      </c>
      <c r="H30" s="433">
        <f>SUM(H18:H29)</f>
        <v>5040231</v>
      </c>
      <c r="I30" s="433">
        <f t="shared" si="6"/>
        <v>-1477072.2758000004</v>
      </c>
      <c r="J30" s="434">
        <f>IF(I30=0,"",I30/H30)</f>
        <v>-0.29305646423745269</v>
      </c>
      <c r="K30" s="516">
        <f t="shared" si="9"/>
        <v>15120693</v>
      </c>
    </row>
    <row r="31" spans="1:11" ht="12.75" customHeight="1" x14ac:dyDescent="0.2">
      <c r="A31" s="574" t="s">
        <v>745</v>
      </c>
      <c r="B31" s="170">
        <v>4</v>
      </c>
      <c r="C31" s="174"/>
      <c r="D31" s="306">
        <f>IF(D30=0,"",(D30/C30)-1)</f>
        <v>1.3125669839427392</v>
      </c>
      <c r="E31" s="306" t="str">
        <f>IF(E30=0,"",(E30/C30)-1)</f>
        <v/>
      </c>
      <c r="F31" s="306"/>
      <c r="G31" s="306"/>
      <c r="H31" s="306"/>
      <c r="I31" s="306"/>
      <c r="J31" s="347"/>
      <c r="K31" s="315">
        <f>IF(K30=0,"",(K30/C30)-1)</f>
        <v>1.3125669839427392</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441</v>
      </c>
      <c r="B33" s="170"/>
      <c r="C33" s="41"/>
      <c r="D33" s="105"/>
      <c r="E33" s="104"/>
      <c r="F33" s="104"/>
      <c r="G33" s="104"/>
      <c r="H33" s="104"/>
      <c r="I33" s="104"/>
      <c r="J33" s="333"/>
      <c r="K33" s="267"/>
    </row>
    <row r="34" spans="1:11" ht="12.75" customHeight="1" x14ac:dyDescent="0.2">
      <c r="A34" s="521" t="s">
        <v>504</v>
      </c>
      <c r="B34" s="170"/>
      <c r="C34" s="758">
        <v>319261961.13999999</v>
      </c>
      <c r="D34" s="755">
        <v>473117006.63999999</v>
      </c>
      <c r="E34" s="743"/>
      <c r="F34" s="743">
        <v>32303284.510000002</v>
      </c>
      <c r="G34" s="743">
        <v>128963420.59000002</v>
      </c>
      <c r="H34" s="743">
        <f t="shared" ref="H34:H45" si="10">D34/12*4</f>
        <v>157705668.88</v>
      </c>
      <c r="I34" s="45">
        <f t="shared" ref="I34:I46" si="11">G34-H34</f>
        <v>-28742248.289999977</v>
      </c>
      <c r="J34" s="333">
        <f t="shared" ref="J34:J45" si="12">IF(I34=0,"",I34/H34)</f>
        <v>-0.18225247382749618</v>
      </c>
      <c r="K34" s="745">
        <f>D34</f>
        <v>473117006.63999999</v>
      </c>
    </row>
    <row r="35" spans="1:11" ht="12.75" customHeight="1" x14ac:dyDescent="0.2">
      <c r="A35" s="521" t="s">
        <v>1071</v>
      </c>
      <c r="B35" s="170"/>
      <c r="C35" s="758">
        <v>61990229.110000014</v>
      </c>
      <c r="D35" s="755">
        <v>100924684.24239998</v>
      </c>
      <c r="E35" s="743"/>
      <c r="F35" s="743">
        <v>6706328.4099999992</v>
      </c>
      <c r="G35" s="743">
        <v>26843840.300000001</v>
      </c>
      <c r="H35" s="743">
        <f t="shared" si="10"/>
        <v>33641561.414133325</v>
      </c>
      <c r="I35" s="45">
        <f t="shared" si="11"/>
        <v>-6797721.1141333245</v>
      </c>
      <c r="J35" s="333">
        <f t="shared" si="12"/>
        <v>-0.20206318697435666</v>
      </c>
      <c r="K35" s="745">
        <f t="shared" ref="K35:K45" si="13">D35</f>
        <v>100924684.24239998</v>
      </c>
    </row>
    <row r="36" spans="1:11" ht="12.75" customHeight="1" x14ac:dyDescent="0.2">
      <c r="A36" s="521" t="s">
        <v>437</v>
      </c>
      <c r="B36" s="170"/>
      <c r="C36" s="758">
        <v>21470861.509999998</v>
      </c>
      <c r="D36" s="755">
        <v>28142642.409999996</v>
      </c>
      <c r="E36" s="743"/>
      <c r="F36" s="743">
        <v>2330179.6500000004</v>
      </c>
      <c r="G36" s="743">
        <v>9234762.290000001</v>
      </c>
      <c r="H36" s="743">
        <f t="shared" si="10"/>
        <v>9380880.8033333328</v>
      </c>
      <c r="I36" s="45">
        <f t="shared" si="11"/>
        <v>-146118.51333333179</v>
      </c>
      <c r="J36" s="333">
        <f t="shared" si="12"/>
        <v>-1.5576204025682867E-2</v>
      </c>
      <c r="K36" s="745">
        <f t="shared" si="13"/>
        <v>28142642.409999996</v>
      </c>
    </row>
    <row r="37" spans="1:11" ht="12.75" customHeight="1" x14ac:dyDescent="0.2">
      <c r="A37" s="521" t="s">
        <v>559</v>
      </c>
      <c r="B37" s="170"/>
      <c r="C37" s="758">
        <v>40839727.840000004</v>
      </c>
      <c r="D37" s="755">
        <v>39678590</v>
      </c>
      <c r="E37" s="743"/>
      <c r="F37" s="743">
        <v>5821000.2999999998</v>
      </c>
      <c r="G37" s="743">
        <v>20995288.620000001</v>
      </c>
      <c r="H37" s="743">
        <f t="shared" si="10"/>
        <v>13226196.666666666</v>
      </c>
      <c r="I37" s="45">
        <f t="shared" si="11"/>
        <v>7769091.953333335</v>
      </c>
      <c r="J37" s="333">
        <f t="shared" si="12"/>
        <v>0.58740181694964477</v>
      </c>
      <c r="K37" s="745">
        <f t="shared" si="13"/>
        <v>39678590</v>
      </c>
    </row>
    <row r="38" spans="1:11" ht="12.75" customHeight="1" x14ac:dyDescent="0.2">
      <c r="A38" s="521" t="s">
        <v>439</v>
      </c>
      <c r="B38" s="170"/>
      <c r="C38" s="758">
        <v>0</v>
      </c>
      <c r="D38" s="755"/>
      <c r="E38" s="743"/>
      <c r="F38" s="743">
        <v>0</v>
      </c>
      <c r="G38" s="743">
        <v>0</v>
      </c>
      <c r="H38" s="743">
        <f t="shared" si="10"/>
        <v>0</v>
      </c>
      <c r="I38" s="45">
        <f t="shared" si="11"/>
        <v>0</v>
      </c>
      <c r="J38" s="333" t="str">
        <f t="shared" si="12"/>
        <v/>
      </c>
      <c r="K38" s="745">
        <f t="shared" si="13"/>
        <v>0</v>
      </c>
    </row>
    <row r="39" spans="1:11" ht="12.75" customHeight="1" x14ac:dyDescent="0.2">
      <c r="A39" s="521" t="s">
        <v>1072</v>
      </c>
      <c r="B39" s="170"/>
      <c r="C39" s="758">
        <v>35325847.220000014</v>
      </c>
      <c r="D39" s="755"/>
      <c r="E39" s="743"/>
      <c r="F39" s="743">
        <v>3873145.48</v>
      </c>
      <c r="G39" s="743">
        <v>7600621.8200000003</v>
      </c>
      <c r="H39" s="743">
        <f t="shared" si="10"/>
        <v>0</v>
      </c>
      <c r="I39" s="45">
        <f>G39-H39</f>
        <v>7600621.8200000003</v>
      </c>
      <c r="J39" s="333" t="e">
        <f>IF(I39=0,"",I39/H39)</f>
        <v>#DIV/0!</v>
      </c>
      <c r="K39" s="745">
        <f t="shared" si="13"/>
        <v>0</v>
      </c>
    </row>
    <row r="40" spans="1:11" ht="12.75" customHeight="1" x14ac:dyDescent="0.2">
      <c r="A40" s="521" t="s">
        <v>1073</v>
      </c>
      <c r="B40" s="170"/>
      <c r="C40" s="758">
        <v>56881.5</v>
      </c>
      <c r="D40" s="755">
        <v>335658</v>
      </c>
      <c r="E40" s="743"/>
      <c r="F40" s="743">
        <v>29124.71</v>
      </c>
      <c r="G40" s="743">
        <v>116498.84</v>
      </c>
      <c r="H40" s="743">
        <f t="shared" si="10"/>
        <v>111886</v>
      </c>
      <c r="I40" s="45">
        <f>G40-H40</f>
        <v>4612.8399999999965</v>
      </c>
      <c r="J40" s="333">
        <f>IF(I40=0,"",I40/H40)</f>
        <v>4.1228035679173415E-2</v>
      </c>
      <c r="K40" s="745">
        <f t="shared" si="13"/>
        <v>335658</v>
      </c>
    </row>
    <row r="41" spans="1:11" ht="12.75" customHeight="1" x14ac:dyDescent="0.2">
      <c r="A41" s="521" t="s">
        <v>1074</v>
      </c>
      <c r="B41" s="170"/>
      <c r="C41" s="758">
        <v>5495623.0499999998</v>
      </c>
      <c r="D41" s="755">
        <v>6880392</v>
      </c>
      <c r="E41" s="743"/>
      <c r="F41" s="743">
        <v>576633.25</v>
      </c>
      <c r="G41" s="743">
        <v>2316492.9899999998</v>
      </c>
      <c r="H41" s="743">
        <f t="shared" si="10"/>
        <v>2293464</v>
      </c>
      <c r="I41" s="45">
        <f>G41-H41</f>
        <v>23028.989999999758</v>
      </c>
      <c r="J41" s="333">
        <f>IF(I41=0,"",I41/H41)</f>
        <v>1.0041138644425967E-2</v>
      </c>
      <c r="K41" s="745">
        <f t="shared" si="13"/>
        <v>6880392</v>
      </c>
    </row>
    <row r="42" spans="1:11" ht="12.75" customHeight="1" x14ac:dyDescent="0.2">
      <c r="A42" s="521" t="s">
        <v>1075</v>
      </c>
      <c r="B42" s="170"/>
      <c r="C42" s="758">
        <v>29330393.369999558</v>
      </c>
      <c r="D42" s="755">
        <v>91525333.376469314</v>
      </c>
      <c r="E42" s="743"/>
      <c r="F42" s="743">
        <v>3716420.16</v>
      </c>
      <c r="G42" s="743">
        <v>20908428.809999999</v>
      </c>
      <c r="H42" s="743">
        <f t="shared" si="10"/>
        <v>30508444.458823103</v>
      </c>
      <c r="I42" s="45">
        <f t="shared" si="11"/>
        <v>-9600015.6488231048</v>
      </c>
      <c r="J42" s="333">
        <f t="shared" si="12"/>
        <v>-0.31466749023471635</v>
      </c>
      <c r="K42" s="745">
        <f t="shared" si="13"/>
        <v>91525333.376469314</v>
      </c>
    </row>
    <row r="43" spans="1:11" ht="12.75" customHeight="1" x14ac:dyDescent="0.2">
      <c r="A43" s="521" t="s">
        <v>1076</v>
      </c>
      <c r="B43" s="170"/>
      <c r="C43" s="758"/>
      <c r="D43" s="755"/>
      <c r="E43" s="743"/>
      <c r="F43" s="743"/>
      <c r="G43" s="743"/>
      <c r="H43" s="743">
        <f t="shared" si="10"/>
        <v>0</v>
      </c>
      <c r="I43" s="45">
        <f t="shared" si="11"/>
        <v>0</v>
      </c>
      <c r="J43" s="333" t="str">
        <f t="shared" si="12"/>
        <v/>
      </c>
      <c r="K43" s="745">
        <f t="shared" si="13"/>
        <v>0</v>
      </c>
    </row>
    <row r="44" spans="1:11" ht="12.75" customHeight="1" x14ac:dyDescent="0.2">
      <c r="A44" s="521" t="s">
        <v>1077</v>
      </c>
      <c r="B44" s="170"/>
      <c r="C44" s="758"/>
      <c r="D44" s="755"/>
      <c r="E44" s="743"/>
      <c r="F44" s="743"/>
      <c r="G44" s="743"/>
      <c r="H44" s="743">
        <f t="shared" si="10"/>
        <v>0</v>
      </c>
      <c r="I44" s="45">
        <f t="shared" si="11"/>
        <v>0</v>
      </c>
      <c r="J44" s="333" t="str">
        <f t="shared" si="12"/>
        <v/>
      </c>
      <c r="K44" s="745">
        <f t="shared" si="13"/>
        <v>0</v>
      </c>
    </row>
    <row r="45" spans="1:11" ht="12.75" customHeight="1" x14ac:dyDescent="0.2">
      <c r="A45" s="521" t="s">
        <v>1078</v>
      </c>
      <c r="B45" s="170">
        <v>2</v>
      </c>
      <c r="C45" s="758"/>
      <c r="D45" s="755"/>
      <c r="E45" s="743"/>
      <c r="F45" s="743"/>
      <c r="G45" s="743"/>
      <c r="H45" s="743">
        <f t="shared" si="10"/>
        <v>0</v>
      </c>
      <c r="I45" s="45">
        <f t="shared" si="11"/>
        <v>0</v>
      </c>
      <c r="J45" s="333" t="str">
        <f t="shared" si="12"/>
        <v/>
      </c>
      <c r="K45" s="745">
        <f t="shared" si="13"/>
        <v>0</v>
      </c>
    </row>
    <row r="46" spans="1:11" ht="12.75" customHeight="1" x14ac:dyDescent="0.2">
      <c r="A46" s="88" t="s">
        <v>442</v>
      </c>
      <c r="B46" s="170"/>
      <c r="C46" s="519">
        <f t="shared" ref="C46:K46" si="14">SUM(C34:C45)</f>
        <v>513771524.73999965</v>
      </c>
      <c r="D46" s="478">
        <f t="shared" si="14"/>
        <v>740604306.66886926</v>
      </c>
      <c r="E46" s="433">
        <f t="shared" si="14"/>
        <v>0</v>
      </c>
      <c r="F46" s="433">
        <f>SUM(F34:F45)</f>
        <v>55356116.469999999</v>
      </c>
      <c r="G46" s="433">
        <f>SUM(G34:G45)</f>
        <v>216979354.26000002</v>
      </c>
      <c r="H46" s="433">
        <f>SUM(H34:H45)</f>
        <v>246868102.22295642</v>
      </c>
      <c r="I46" s="433">
        <f t="shared" si="11"/>
        <v>-29888747.962956399</v>
      </c>
      <c r="J46" s="434">
        <f>IF(I46=0,"",I46/H46)</f>
        <v>-0.12107172896708494</v>
      </c>
      <c r="K46" s="516">
        <f t="shared" si="14"/>
        <v>740604306.66886926</v>
      </c>
    </row>
    <row r="47" spans="1:11" ht="12.75" customHeight="1" x14ac:dyDescent="0.2">
      <c r="A47" s="574" t="s">
        <v>745</v>
      </c>
      <c r="B47" s="170">
        <v>4</v>
      </c>
      <c r="C47" s="402"/>
      <c r="D47" s="306">
        <f>IF(D46=0,"",(D46/C46)-1)</f>
        <v>0.4415051652457016</v>
      </c>
      <c r="E47" s="306" t="str">
        <f>IF(E46=0,"",(E46/C46)-1)</f>
        <v/>
      </c>
      <c r="F47" s="306"/>
      <c r="G47" s="306"/>
      <c r="H47" s="306"/>
      <c r="I47" s="404"/>
      <c r="J47" s="406"/>
      <c r="K47" s="315">
        <f>IF(K46=0,"",(K46/C46)-1)</f>
        <v>0.4415051652457016</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461</v>
      </c>
      <c r="B49" s="234"/>
      <c r="C49" s="244">
        <f>C14+C30+C46</f>
        <v>541296194.2899996</v>
      </c>
      <c r="D49" s="75">
        <f t="shared" ref="D49:K49" si="15">D14+D30+D46</f>
        <v>793876999.66886926</v>
      </c>
      <c r="E49" s="74">
        <f t="shared" si="15"/>
        <v>0</v>
      </c>
      <c r="F49" s="74">
        <f t="shared" si="15"/>
        <v>59009819.659999996</v>
      </c>
      <c r="G49" s="74">
        <f t="shared" si="15"/>
        <v>231537317.34420002</v>
      </c>
      <c r="H49" s="74">
        <f t="shared" si="15"/>
        <v>264625666.55628976</v>
      </c>
      <c r="I49" s="74">
        <f>G49-H49</f>
        <v>-33088349.212089747</v>
      </c>
      <c r="J49" s="334">
        <f>IF(I49=0,"",I49/H49)</f>
        <v>-0.12503832165143122</v>
      </c>
      <c r="K49" s="146">
        <f t="shared" si="15"/>
        <v>793876999.66886926</v>
      </c>
    </row>
    <row r="50" spans="1:11" ht="5.0999999999999996" customHeight="1" x14ac:dyDescent="0.2">
      <c r="A50" s="43"/>
      <c r="B50" s="170"/>
      <c r="C50" s="174"/>
      <c r="D50" s="306">
        <f>IF(D49=0,"",(D49/C49)-1)</f>
        <v>0.46662217108356274</v>
      </c>
      <c r="E50" s="306" t="str">
        <f>IF(E49=0,"",(E49/C49)-1)</f>
        <v/>
      </c>
      <c r="F50" s="306"/>
      <c r="G50" s="306"/>
      <c r="H50" s="306"/>
      <c r="I50" s="306"/>
      <c r="J50" s="347"/>
      <c r="K50" s="315">
        <f>IF(K49=0,"",(K49/C49)-1)</f>
        <v>0.46662217108356274</v>
      </c>
    </row>
    <row r="51" spans="1:11" ht="12.75" customHeight="1" x14ac:dyDescent="0.2">
      <c r="A51" s="353" t="s">
        <v>911</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576</v>
      </c>
      <c r="B53" s="170"/>
      <c r="C53" s="41"/>
      <c r="D53" s="105"/>
      <c r="E53" s="104"/>
      <c r="F53" s="104"/>
      <c r="G53" s="104"/>
      <c r="H53" s="104"/>
      <c r="I53" s="104"/>
      <c r="J53" s="333"/>
      <c r="K53" s="267"/>
    </row>
    <row r="54" spans="1:11" ht="12.75" customHeight="1" x14ac:dyDescent="0.2">
      <c r="A54" s="40" t="s">
        <v>504</v>
      </c>
      <c r="B54" s="170"/>
      <c r="C54" s="758"/>
      <c r="D54" s="755">
        <v>1675840</v>
      </c>
      <c r="E54" s="743"/>
      <c r="F54" s="743"/>
      <c r="G54" s="743"/>
      <c r="H54" s="743">
        <f t="shared" ref="H54:H66" si="16">D54/12*4</f>
        <v>558613.33333333337</v>
      </c>
      <c r="I54" s="45">
        <f t="shared" ref="I54:I67" si="17">G54-H54</f>
        <v>-558613.33333333337</v>
      </c>
      <c r="J54" s="333">
        <f t="shared" ref="J54:J66" si="18">IF(I54=0,"",I54/H54)</f>
        <v>-1</v>
      </c>
      <c r="K54" s="745">
        <f>D54</f>
        <v>1675840</v>
      </c>
    </row>
    <row r="55" spans="1:11" ht="12.75" customHeight="1" x14ac:dyDescent="0.2">
      <c r="A55" s="40" t="s">
        <v>1071</v>
      </c>
      <c r="B55" s="170"/>
      <c r="C55" s="758"/>
      <c r="D55" s="755">
        <v>306998</v>
      </c>
      <c r="E55" s="743"/>
      <c r="F55" s="743"/>
      <c r="G55" s="743"/>
      <c r="H55" s="743">
        <f t="shared" si="16"/>
        <v>102332.66666666667</v>
      </c>
      <c r="I55" s="45">
        <f t="shared" si="17"/>
        <v>-102332.66666666667</v>
      </c>
      <c r="J55" s="333">
        <f t="shared" si="18"/>
        <v>-1</v>
      </c>
      <c r="K55" s="745">
        <f t="shared" ref="K55:K66" si="19">D55</f>
        <v>306998</v>
      </c>
    </row>
    <row r="56" spans="1:11" ht="12.75" customHeight="1" x14ac:dyDescent="0.2">
      <c r="A56" s="40" t="s">
        <v>437</v>
      </c>
      <c r="B56" s="170"/>
      <c r="C56" s="758"/>
      <c r="D56" s="755"/>
      <c r="E56" s="743"/>
      <c r="F56" s="743"/>
      <c r="G56" s="743"/>
      <c r="H56" s="743">
        <f t="shared" si="16"/>
        <v>0</v>
      </c>
      <c r="I56" s="45">
        <f t="shared" si="17"/>
        <v>0</v>
      </c>
      <c r="J56" s="333" t="str">
        <f t="shared" si="18"/>
        <v/>
      </c>
      <c r="K56" s="745">
        <f t="shared" si="19"/>
        <v>0</v>
      </c>
    </row>
    <row r="57" spans="1:11" ht="12.75" customHeight="1" x14ac:dyDescent="0.2">
      <c r="A57" s="40" t="s">
        <v>559</v>
      </c>
      <c r="B57" s="170"/>
      <c r="C57" s="758"/>
      <c r="D57" s="755"/>
      <c r="E57" s="743"/>
      <c r="F57" s="743"/>
      <c r="G57" s="743"/>
      <c r="H57" s="743">
        <f t="shared" si="16"/>
        <v>0</v>
      </c>
      <c r="I57" s="45">
        <f>G57-H57</f>
        <v>0</v>
      </c>
      <c r="J57" s="333" t="str">
        <f>IF(I57=0,"",I57/H57)</f>
        <v/>
      </c>
      <c r="K57" s="745">
        <f t="shared" si="19"/>
        <v>0</v>
      </c>
    </row>
    <row r="58" spans="1:11" ht="12.75" customHeight="1" x14ac:dyDescent="0.2">
      <c r="A58" s="40" t="s">
        <v>439</v>
      </c>
      <c r="B58" s="170"/>
      <c r="C58" s="758"/>
      <c r="D58" s="755"/>
      <c r="E58" s="743"/>
      <c r="F58" s="743"/>
      <c r="G58" s="743"/>
      <c r="H58" s="743">
        <f t="shared" si="16"/>
        <v>0</v>
      </c>
      <c r="I58" s="45">
        <f>G58-H58</f>
        <v>0</v>
      </c>
      <c r="J58" s="333" t="str">
        <f>IF(I58=0,"",I58/H58)</f>
        <v/>
      </c>
      <c r="K58" s="745">
        <f t="shared" si="19"/>
        <v>0</v>
      </c>
    </row>
    <row r="59" spans="1:11" ht="12.75" customHeight="1" x14ac:dyDescent="0.2">
      <c r="A59" s="40" t="s">
        <v>1072</v>
      </c>
      <c r="B59" s="170"/>
      <c r="C59" s="758"/>
      <c r="D59" s="755"/>
      <c r="E59" s="743"/>
      <c r="F59" s="743"/>
      <c r="G59" s="743"/>
      <c r="H59" s="743">
        <f t="shared" si="16"/>
        <v>0</v>
      </c>
      <c r="I59" s="45">
        <f>G59-H59</f>
        <v>0</v>
      </c>
      <c r="J59" s="333" t="str">
        <f>IF(I59=0,"",I59/H59)</f>
        <v/>
      </c>
      <c r="K59" s="745">
        <f t="shared" si="19"/>
        <v>0</v>
      </c>
    </row>
    <row r="60" spans="1:11" ht="12.75" customHeight="1" x14ac:dyDescent="0.2">
      <c r="A60" s="40" t="s">
        <v>1073</v>
      </c>
      <c r="B60" s="170"/>
      <c r="C60" s="758"/>
      <c r="D60" s="755"/>
      <c r="E60" s="743"/>
      <c r="F60" s="743"/>
      <c r="G60" s="743"/>
      <c r="H60" s="743">
        <f t="shared" si="16"/>
        <v>0</v>
      </c>
      <c r="I60" s="45">
        <f>G60-H60</f>
        <v>0</v>
      </c>
      <c r="J60" s="333" t="str">
        <f>IF(I60=0,"",I60/H60)</f>
        <v/>
      </c>
      <c r="K60" s="745">
        <f t="shared" si="19"/>
        <v>0</v>
      </c>
    </row>
    <row r="61" spans="1:11" ht="12.75" customHeight="1" x14ac:dyDescent="0.2">
      <c r="A61" s="40" t="s">
        <v>1074</v>
      </c>
      <c r="B61" s="170"/>
      <c r="C61" s="758"/>
      <c r="D61" s="755"/>
      <c r="E61" s="743"/>
      <c r="F61" s="743"/>
      <c r="G61" s="743"/>
      <c r="H61" s="743">
        <f t="shared" si="16"/>
        <v>0</v>
      </c>
      <c r="I61" s="45">
        <f>G61-H61</f>
        <v>0</v>
      </c>
      <c r="J61" s="333" t="str">
        <f>IF(I61=0,"",I61/H61)</f>
        <v/>
      </c>
      <c r="K61" s="745">
        <f t="shared" si="19"/>
        <v>0</v>
      </c>
    </row>
    <row r="62" spans="1:11" ht="12.75" customHeight="1" x14ac:dyDescent="0.2">
      <c r="A62" s="40" t="s">
        <v>1075</v>
      </c>
      <c r="B62" s="170"/>
      <c r="C62" s="758"/>
      <c r="D62" s="755"/>
      <c r="E62" s="743"/>
      <c r="F62" s="743"/>
      <c r="G62" s="743"/>
      <c r="H62" s="743">
        <f t="shared" si="16"/>
        <v>0</v>
      </c>
      <c r="I62" s="45">
        <f t="shared" si="17"/>
        <v>0</v>
      </c>
      <c r="J62" s="333" t="str">
        <f t="shared" si="18"/>
        <v/>
      </c>
      <c r="K62" s="745">
        <f t="shared" si="19"/>
        <v>0</v>
      </c>
    </row>
    <row r="63" spans="1:11" ht="12.75" customHeight="1" x14ac:dyDescent="0.2">
      <c r="A63" s="40" t="s">
        <v>577</v>
      </c>
      <c r="B63" s="170"/>
      <c r="C63" s="758"/>
      <c r="D63" s="755"/>
      <c r="E63" s="743"/>
      <c r="F63" s="743"/>
      <c r="G63" s="743"/>
      <c r="H63" s="743">
        <f t="shared" si="16"/>
        <v>0</v>
      </c>
      <c r="I63" s="45">
        <f>G63-H63</f>
        <v>0</v>
      </c>
      <c r="J63" s="333" t="str">
        <f>IF(I63=0,"",I63/H63)</f>
        <v/>
      </c>
      <c r="K63" s="745">
        <f t="shared" si="19"/>
        <v>0</v>
      </c>
    </row>
    <row r="64" spans="1:11" ht="12.75" customHeight="1" x14ac:dyDescent="0.2">
      <c r="A64" s="40" t="s">
        <v>1076</v>
      </c>
      <c r="B64" s="170"/>
      <c r="C64" s="758"/>
      <c r="D64" s="755"/>
      <c r="E64" s="743"/>
      <c r="F64" s="743"/>
      <c r="G64" s="743"/>
      <c r="H64" s="743">
        <f t="shared" si="16"/>
        <v>0</v>
      </c>
      <c r="I64" s="45">
        <f t="shared" si="17"/>
        <v>0</v>
      </c>
      <c r="J64" s="333" t="str">
        <f t="shared" si="18"/>
        <v/>
      </c>
      <c r="K64" s="745">
        <f t="shared" si="19"/>
        <v>0</v>
      </c>
    </row>
    <row r="65" spans="1:11" ht="12.75" customHeight="1" x14ac:dyDescent="0.2">
      <c r="A65" s="40" t="s">
        <v>1077</v>
      </c>
      <c r="B65" s="170"/>
      <c r="C65" s="758"/>
      <c r="D65" s="755"/>
      <c r="E65" s="743"/>
      <c r="F65" s="743"/>
      <c r="G65" s="743"/>
      <c r="H65" s="743">
        <f t="shared" si="16"/>
        <v>0</v>
      </c>
      <c r="I65" s="45">
        <f t="shared" si="17"/>
        <v>0</v>
      </c>
      <c r="J65" s="333" t="str">
        <f t="shared" si="18"/>
        <v/>
      </c>
      <c r="K65" s="745">
        <f t="shared" si="19"/>
        <v>0</v>
      </c>
    </row>
    <row r="66" spans="1:11" ht="12.75" customHeight="1" x14ac:dyDescent="0.2">
      <c r="A66" s="40" t="s">
        <v>1078</v>
      </c>
      <c r="B66" s="170"/>
      <c r="C66" s="758"/>
      <c r="D66" s="755"/>
      <c r="E66" s="743"/>
      <c r="F66" s="743"/>
      <c r="G66" s="743"/>
      <c r="H66" s="743">
        <f t="shared" si="16"/>
        <v>0</v>
      </c>
      <c r="I66" s="45">
        <f t="shared" si="17"/>
        <v>0</v>
      </c>
      <c r="J66" s="333" t="str">
        <f t="shared" si="18"/>
        <v/>
      </c>
      <c r="K66" s="745">
        <f t="shared" si="19"/>
        <v>0</v>
      </c>
    </row>
    <row r="67" spans="1:11" ht="12.75" customHeight="1" x14ac:dyDescent="0.2">
      <c r="A67" s="88" t="s">
        <v>793</v>
      </c>
      <c r="B67" s="170">
        <v>2</v>
      </c>
      <c r="C67" s="519">
        <f t="shared" ref="C67:K67" si="20">SUM(C54:C66)</f>
        <v>0</v>
      </c>
      <c r="D67" s="478">
        <f t="shared" si="20"/>
        <v>1982838</v>
      </c>
      <c r="E67" s="433">
        <f t="shared" si="20"/>
        <v>0</v>
      </c>
      <c r="F67" s="433">
        <f>SUM(F54:F66)</f>
        <v>0</v>
      </c>
      <c r="G67" s="433">
        <f>SUM(G54:G66)</f>
        <v>0</v>
      </c>
      <c r="H67" s="433">
        <f>SUM(H54:H66)</f>
        <v>660946</v>
      </c>
      <c r="I67" s="433">
        <f t="shared" si="17"/>
        <v>-660946</v>
      </c>
      <c r="J67" s="434">
        <f>IF(I67=0,"",I67/H67)</f>
        <v>-1</v>
      </c>
      <c r="K67" s="516">
        <f t="shared" si="20"/>
        <v>1982838</v>
      </c>
    </row>
    <row r="68" spans="1:11" ht="12.75" customHeight="1" x14ac:dyDescent="0.2">
      <c r="A68" s="574" t="s">
        <v>745</v>
      </c>
      <c r="B68" s="170">
        <v>4</v>
      </c>
      <c r="C68" s="174"/>
      <c r="D68" s="306" t="e">
        <f>IF(D67=0,"",(D67/C67)-1)</f>
        <v>#DIV/0!</v>
      </c>
      <c r="E68" s="306" t="str">
        <f>IF(E67=0,"",(E67/C67)-1)</f>
        <v/>
      </c>
      <c r="F68" s="306"/>
      <c r="G68" s="306"/>
      <c r="H68" s="306"/>
      <c r="I68" s="306"/>
      <c r="J68" s="347"/>
      <c r="K68" s="315" t="e">
        <f>IF(K67=0,"",(K67/C67)-1)</f>
        <v>#DIV/0!</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853</v>
      </c>
      <c r="B70" s="170"/>
      <c r="C70" s="41"/>
      <c r="D70" s="105"/>
      <c r="E70" s="104"/>
      <c r="F70" s="104"/>
      <c r="G70" s="104"/>
      <c r="H70" s="104"/>
      <c r="I70" s="104"/>
      <c r="J70" s="333"/>
      <c r="K70" s="267"/>
    </row>
    <row r="71" spans="1:11" ht="12.75" customHeight="1" x14ac:dyDescent="0.2">
      <c r="A71" s="521" t="s">
        <v>504</v>
      </c>
      <c r="B71" s="170"/>
      <c r="C71" s="758"/>
      <c r="D71" s="755">
        <v>1075863.96</v>
      </c>
      <c r="E71" s="743"/>
      <c r="F71" s="743"/>
      <c r="G71" s="743"/>
      <c r="H71" s="743">
        <f t="shared" ref="H71:H82" si="21">D71/12*4</f>
        <v>358621.32</v>
      </c>
      <c r="I71" s="45">
        <f t="shared" ref="I71:I83" si="22">G71-H71</f>
        <v>-358621.32</v>
      </c>
      <c r="J71" s="333">
        <f t="shared" ref="J71:J82" si="23">IF(I71=0,"",I71/H71)</f>
        <v>-1</v>
      </c>
      <c r="K71" s="745">
        <f>D71</f>
        <v>1075863.96</v>
      </c>
    </row>
    <row r="72" spans="1:11" ht="12.75" customHeight="1" x14ac:dyDescent="0.2">
      <c r="A72" s="521" t="s">
        <v>1071</v>
      </c>
      <c r="B72" s="170"/>
      <c r="C72" s="758"/>
      <c r="D72" s="755"/>
      <c r="E72" s="743"/>
      <c r="F72" s="743"/>
      <c r="G72" s="743"/>
      <c r="H72" s="743">
        <f t="shared" si="21"/>
        <v>0</v>
      </c>
      <c r="I72" s="45">
        <f t="shared" si="22"/>
        <v>0</v>
      </c>
      <c r="J72" s="333" t="str">
        <f t="shared" si="23"/>
        <v/>
      </c>
      <c r="K72" s="745">
        <f t="shared" ref="K72:K82" si="24">D72</f>
        <v>0</v>
      </c>
    </row>
    <row r="73" spans="1:11" ht="12.75" customHeight="1" x14ac:dyDescent="0.2">
      <c r="A73" s="521" t="s">
        <v>437</v>
      </c>
      <c r="B73" s="170"/>
      <c r="C73" s="758"/>
      <c r="D73" s="755"/>
      <c r="E73" s="743"/>
      <c r="F73" s="743"/>
      <c r="G73" s="743"/>
      <c r="H73" s="743">
        <f t="shared" si="21"/>
        <v>0</v>
      </c>
      <c r="I73" s="45">
        <f t="shared" si="22"/>
        <v>0</v>
      </c>
      <c r="J73" s="333" t="str">
        <f t="shared" si="23"/>
        <v/>
      </c>
      <c r="K73" s="745">
        <f t="shared" si="24"/>
        <v>0</v>
      </c>
    </row>
    <row r="74" spans="1:11" ht="12.75" customHeight="1" x14ac:dyDescent="0.2">
      <c r="A74" s="521" t="s">
        <v>559</v>
      </c>
      <c r="B74" s="170"/>
      <c r="C74" s="758"/>
      <c r="D74" s="755"/>
      <c r="E74" s="743"/>
      <c r="F74" s="743"/>
      <c r="G74" s="743"/>
      <c r="H74" s="743">
        <f t="shared" si="21"/>
        <v>0</v>
      </c>
      <c r="I74" s="45">
        <f t="shared" si="22"/>
        <v>0</v>
      </c>
      <c r="J74" s="333" t="str">
        <f t="shared" si="23"/>
        <v/>
      </c>
      <c r="K74" s="745">
        <f t="shared" si="24"/>
        <v>0</v>
      </c>
    </row>
    <row r="75" spans="1:11" ht="12.75" customHeight="1" x14ac:dyDescent="0.2">
      <c r="A75" s="521" t="s">
        <v>439</v>
      </c>
      <c r="B75" s="170"/>
      <c r="C75" s="758"/>
      <c r="D75" s="755"/>
      <c r="E75" s="743"/>
      <c r="F75" s="743"/>
      <c r="G75" s="743"/>
      <c r="H75" s="743">
        <f t="shared" si="21"/>
        <v>0</v>
      </c>
      <c r="I75" s="45">
        <f>G75-H75</f>
        <v>0</v>
      </c>
      <c r="J75" s="333" t="str">
        <f>IF(I75=0,"",I75/H75)</f>
        <v/>
      </c>
      <c r="K75" s="745">
        <f t="shared" si="24"/>
        <v>0</v>
      </c>
    </row>
    <row r="76" spans="1:11" ht="12.75" customHeight="1" x14ac:dyDescent="0.2">
      <c r="A76" s="521" t="s">
        <v>1072</v>
      </c>
      <c r="B76" s="170"/>
      <c r="C76" s="758"/>
      <c r="D76" s="755"/>
      <c r="E76" s="743"/>
      <c r="F76" s="743"/>
      <c r="G76" s="743"/>
      <c r="H76" s="743">
        <f t="shared" si="21"/>
        <v>0</v>
      </c>
      <c r="I76" s="45">
        <f>G76-H76</f>
        <v>0</v>
      </c>
      <c r="J76" s="333" t="str">
        <f>IF(I76=0,"",I76/H76)</f>
        <v/>
      </c>
      <c r="K76" s="745">
        <f t="shared" si="24"/>
        <v>0</v>
      </c>
    </row>
    <row r="77" spans="1:11" ht="12.75" customHeight="1" x14ac:dyDescent="0.2">
      <c r="A77" s="521" t="s">
        <v>1073</v>
      </c>
      <c r="B77" s="170"/>
      <c r="C77" s="758"/>
      <c r="D77" s="755"/>
      <c r="E77" s="743"/>
      <c r="F77" s="743"/>
      <c r="G77" s="743"/>
      <c r="H77" s="743">
        <f t="shared" si="21"/>
        <v>0</v>
      </c>
      <c r="I77" s="45">
        <f>G77-H77</f>
        <v>0</v>
      </c>
      <c r="J77" s="333" t="str">
        <f>IF(I77=0,"",I77/H77)</f>
        <v/>
      </c>
      <c r="K77" s="745">
        <f t="shared" si="24"/>
        <v>0</v>
      </c>
    </row>
    <row r="78" spans="1:11" ht="12.75" customHeight="1" x14ac:dyDescent="0.2">
      <c r="A78" s="521" t="s">
        <v>1074</v>
      </c>
      <c r="B78" s="170"/>
      <c r="C78" s="758"/>
      <c r="D78" s="755"/>
      <c r="E78" s="743"/>
      <c r="F78" s="743"/>
      <c r="G78" s="743"/>
      <c r="H78" s="743">
        <f t="shared" si="21"/>
        <v>0</v>
      </c>
      <c r="I78" s="45">
        <f>G78-H78</f>
        <v>0</v>
      </c>
      <c r="J78" s="333" t="str">
        <f>IF(I78=0,"",I78/H78)</f>
        <v/>
      </c>
      <c r="K78" s="745">
        <f t="shared" si="24"/>
        <v>0</v>
      </c>
    </row>
    <row r="79" spans="1:11" ht="12.75" customHeight="1" x14ac:dyDescent="0.2">
      <c r="A79" s="521" t="s">
        <v>1075</v>
      </c>
      <c r="B79" s="170"/>
      <c r="C79" s="758"/>
      <c r="D79" s="755"/>
      <c r="E79" s="743"/>
      <c r="F79" s="743"/>
      <c r="G79" s="743"/>
      <c r="H79" s="743">
        <f t="shared" si="21"/>
        <v>0</v>
      </c>
      <c r="I79" s="45">
        <f t="shared" si="22"/>
        <v>0</v>
      </c>
      <c r="J79" s="333" t="str">
        <f t="shared" si="23"/>
        <v/>
      </c>
      <c r="K79" s="745">
        <f t="shared" si="24"/>
        <v>0</v>
      </c>
    </row>
    <row r="80" spans="1:11" ht="12.75" customHeight="1" x14ac:dyDescent="0.2">
      <c r="A80" s="521" t="s">
        <v>1076</v>
      </c>
      <c r="B80" s="170"/>
      <c r="C80" s="758"/>
      <c r="D80" s="755"/>
      <c r="E80" s="743"/>
      <c r="F80" s="743"/>
      <c r="G80" s="743"/>
      <c r="H80" s="743">
        <f t="shared" si="21"/>
        <v>0</v>
      </c>
      <c r="I80" s="45">
        <f t="shared" si="22"/>
        <v>0</v>
      </c>
      <c r="J80" s="333" t="str">
        <f t="shared" si="23"/>
        <v/>
      </c>
      <c r="K80" s="745">
        <f t="shared" si="24"/>
        <v>0</v>
      </c>
    </row>
    <row r="81" spans="1:11" ht="12.75" customHeight="1" x14ac:dyDescent="0.2">
      <c r="A81" s="521" t="s">
        <v>1077</v>
      </c>
      <c r="B81" s="170"/>
      <c r="C81" s="758"/>
      <c r="D81" s="755"/>
      <c r="E81" s="743"/>
      <c r="F81" s="743"/>
      <c r="G81" s="743"/>
      <c r="H81" s="743">
        <f t="shared" si="21"/>
        <v>0</v>
      </c>
      <c r="I81" s="45">
        <f t="shared" si="22"/>
        <v>0</v>
      </c>
      <c r="J81" s="333" t="str">
        <f t="shared" si="23"/>
        <v/>
      </c>
      <c r="K81" s="745">
        <f t="shared" si="24"/>
        <v>0</v>
      </c>
    </row>
    <row r="82" spans="1:11" ht="12.75" customHeight="1" x14ac:dyDescent="0.2">
      <c r="A82" s="521" t="s">
        <v>1078</v>
      </c>
      <c r="B82" s="170">
        <v>2</v>
      </c>
      <c r="C82" s="758"/>
      <c r="D82" s="755"/>
      <c r="E82" s="743"/>
      <c r="F82" s="743"/>
      <c r="G82" s="743"/>
      <c r="H82" s="743">
        <f t="shared" si="21"/>
        <v>0</v>
      </c>
      <c r="I82" s="45">
        <f t="shared" si="22"/>
        <v>0</v>
      </c>
      <c r="J82" s="333" t="str">
        <f t="shared" si="23"/>
        <v/>
      </c>
      <c r="K82" s="745">
        <f t="shared" si="24"/>
        <v>0</v>
      </c>
    </row>
    <row r="83" spans="1:11" ht="12.75" customHeight="1" x14ac:dyDescent="0.2">
      <c r="A83" s="88" t="s">
        <v>854</v>
      </c>
      <c r="B83" s="170"/>
      <c r="C83" s="519">
        <f t="shared" ref="C83:K83" si="25">SUM(C71:C82)</f>
        <v>0</v>
      </c>
      <c r="D83" s="478">
        <f t="shared" si="25"/>
        <v>1075863.96</v>
      </c>
      <c r="E83" s="433">
        <f t="shared" si="25"/>
        <v>0</v>
      </c>
      <c r="F83" s="433">
        <f>SUM(F71:F82)</f>
        <v>0</v>
      </c>
      <c r="G83" s="433">
        <f>SUM(G71:G82)</f>
        <v>0</v>
      </c>
      <c r="H83" s="433">
        <f>SUM(H71:H82)</f>
        <v>358621.32</v>
      </c>
      <c r="I83" s="433">
        <f t="shared" si="22"/>
        <v>-358621.32</v>
      </c>
      <c r="J83" s="434">
        <f>IF(I83=0,"",I83/H83)</f>
        <v>-1</v>
      </c>
      <c r="K83" s="516">
        <f t="shared" si="25"/>
        <v>1075863.96</v>
      </c>
    </row>
    <row r="84" spans="1:11" ht="12.75" customHeight="1" x14ac:dyDescent="0.2">
      <c r="A84" s="574" t="s">
        <v>745</v>
      </c>
      <c r="B84" s="170">
        <v>4</v>
      </c>
      <c r="C84" s="174"/>
      <c r="D84" s="306" t="e">
        <f>IF(D83=0,"",(D83/C83)-1)</f>
        <v>#DIV/0!</v>
      </c>
      <c r="E84" s="306" t="str">
        <f>IF(E83=0,"",(E83/C83)-1)</f>
        <v/>
      </c>
      <c r="F84" s="306"/>
      <c r="G84" s="306"/>
      <c r="H84" s="306"/>
      <c r="I84" s="306"/>
      <c r="J84" s="347"/>
      <c r="K84" s="315" t="e">
        <f>IF(K83=0,"",(K83/C83)-1)</f>
        <v>#DIV/0!</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740</v>
      </c>
      <c r="B86" s="170"/>
      <c r="C86" s="41"/>
      <c r="D86" s="105"/>
      <c r="E86" s="104"/>
      <c r="F86" s="104"/>
      <c r="G86" s="104"/>
      <c r="H86" s="104"/>
      <c r="I86" s="104"/>
      <c r="J86" s="333"/>
      <c r="K86" s="267"/>
    </row>
    <row r="87" spans="1:11" ht="12.75" customHeight="1" x14ac:dyDescent="0.2">
      <c r="A87" s="521" t="s">
        <v>504</v>
      </c>
      <c r="B87" s="170"/>
      <c r="C87" s="758"/>
      <c r="D87" s="755">
        <v>6241749.2200000007</v>
      </c>
      <c r="E87" s="743"/>
      <c r="F87" s="743"/>
      <c r="G87" s="743"/>
      <c r="H87" s="743">
        <f t="shared" ref="H87:H98" si="26">D87/12*4</f>
        <v>2080583.0733333335</v>
      </c>
      <c r="I87" s="45">
        <f t="shared" ref="I87:I99" si="27">G87-H87</f>
        <v>-2080583.0733333335</v>
      </c>
      <c r="J87" s="333">
        <f t="shared" ref="J87:J98" si="28">IF(I87=0,"",I87/H87)</f>
        <v>-1</v>
      </c>
      <c r="K87" s="745">
        <f>D87</f>
        <v>6241749.2200000007</v>
      </c>
    </row>
    <row r="88" spans="1:11" ht="12.75" customHeight="1" x14ac:dyDescent="0.2">
      <c r="A88" s="521" t="s">
        <v>1071</v>
      </c>
      <c r="B88" s="170"/>
      <c r="C88" s="758"/>
      <c r="D88" s="755">
        <v>319253.98000000004</v>
      </c>
      <c r="E88" s="743"/>
      <c r="F88" s="743"/>
      <c r="G88" s="743"/>
      <c r="H88" s="743">
        <f t="shared" si="26"/>
        <v>106417.99333333335</v>
      </c>
      <c r="I88" s="45">
        <f t="shared" si="27"/>
        <v>-106417.99333333335</v>
      </c>
      <c r="J88" s="333">
        <f t="shared" si="28"/>
        <v>-1</v>
      </c>
      <c r="K88" s="745">
        <f t="shared" ref="K88:K98" si="29">D88</f>
        <v>319253.98000000004</v>
      </c>
    </row>
    <row r="89" spans="1:11" ht="12.75" customHeight="1" x14ac:dyDescent="0.2">
      <c r="A89" s="521" t="s">
        <v>437</v>
      </c>
      <c r="B89" s="170"/>
      <c r="C89" s="758"/>
      <c r="D89" s="755">
        <v>397235</v>
      </c>
      <c r="E89" s="743"/>
      <c r="F89" s="743"/>
      <c r="G89" s="743"/>
      <c r="H89" s="743">
        <f t="shared" si="26"/>
        <v>132411.66666666666</v>
      </c>
      <c r="I89" s="45">
        <f>G89-H89</f>
        <v>-132411.66666666666</v>
      </c>
      <c r="J89" s="333">
        <f>IF(I89=0,"",I89/H89)</f>
        <v>-1</v>
      </c>
      <c r="K89" s="745">
        <f t="shared" si="29"/>
        <v>397235</v>
      </c>
    </row>
    <row r="90" spans="1:11" ht="12.75" customHeight="1" x14ac:dyDescent="0.2">
      <c r="A90" s="521" t="s">
        <v>559</v>
      </c>
      <c r="B90" s="170"/>
      <c r="C90" s="758"/>
      <c r="D90" s="755">
        <v>42400</v>
      </c>
      <c r="E90" s="743"/>
      <c r="F90" s="743"/>
      <c r="G90" s="743"/>
      <c r="H90" s="743">
        <f t="shared" si="26"/>
        <v>14133.333333333334</v>
      </c>
      <c r="I90" s="45">
        <f>G90-H90</f>
        <v>-14133.333333333334</v>
      </c>
      <c r="J90" s="333">
        <f>IF(I90=0,"",I90/H90)</f>
        <v>-1</v>
      </c>
      <c r="K90" s="745">
        <f t="shared" si="29"/>
        <v>42400</v>
      </c>
    </row>
    <row r="91" spans="1:11" ht="12.75" customHeight="1" x14ac:dyDescent="0.2">
      <c r="A91" s="521" t="s">
        <v>439</v>
      </c>
      <c r="B91" s="170"/>
      <c r="C91" s="758"/>
      <c r="D91" s="755"/>
      <c r="E91" s="743"/>
      <c r="F91" s="743"/>
      <c r="G91" s="743"/>
      <c r="H91" s="743">
        <f t="shared" si="26"/>
        <v>0</v>
      </c>
      <c r="I91" s="45">
        <f>G91-H91</f>
        <v>0</v>
      </c>
      <c r="J91" s="333" t="str">
        <f>IF(I91=0,"",I91/H91)</f>
        <v/>
      </c>
      <c r="K91" s="745">
        <f t="shared" si="29"/>
        <v>0</v>
      </c>
    </row>
    <row r="92" spans="1:11" ht="12.75" customHeight="1" x14ac:dyDescent="0.2">
      <c r="A92" s="521" t="s">
        <v>1072</v>
      </c>
      <c r="B92" s="170"/>
      <c r="C92" s="758"/>
      <c r="D92" s="755"/>
      <c r="E92" s="743"/>
      <c r="F92" s="743"/>
      <c r="G92" s="743"/>
      <c r="H92" s="743">
        <f t="shared" si="26"/>
        <v>0</v>
      </c>
      <c r="I92" s="45">
        <f>G92-H92</f>
        <v>0</v>
      </c>
      <c r="J92" s="333" t="str">
        <f>IF(I92=0,"",I92/H92)</f>
        <v/>
      </c>
      <c r="K92" s="745">
        <f t="shared" si="29"/>
        <v>0</v>
      </c>
    </row>
    <row r="93" spans="1:11" ht="12.75" customHeight="1" x14ac:dyDescent="0.2">
      <c r="A93" s="521" t="s">
        <v>1073</v>
      </c>
      <c r="B93" s="170"/>
      <c r="C93" s="758"/>
      <c r="D93" s="755"/>
      <c r="E93" s="743"/>
      <c r="F93" s="743"/>
      <c r="G93" s="743"/>
      <c r="H93" s="743">
        <f t="shared" si="26"/>
        <v>0</v>
      </c>
      <c r="I93" s="45">
        <f t="shared" si="27"/>
        <v>0</v>
      </c>
      <c r="J93" s="333" t="str">
        <f t="shared" si="28"/>
        <v/>
      </c>
      <c r="K93" s="745">
        <f t="shared" si="29"/>
        <v>0</v>
      </c>
    </row>
    <row r="94" spans="1:11" ht="12.75" customHeight="1" x14ac:dyDescent="0.2">
      <c r="A94" s="521" t="s">
        <v>1074</v>
      </c>
      <c r="B94" s="170"/>
      <c r="C94" s="758"/>
      <c r="D94" s="755">
        <v>114000</v>
      </c>
      <c r="E94" s="743"/>
      <c r="F94" s="743"/>
      <c r="G94" s="743"/>
      <c r="H94" s="743">
        <f t="shared" si="26"/>
        <v>38000</v>
      </c>
      <c r="I94" s="45">
        <f t="shared" si="27"/>
        <v>-38000</v>
      </c>
      <c r="J94" s="333">
        <f t="shared" si="28"/>
        <v>-1</v>
      </c>
      <c r="K94" s="745">
        <f t="shared" si="29"/>
        <v>114000</v>
      </c>
    </row>
    <row r="95" spans="1:11" ht="12.75" customHeight="1" x14ac:dyDescent="0.2">
      <c r="A95" s="521" t="s">
        <v>1075</v>
      </c>
      <c r="B95" s="170"/>
      <c r="C95" s="758"/>
      <c r="D95" s="755"/>
      <c r="E95" s="743"/>
      <c r="F95" s="743"/>
      <c r="G95" s="743"/>
      <c r="H95" s="743">
        <f t="shared" si="26"/>
        <v>0</v>
      </c>
      <c r="I95" s="45">
        <f t="shared" si="27"/>
        <v>0</v>
      </c>
      <c r="J95" s="333" t="str">
        <f t="shared" si="28"/>
        <v/>
      </c>
      <c r="K95" s="745">
        <f t="shared" si="29"/>
        <v>0</v>
      </c>
    </row>
    <row r="96" spans="1:11" ht="12.75" customHeight="1" x14ac:dyDescent="0.2">
      <c r="A96" s="521" t="s">
        <v>1076</v>
      </c>
      <c r="B96" s="170"/>
      <c r="C96" s="758"/>
      <c r="D96" s="755"/>
      <c r="E96" s="743"/>
      <c r="F96" s="743"/>
      <c r="G96" s="743"/>
      <c r="H96" s="743">
        <f t="shared" si="26"/>
        <v>0</v>
      </c>
      <c r="I96" s="45">
        <f t="shared" si="27"/>
        <v>0</v>
      </c>
      <c r="J96" s="333" t="str">
        <f t="shared" si="28"/>
        <v/>
      </c>
      <c r="K96" s="745">
        <f t="shared" si="29"/>
        <v>0</v>
      </c>
    </row>
    <row r="97" spans="1:14" ht="12.75" customHeight="1" x14ac:dyDescent="0.2">
      <c r="A97" s="521" t="s">
        <v>1077</v>
      </c>
      <c r="B97" s="170"/>
      <c r="C97" s="758"/>
      <c r="D97" s="755"/>
      <c r="E97" s="743"/>
      <c r="F97" s="743"/>
      <c r="G97" s="743"/>
      <c r="H97" s="743">
        <f t="shared" si="26"/>
        <v>0</v>
      </c>
      <c r="I97" s="45">
        <f t="shared" si="27"/>
        <v>0</v>
      </c>
      <c r="J97" s="333" t="str">
        <f t="shared" si="28"/>
        <v/>
      </c>
      <c r="K97" s="745">
        <f t="shared" si="29"/>
        <v>0</v>
      </c>
    </row>
    <row r="98" spans="1:14" ht="12.75" customHeight="1" x14ac:dyDescent="0.2">
      <c r="A98" s="521" t="s">
        <v>1078</v>
      </c>
      <c r="B98" s="170"/>
      <c r="C98" s="758"/>
      <c r="D98" s="755"/>
      <c r="E98" s="743"/>
      <c r="F98" s="743"/>
      <c r="G98" s="743"/>
      <c r="H98" s="743">
        <f t="shared" si="26"/>
        <v>0</v>
      </c>
      <c r="I98" s="45">
        <f t="shared" si="27"/>
        <v>0</v>
      </c>
      <c r="J98" s="333" t="str">
        <f t="shared" si="28"/>
        <v/>
      </c>
      <c r="K98" s="745">
        <f t="shared" si="29"/>
        <v>0</v>
      </c>
    </row>
    <row r="99" spans="1:14" ht="12.75" customHeight="1" x14ac:dyDescent="0.2">
      <c r="A99" s="88" t="s">
        <v>525</v>
      </c>
      <c r="B99" s="170"/>
      <c r="C99" s="519">
        <f t="shared" ref="C99:H99" si="30">SUM(C87:C98)</f>
        <v>0</v>
      </c>
      <c r="D99" s="478">
        <f t="shared" si="30"/>
        <v>7114638.2000000011</v>
      </c>
      <c r="E99" s="433">
        <f t="shared" si="30"/>
        <v>0</v>
      </c>
      <c r="F99" s="433">
        <f t="shared" si="30"/>
        <v>0</v>
      </c>
      <c r="G99" s="433">
        <f t="shared" si="30"/>
        <v>0</v>
      </c>
      <c r="H99" s="433">
        <f t="shared" si="30"/>
        <v>2371546.0666666669</v>
      </c>
      <c r="I99" s="433">
        <f t="shared" si="27"/>
        <v>-2371546.0666666669</v>
      </c>
      <c r="J99" s="434">
        <f>IF(I99=0,"",I99/H99)</f>
        <v>-1</v>
      </c>
      <c r="K99" s="516">
        <f>SUM(K87:K98)</f>
        <v>7114638.2000000011</v>
      </c>
    </row>
    <row r="100" spans="1:14" ht="12.75" customHeight="1" x14ac:dyDescent="0.2">
      <c r="A100" s="574" t="s">
        <v>745</v>
      </c>
      <c r="B100" s="170">
        <v>4</v>
      </c>
      <c r="C100" s="402"/>
      <c r="D100" s="306" t="e">
        <f>IF(D99=0,"",(D99/C99)-1)</f>
        <v>#DIV/0!</v>
      </c>
      <c r="E100" s="306" t="str">
        <f>IF(E99=0,"",(E99/C99)-1)</f>
        <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462</v>
      </c>
      <c r="B102" s="170"/>
      <c r="C102" s="519">
        <f t="shared" ref="C102:H102" si="31">C67+C83+C99</f>
        <v>0</v>
      </c>
      <c r="D102" s="478">
        <f t="shared" si="31"/>
        <v>10173340.16</v>
      </c>
      <c r="E102" s="433">
        <f t="shared" si="31"/>
        <v>0</v>
      </c>
      <c r="F102" s="433">
        <f t="shared" si="31"/>
        <v>0</v>
      </c>
      <c r="G102" s="433">
        <f t="shared" si="31"/>
        <v>0</v>
      </c>
      <c r="H102" s="433">
        <f t="shared" si="31"/>
        <v>3391113.3866666667</v>
      </c>
      <c r="I102" s="433">
        <f>G102-H102</f>
        <v>-3391113.3866666667</v>
      </c>
      <c r="J102" s="434">
        <f>IF(I102=0,"",I102/H102)</f>
        <v>-1</v>
      </c>
      <c r="K102" s="516">
        <f>K67+K83+K99</f>
        <v>10173340.16</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1003</v>
      </c>
      <c r="B104" s="237"/>
      <c r="C104" s="113">
        <f t="shared" ref="C104:H104" si="32">C49+C102</f>
        <v>541296194.2899996</v>
      </c>
      <c r="D104" s="57">
        <f t="shared" si="32"/>
        <v>804050339.82886922</v>
      </c>
      <c r="E104" s="56">
        <f t="shared" si="32"/>
        <v>0</v>
      </c>
      <c r="F104" s="56">
        <f t="shared" si="32"/>
        <v>59009819.659999996</v>
      </c>
      <c r="G104" s="56">
        <f t="shared" si="32"/>
        <v>231537317.34420002</v>
      </c>
      <c r="H104" s="56">
        <f t="shared" si="32"/>
        <v>268016779.94295642</v>
      </c>
      <c r="I104" s="56">
        <f>G104-H104</f>
        <v>-36479462.598756403</v>
      </c>
      <c r="J104" s="335">
        <f>IF(I104=0,"",I104/H104)</f>
        <v>-0.13610887574472219</v>
      </c>
      <c r="K104" s="236">
        <f>K49+K102</f>
        <v>804050339.82886922</v>
      </c>
    </row>
    <row r="105" spans="1:14" ht="12.75" customHeight="1" x14ac:dyDescent="0.2">
      <c r="A105" s="574" t="s">
        <v>745</v>
      </c>
      <c r="B105" s="170">
        <v>4</v>
      </c>
      <c r="C105" s="402"/>
      <c r="D105" s="306">
        <f>IF(D104=0,"",(D104/C104)-1)</f>
        <v>0.48541657656306936</v>
      </c>
      <c r="E105" s="306" t="str">
        <f>IF(E104=0,"",(E104/C104)-1)</f>
        <v/>
      </c>
      <c r="F105" s="306"/>
      <c r="G105" s="306"/>
      <c r="H105" s="306"/>
      <c r="I105" s="404"/>
      <c r="J105" s="406"/>
      <c r="K105" s="315">
        <f>IF(K104=0,"",(K104/C104)-1)</f>
        <v>0.48541657656306936</v>
      </c>
      <c r="L105" s="68"/>
      <c r="M105" s="68"/>
      <c r="N105" s="68"/>
    </row>
    <row r="106" spans="1:14" ht="12.75" customHeight="1" x14ac:dyDescent="0.2">
      <c r="A106" s="576" t="s">
        <v>138</v>
      </c>
      <c r="B106" s="237"/>
      <c r="C106" s="113">
        <f t="shared" ref="C106:I106" si="33">C30+C46+C83+C99</f>
        <v>520310013.39999968</v>
      </c>
      <c r="D106" s="57">
        <f t="shared" si="33"/>
        <v>763915501.82886934</v>
      </c>
      <c r="E106" s="56">
        <f t="shared" si="33"/>
        <v>0</v>
      </c>
      <c r="F106" s="56">
        <f t="shared" si="33"/>
        <v>56246992.140000001</v>
      </c>
      <c r="G106" s="56">
        <f t="shared" si="33"/>
        <v>220542512.98420003</v>
      </c>
      <c r="H106" s="56">
        <f t="shared" si="33"/>
        <v>254638500.60962307</v>
      </c>
      <c r="I106" s="56">
        <f t="shared" si="33"/>
        <v>-34095987.625423066</v>
      </c>
      <c r="J106" s="895">
        <f>IF(I106=0,"",I106/H106)</f>
        <v>-0.1338995774158063</v>
      </c>
      <c r="K106" s="236">
        <f>K30+K46+K83+K99</f>
        <v>763915501.82886934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471</v>
      </c>
      <c r="B108" s="59"/>
      <c r="C108" s="85"/>
      <c r="D108" s="85"/>
      <c r="E108" s="85"/>
      <c r="F108" s="85"/>
      <c r="G108" s="85"/>
      <c r="H108" s="85"/>
      <c r="I108" s="85"/>
      <c r="J108" s="85"/>
      <c r="K108" s="85"/>
      <c r="L108" s="68"/>
      <c r="M108" s="68"/>
      <c r="N108" s="68"/>
    </row>
    <row r="109" spans="1:14" ht="12.75" customHeight="1" x14ac:dyDescent="0.2">
      <c r="A109" s="81" t="s">
        <v>799</v>
      </c>
      <c r="B109" s="59"/>
      <c r="C109" s="85"/>
      <c r="D109" s="85"/>
      <c r="E109" s="85"/>
      <c r="F109" s="85"/>
      <c r="G109" s="85"/>
      <c r="H109" s="85"/>
      <c r="I109" s="85"/>
      <c r="J109" s="85"/>
      <c r="K109" s="85"/>
      <c r="L109" s="68"/>
      <c r="M109" s="68"/>
      <c r="N109" s="68"/>
    </row>
    <row r="110" spans="1:14" ht="12.75" customHeight="1" x14ac:dyDescent="0.2">
      <c r="A110" s="122" t="s">
        <v>472</v>
      </c>
    </row>
    <row r="111" spans="1:14" ht="12.75" customHeight="1" x14ac:dyDescent="0.2">
      <c r="A111" s="122" t="s">
        <v>473</v>
      </c>
    </row>
    <row r="112" spans="1:14" ht="12.75" customHeight="1" x14ac:dyDescent="0.2">
      <c r="A112" s="96" t="s">
        <v>626</v>
      </c>
    </row>
    <row r="113" spans="1:2" ht="12.75" customHeight="1" x14ac:dyDescent="0.2">
      <c r="A113" s="122" t="s">
        <v>851</v>
      </c>
    </row>
    <row r="114" spans="1:2" ht="12.75" customHeight="1" x14ac:dyDescent="0.2">
      <c r="A114" s="122" t="s">
        <v>852</v>
      </c>
    </row>
    <row r="115" spans="1:2" ht="12.75" customHeight="1" x14ac:dyDescent="0.2">
      <c r="A115" s="122" t="s">
        <v>776</v>
      </c>
    </row>
    <row r="116" spans="1:2" ht="12.75" customHeight="1" x14ac:dyDescent="0.2">
      <c r="A116" s="122" t="s">
        <v>777</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C62" sqref="C62"/>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M04 October</v>
      </c>
      <c r="B1" s="69"/>
    </row>
    <row r="2" spans="1:17" ht="25.5" customHeight="1" x14ac:dyDescent="0.2">
      <c r="A2" s="1013" t="str">
        <f>desc</f>
        <v>Description</v>
      </c>
      <c r="B2" s="1006" t="str">
        <f>head27</f>
        <v>Ref</v>
      </c>
      <c r="C2" s="1008" t="str">
        <f>Head2</f>
        <v>Budget Year 2017/18</v>
      </c>
      <c r="D2" s="1009"/>
      <c r="E2" s="1009"/>
      <c r="F2" s="1009"/>
      <c r="G2" s="1009"/>
      <c r="H2" s="1009"/>
      <c r="I2" s="1009"/>
      <c r="J2" s="1009"/>
      <c r="K2" s="1009"/>
      <c r="L2" s="1009"/>
      <c r="M2" s="1009"/>
      <c r="N2" s="1059"/>
      <c r="O2" s="1008" t="str">
        <f>'Template names'!B5</f>
        <v>2017/18 Medium Term Revenue &amp; Expenditure Framework</v>
      </c>
      <c r="P2" s="1009"/>
      <c r="Q2" s="1010"/>
    </row>
    <row r="3" spans="1:17" ht="12.75" customHeight="1" x14ac:dyDescent="0.2">
      <c r="A3" s="1014"/>
      <c r="B3" s="1017"/>
      <c r="C3" s="144" t="s">
        <v>805</v>
      </c>
      <c r="D3" s="27" t="s">
        <v>936</v>
      </c>
      <c r="E3" s="27" t="s">
        <v>3</v>
      </c>
      <c r="F3" s="27" t="s">
        <v>937</v>
      </c>
      <c r="G3" s="27" t="s">
        <v>4</v>
      </c>
      <c r="H3" s="27" t="s">
        <v>5</v>
      </c>
      <c r="I3" s="27" t="s">
        <v>940</v>
      </c>
      <c r="J3" s="27" t="s">
        <v>6</v>
      </c>
      <c r="K3" s="27" t="s">
        <v>942</v>
      </c>
      <c r="L3" s="27" t="s">
        <v>943</v>
      </c>
      <c r="M3" s="27" t="s">
        <v>944</v>
      </c>
      <c r="N3" s="164" t="s">
        <v>945</v>
      </c>
      <c r="O3" s="1057" t="str">
        <f>Head9</f>
        <v>Budget Year 2017/18</v>
      </c>
      <c r="P3" s="1053" t="str">
        <f>Head10</f>
        <v>Budget Year +1 2018/19</v>
      </c>
      <c r="Q3" s="1055" t="str">
        <f>Head11</f>
        <v>Budget Year +2 2019/20</v>
      </c>
    </row>
    <row r="4" spans="1:17" ht="13.5" customHeight="1" x14ac:dyDescent="0.2">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8"/>
      <c r="P4" s="1054"/>
      <c r="Q4" s="1056"/>
    </row>
    <row r="5" spans="1:17" ht="12.75" customHeight="1" x14ac:dyDescent="0.2">
      <c r="A5" s="36" t="s">
        <v>963</v>
      </c>
      <c r="B5" s="39"/>
      <c r="C5" s="259"/>
      <c r="D5" s="239"/>
      <c r="E5" s="239"/>
      <c r="F5" s="239"/>
      <c r="G5" s="239"/>
      <c r="H5" s="239"/>
      <c r="I5" s="239"/>
      <c r="J5" s="239"/>
      <c r="K5" s="239"/>
      <c r="L5" s="239"/>
      <c r="M5" s="239"/>
      <c r="N5" s="319"/>
      <c r="O5" s="238"/>
      <c r="P5" s="239"/>
      <c r="Q5" s="287"/>
    </row>
    <row r="6" spans="1:17" ht="12.75" customHeight="1" x14ac:dyDescent="0.2">
      <c r="A6" s="40" t="s">
        <v>962</v>
      </c>
      <c r="B6" s="41"/>
      <c r="C6" s="763">
        <v>27965430.150009222</v>
      </c>
      <c r="D6" s="743">
        <v>27632614.390000001</v>
      </c>
      <c r="E6" s="743"/>
      <c r="F6" s="743"/>
      <c r="G6" s="743"/>
      <c r="H6" s="743"/>
      <c r="I6" s="743"/>
      <c r="J6" s="743"/>
      <c r="K6" s="743"/>
      <c r="L6" s="743"/>
      <c r="M6" s="743"/>
      <c r="N6" s="109">
        <f t="shared" ref="N6:N20" si="0">O6-SUM(C6:M6)</f>
        <v>286010915.4599908</v>
      </c>
      <c r="O6" s="755">
        <v>341608960</v>
      </c>
      <c r="P6" s="743">
        <v>362105040</v>
      </c>
      <c r="Q6" s="745">
        <v>383831360</v>
      </c>
    </row>
    <row r="7" spans="1:17" ht="12.75" customHeight="1" x14ac:dyDescent="0.2">
      <c r="A7" s="40" t="s">
        <v>857</v>
      </c>
      <c r="B7" s="41"/>
      <c r="C7" s="763">
        <v>53783603.549999997</v>
      </c>
      <c r="D7" s="743">
        <v>47561206</v>
      </c>
      <c r="E7" s="743"/>
      <c r="F7" s="743"/>
      <c r="G7" s="743"/>
      <c r="H7" s="743"/>
      <c r="I7" s="743"/>
      <c r="J7" s="743"/>
      <c r="K7" s="743"/>
      <c r="L7" s="743"/>
      <c r="M7" s="743"/>
      <c r="N7" s="109">
        <f t="shared" si="0"/>
        <v>773724290.45000017</v>
      </c>
      <c r="O7" s="755">
        <v>875069100.00000012</v>
      </c>
      <c r="P7" s="743">
        <v>962577000</v>
      </c>
      <c r="Q7" s="745">
        <v>1058834700.0000002</v>
      </c>
    </row>
    <row r="8" spans="1:17" ht="12.75" customHeight="1" x14ac:dyDescent="0.2">
      <c r="A8" s="40" t="s">
        <v>858</v>
      </c>
      <c r="B8" s="41"/>
      <c r="C8" s="763">
        <v>26183495.870000001</v>
      </c>
      <c r="D8" s="743">
        <v>23521683</v>
      </c>
      <c r="E8" s="743"/>
      <c r="F8" s="743"/>
      <c r="G8" s="743"/>
      <c r="H8" s="743"/>
      <c r="I8" s="743"/>
      <c r="J8" s="743"/>
      <c r="K8" s="743"/>
      <c r="L8" s="743"/>
      <c r="M8" s="743"/>
      <c r="N8" s="109">
        <f t="shared" si="0"/>
        <v>232341321.21999997</v>
      </c>
      <c r="O8" s="755">
        <v>282046500.08999997</v>
      </c>
      <c r="P8" s="743">
        <v>310251600.09899998</v>
      </c>
      <c r="Q8" s="745">
        <v>341276400.10890007</v>
      </c>
    </row>
    <row r="9" spans="1:17" ht="12.75" customHeight="1" x14ac:dyDescent="0.2">
      <c r="A9" s="40" t="s">
        <v>859</v>
      </c>
      <c r="B9" s="41"/>
      <c r="C9" s="763">
        <v>8077534.25</v>
      </c>
      <c r="D9" s="743">
        <v>8432355</v>
      </c>
      <c r="E9" s="743"/>
      <c r="F9" s="743"/>
      <c r="G9" s="743"/>
      <c r="H9" s="743"/>
      <c r="I9" s="743"/>
      <c r="J9" s="743"/>
      <c r="K9" s="743"/>
      <c r="L9" s="743"/>
      <c r="M9" s="743"/>
      <c r="N9" s="109">
        <f t="shared" si="0"/>
        <v>66646590.662</v>
      </c>
      <c r="O9" s="755">
        <v>83156479.912</v>
      </c>
      <c r="P9" s="743">
        <v>91472479.903200015</v>
      </c>
      <c r="Q9" s="745">
        <v>97952799.893520027</v>
      </c>
    </row>
    <row r="10" spans="1:17" ht="12.75" customHeight="1" x14ac:dyDescent="0.2">
      <c r="A10" s="40" t="s">
        <v>499</v>
      </c>
      <c r="B10" s="41"/>
      <c r="C10" s="763">
        <v>8998076.4199999999</v>
      </c>
      <c r="D10" s="743">
        <v>9508980</v>
      </c>
      <c r="E10" s="743"/>
      <c r="F10" s="743"/>
      <c r="G10" s="743"/>
      <c r="H10" s="743"/>
      <c r="I10" s="743"/>
      <c r="J10" s="743"/>
      <c r="K10" s="743"/>
      <c r="L10" s="743"/>
      <c r="M10" s="743"/>
      <c r="N10" s="109">
        <f t="shared" si="0"/>
        <v>73100063.579999998</v>
      </c>
      <c r="O10" s="755">
        <v>91607120</v>
      </c>
      <c r="P10" s="743">
        <v>100767920.00000001</v>
      </c>
      <c r="Q10" s="745">
        <v>110844800</v>
      </c>
    </row>
    <row r="11" spans="1:17" ht="12.75" customHeight="1" x14ac:dyDescent="0.2">
      <c r="A11" s="40" t="s">
        <v>860</v>
      </c>
      <c r="B11" s="41"/>
      <c r="C11" s="763"/>
      <c r="D11" s="743"/>
      <c r="E11" s="743"/>
      <c r="F11" s="743"/>
      <c r="G11" s="743"/>
      <c r="H11" s="743"/>
      <c r="I11" s="743"/>
      <c r="J11" s="743"/>
      <c r="K11" s="743"/>
      <c r="L11" s="743"/>
      <c r="M11" s="743"/>
      <c r="N11" s="109">
        <f t="shared" si="0"/>
        <v>0</v>
      </c>
      <c r="O11" s="755">
        <v>0</v>
      </c>
      <c r="P11" s="743">
        <v>0</v>
      </c>
      <c r="Q11" s="745">
        <v>0</v>
      </c>
    </row>
    <row r="12" spans="1:17" ht="12.75" customHeight="1" x14ac:dyDescent="0.2">
      <c r="A12" s="40" t="s">
        <v>994</v>
      </c>
      <c r="B12" s="41"/>
      <c r="C12" s="763"/>
      <c r="D12" s="743"/>
      <c r="E12" s="743"/>
      <c r="F12" s="743"/>
      <c r="G12" s="743"/>
      <c r="H12" s="743"/>
      <c r="I12" s="743"/>
      <c r="J12" s="743"/>
      <c r="K12" s="743"/>
      <c r="L12" s="743"/>
      <c r="M12" s="743"/>
      <c r="N12" s="109">
        <f t="shared" si="0"/>
        <v>32972220.455699995</v>
      </c>
      <c r="O12" s="755">
        <v>32972220.455699995</v>
      </c>
      <c r="P12" s="743">
        <v>34950329.553042002</v>
      </c>
      <c r="Q12" s="745">
        <v>37047480.456224523</v>
      </c>
    </row>
    <row r="13" spans="1:17" ht="12.75" customHeight="1" x14ac:dyDescent="0.2">
      <c r="A13" s="40" t="s">
        <v>863</v>
      </c>
      <c r="B13" s="41"/>
      <c r="C13" s="763">
        <v>1625971</v>
      </c>
      <c r="D13" s="743">
        <v>1626078</v>
      </c>
      <c r="E13" s="743"/>
      <c r="F13" s="743"/>
      <c r="G13" s="743"/>
      <c r="H13" s="743"/>
      <c r="I13" s="743"/>
      <c r="J13" s="743"/>
      <c r="K13" s="743"/>
      <c r="L13" s="743"/>
      <c r="M13" s="743"/>
      <c r="N13" s="109">
        <f t="shared" si="0"/>
        <v>38545871</v>
      </c>
      <c r="O13" s="755">
        <v>41797920</v>
      </c>
      <c r="P13" s="743">
        <v>44306130</v>
      </c>
      <c r="Q13" s="745">
        <v>46965000</v>
      </c>
    </row>
    <row r="14" spans="1:17" ht="12.75" customHeight="1" x14ac:dyDescent="0.2">
      <c r="A14" s="40" t="s">
        <v>864</v>
      </c>
      <c r="B14" s="41"/>
      <c r="C14" s="763">
        <v>6483933</v>
      </c>
      <c r="D14" s="743">
        <v>6885020</v>
      </c>
      <c r="E14" s="743"/>
      <c r="F14" s="743"/>
      <c r="G14" s="743"/>
      <c r="H14" s="743"/>
      <c r="I14" s="743"/>
      <c r="J14" s="743"/>
      <c r="K14" s="743"/>
      <c r="L14" s="743"/>
      <c r="M14" s="743"/>
      <c r="N14" s="109">
        <f t="shared" si="0"/>
        <v>48701107</v>
      </c>
      <c r="O14" s="755">
        <v>62070060</v>
      </c>
      <c r="P14" s="743">
        <v>65794710</v>
      </c>
      <c r="Q14" s="745">
        <v>69742560</v>
      </c>
    </row>
    <row r="15" spans="1:17" ht="12.75" customHeight="1" x14ac:dyDescent="0.2">
      <c r="A15" s="40" t="s">
        <v>952</v>
      </c>
      <c r="B15" s="41"/>
      <c r="C15" s="763"/>
      <c r="D15" s="743"/>
      <c r="E15" s="743"/>
      <c r="F15" s="743"/>
      <c r="G15" s="743"/>
      <c r="H15" s="743"/>
      <c r="I15" s="743"/>
      <c r="J15" s="743"/>
      <c r="K15" s="743"/>
      <c r="L15" s="743"/>
      <c r="M15" s="743"/>
      <c r="N15" s="109">
        <f t="shared" si="0"/>
        <v>0</v>
      </c>
      <c r="O15" s="755">
        <v>0</v>
      </c>
      <c r="P15" s="743">
        <v>0</v>
      </c>
      <c r="Q15" s="745">
        <v>0</v>
      </c>
    </row>
    <row r="16" spans="1:17" ht="12.75" customHeight="1" x14ac:dyDescent="0.2">
      <c r="A16" s="40" t="s">
        <v>1158</v>
      </c>
      <c r="B16" s="41"/>
      <c r="C16" s="763">
        <v>6483933.8700000001</v>
      </c>
      <c r="D16" s="743">
        <v>612680</v>
      </c>
      <c r="E16" s="743"/>
      <c r="F16" s="743"/>
      <c r="G16" s="743"/>
      <c r="H16" s="743"/>
      <c r="I16" s="743"/>
      <c r="J16" s="743"/>
      <c r="K16" s="743"/>
      <c r="L16" s="743"/>
      <c r="M16" s="743"/>
      <c r="N16" s="109">
        <f t="shared" si="0"/>
        <v>15223386.129999999</v>
      </c>
      <c r="O16" s="755">
        <v>22320000</v>
      </c>
      <c r="P16" s="743">
        <v>23659200</v>
      </c>
      <c r="Q16" s="745">
        <v>25079310.000000004</v>
      </c>
    </row>
    <row r="17" spans="1:17" ht="12.75" customHeight="1" x14ac:dyDescent="0.2">
      <c r="A17" s="40" t="s">
        <v>865</v>
      </c>
      <c r="B17" s="41"/>
      <c r="C17" s="763">
        <v>3720</v>
      </c>
      <c r="D17" s="743">
        <v>8474</v>
      </c>
      <c r="E17" s="743"/>
      <c r="F17" s="743"/>
      <c r="G17" s="743"/>
      <c r="H17" s="743"/>
      <c r="I17" s="743"/>
      <c r="J17" s="743"/>
      <c r="K17" s="743"/>
      <c r="L17" s="743"/>
      <c r="M17" s="743"/>
      <c r="N17" s="109">
        <f t="shared" si="0"/>
        <v>13050585.627999997</v>
      </c>
      <c r="O17" s="755">
        <v>13062779.627999997</v>
      </c>
      <c r="P17" s="743">
        <v>13846769.605679998</v>
      </c>
      <c r="Q17" s="745">
        <v>14677259.582020801</v>
      </c>
    </row>
    <row r="18" spans="1:17" ht="12.75" customHeight="1" x14ac:dyDescent="0.2">
      <c r="A18" s="40" t="s">
        <v>601</v>
      </c>
      <c r="B18" s="41"/>
      <c r="C18" s="763"/>
      <c r="D18" s="743">
        <v>0</v>
      </c>
      <c r="E18" s="743"/>
      <c r="F18" s="743"/>
      <c r="G18" s="743"/>
      <c r="H18" s="743"/>
      <c r="I18" s="743"/>
      <c r="J18" s="743"/>
      <c r="K18" s="743"/>
      <c r="L18" s="743"/>
      <c r="M18" s="743"/>
      <c r="N18" s="109">
        <f t="shared" si="0"/>
        <v>21124000</v>
      </c>
      <c r="O18" s="755">
        <v>21124000</v>
      </c>
      <c r="P18" s="743">
        <v>22391000</v>
      </c>
      <c r="Q18" s="745">
        <v>23734000</v>
      </c>
    </row>
    <row r="19" spans="1:17" ht="12.75" customHeight="1" x14ac:dyDescent="0.2">
      <c r="A19" s="40" t="s">
        <v>139</v>
      </c>
      <c r="B19" s="41"/>
      <c r="C19" s="763">
        <v>371147541</v>
      </c>
      <c r="D19" s="743">
        <v>27085520</v>
      </c>
      <c r="E19" s="743"/>
      <c r="F19" s="743"/>
      <c r="G19" s="743"/>
      <c r="H19" s="743"/>
      <c r="I19" s="743"/>
      <c r="J19" s="743"/>
      <c r="K19" s="743"/>
      <c r="L19" s="743"/>
      <c r="M19" s="743"/>
      <c r="N19" s="109">
        <f t="shared" si="0"/>
        <v>570677939.36500001</v>
      </c>
      <c r="O19" s="755">
        <v>968911000.36500001</v>
      </c>
      <c r="P19" s="743">
        <v>956082000.01021302</v>
      </c>
      <c r="Q19" s="745">
        <v>1028010000.0108253</v>
      </c>
    </row>
    <row r="20" spans="1:17" ht="12.75" customHeight="1" x14ac:dyDescent="0.2">
      <c r="A20" s="40" t="s">
        <v>464</v>
      </c>
      <c r="B20" s="41"/>
      <c r="C20" s="763">
        <v>123470093.41999078</v>
      </c>
      <c r="D20" s="743">
        <v>74370591</v>
      </c>
      <c r="E20" s="743"/>
      <c r="F20" s="743"/>
      <c r="G20" s="743"/>
      <c r="H20" s="743"/>
      <c r="I20" s="743"/>
      <c r="J20" s="743"/>
      <c r="K20" s="743"/>
      <c r="L20" s="743"/>
      <c r="M20" s="743"/>
      <c r="N20" s="109">
        <f t="shared" si="0"/>
        <v>-8520583.8805907667</v>
      </c>
      <c r="O20" s="755">
        <v>189320100.53940001</v>
      </c>
      <c r="P20" s="743">
        <v>127726199.86050001</v>
      </c>
      <c r="Q20" s="745">
        <v>151199400.11253017</v>
      </c>
    </row>
    <row r="21" spans="1:17" ht="12.75" customHeight="1" x14ac:dyDescent="0.2">
      <c r="A21" s="89" t="s">
        <v>964</v>
      </c>
      <c r="B21" s="53"/>
      <c r="C21" s="478">
        <f t="shared" ref="C21:Q21" si="1">SUM(C6:C20)</f>
        <v>634223332.52999997</v>
      </c>
      <c r="D21" s="433">
        <f t="shared" si="1"/>
        <v>227245201.38999999</v>
      </c>
      <c r="E21" s="433">
        <f t="shared" si="1"/>
        <v>0</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2163597707.0701003</v>
      </c>
      <c r="O21" s="478">
        <f t="shared" si="1"/>
        <v>3025066240.9900999</v>
      </c>
      <c r="P21" s="433">
        <f t="shared" si="1"/>
        <v>3115930379.0316348</v>
      </c>
      <c r="Q21" s="516">
        <f t="shared" si="1"/>
        <v>3389195070.164021</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
      <c r="A24" s="87" t="s">
        <v>140</v>
      </c>
      <c r="B24" s="41"/>
      <c r="C24" s="763">
        <v>190093458</v>
      </c>
      <c r="D24" s="743">
        <v>30342480.000000004</v>
      </c>
      <c r="E24" s="743"/>
      <c r="F24" s="743"/>
      <c r="G24" s="743"/>
      <c r="H24" s="743"/>
      <c r="I24" s="743"/>
      <c r="J24" s="743"/>
      <c r="K24" s="743"/>
      <c r="L24" s="743"/>
      <c r="M24" s="743"/>
      <c r="N24" s="109">
        <f t="shared" si="2"/>
        <v>430519061.63499999</v>
      </c>
      <c r="O24" s="755">
        <v>650954999.63499999</v>
      </c>
      <c r="P24" s="743">
        <v>758453999.98978806</v>
      </c>
      <c r="Q24" s="745">
        <v>1164786999.9891751</v>
      </c>
    </row>
    <row r="25" spans="1:17" ht="12.75" customHeight="1" x14ac:dyDescent="0.2">
      <c r="A25" s="40" t="s">
        <v>934</v>
      </c>
      <c r="B25" s="41"/>
      <c r="C25" s="763"/>
      <c r="D25" s="743"/>
      <c r="E25" s="743"/>
      <c r="F25" s="743"/>
      <c r="G25" s="743"/>
      <c r="H25" s="743"/>
      <c r="I25" s="743"/>
      <c r="J25" s="743"/>
      <c r="K25" s="743"/>
      <c r="L25" s="743"/>
      <c r="M25" s="743"/>
      <c r="N25" s="109">
        <f t="shared" si="2"/>
        <v>0</v>
      </c>
      <c r="O25" s="755"/>
      <c r="P25" s="743"/>
      <c r="Q25" s="745"/>
    </row>
    <row r="26" spans="1:17" ht="12.75" customHeight="1" x14ac:dyDescent="0.2">
      <c r="A26" s="40" t="s">
        <v>953</v>
      </c>
      <c r="B26" s="41"/>
      <c r="C26" s="763"/>
      <c r="D26" s="743"/>
      <c r="E26" s="743"/>
      <c r="F26" s="743"/>
      <c r="G26" s="743"/>
      <c r="H26" s="743"/>
      <c r="I26" s="743"/>
      <c r="J26" s="743"/>
      <c r="K26" s="743"/>
      <c r="L26" s="743"/>
      <c r="M26" s="743"/>
      <c r="N26" s="109">
        <f t="shared" si="2"/>
        <v>28700000</v>
      </c>
      <c r="O26" s="755">
        <v>28700000</v>
      </c>
      <c r="P26" s="743">
        <v>36368000</v>
      </c>
      <c r="Q26" s="745">
        <v>41460840</v>
      </c>
    </row>
    <row r="27" spans="1:17" ht="12.75" customHeight="1" x14ac:dyDescent="0.2">
      <c r="A27" s="40" t="s">
        <v>930</v>
      </c>
      <c r="B27" s="41"/>
      <c r="C27" s="763"/>
      <c r="D27" s="743"/>
      <c r="E27" s="743"/>
      <c r="F27" s="743"/>
      <c r="G27" s="743"/>
      <c r="H27" s="743"/>
      <c r="I27" s="743"/>
      <c r="J27" s="743"/>
      <c r="K27" s="743"/>
      <c r="L27" s="743"/>
      <c r="M27" s="743"/>
      <c r="N27" s="109">
        <f t="shared" si="2"/>
        <v>0</v>
      </c>
      <c r="O27" s="755"/>
      <c r="P27" s="743"/>
      <c r="Q27" s="745"/>
    </row>
    <row r="28" spans="1:17" ht="12.75" customHeight="1" x14ac:dyDescent="0.2">
      <c r="A28" s="40" t="s">
        <v>989</v>
      </c>
      <c r="B28" s="41"/>
      <c r="C28" s="763">
        <v>0</v>
      </c>
      <c r="D28" s="743">
        <v>205000000</v>
      </c>
      <c r="E28" s="743"/>
      <c r="F28" s="743"/>
      <c r="G28" s="743"/>
      <c r="H28" s="743"/>
      <c r="I28" s="743"/>
      <c r="J28" s="743"/>
      <c r="K28" s="743"/>
      <c r="L28" s="743"/>
      <c r="M28" s="743"/>
      <c r="N28" s="109">
        <f t="shared" si="2"/>
        <v>105000000</v>
      </c>
      <c r="O28" s="755">
        <v>310000000</v>
      </c>
      <c r="P28" s="743"/>
      <c r="Q28" s="745"/>
    </row>
    <row r="29" spans="1:17" ht="12.75" customHeight="1" x14ac:dyDescent="0.2">
      <c r="A29" s="40" t="s">
        <v>862</v>
      </c>
      <c r="B29" s="41"/>
      <c r="C29" s="763">
        <v>-16278</v>
      </c>
      <c r="D29" s="743">
        <v>119672.81</v>
      </c>
      <c r="E29" s="743"/>
      <c r="F29" s="743"/>
      <c r="G29" s="743"/>
      <c r="H29" s="743"/>
      <c r="I29" s="743"/>
      <c r="J29" s="743"/>
      <c r="K29" s="743"/>
      <c r="L29" s="743"/>
      <c r="M29" s="743"/>
      <c r="N29" s="109">
        <f t="shared" si="2"/>
        <v>39896605.189999998</v>
      </c>
      <c r="O29" s="755">
        <v>40000000</v>
      </c>
      <c r="P29" s="743"/>
      <c r="Q29" s="745"/>
    </row>
    <row r="30" spans="1:17" ht="12.75" customHeight="1" x14ac:dyDescent="0.2">
      <c r="A30" s="40" t="s">
        <v>76</v>
      </c>
      <c r="B30" s="41"/>
      <c r="C30" s="763"/>
      <c r="D30" s="743"/>
      <c r="E30" s="743"/>
      <c r="F30" s="743"/>
      <c r="G30" s="743"/>
      <c r="H30" s="743"/>
      <c r="I30" s="743"/>
      <c r="J30" s="743"/>
      <c r="K30" s="743"/>
      <c r="L30" s="743"/>
      <c r="M30" s="743"/>
      <c r="N30" s="109">
        <f t="shared" si="2"/>
        <v>0</v>
      </c>
      <c r="O30" s="755"/>
      <c r="P30" s="743"/>
      <c r="Q30" s="745"/>
    </row>
    <row r="31" spans="1:17" ht="12.75" customHeight="1" x14ac:dyDescent="0.2">
      <c r="A31" s="40" t="s">
        <v>77</v>
      </c>
      <c r="B31" s="41"/>
      <c r="C31" s="763"/>
      <c r="D31" s="743"/>
      <c r="E31" s="743"/>
      <c r="F31" s="743"/>
      <c r="G31" s="743"/>
      <c r="H31" s="743"/>
      <c r="I31" s="743"/>
      <c r="J31" s="743"/>
      <c r="K31" s="743"/>
      <c r="L31" s="743"/>
      <c r="M31" s="743"/>
      <c r="N31" s="109">
        <f t="shared" si="2"/>
        <v>0</v>
      </c>
      <c r="O31" s="755"/>
      <c r="P31" s="743"/>
      <c r="Q31" s="745"/>
    </row>
    <row r="32" spans="1:17" ht="12.75" customHeight="1" x14ac:dyDescent="0.2">
      <c r="A32" s="40" t="s">
        <v>75</v>
      </c>
      <c r="B32" s="41"/>
      <c r="C32" s="763"/>
      <c r="D32" s="743"/>
      <c r="E32" s="743"/>
      <c r="F32" s="743"/>
      <c r="G32" s="743"/>
      <c r="H32" s="743"/>
      <c r="I32" s="743"/>
      <c r="J32" s="743"/>
      <c r="K32" s="743"/>
      <c r="L32" s="743"/>
      <c r="M32" s="743"/>
      <c r="N32" s="109">
        <f t="shared" si="2"/>
        <v>0</v>
      </c>
      <c r="O32" s="755"/>
      <c r="P32" s="743"/>
      <c r="Q32" s="745"/>
    </row>
    <row r="33" spans="1:17" ht="12.75" customHeight="1" x14ac:dyDescent="0.2">
      <c r="A33" s="321" t="s">
        <v>947</v>
      </c>
      <c r="B33" s="322"/>
      <c r="C33" s="261">
        <f t="shared" ref="C33:Q33" si="3">SUM(C21:C32)</f>
        <v>824300512.52999997</v>
      </c>
      <c r="D33" s="74">
        <f t="shared" si="3"/>
        <v>462707354.19999999</v>
      </c>
      <c r="E33" s="74">
        <f t="shared" si="3"/>
        <v>0</v>
      </c>
      <c r="F33" s="74">
        <f t="shared" si="3"/>
        <v>0</v>
      </c>
      <c r="G33" s="74">
        <f t="shared" si="3"/>
        <v>0</v>
      </c>
      <c r="H33" s="74">
        <f t="shared" si="3"/>
        <v>0</v>
      </c>
      <c r="I33" s="74">
        <f t="shared" si="3"/>
        <v>0</v>
      </c>
      <c r="J33" s="74">
        <f t="shared" si="3"/>
        <v>0</v>
      </c>
      <c r="K33" s="74">
        <f t="shared" si="3"/>
        <v>0</v>
      </c>
      <c r="L33" s="74">
        <f t="shared" si="3"/>
        <v>0</v>
      </c>
      <c r="M33" s="74">
        <f t="shared" si="3"/>
        <v>0</v>
      </c>
      <c r="N33" s="323">
        <f t="shared" si="3"/>
        <v>2767713373.8951001</v>
      </c>
      <c r="O33" s="75">
        <f t="shared" si="3"/>
        <v>4054721240.6251001</v>
      </c>
      <c r="P33" s="74">
        <f t="shared" si="3"/>
        <v>3910752379.0214229</v>
      </c>
      <c r="Q33" s="146">
        <f t="shared" si="3"/>
        <v>4595442910.1531963</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
      <c r="A36" s="40" t="s">
        <v>867</v>
      </c>
      <c r="B36" s="41"/>
      <c r="C36" s="763">
        <v>57597099.709999993</v>
      </c>
      <c r="D36" s="743">
        <v>54144831.680000007</v>
      </c>
      <c r="E36" s="743"/>
      <c r="F36" s="743"/>
      <c r="G36" s="743"/>
      <c r="H36" s="743"/>
      <c r="I36" s="743"/>
      <c r="J36" s="743"/>
      <c r="K36" s="743"/>
      <c r="L36" s="743"/>
      <c r="M36" s="743"/>
      <c r="N36" s="109">
        <f t="shared" si="4"/>
        <v>594698807.74542582</v>
      </c>
      <c r="O36" s="755">
        <v>706440739.13542581</v>
      </c>
      <c r="P36" s="743">
        <v>748827183.48355138</v>
      </c>
      <c r="Q36" s="745">
        <v>793756814.49256456</v>
      </c>
    </row>
    <row r="37" spans="1:17" ht="12.75" customHeight="1" x14ac:dyDescent="0.2">
      <c r="A37" s="40" t="s">
        <v>490</v>
      </c>
      <c r="B37" s="41"/>
      <c r="C37" s="763">
        <v>2728173.2799999993</v>
      </c>
      <c r="D37" s="743">
        <v>2763807.95</v>
      </c>
      <c r="E37" s="743"/>
      <c r="F37" s="743"/>
      <c r="G37" s="743"/>
      <c r="H37" s="743"/>
      <c r="I37" s="743"/>
      <c r="J37" s="743"/>
      <c r="K37" s="743"/>
      <c r="L37" s="743"/>
      <c r="M37" s="743"/>
      <c r="N37" s="109">
        <f t="shared" si="4"/>
        <v>30752418.77</v>
      </c>
      <c r="O37" s="755">
        <v>36244400</v>
      </c>
      <c r="P37" s="743">
        <v>38418950.000000007</v>
      </c>
      <c r="Q37" s="745">
        <v>40723650</v>
      </c>
    </row>
    <row r="38" spans="1:17" ht="12.75" customHeight="1" x14ac:dyDescent="0.2">
      <c r="A38" s="40" t="s">
        <v>869</v>
      </c>
      <c r="B38" s="41"/>
      <c r="C38" s="763">
        <v>10179890.960000001</v>
      </c>
      <c r="D38" s="743"/>
      <c r="E38" s="743"/>
      <c r="F38" s="743"/>
      <c r="G38" s="743"/>
      <c r="H38" s="743"/>
      <c r="I38" s="743"/>
      <c r="J38" s="743"/>
      <c r="K38" s="743"/>
      <c r="L38" s="743"/>
      <c r="M38" s="743"/>
      <c r="N38" s="109">
        <f t="shared" si="4"/>
        <v>65820109.039999999</v>
      </c>
      <c r="O38" s="755">
        <v>76000000</v>
      </c>
      <c r="P38" s="743">
        <v>83600000</v>
      </c>
      <c r="Q38" s="745">
        <v>114000000</v>
      </c>
    </row>
    <row r="39" spans="1:17" ht="12.75" customHeight="1" x14ac:dyDescent="0.2">
      <c r="A39" s="40" t="s">
        <v>946</v>
      </c>
      <c r="B39" s="41"/>
      <c r="C39" s="763">
        <v>87116311.489999995</v>
      </c>
      <c r="D39" s="743">
        <v>79107963</v>
      </c>
      <c r="E39" s="743"/>
      <c r="F39" s="743"/>
      <c r="G39" s="743"/>
      <c r="H39" s="743"/>
      <c r="I39" s="743"/>
      <c r="J39" s="743"/>
      <c r="K39" s="743"/>
      <c r="L39" s="743"/>
      <c r="M39" s="743"/>
      <c r="N39" s="109">
        <f t="shared" si="4"/>
        <v>461775533.05999994</v>
      </c>
      <c r="O39" s="755">
        <v>627999807.54999995</v>
      </c>
      <c r="P39" s="743">
        <v>665680347.00300002</v>
      </c>
      <c r="Q39" s="745">
        <v>705621243.82317996</v>
      </c>
    </row>
    <row r="40" spans="1:17" ht="12.75" customHeight="1" x14ac:dyDescent="0.2">
      <c r="A40" s="87" t="s">
        <v>949</v>
      </c>
      <c r="B40" s="41"/>
      <c r="C40" s="763">
        <v>16775000</v>
      </c>
      <c r="D40" s="743">
        <v>15366200</v>
      </c>
      <c r="E40" s="743"/>
      <c r="F40" s="743"/>
      <c r="G40" s="743"/>
      <c r="H40" s="743"/>
      <c r="I40" s="743"/>
      <c r="J40" s="743"/>
      <c r="K40" s="743"/>
      <c r="L40" s="743"/>
      <c r="M40" s="743"/>
      <c r="N40" s="109">
        <f t="shared" si="4"/>
        <v>151464892.44999999</v>
      </c>
      <c r="O40" s="755">
        <v>183606092.44999999</v>
      </c>
      <c r="P40" s="743">
        <v>194622552.99699998</v>
      </c>
      <c r="Q40" s="745">
        <v>206299906.17681998</v>
      </c>
    </row>
    <row r="41" spans="1:17" ht="12.75" customHeight="1" x14ac:dyDescent="0.2">
      <c r="A41" s="87" t="s">
        <v>951</v>
      </c>
      <c r="B41" s="41"/>
      <c r="C41" s="763">
        <v>11184000</v>
      </c>
      <c r="D41" s="743">
        <v>7199505</v>
      </c>
      <c r="E41" s="743"/>
      <c r="F41" s="743"/>
      <c r="G41" s="743"/>
      <c r="H41" s="743"/>
      <c r="I41" s="743"/>
      <c r="J41" s="743"/>
      <c r="K41" s="743"/>
      <c r="L41" s="743"/>
      <c r="M41" s="743"/>
      <c r="N41" s="109">
        <f t="shared" si="4"/>
        <v>176335145</v>
      </c>
      <c r="O41" s="755">
        <v>194718650</v>
      </c>
      <c r="P41" s="743">
        <v>201647950</v>
      </c>
      <c r="Q41" s="745">
        <v>212520700</v>
      </c>
    </row>
    <row r="42" spans="1:17" ht="12.75" customHeight="1" x14ac:dyDescent="0.2">
      <c r="A42" s="87" t="s">
        <v>871</v>
      </c>
      <c r="B42" s="41"/>
      <c r="C42" s="763">
        <v>0</v>
      </c>
      <c r="D42" s="743">
        <v>25116339</v>
      </c>
      <c r="E42" s="743"/>
      <c r="F42" s="743"/>
      <c r="G42" s="743"/>
      <c r="H42" s="743"/>
      <c r="I42" s="743"/>
      <c r="J42" s="743"/>
      <c r="K42" s="743"/>
      <c r="L42" s="743"/>
      <c r="M42" s="743"/>
      <c r="N42" s="109">
        <f t="shared" si="4"/>
        <v>288512861.20044994</v>
      </c>
      <c r="O42" s="755">
        <v>313629200.20044994</v>
      </c>
      <c r="P42" s="743">
        <v>199757450.20465374</v>
      </c>
      <c r="Q42" s="745">
        <v>277794820.45303124</v>
      </c>
    </row>
    <row r="43" spans="1:17" ht="12.75" customHeight="1" x14ac:dyDescent="0.2">
      <c r="A43" s="87" t="s">
        <v>955</v>
      </c>
      <c r="B43" s="41"/>
      <c r="C43" s="763">
        <v>3540000</v>
      </c>
      <c r="D43" s="743">
        <v>40000</v>
      </c>
      <c r="E43" s="743"/>
      <c r="F43" s="743"/>
      <c r="G43" s="743"/>
      <c r="H43" s="743"/>
      <c r="I43" s="743"/>
      <c r="J43" s="743"/>
      <c r="K43" s="743"/>
      <c r="L43" s="743"/>
      <c r="M43" s="743"/>
      <c r="N43" s="109">
        <f t="shared" si="4"/>
        <v>-3580000</v>
      </c>
      <c r="O43" s="755"/>
      <c r="P43" s="743"/>
      <c r="Q43" s="745"/>
    </row>
    <row r="44" spans="1:17" ht="12.75" customHeight="1" x14ac:dyDescent="0.2">
      <c r="A44" s="87" t="s">
        <v>956</v>
      </c>
      <c r="B44" s="41"/>
      <c r="C44" s="763"/>
      <c r="D44" s="743"/>
      <c r="E44" s="743"/>
      <c r="F44" s="743"/>
      <c r="G44" s="743"/>
      <c r="H44" s="743"/>
      <c r="I44" s="743"/>
      <c r="J44" s="743"/>
      <c r="K44" s="743"/>
      <c r="L44" s="743"/>
      <c r="M44" s="743"/>
      <c r="N44" s="109">
        <f t="shared" si="4"/>
        <v>5720000</v>
      </c>
      <c r="O44" s="755">
        <v>5720000</v>
      </c>
      <c r="P44" s="743">
        <v>15720000</v>
      </c>
      <c r="Q44" s="745">
        <v>15720000</v>
      </c>
    </row>
    <row r="45" spans="1:17" ht="12.75" customHeight="1" x14ac:dyDescent="0.2">
      <c r="A45" s="87" t="s">
        <v>872</v>
      </c>
      <c r="B45" s="41"/>
      <c r="C45" s="763">
        <v>136238493</v>
      </c>
      <c r="D45" s="743">
        <v>110938771</v>
      </c>
      <c r="E45" s="743"/>
      <c r="F45" s="743"/>
      <c r="G45" s="743"/>
      <c r="H45" s="743"/>
      <c r="I45" s="743"/>
      <c r="J45" s="743"/>
      <c r="K45" s="743"/>
      <c r="L45" s="743"/>
      <c r="M45" s="743"/>
      <c r="N45" s="109">
        <f t="shared" si="4"/>
        <v>137894678.86849952</v>
      </c>
      <c r="O45" s="755">
        <v>385071942.86849952</v>
      </c>
      <c r="P45" s="743">
        <v>411181087.98580921</v>
      </c>
      <c r="Q45" s="745">
        <v>430028453.26496011</v>
      </c>
    </row>
    <row r="46" spans="1:17" ht="12.75" customHeight="1" x14ac:dyDescent="0.2">
      <c r="A46" s="89" t="s">
        <v>965</v>
      </c>
      <c r="B46" s="53">
        <f>SUM(B36:B45)</f>
        <v>0</v>
      </c>
      <c r="C46" s="478">
        <f>SUM(C36:C45)</f>
        <v>325358968.44</v>
      </c>
      <c r="D46" s="433">
        <f t="shared" ref="D46:Q46" si="5">SUM(D36:D45)</f>
        <v>294677417.63</v>
      </c>
      <c r="E46" s="433">
        <f t="shared" si="5"/>
        <v>0</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1909394446.1343751</v>
      </c>
      <c r="O46" s="478">
        <f t="shared" si="5"/>
        <v>2529430832.2043753</v>
      </c>
      <c r="P46" s="433">
        <f t="shared" si="5"/>
        <v>2559455521.6740141</v>
      </c>
      <c r="Q46" s="516">
        <f t="shared" si="5"/>
        <v>2796465588.210556</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689</v>
      </c>
      <c r="B48" s="41"/>
      <c r="C48" s="259"/>
      <c r="D48" s="45"/>
      <c r="E48" s="45"/>
      <c r="F48" s="45"/>
      <c r="G48" s="45"/>
      <c r="H48" s="45"/>
      <c r="I48" s="45"/>
      <c r="J48" s="45"/>
      <c r="K48" s="45"/>
      <c r="L48" s="45"/>
      <c r="M48" s="45"/>
      <c r="N48" s="109"/>
      <c r="O48" s="47"/>
      <c r="P48" s="45"/>
      <c r="Q48" s="145"/>
    </row>
    <row r="49" spans="1:17" ht="12.75" customHeight="1" x14ac:dyDescent="0.2">
      <c r="A49" s="87" t="s">
        <v>720</v>
      </c>
      <c r="B49" s="41"/>
      <c r="C49" s="763">
        <v>42514078</v>
      </c>
      <c r="D49" s="743">
        <v>67305084</v>
      </c>
      <c r="E49" s="743"/>
      <c r="F49" s="743"/>
      <c r="G49" s="743"/>
      <c r="H49" s="743"/>
      <c r="I49" s="743"/>
      <c r="J49" s="743"/>
      <c r="K49" s="743"/>
      <c r="L49" s="743"/>
      <c r="M49" s="743"/>
      <c r="N49" s="109">
        <f>O49-SUM(C49:M49)</f>
        <v>1058792938</v>
      </c>
      <c r="O49" s="755">
        <v>1168612100</v>
      </c>
      <c r="P49" s="743">
        <v>1142234400</v>
      </c>
      <c r="Q49" s="745">
        <v>1614880260</v>
      </c>
    </row>
    <row r="50" spans="1:17" ht="12.75" customHeight="1" x14ac:dyDescent="0.2">
      <c r="A50" s="87" t="s">
        <v>929</v>
      </c>
      <c r="B50" s="41"/>
      <c r="C50" s="763"/>
      <c r="D50" s="743"/>
      <c r="E50" s="743"/>
      <c r="F50" s="743"/>
      <c r="G50" s="743"/>
      <c r="H50" s="743"/>
      <c r="I50" s="743"/>
      <c r="J50" s="743"/>
      <c r="K50" s="743"/>
      <c r="L50" s="743"/>
      <c r="M50" s="743"/>
      <c r="N50" s="109">
        <f>O50-SUM(C50:M50)</f>
        <v>151000000</v>
      </c>
      <c r="O50" s="755">
        <v>151000000</v>
      </c>
      <c r="P50" s="743">
        <v>110450000</v>
      </c>
      <c r="Q50" s="745">
        <v>52082000</v>
      </c>
    </row>
    <row r="51" spans="1:17" ht="12.75" customHeight="1" x14ac:dyDescent="0.2">
      <c r="A51" s="87" t="s">
        <v>2</v>
      </c>
      <c r="B51" s="41"/>
      <c r="C51" s="763"/>
      <c r="D51" s="743"/>
      <c r="E51" s="743"/>
      <c r="F51" s="743"/>
      <c r="G51" s="743"/>
      <c r="H51" s="743"/>
      <c r="I51" s="743"/>
      <c r="J51" s="743"/>
      <c r="K51" s="743"/>
      <c r="L51" s="743"/>
      <c r="M51" s="743"/>
      <c r="N51" s="109">
        <f>O51-SUM(C51:M51)</f>
        <v>0</v>
      </c>
      <c r="O51" s="755"/>
      <c r="P51" s="743"/>
      <c r="Q51" s="745"/>
    </row>
    <row r="52" spans="1:17" ht="12.75" customHeight="1" x14ac:dyDescent="0.2">
      <c r="A52" s="321" t="s">
        <v>948</v>
      </c>
      <c r="B52" s="322">
        <f t="shared" ref="B52:Q52" si="6">SUM(B46:B51)</f>
        <v>0</v>
      </c>
      <c r="C52" s="261">
        <f t="shared" si="6"/>
        <v>367873046.44</v>
      </c>
      <c r="D52" s="74">
        <f t="shared" si="6"/>
        <v>361982501.63</v>
      </c>
      <c r="E52" s="74">
        <f t="shared" si="6"/>
        <v>0</v>
      </c>
      <c r="F52" s="74">
        <f t="shared" si="6"/>
        <v>0</v>
      </c>
      <c r="G52" s="74">
        <f t="shared" si="6"/>
        <v>0</v>
      </c>
      <c r="H52" s="74">
        <f t="shared" si="6"/>
        <v>0</v>
      </c>
      <c r="I52" s="74">
        <f t="shared" si="6"/>
        <v>0</v>
      </c>
      <c r="J52" s="74">
        <f t="shared" si="6"/>
        <v>0</v>
      </c>
      <c r="K52" s="74">
        <f t="shared" si="6"/>
        <v>0</v>
      </c>
      <c r="L52" s="74">
        <f t="shared" si="6"/>
        <v>0</v>
      </c>
      <c r="M52" s="74">
        <f t="shared" si="6"/>
        <v>0</v>
      </c>
      <c r="N52" s="323">
        <f t="shared" si="6"/>
        <v>3119187384.1343751</v>
      </c>
      <c r="O52" s="75">
        <f t="shared" si="6"/>
        <v>3849042932.2043753</v>
      </c>
      <c r="P52" s="74">
        <f t="shared" si="6"/>
        <v>3812139921.6740141</v>
      </c>
      <c r="Q52" s="146">
        <f t="shared" si="6"/>
        <v>4463427848.210556</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594</v>
      </c>
      <c r="B54" s="182">
        <f t="shared" ref="B54:Q54" si="7">B33-B52</f>
        <v>0</v>
      </c>
      <c r="C54" s="260">
        <f t="shared" si="7"/>
        <v>456427466.08999997</v>
      </c>
      <c r="D54" s="51">
        <f t="shared" si="7"/>
        <v>100724852.56999999</v>
      </c>
      <c r="E54" s="51">
        <f t="shared" si="7"/>
        <v>0</v>
      </c>
      <c r="F54" s="51">
        <f t="shared" si="7"/>
        <v>0</v>
      </c>
      <c r="G54" s="51">
        <f t="shared" si="7"/>
        <v>0</v>
      </c>
      <c r="H54" s="51">
        <f t="shared" si="7"/>
        <v>0</v>
      </c>
      <c r="I54" s="51">
        <f t="shared" si="7"/>
        <v>0</v>
      </c>
      <c r="J54" s="51">
        <f t="shared" si="7"/>
        <v>0</v>
      </c>
      <c r="K54" s="51">
        <f t="shared" si="7"/>
        <v>0</v>
      </c>
      <c r="L54" s="51">
        <f t="shared" si="7"/>
        <v>0</v>
      </c>
      <c r="M54" s="51">
        <f t="shared" si="7"/>
        <v>0</v>
      </c>
      <c r="N54" s="111">
        <f t="shared" si="7"/>
        <v>-351474010.23927498</v>
      </c>
      <c r="O54" s="52">
        <f t="shared" si="7"/>
        <v>205678308.42072487</v>
      </c>
      <c r="P54" s="51">
        <f t="shared" si="7"/>
        <v>98612457.347408772</v>
      </c>
      <c r="Q54" s="195">
        <f t="shared" si="7"/>
        <v>132015061.9426403</v>
      </c>
    </row>
    <row r="55" spans="1:17" ht="12.75" customHeight="1" x14ac:dyDescent="0.2">
      <c r="A55" s="87" t="s">
        <v>588</v>
      </c>
      <c r="B55" s="41"/>
      <c r="C55" s="763">
        <v>18012920.359999999</v>
      </c>
      <c r="D55" s="45">
        <f>C56</f>
        <v>474440386.44999999</v>
      </c>
      <c r="E55" s="45">
        <f t="shared" ref="E55:N55" si="8">D56</f>
        <v>575165239.01999998</v>
      </c>
      <c r="F55" s="45">
        <f t="shared" si="8"/>
        <v>575165239.01999998</v>
      </c>
      <c r="G55" s="45">
        <f t="shared" si="8"/>
        <v>575165239.01999998</v>
      </c>
      <c r="H55" s="45">
        <f t="shared" si="8"/>
        <v>575165239.01999998</v>
      </c>
      <c r="I55" s="45">
        <f t="shared" si="8"/>
        <v>575165239.01999998</v>
      </c>
      <c r="J55" s="45">
        <f t="shared" si="8"/>
        <v>575165239.01999998</v>
      </c>
      <c r="K55" s="45">
        <f t="shared" si="8"/>
        <v>575165239.01999998</v>
      </c>
      <c r="L55" s="45">
        <f t="shared" si="8"/>
        <v>575165239.01999998</v>
      </c>
      <c r="M55" s="45">
        <f t="shared" si="8"/>
        <v>575165239.01999998</v>
      </c>
      <c r="N55" s="109">
        <f t="shared" si="8"/>
        <v>575165239.01999998</v>
      </c>
      <c r="O55" s="47">
        <f>C55</f>
        <v>18012920.359999999</v>
      </c>
      <c r="P55" s="45">
        <f>O56</f>
        <v>223691228.78072488</v>
      </c>
      <c r="Q55" s="145">
        <f>P56</f>
        <v>322303686.12813365</v>
      </c>
    </row>
    <row r="56" spans="1:17" ht="12.75" customHeight="1" x14ac:dyDescent="0.2">
      <c r="A56" s="324" t="s">
        <v>690</v>
      </c>
      <c r="B56" s="177"/>
      <c r="C56" s="302">
        <f>C54+C55</f>
        <v>474440386.44999999</v>
      </c>
      <c r="D56" s="116">
        <f>D54+D55</f>
        <v>575165239.01999998</v>
      </c>
      <c r="E56" s="116">
        <f t="shared" ref="E56:N56" si="9">E54+E55</f>
        <v>575165239.01999998</v>
      </c>
      <c r="F56" s="116">
        <f t="shared" si="9"/>
        <v>575165239.01999998</v>
      </c>
      <c r="G56" s="116">
        <f t="shared" si="9"/>
        <v>575165239.01999998</v>
      </c>
      <c r="H56" s="116">
        <f t="shared" si="9"/>
        <v>575165239.01999998</v>
      </c>
      <c r="I56" s="116">
        <f t="shared" si="9"/>
        <v>575165239.01999998</v>
      </c>
      <c r="J56" s="116">
        <f t="shared" si="9"/>
        <v>575165239.01999998</v>
      </c>
      <c r="K56" s="116">
        <f t="shared" si="9"/>
        <v>575165239.01999998</v>
      </c>
      <c r="L56" s="116">
        <f t="shared" si="9"/>
        <v>575165239.01999998</v>
      </c>
      <c r="M56" s="116">
        <f t="shared" si="9"/>
        <v>575165239.01999998</v>
      </c>
      <c r="N56" s="320">
        <f t="shared" si="9"/>
        <v>223691228.780725</v>
      </c>
      <c r="O56" s="117">
        <f>O54+O55</f>
        <v>223691228.78072488</v>
      </c>
      <c r="P56" s="116">
        <f>P54+P55</f>
        <v>322303686.12813365</v>
      </c>
      <c r="Q56" s="191">
        <f>Q54+Q55</f>
        <v>454318748.07077396</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0</v>
      </c>
      <c r="F65" s="86">
        <f t="shared" si="10"/>
        <v>0</v>
      </c>
      <c r="G65" s="86">
        <f t="shared" si="10"/>
        <v>0</v>
      </c>
      <c r="H65" s="86">
        <f t="shared" si="10"/>
        <v>0</v>
      </c>
      <c r="I65" s="86">
        <f t="shared" si="10"/>
        <v>0</v>
      </c>
      <c r="J65" s="86">
        <f t="shared" si="10"/>
        <v>0</v>
      </c>
      <c r="K65" s="86">
        <f t="shared" si="10"/>
        <v>0</v>
      </c>
      <c r="L65" s="86">
        <f t="shared" si="10"/>
        <v>0</v>
      </c>
      <c r="M65" s="86"/>
      <c r="N65" s="86">
        <f>N46+N64</f>
        <v>1909394446.1343751</v>
      </c>
      <c r="O65" s="86">
        <f t="shared" si="10"/>
        <v>2529430832.2043753</v>
      </c>
      <c r="P65" s="86">
        <f t="shared" si="10"/>
        <v>2559455521.6740141</v>
      </c>
    </row>
    <row r="66" spans="5:16" x14ac:dyDescent="0.2">
      <c r="E66" s="86">
        <f t="shared" ref="E66:P66" si="11">E54-E64</f>
        <v>0</v>
      </c>
      <c r="F66" s="86">
        <f t="shared" si="11"/>
        <v>0</v>
      </c>
      <c r="G66" s="86">
        <f t="shared" si="11"/>
        <v>0</v>
      </c>
      <c r="H66" s="86">
        <f t="shared" si="11"/>
        <v>0</v>
      </c>
      <c r="I66" s="86">
        <f t="shared" si="11"/>
        <v>0</v>
      </c>
      <c r="J66" s="86">
        <f t="shared" si="11"/>
        <v>0</v>
      </c>
      <c r="K66" s="86">
        <f t="shared" si="11"/>
        <v>0</v>
      </c>
      <c r="L66" s="86">
        <f t="shared" si="11"/>
        <v>0</v>
      </c>
      <c r="M66" s="86">
        <f>M54-M64</f>
        <v>0</v>
      </c>
      <c r="N66" s="86">
        <f>N54-N64</f>
        <v>-351474010.23927498</v>
      </c>
      <c r="O66" s="86">
        <f t="shared" si="11"/>
        <v>205678308.42072487</v>
      </c>
      <c r="P66" s="86">
        <f t="shared" si="11"/>
        <v>98612457.347408772</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16" sqref="A16"/>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"&amp;S71P&amp; " - "&amp;Head57</f>
        <v>LIM354 Polokwane - NOT REQUIRED - municipality does not have entities or this is the parent municipality's budget - M04 October</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688</v>
      </c>
      <c r="B4" s="249">
        <v>1</v>
      </c>
      <c r="C4" s="295"/>
      <c r="D4" s="296"/>
      <c r="E4" s="297"/>
      <c r="F4" s="298"/>
      <c r="G4" s="298"/>
      <c r="H4" s="298"/>
      <c r="I4" s="298"/>
      <c r="J4" s="299" t="s">
        <v>595</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c r="I6" s="45">
        <f t="shared" ref="I6:I21" si="0">G6-H6</f>
        <v>0</v>
      </c>
      <c r="J6" s="333" t="str">
        <f>IF(I6=0,"",I6/H6)</f>
        <v/>
      </c>
      <c r="K6" s="745"/>
    </row>
    <row r="7" spans="1:11" ht="12.75" customHeight="1" x14ac:dyDescent="0.2">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
      <c r="A8" s="87" t="str">
        <f>'C4-FinPerf RE'!A8</f>
        <v>Service charges - water revenue</v>
      </c>
      <c r="B8" s="172"/>
      <c r="C8" s="758"/>
      <c r="D8" s="755"/>
      <c r="E8" s="743"/>
      <c r="F8" s="743"/>
      <c r="G8" s="743"/>
      <c r="H8" s="743"/>
      <c r="I8" s="45">
        <f t="shared" si="0"/>
        <v>0</v>
      </c>
      <c r="J8" s="333" t="str">
        <f t="shared" si="1"/>
        <v/>
      </c>
      <c r="K8" s="745"/>
    </row>
    <row r="9" spans="1:11" ht="12.75" customHeight="1" x14ac:dyDescent="0.2">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
      <c r="A15" s="87" t="str">
        <f>'C4-FinPerf RE'!A15</f>
        <v>Dividends received</v>
      </c>
      <c r="B15" s="172"/>
      <c r="C15" s="758"/>
      <c r="D15" s="755"/>
      <c r="E15" s="743"/>
      <c r="F15" s="743"/>
      <c r="G15" s="743"/>
      <c r="H15" s="743"/>
      <c r="I15" s="45">
        <f t="shared" si="0"/>
        <v>0</v>
      </c>
      <c r="J15" s="333" t="str">
        <f t="shared" si="1"/>
        <v/>
      </c>
      <c r="K15" s="745"/>
    </row>
    <row r="16" spans="1:11" ht="12.75" customHeight="1" x14ac:dyDescent="0.2">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
      <c r="A18" s="87" t="str">
        <f>'C4-FinPerf RE'!A18</f>
        <v>Agency services</v>
      </c>
      <c r="B18" s="172"/>
      <c r="C18" s="758"/>
      <c r="D18" s="755"/>
      <c r="E18" s="743"/>
      <c r="F18" s="743"/>
      <c r="G18" s="743"/>
      <c r="H18" s="743"/>
      <c r="I18" s="45">
        <f t="shared" si="0"/>
        <v>0</v>
      </c>
      <c r="J18" s="333" t="str">
        <f t="shared" si="1"/>
        <v/>
      </c>
      <c r="K18" s="745"/>
    </row>
    <row r="19" spans="1:11" ht="12.75" customHeight="1" x14ac:dyDescent="0.2">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
      <c r="A20" s="87" t="str">
        <f>'C4-FinPerf RE'!A20</f>
        <v>Other revenue</v>
      </c>
      <c r="B20" s="172"/>
      <c r="C20" s="758"/>
      <c r="D20" s="755"/>
      <c r="E20" s="743"/>
      <c r="F20" s="743"/>
      <c r="G20" s="743"/>
      <c r="H20" s="743"/>
      <c r="I20" s="45">
        <f t="shared" si="0"/>
        <v>0</v>
      </c>
      <c r="J20" s="333" t="str">
        <f t="shared" si="1"/>
        <v/>
      </c>
      <c r="K20" s="745"/>
    </row>
    <row r="21" spans="1:11" ht="12.75" customHeight="1" x14ac:dyDescent="0.2">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501</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
      <c r="A27" s="40" t="str">
        <f>'C4-FinPerf RE'!A27</f>
        <v>Debt impairment</v>
      </c>
      <c r="B27" s="172"/>
      <c r="C27" s="758"/>
      <c r="D27" s="755"/>
      <c r="E27" s="743"/>
      <c r="F27" s="743"/>
      <c r="G27" s="743"/>
      <c r="H27" s="743"/>
      <c r="I27" s="45">
        <f t="shared" si="3"/>
        <v>0</v>
      </c>
      <c r="J27" s="333" t="str">
        <f t="shared" si="4"/>
        <v/>
      </c>
      <c r="K27" s="745"/>
    </row>
    <row r="28" spans="1:11" ht="12.75" customHeight="1" x14ac:dyDescent="0.2">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
      <c r="A29" s="40" t="str">
        <f>'C4-FinPerf RE'!A29</f>
        <v>Finance charges</v>
      </c>
      <c r="B29" s="172"/>
      <c r="C29" s="758"/>
      <c r="D29" s="755"/>
      <c r="E29" s="743"/>
      <c r="F29" s="743"/>
      <c r="G29" s="743"/>
      <c r="H29" s="743"/>
      <c r="I29" s="45">
        <f t="shared" si="3"/>
        <v>0</v>
      </c>
      <c r="J29" s="333" t="str">
        <f t="shared" si="4"/>
        <v/>
      </c>
      <c r="K29" s="745"/>
    </row>
    <row r="30" spans="1:11" ht="12.75" customHeight="1" x14ac:dyDescent="0.2">
      <c r="A30" s="40" t="str">
        <f>'C4-FinPerf RE'!A30</f>
        <v>Bulk purchases</v>
      </c>
      <c r="B30" s="172"/>
      <c r="C30" s="758"/>
      <c r="D30" s="755"/>
      <c r="E30" s="743"/>
      <c r="F30" s="743"/>
      <c r="G30" s="743"/>
      <c r="H30" s="743"/>
      <c r="I30" s="45">
        <f t="shared" si="3"/>
        <v>0</v>
      </c>
      <c r="J30" s="333" t="str">
        <f t="shared" si="4"/>
        <v/>
      </c>
      <c r="K30" s="745"/>
    </row>
    <row r="31" spans="1:11" ht="12.75" customHeight="1" x14ac:dyDescent="0.2">
      <c r="A31" s="40" t="str">
        <f>'C4-FinPerf RE'!A31</f>
        <v>Other materials</v>
      </c>
      <c r="B31" s="172"/>
      <c r="C31" s="758"/>
      <c r="D31" s="755"/>
      <c r="E31" s="743"/>
      <c r="F31" s="743"/>
      <c r="G31" s="743"/>
      <c r="H31" s="743"/>
      <c r="I31" s="45">
        <f t="shared" si="3"/>
        <v>0</v>
      </c>
      <c r="J31" s="333" t="str">
        <f t="shared" si="4"/>
        <v/>
      </c>
      <c r="K31" s="745"/>
    </row>
    <row r="32" spans="1:11" ht="12.75" customHeight="1" x14ac:dyDescent="0.2">
      <c r="A32" s="40" t="str">
        <f>'C4-FinPerf RE'!A32</f>
        <v>Contracted services</v>
      </c>
      <c r="B32" s="172"/>
      <c r="C32" s="758"/>
      <c r="D32" s="755"/>
      <c r="E32" s="743"/>
      <c r="F32" s="743"/>
      <c r="G32" s="743"/>
      <c r="H32" s="743"/>
      <c r="I32" s="45">
        <f t="shared" si="3"/>
        <v>0</v>
      </c>
      <c r="J32" s="333" t="str">
        <f t="shared" si="4"/>
        <v/>
      </c>
      <c r="K32" s="745"/>
    </row>
    <row r="33" spans="1:11" ht="12.75" customHeight="1" x14ac:dyDescent="0.2">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
      <c r="A34" s="40" t="str">
        <f>'C4-FinPerf RE'!A34</f>
        <v>Other expenditure</v>
      </c>
      <c r="B34" s="172"/>
      <c r="C34" s="758"/>
      <c r="D34" s="755"/>
      <c r="E34" s="743"/>
      <c r="F34" s="743"/>
      <c r="G34" s="743"/>
      <c r="H34" s="743"/>
      <c r="I34" s="45">
        <f t="shared" si="3"/>
        <v>0</v>
      </c>
      <c r="J34" s="333" t="str">
        <f t="shared" si="4"/>
        <v/>
      </c>
      <c r="K34" s="745"/>
    </row>
    <row r="35" spans="1:11" ht="12.75" customHeight="1" x14ac:dyDescent="0.2">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
      <c r="A37" s="43"/>
      <c r="B37" s="170"/>
      <c r="C37" s="135"/>
      <c r="D37" s="47"/>
      <c r="E37" s="45"/>
      <c r="F37" s="45"/>
      <c r="G37" s="45"/>
      <c r="H37" s="45"/>
      <c r="I37" s="45">
        <f t="shared" si="3"/>
        <v>0</v>
      </c>
      <c r="J37" s="333"/>
      <c r="K37" s="145"/>
    </row>
    <row r="38" spans="1:11" ht="12.75" customHeight="1" x14ac:dyDescent="0.2">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x14ac:dyDescent="0.2">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
      <c r="A43" s="112" t="str">
        <f>'C4-FinPerf RE'!A43</f>
        <v>Taxation</v>
      </c>
      <c r="B43" s="170"/>
      <c r="C43" s="758"/>
      <c r="D43" s="755"/>
      <c r="E43" s="743"/>
      <c r="F43" s="743"/>
      <c r="G43" s="743"/>
      <c r="H43" s="743"/>
      <c r="I43" s="45">
        <f t="shared" si="3"/>
        <v>0</v>
      </c>
      <c r="J43" s="333" t="str">
        <f t="shared" si="4"/>
        <v/>
      </c>
      <c r="K43" s="745"/>
    </row>
    <row r="44" spans="1:11" ht="12.75" customHeight="1" x14ac:dyDescent="0.2">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646</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"&amp;S71Q&amp; " - "&amp;Head57</f>
        <v>LIM354 Polokwane - NOT REQUIRED - municipality does not have entities or this is the parent municipality's budget - M04 October</v>
      </c>
      <c r="B1" s="1024"/>
      <c r="C1" s="1024"/>
      <c r="D1" s="1024"/>
      <c r="E1" s="1024"/>
      <c r="F1" s="1024"/>
      <c r="G1" s="1024"/>
      <c r="H1" s="1024"/>
      <c r="I1" s="1024"/>
      <c r="J1" s="1024"/>
      <c r="K1" s="1024"/>
    </row>
    <row r="2" spans="1:11" x14ac:dyDescent="0.2">
      <c r="A2" s="1013" t="str">
        <f>desc</f>
        <v>Description</v>
      </c>
      <c r="B2" s="1006" t="str">
        <f>head27</f>
        <v>Ref</v>
      </c>
      <c r="C2" s="159" t="str">
        <f>Head1</f>
        <v>2016/17</v>
      </c>
      <c r="D2" s="1008" t="str">
        <f>Head2</f>
        <v>Budget Year 2017/18</v>
      </c>
      <c r="E2" s="1009"/>
      <c r="F2" s="1009"/>
      <c r="G2" s="1009"/>
      <c r="H2" s="1009"/>
      <c r="I2" s="1009"/>
      <c r="J2" s="1009"/>
      <c r="K2" s="1010"/>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688</v>
      </c>
      <c r="B4" s="249"/>
      <c r="C4" s="295"/>
      <c r="D4" s="301"/>
      <c r="E4" s="297"/>
      <c r="F4" s="298"/>
      <c r="G4" s="298"/>
      <c r="H4" s="298"/>
      <c r="I4" s="298"/>
      <c r="J4" s="299" t="s">
        <v>595</v>
      </c>
      <c r="K4" s="300"/>
    </row>
    <row r="5" spans="1:11" ht="12.75" customHeight="1" x14ac:dyDescent="0.2">
      <c r="A5" s="137" t="s">
        <v>572</v>
      </c>
      <c r="B5" s="170"/>
      <c r="C5" s="135"/>
      <c r="D5" s="259"/>
      <c r="E5" s="45"/>
      <c r="F5" s="45"/>
      <c r="G5" s="45"/>
      <c r="H5" s="45"/>
      <c r="I5" s="45"/>
      <c r="J5" s="45"/>
      <c r="K5" s="145"/>
    </row>
    <row r="6" spans="1:11" ht="12.75" customHeight="1" x14ac:dyDescent="0.2">
      <c r="A6" s="803" t="s">
        <v>80</v>
      </c>
      <c r="B6" s="170"/>
      <c r="C6" s="758"/>
      <c r="D6" s="763"/>
      <c r="E6" s="743"/>
      <c r="F6" s="743"/>
      <c r="G6" s="743"/>
      <c r="H6" s="743"/>
      <c r="I6" s="45">
        <f t="shared" ref="I6:I41" si="0">G6-H6</f>
        <v>0</v>
      </c>
      <c r="J6" s="333" t="str">
        <f>IF(I6=0,"",I6/H6)</f>
        <v/>
      </c>
      <c r="K6" s="745"/>
    </row>
    <row r="7" spans="1:11" ht="12.75" customHeight="1" x14ac:dyDescent="0.2">
      <c r="A7" s="786"/>
      <c r="B7" s="170"/>
      <c r="C7" s="758"/>
      <c r="D7" s="763"/>
      <c r="E7" s="743"/>
      <c r="F7" s="743"/>
      <c r="G7" s="743"/>
      <c r="H7" s="743"/>
      <c r="I7" s="45">
        <f t="shared" si="0"/>
        <v>0</v>
      </c>
      <c r="J7" s="333" t="str">
        <f t="shared" ref="J7:J16" si="1">IF(I7=0,"",I7/H7)</f>
        <v/>
      </c>
      <c r="K7" s="745"/>
    </row>
    <row r="8" spans="1:11" ht="12.75" customHeight="1" x14ac:dyDescent="0.2">
      <c r="A8" s="786"/>
      <c r="B8" s="170"/>
      <c r="C8" s="758"/>
      <c r="D8" s="763"/>
      <c r="E8" s="743"/>
      <c r="F8" s="743"/>
      <c r="G8" s="743"/>
      <c r="H8" s="743"/>
      <c r="I8" s="45">
        <f t="shared" si="0"/>
        <v>0</v>
      </c>
      <c r="J8" s="333" t="str">
        <f t="shared" si="1"/>
        <v/>
      </c>
      <c r="K8" s="745"/>
    </row>
    <row r="9" spans="1:11" ht="12.75" customHeight="1" x14ac:dyDescent="0.2">
      <c r="A9" s="786"/>
      <c r="B9" s="170"/>
      <c r="C9" s="758"/>
      <c r="D9" s="763"/>
      <c r="E9" s="743"/>
      <c r="F9" s="743"/>
      <c r="G9" s="743"/>
      <c r="H9" s="743"/>
      <c r="I9" s="45">
        <f t="shared" si="0"/>
        <v>0</v>
      </c>
      <c r="J9" s="333" t="str">
        <f t="shared" si="1"/>
        <v/>
      </c>
      <c r="K9" s="745"/>
    </row>
    <row r="10" spans="1:11" ht="12.75" customHeight="1" x14ac:dyDescent="0.2">
      <c r="A10" s="786"/>
      <c r="B10" s="170"/>
      <c r="C10" s="758"/>
      <c r="D10" s="763"/>
      <c r="E10" s="743"/>
      <c r="F10" s="743"/>
      <c r="G10" s="743"/>
      <c r="H10" s="743"/>
      <c r="I10" s="45">
        <f t="shared" si="0"/>
        <v>0</v>
      </c>
      <c r="J10" s="333" t="str">
        <f t="shared" si="1"/>
        <v/>
      </c>
      <c r="K10" s="745"/>
    </row>
    <row r="11" spans="1:11" ht="12.75" customHeight="1" x14ac:dyDescent="0.2">
      <c r="A11" s="786"/>
      <c r="B11" s="170"/>
      <c r="C11" s="758"/>
      <c r="D11" s="763"/>
      <c r="E11" s="743"/>
      <c r="F11" s="743"/>
      <c r="G11" s="743"/>
      <c r="H11" s="743"/>
      <c r="I11" s="45">
        <f t="shared" si="0"/>
        <v>0</v>
      </c>
      <c r="J11" s="333" t="str">
        <f t="shared" si="1"/>
        <v/>
      </c>
      <c r="K11" s="745"/>
    </row>
    <row r="12" spans="1:11" ht="12.75" customHeight="1" x14ac:dyDescent="0.2">
      <c r="A12" s="786"/>
      <c r="B12" s="170"/>
      <c r="C12" s="758"/>
      <c r="D12" s="763"/>
      <c r="E12" s="743"/>
      <c r="F12" s="743"/>
      <c r="G12" s="743"/>
      <c r="H12" s="743"/>
      <c r="I12" s="45">
        <f t="shared" si="0"/>
        <v>0</v>
      </c>
      <c r="J12" s="333" t="str">
        <f t="shared" si="1"/>
        <v/>
      </c>
      <c r="K12" s="745"/>
    </row>
    <row r="13" spans="1:11" ht="12.75" customHeight="1" x14ac:dyDescent="0.2">
      <c r="A13" s="786"/>
      <c r="B13" s="170"/>
      <c r="C13" s="758"/>
      <c r="D13" s="763"/>
      <c r="E13" s="743"/>
      <c r="F13" s="743"/>
      <c r="G13" s="743"/>
      <c r="H13" s="743"/>
      <c r="I13" s="45">
        <f t="shared" si="0"/>
        <v>0</v>
      </c>
      <c r="J13" s="333" t="str">
        <f t="shared" si="1"/>
        <v/>
      </c>
      <c r="K13" s="745"/>
    </row>
    <row r="14" spans="1:11" ht="12.75" customHeight="1" x14ac:dyDescent="0.2">
      <c r="A14" s="786"/>
      <c r="B14" s="170"/>
      <c r="C14" s="758"/>
      <c r="D14" s="763"/>
      <c r="E14" s="743"/>
      <c r="F14" s="743"/>
      <c r="G14" s="743"/>
      <c r="H14" s="743"/>
      <c r="I14" s="45">
        <f t="shared" si="0"/>
        <v>0</v>
      </c>
      <c r="J14" s="333" t="str">
        <f t="shared" si="1"/>
        <v/>
      </c>
      <c r="K14" s="745"/>
    </row>
    <row r="15" spans="1:11" ht="12.75" customHeight="1" x14ac:dyDescent="0.2">
      <c r="A15" s="786"/>
      <c r="B15" s="170"/>
      <c r="C15" s="758"/>
      <c r="D15" s="763"/>
      <c r="E15" s="743"/>
      <c r="F15" s="743"/>
      <c r="G15" s="743"/>
      <c r="H15" s="743"/>
      <c r="I15" s="45">
        <f t="shared" si="0"/>
        <v>0</v>
      </c>
      <c r="J15" s="333" t="str">
        <f t="shared" si="1"/>
        <v/>
      </c>
      <c r="K15" s="745"/>
    </row>
    <row r="16" spans="1:11" ht="12.75" customHeight="1" x14ac:dyDescent="0.2">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571</v>
      </c>
      <c r="B18" s="176"/>
      <c r="C18" s="135"/>
      <c r="D18" s="259"/>
      <c r="E18" s="45"/>
      <c r="F18" s="45"/>
      <c r="G18" s="45"/>
      <c r="H18" s="45"/>
      <c r="I18" s="45"/>
      <c r="J18" s="333"/>
      <c r="K18" s="145"/>
    </row>
    <row r="19" spans="1:11" ht="12.75" customHeight="1" x14ac:dyDescent="0.2">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
      <c r="A20" s="786" t="str">
        <f>IF(A7="","",A7)</f>
        <v/>
      </c>
      <c r="B20" s="172"/>
      <c r="C20" s="758"/>
      <c r="D20" s="763"/>
      <c r="E20" s="743"/>
      <c r="F20" s="743"/>
      <c r="G20" s="743"/>
      <c r="H20" s="743"/>
      <c r="I20" s="45">
        <f t="shared" si="0"/>
        <v>0</v>
      </c>
      <c r="J20" s="333" t="str">
        <f t="shared" si="3"/>
        <v/>
      </c>
      <c r="K20" s="745"/>
    </row>
    <row r="21" spans="1:11" ht="12.75" customHeight="1" x14ac:dyDescent="0.2">
      <c r="A21" s="786" t="str">
        <f t="shared" ref="A21:A28" si="4">IF(A8="","",A8)</f>
        <v/>
      </c>
      <c r="B21" s="172"/>
      <c r="C21" s="758"/>
      <c r="D21" s="763"/>
      <c r="E21" s="743"/>
      <c r="F21" s="743"/>
      <c r="G21" s="743"/>
      <c r="H21" s="743"/>
      <c r="I21" s="45">
        <f t="shared" si="0"/>
        <v>0</v>
      </c>
      <c r="J21" s="333" t="str">
        <f t="shared" si="3"/>
        <v/>
      </c>
      <c r="K21" s="745"/>
    </row>
    <row r="22" spans="1:11" ht="12.75" customHeight="1" x14ac:dyDescent="0.2">
      <c r="A22" s="786" t="str">
        <f t="shared" si="4"/>
        <v/>
      </c>
      <c r="B22" s="172"/>
      <c r="C22" s="758"/>
      <c r="D22" s="763"/>
      <c r="E22" s="743"/>
      <c r="F22" s="743"/>
      <c r="G22" s="743"/>
      <c r="H22" s="743"/>
      <c r="I22" s="45">
        <f t="shared" si="0"/>
        <v>0</v>
      </c>
      <c r="J22" s="333" t="str">
        <f t="shared" si="3"/>
        <v/>
      </c>
      <c r="K22" s="745"/>
    </row>
    <row r="23" spans="1:11" ht="12.75" customHeight="1" x14ac:dyDescent="0.2">
      <c r="A23" s="786" t="str">
        <f t="shared" si="4"/>
        <v/>
      </c>
      <c r="B23" s="172"/>
      <c r="C23" s="758"/>
      <c r="D23" s="763"/>
      <c r="E23" s="743"/>
      <c r="F23" s="743"/>
      <c r="G23" s="743"/>
      <c r="H23" s="743"/>
      <c r="I23" s="45">
        <f t="shared" si="0"/>
        <v>0</v>
      </c>
      <c r="J23" s="333" t="str">
        <f t="shared" si="3"/>
        <v/>
      </c>
      <c r="K23" s="745"/>
    </row>
    <row r="24" spans="1:11" ht="12.75" customHeight="1" x14ac:dyDescent="0.2">
      <c r="A24" s="786" t="str">
        <f t="shared" si="4"/>
        <v/>
      </c>
      <c r="B24" s="172"/>
      <c r="C24" s="758"/>
      <c r="D24" s="763"/>
      <c r="E24" s="743"/>
      <c r="F24" s="743"/>
      <c r="G24" s="743"/>
      <c r="H24" s="743"/>
      <c r="I24" s="45">
        <f t="shared" si="0"/>
        <v>0</v>
      </c>
      <c r="J24" s="333" t="str">
        <f t="shared" si="3"/>
        <v/>
      </c>
      <c r="K24" s="745"/>
    </row>
    <row r="25" spans="1:11" ht="12.75" customHeight="1" x14ac:dyDescent="0.2">
      <c r="A25" s="786" t="str">
        <f t="shared" si="4"/>
        <v/>
      </c>
      <c r="B25" s="172"/>
      <c r="C25" s="758"/>
      <c r="D25" s="763"/>
      <c r="E25" s="743"/>
      <c r="F25" s="743"/>
      <c r="G25" s="743"/>
      <c r="H25" s="743"/>
      <c r="I25" s="45">
        <f t="shared" si="0"/>
        <v>0</v>
      </c>
      <c r="J25" s="333" t="str">
        <f t="shared" si="3"/>
        <v/>
      </c>
      <c r="K25" s="745"/>
    </row>
    <row r="26" spans="1:11" ht="12.75" customHeight="1" x14ac:dyDescent="0.2">
      <c r="A26" s="786" t="str">
        <f t="shared" si="4"/>
        <v/>
      </c>
      <c r="B26" s="172"/>
      <c r="C26" s="758"/>
      <c r="D26" s="763"/>
      <c r="E26" s="743"/>
      <c r="F26" s="743"/>
      <c r="G26" s="743"/>
      <c r="H26" s="743"/>
      <c r="I26" s="45">
        <f t="shared" si="0"/>
        <v>0</v>
      </c>
      <c r="J26" s="333" t="str">
        <f t="shared" si="3"/>
        <v/>
      </c>
      <c r="K26" s="745"/>
    </row>
    <row r="27" spans="1:11" ht="12.75" customHeight="1" x14ac:dyDescent="0.2">
      <c r="A27" s="786" t="str">
        <f t="shared" si="4"/>
        <v/>
      </c>
      <c r="B27" s="172"/>
      <c r="C27" s="758"/>
      <c r="D27" s="763"/>
      <c r="E27" s="743"/>
      <c r="F27" s="743"/>
      <c r="G27" s="743"/>
      <c r="H27" s="743"/>
      <c r="I27" s="45">
        <f t="shared" si="0"/>
        <v>0</v>
      </c>
      <c r="J27" s="333" t="str">
        <f t="shared" si="3"/>
        <v/>
      </c>
      <c r="K27" s="745"/>
    </row>
    <row r="28" spans="1:11" ht="12.75" customHeight="1" x14ac:dyDescent="0.2">
      <c r="A28" s="786" t="str">
        <f t="shared" si="4"/>
        <v/>
      </c>
      <c r="B28" s="172"/>
      <c r="C28" s="758"/>
      <c r="D28" s="763"/>
      <c r="E28" s="743"/>
      <c r="F28" s="743"/>
      <c r="G28" s="743"/>
      <c r="H28" s="743"/>
      <c r="I28" s="45">
        <f t="shared" si="0"/>
        <v>0</v>
      </c>
      <c r="J28" s="333" t="str">
        <f t="shared" si="3"/>
        <v/>
      </c>
      <c r="K28" s="745"/>
    </row>
    <row r="29" spans="1:11" ht="12.75" customHeight="1" x14ac:dyDescent="0.2">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
      <c r="A30" s="43"/>
      <c r="B30" s="170"/>
      <c r="C30" s="135"/>
      <c r="D30" s="259"/>
      <c r="E30" s="45"/>
      <c r="F30" s="45"/>
      <c r="G30" s="45"/>
      <c r="H30" s="45"/>
      <c r="I30" s="45"/>
      <c r="J30" s="333" t="str">
        <f t="shared" si="3"/>
        <v/>
      </c>
      <c r="K30" s="145"/>
    </row>
    <row r="31" spans="1:11" ht="12.75" customHeight="1" x14ac:dyDescent="0.2">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
      <c r="A32" s="36" t="s">
        <v>842</v>
      </c>
      <c r="B32" s="172"/>
      <c r="C32" s="135"/>
      <c r="D32" s="259"/>
      <c r="E32" s="45"/>
      <c r="F32" s="45"/>
      <c r="G32" s="45"/>
      <c r="H32" s="45"/>
      <c r="I32" s="45"/>
      <c r="J32" s="333"/>
      <c r="K32" s="145"/>
    </row>
    <row r="33" spans="1:11" ht="12.75" customHeight="1" x14ac:dyDescent="0.2">
      <c r="A33" s="803" t="str">
        <f>$A$6</f>
        <v>Insert name of municipal entity</v>
      </c>
      <c r="B33" s="172"/>
      <c r="C33" s="758"/>
      <c r="D33" s="763"/>
      <c r="E33" s="743"/>
      <c r="F33" s="743"/>
      <c r="G33" s="743"/>
      <c r="H33" s="743"/>
      <c r="I33" s="45">
        <f t="shared" si="0"/>
        <v>0</v>
      </c>
      <c r="J33" s="333" t="str">
        <f t="shared" si="3"/>
        <v/>
      </c>
      <c r="K33" s="745"/>
    </row>
    <row r="34" spans="1:11" ht="12.75" customHeight="1" x14ac:dyDescent="0.2">
      <c r="A34" s="786" t="str">
        <f>IF(A7="","",A7)</f>
        <v/>
      </c>
      <c r="B34" s="172"/>
      <c r="C34" s="758"/>
      <c r="D34" s="763"/>
      <c r="E34" s="743"/>
      <c r="F34" s="743"/>
      <c r="G34" s="743"/>
      <c r="H34" s="743"/>
      <c r="I34" s="45">
        <f t="shared" si="0"/>
        <v>0</v>
      </c>
      <c r="J34" s="333" t="str">
        <f t="shared" si="3"/>
        <v/>
      </c>
      <c r="K34" s="745"/>
    </row>
    <row r="35" spans="1:11" ht="12.75" customHeight="1" x14ac:dyDescent="0.2">
      <c r="A35" s="786" t="str">
        <f t="shared" ref="A35:A41" si="7">IF(A8="","",A8)</f>
        <v/>
      </c>
      <c r="B35" s="172"/>
      <c r="C35" s="758"/>
      <c r="D35" s="763"/>
      <c r="E35" s="743"/>
      <c r="F35" s="743"/>
      <c r="G35" s="743"/>
      <c r="H35" s="743"/>
      <c r="I35" s="45">
        <f t="shared" si="0"/>
        <v>0</v>
      </c>
      <c r="J35" s="333" t="str">
        <f t="shared" si="3"/>
        <v/>
      </c>
      <c r="K35" s="745"/>
    </row>
    <row r="36" spans="1:11" ht="12.75" customHeight="1" x14ac:dyDescent="0.2">
      <c r="A36" s="786" t="str">
        <f t="shared" si="7"/>
        <v/>
      </c>
      <c r="B36" s="172"/>
      <c r="C36" s="758"/>
      <c r="D36" s="763"/>
      <c r="E36" s="743"/>
      <c r="F36" s="743"/>
      <c r="G36" s="743"/>
      <c r="H36" s="743"/>
      <c r="I36" s="45">
        <f t="shared" si="0"/>
        <v>0</v>
      </c>
      <c r="J36" s="333" t="str">
        <f t="shared" si="3"/>
        <v/>
      </c>
      <c r="K36" s="745"/>
    </row>
    <row r="37" spans="1:11" ht="12.75" customHeight="1" x14ac:dyDescent="0.2">
      <c r="A37" s="786" t="str">
        <f t="shared" si="7"/>
        <v/>
      </c>
      <c r="B37" s="172"/>
      <c r="C37" s="758"/>
      <c r="D37" s="763"/>
      <c r="E37" s="743"/>
      <c r="F37" s="743"/>
      <c r="G37" s="743"/>
      <c r="H37" s="743"/>
      <c r="I37" s="45">
        <f t="shared" si="0"/>
        <v>0</v>
      </c>
      <c r="J37" s="333" t="str">
        <f t="shared" si="3"/>
        <v/>
      </c>
      <c r="K37" s="745"/>
    </row>
    <row r="38" spans="1:11" ht="12.75" customHeight="1" x14ac:dyDescent="0.2">
      <c r="A38" s="786" t="str">
        <f t="shared" si="7"/>
        <v/>
      </c>
      <c r="B38" s="172"/>
      <c r="C38" s="758"/>
      <c r="D38" s="763"/>
      <c r="E38" s="743"/>
      <c r="F38" s="743"/>
      <c r="G38" s="743"/>
      <c r="H38" s="743"/>
      <c r="I38" s="45">
        <f t="shared" si="0"/>
        <v>0</v>
      </c>
      <c r="J38" s="333" t="str">
        <f t="shared" si="3"/>
        <v/>
      </c>
      <c r="K38" s="745"/>
    </row>
    <row r="39" spans="1:11" ht="12.75" customHeight="1" x14ac:dyDescent="0.2">
      <c r="A39" s="786" t="str">
        <f t="shared" si="7"/>
        <v/>
      </c>
      <c r="B39" s="172"/>
      <c r="C39" s="758"/>
      <c r="D39" s="763"/>
      <c r="E39" s="743"/>
      <c r="F39" s="743"/>
      <c r="G39" s="743"/>
      <c r="H39" s="743"/>
      <c r="I39" s="45">
        <f t="shared" si="0"/>
        <v>0</v>
      </c>
      <c r="J39" s="333" t="str">
        <f t="shared" si="3"/>
        <v/>
      </c>
      <c r="K39" s="745"/>
    </row>
    <row r="40" spans="1:11" ht="12.75" customHeight="1" x14ac:dyDescent="0.2">
      <c r="A40" s="786" t="str">
        <f t="shared" si="7"/>
        <v/>
      </c>
      <c r="B40" s="172"/>
      <c r="C40" s="758"/>
      <c r="D40" s="763"/>
      <c r="E40" s="743"/>
      <c r="F40" s="743"/>
      <c r="G40" s="743"/>
      <c r="H40" s="743"/>
      <c r="I40" s="45">
        <f t="shared" si="0"/>
        <v>0</v>
      </c>
      <c r="J40" s="333" t="str">
        <f t="shared" si="3"/>
        <v/>
      </c>
      <c r="K40" s="745"/>
    </row>
    <row r="41" spans="1:11" ht="12.75" customHeight="1" x14ac:dyDescent="0.2">
      <c r="A41" s="786" t="str">
        <f t="shared" si="7"/>
        <v/>
      </c>
      <c r="B41" s="172"/>
      <c r="C41" s="758"/>
      <c r="D41" s="763"/>
      <c r="E41" s="743"/>
      <c r="F41" s="743"/>
      <c r="G41" s="743"/>
      <c r="H41" s="743"/>
      <c r="I41" s="45">
        <f t="shared" si="0"/>
        <v>0</v>
      </c>
      <c r="J41" s="333" t="str">
        <f t="shared" si="3"/>
        <v/>
      </c>
      <c r="K41" s="745"/>
    </row>
    <row r="42" spans="1:11" ht="5.0999999999999996" customHeight="1" x14ac:dyDescent="0.2">
      <c r="A42" s="786"/>
      <c r="B42" s="172"/>
      <c r="C42" s="758"/>
      <c r="D42" s="763"/>
      <c r="E42" s="743"/>
      <c r="F42" s="743"/>
      <c r="G42" s="743"/>
      <c r="H42" s="743"/>
      <c r="I42" s="45"/>
      <c r="J42" s="333" t="str">
        <f t="shared" si="3"/>
        <v/>
      </c>
      <c r="K42" s="745"/>
    </row>
    <row r="43" spans="1:11" ht="12.75" customHeight="1" x14ac:dyDescent="0.2">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1000</v>
      </c>
      <c r="B45" s="59"/>
      <c r="C45" s="63"/>
      <c r="D45" s="63"/>
      <c r="E45" s="63"/>
      <c r="F45" s="63"/>
      <c r="G45" s="63"/>
      <c r="H45" s="63"/>
      <c r="I45" s="63"/>
      <c r="J45" s="63"/>
      <c r="K45" s="63"/>
    </row>
    <row r="46" spans="1:11" ht="12.75" customHeight="1" x14ac:dyDescent="0.2">
      <c r="A46" s="81" t="s">
        <v>1001</v>
      </c>
      <c r="B46" s="59"/>
      <c r="C46" s="63"/>
      <c r="D46" s="63"/>
      <c r="E46" s="63"/>
      <c r="F46" s="63"/>
      <c r="G46" s="63"/>
      <c r="H46" s="63"/>
      <c r="I46" s="63"/>
      <c r="J46" s="63"/>
      <c r="K46" s="63"/>
    </row>
    <row r="47" spans="1:11" ht="12.75" customHeight="1" x14ac:dyDescent="0.2">
      <c r="A47" s="61" t="s">
        <v>640</v>
      </c>
      <c r="B47" s="59"/>
      <c r="C47" s="63"/>
      <c r="D47" s="63"/>
      <c r="E47" s="63"/>
      <c r="F47" s="63"/>
      <c r="G47" s="63"/>
      <c r="H47" s="63"/>
      <c r="I47" s="63"/>
      <c r="J47" s="63"/>
      <c r="K47" s="63"/>
    </row>
    <row r="48" spans="1:11" ht="12.75" customHeight="1" x14ac:dyDescent="0.2">
      <c r="A48" s="81" t="s">
        <v>662</v>
      </c>
      <c r="B48" s="59"/>
      <c r="C48" s="63"/>
      <c r="D48" s="63"/>
      <c r="E48" s="63"/>
      <c r="F48" s="63"/>
      <c r="G48" s="63"/>
      <c r="H48" s="63"/>
      <c r="I48" s="63"/>
      <c r="J48" s="63"/>
      <c r="K48" s="63"/>
    </row>
    <row r="49" spans="1:11" ht="12.75" customHeight="1" x14ac:dyDescent="0.2">
      <c r="A49" s="325" t="s">
        <v>592</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25" sqref="D24:E25"/>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24" t="str">
        <f>muni&amp; " - "&amp;S71R&amp; " - "&amp;Head57</f>
        <v>LIM354 Polokwane - Supporting Table SC12 Monthly Budget Statement - capital expenditure trend - M04 October</v>
      </c>
      <c r="B1" s="1024"/>
      <c r="C1" s="1024"/>
      <c r="D1" s="1024"/>
      <c r="E1" s="1024"/>
      <c r="F1" s="1024"/>
      <c r="G1" s="1024"/>
      <c r="H1" s="1024"/>
      <c r="I1" s="1024"/>
      <c r="J1" s="1024"/>
    </row>
    <row r="2" spans="1:10" x14ac:dyDescent="0.2">
      <c r="A2" s="1013" t="s">
        <v>913</v>
      </c>
      <c r="B2" s="140" t="str">
        <f>Head1</f>
        <v>2016/17</v>
      </c>
      <c r="C2" s="1008" t="str">
        <f>Head2</f>
        <v>Budget Year 2017/18</v>
      </c>
      <c r="D2" s="1009"/>
      <c r="E2" s="1009"/>
      <c r="F2" s="1009"/>
      <c r="G2" s="1009"/>
      <c r="H2" s="1009"/>
      <c r="I2" s="1009"/>
      <c r="J2" s="1010"/>
    </row>
    <row r="3" spans="1:10" ht="30.6" x14ac:dyDescent="0.2">
      <c r="A3" s="1014"/>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
      <c r="A4" s="294" t="s">
        <v>688</v>
      </c>
      <c r="B4" s="295"/>
      <c r="C4" s="301"/>
      <c r="D4" s="297"/>
      <c r="E4" s="298"/>
      <c r="F4" s="298"/>
      <c r="G4" s="298"/>
      <c r="H4" s="298"/>
      <c r="I4" s="299" t="s">
        <v>595</v>
      </c>
      <c r="J4" s="300"/>
    </row>
    <row r="5" spans="1:10" ht="12.75" customHeight="1" x14ac:dyDescent="0.2">
      <c r="A5" s="36" t="s">
        <v>486</v>
      </c>
      <c r="B5" s="135"/>
      <c r="C5" s="259"/>
      <c r="D5" s="45"/>
      <c r="E5" s="45"/>
      <c r="F5" s="45"/>
      <c r="G5" s="45"/>
      <c r="H5" s="45"/>
      <c r="I5" s="125"/>
      <c r="J5" s="145"/>
    </row>
    <row r="6" spans="1:10" ht="12.75" customHeight="1" x14ac:dyDescent="0.2">
      <c r="A6" s="40" t="s">
        <v>805</v>
      </c>
      <c r="B6" s="758">
        <v>3958013.3213999998</v>
      </c>
      <c r="C6" s="763">
        <v>15888227.1208799</v>
      </c>
      <c r="D6" s="743">
        <v>0</v>
      </c>
      <c r="E6" s="743">
        <v>42514077.957599998</v>
      </c>
      <c r="F6" s="411">
        <f>IF(E6&gt;0,E6,"")</f>
        <v>42514077.957599998</v>
      </c>
      <c r="G6" s="411">
        <f>IF(D6&gt;0,D6,C6)</f>
        <v>15888227.1208799</v>
      </c>
      <c r="H6" s="45">
        <f t="shared" ref="H6:H16" si="0">IF(F6="",0,G6-F6)</f>
        <v>-26625850.836720098</v>
      </c>
      <c r="I6" s="125">
        <f t="shared" ref="I6:I16" si="1">IF(F6="","",IF(H6=0,"",H6/G6))</f>
        <v>-1.6758226474323927</v>
      </c>
      <c r="J6" s="683">
        <f t="shared" ref="J6:J16" si="2">IF(F6="","",F6/$C$18)</f>
        <v>3.4560975416680156E-2</v>
      </c>
    </row>
    <row r="7" spans="1:10" ht="12.75" customHeight="1" x14ac:dyDescent="0.2">
      <c r="A7" s="40" t="s">
        <v>936</v>
      </c>
      <c r="B7" s="758">
        <v>19539878.957399998</v>
      </c>
      <c r="C7" s="763">
        <v>26147045.201466568</v>
      </c>
      <c r="D7" s="743">
        <v>0</v>
      </c>
      <c r="E7" s="743">
        <v>67305084.526200011</v>
      </c>
      <c r="F7" s="411">
        <f>IF(E7&gt;0,E7+F6,"")</f>
        <v>109819162.48380001</v>
      </c>
      <c r="G7" s="411">
        <f>IF(D7&gt;0,D7+D6,C7+C6)</f>
        <v>42035272.322346464</v>
      </c>
      <c r="H7" s="45">
        <f t="shared" si="0"/>
        <v>-67783890.161453545</v>
      </c>
      <c r="I7" s="125">
        <f t="shared" si="1"/>
        <v>-1.612547901240045</v>
      </c>
      <c r="J7" s="683">
        <f t="shared" si="2"/>
        <v>8.9275307315103691E-2</v>
      </c>
    </row>
    <row r="8" spans="1:10" ht="12.75" customHeight="1" x14ac:dyDescent="0.2">
      <c r="A8" s="40" t="s">
        <v>561</v>
      </c>
      <c r="B8" s="758">
        <v>52133213.881799996</v>
      </c>
      <c r="C8" s="763">
        <v>20000000</v>
      </c>
      <c r="D8" s="743">
        <v>0</v>
      </c>
      <c r="E8" s="743">
        <v>96927101.019184977</v>
      </c>
      <c r="F8" s="411">
        <f t="shared" ref="F8:F17" si="3">IF(E8&gt;0,E8+F7,"")</f>
        <v>206746263.502985</v>
      </c>
      <c r="G8" s="411">
        <f>IF(D8&gt;0,D8+G7,C8+G7)</f>
        <v>62035272.322346464</v>
      </c>
      <c r="H8" s="45">
        <f t="shared" si="0"/>
        <v>-144710991.18063855</v>
      </c>
      <c r="I8" s="125">
        <f t="shared" si="1"/>
        <v>-2.3327211401393413</v>
      </c>
      <c r="J8" s="683">
        <f t="shared" si="2"/>
        <v>0.16807026927746904</v>
      </c>
    </row>
    <row r="9" spans="1:10" ht="12.75" customHeight="1" x14ac:dyDescent="0.2">
      <c r="A9" s="40" t="s">
        <v>937</v>
      </c>
      <c r="B9" s="758">
        <v>33094013.347800002</v>
      </c>
      <c r="C9" s="763">
        <v>61424090.402933098</v>
      </c>
      <c r="D9" s="743">
        <v>0</v>
      </c>
      <c r="E9" s="743">
        <v>69191121.855599999</v>
      </c>
      <c r="F9" s="411">
        <f t="shared" si="3"/>
        <v>275937385.358585</v>
      </c>
      <c r="G9" s="411">
        <f t="shared" ref="G9:G17" si="4">IF(D9&gt;0,D9+G8,C9+G8)</f>
        <v>123459362.72527957</v>
      </c>
      <c r="H9" s="45">
        <f t="shared" si="0"/>
        <v>-152478022.63330543</v>
      </c>
      <c r="I9" s="125">
        <f t="shared" si="1"/>
        <v>-1.2350462473437342</v>
      </c>
      <c r="J9" s="683">
        <f t="shared" si="2"/>
        <v>0.2243178177692606</v>
      </c>
    </row>
    <row r="10" spans="1:10" ht="12.75" customHeight="1" x14ac:dyDescent="0.2">
      <c r="A10" s="40" t="s">
        <v>938</v>
      </c>
      <c r="B10" s="758">
        <v>53156380.639799997</v>
      </c>
      <c r="C10" s="763">
        <v>72300520.141415864</v>
      </c>
      <c r="D10" s="743">
        <v>0</v>
      </c>
      <c r="E10" s="743">
        <v>0</v>
      </c>
      <c r="F10" s="411" t="str">
        <f t="shared" si="3"/>
        <v/>
      </c>
      <c r="G10" s="411">
        <f t="shared" si="4"/>
        <v>195759882.86669543</v>
      </c>
      <c r="H10" s="45">
        <f t="shared" si="0"/>
        <v>0</v>
      </c>
      <c r="I10" s="125" t="str">
        <f t="shared" si="1"/>
        <v/>
      </c>
      <c r="J10" s="683" t="str">
        <f t="shared" si="2"/>
        <v/>
      </c>
    </row>
    <row r="11" spans="1:10" ht="12.75" customHeight="1" x14ac:dyDescent="0.2">
      <c r="A11" s="40" t="s">
        <v>939</v>
      </c>
      <c r="B11" s="758">
        <v>40635932.118599996</v>
      </c>
      <c r="C11" s="763">
        <v>80450520.141415894</v>
      </c>
      <c r="D11" s="743">
        <v>0</v>
      </c>
      <c r="E11" s="743">
        <v>0</v>
      </c>
      <c r="F11" s="411" t="str">
        <f t="shared" si="3"/>
        <v/>
      </c>
      <c r="G11" s="411">
        <f t="shared" si="4"/>
        <v>276210403.00811136</v>
      </c>
      <c r="H11" s="45">
        <f t="shared" si="0"/>
        <v>0</v>
      </c>
      <c r="I11" s="125" t="str">
        <f t="shared" si="1"/>
        <v/>
      </c>
      <c r="J11" s="683" t="str">
        <f t="shared" si="2"/>
        <v/>
      </c>
    </row>
    <row r="12" spans="1:10" ht="12.75" customHeight="1" x14ac:dyDescent="0.2">
      <c r="A12" s="40" t="s">
        <v>940</v>
      </c>
      <c r="B12" s="758">
        <v>18105087.999600001</v>
      </c>
      <c r="C12" s="763">
        <v>94117062.520455703</v>
      </c>
      <c r="D12" s="743">
        <v>0</v>
      </c>
      <c r="E12" s="743">
        <v>0</v>
      </c>
      <c r="F12" s="411" t="str">
        <f t="shared" si="3"/>
        <v/>
      </c>
      <c r="G12" s="411">
        <f t="shared" si="4"/>
        <v>370327465.52856708</v>
      </c>
      <c r="H12" s="45">
        <f t="shared" si="0"/>
        <v>0</v>
      </c>
      <c r="I12" s="125" t="str">
        <f t="shared" si="1"/>
        <v/>
      </c>
      <c r="J12" s="683" t="str">
        <f t="shared" si="2"/>
        <v/>
      </c>
    </row>
    <row r="13" spans="1:10" ht="12.75" customHeight="1" x14ac:dyDescent="0.2">
      <c r="A13" s="40" t="s">
        <v>941</v>
      </c>
      <c r="B13" s="758">
        <v>39318754.661799997</v>
      </c>
      <c r="C13" s="763">
        <v>147118047.53675699</v>
      </c>
      <c r="D13" s="743">
        <v>0</v>
      </c>
      <c r="E13" s="743">
        <v>0</v>
      </c>
      <c r="F13" s="411" t="str">
        <f t="shared" si="3"/>
        <v/>
      </c>
      <c r="G13" s="411">
        <f t="shared" si="4"/>
        <v>517445513.06532407</v>
      </c>
      <c r="H13" s="45">
        <f t="shared" si="0"/>
        <v>0</v>
      </c>
      <c r="I13" s="125" t="str">
        <f t="shared" si="1"/>
        <v/>
      </c>
      <c r="J13" s="683" t="str">
        <f t="shared" si="2"/>
        <v/>
      </c>
    </row>
    <row r="14" spans="1:10" ht="12.75" customHeight="1" x14ac:dyDescent="0.2">
      <c r="A14" s="40" t="s">
        <v>942</v>
      </c>
      <c r="B14" s="758">
        <v>118947063.67240001</v>
      </c>
      <c r="C14" s="763">
        <v>184167062.520455</v>
      </c>
      <c r="D14" s="743">
        <v>0</v>
      </c>
      <c r="E14" s="743">
        <v>0</v>
      </c>
      <c r="F14" s="411" t="str">
        <f t="shared" si="3"/>
        <v/>
      </c>
      <c r="G14" s="411">
        <f t="shared" si="4"/>
        <v>701612575.58577907</v>
      </c>
      <c r="H14" s="45">
        <f t="shared" si="0"/>
        <v>0</v>
      </c>
      <c r="I14" s="125" t="str">
        <f t="shared" si="1"/>
        <v/>
      </c>
      <c r="J14" s="683" t="str">
        <f t="shared" si="2"/>
        <v/>
      </c>
    </row>
    <row r="15" spans="1:10" ht="12.75" customHeight="1" x14ac:dyDescent="0.2">
      <c r="A15" s="40" t="s">
        <v>943</v>
      </c>
      <c r="B15" s="758">
        <v>314968044.50240004</v>
      </c>
      <c r="C15" s="763">
        <v>180519809.35686401</v>
      </c>
      <c r="D15" s="743">
        <v>0</v>
      </c>
      <c r="E15" s="743">
        <v>0</v>
      </c>
      <c r="F15" s="411" t="str">
        <f t="shared" si="3"/>
        <v/>
      </c>
      <c r="G15" s="411">
        <f t="shared" si="4"/>
        <v>882132384.94264305</v>
      </c>
      <c r="H15" s="45">
        <f t="shared" si="0"/>
        <v>0</v>
      </c>
      <c r="I15" s="125" t="str">
        <f t="shared" si="1"/>
        <v/>
      </c>
      <c r="J15" s="684" t="str">
        <f t="shared" si="2"/>
        <v/>
      </c>
    </row>
    <row r="16" spans="1:10" ht="12.75" customHeight="1" x14ac:dyDescent="0.2">
      <c r="A16" s="40" t="s">
        <v>944</v>
      </c>
      <c r="B16" s="758">
        <v>102136886.68000001</v>
      </c>
      <c r="C16" s="763">
        <v>153826239.0953469</v>
      </c>
      <c r="D16" s="743">
        <v>0</v>
      </c>
      <c r="E16" s="743">
        <v>0</v>
      </c>
      <c r="F16" s="411" t="str">
        <f t="shared" si="3"/>
        <v/>
      </c>
      <c r="G16" s="411">
        <f t="shared" si="4"/>
        <v>1035958624.03799</v>
      </c>
      <c r="H16" s="45">
        <f t="shared" si="0"/>
        <v>0</v>
      </c>
      <c r="I16" s="125" t="str">
        <f t="shared" si="1"/>
        <v/>
      </c>
      <c r="J16" s="684" t="str">
        <f t="shared" si="2"/>
        <v/>
      </c>
    </row>
    <row r="17" spans="1:10" ht="12.75" customHeight="1" x14ac:dyDescent="0.2">
      <c r="A17" s="248" t="s">
        <v>945</v>
      </c>
      <c r="B17" s="759">
        <v>267506089.87429994</v>
      </c>
      <c r="C17" s="767">
        <f>204992313.441554-10833000+62.52</f>
        <v>194159375.96155402</v>
      </c>
      <c r="D17" s="761">
        <v>0</v>
      </c>
      <c r="E17" s="761">
        <v>0</v>
      </c>
      <c r="F17" s="412" t="str">
        <f t="shared" si="3"/>
        <v/>
      </c>
      <c r="G17" s="412">
        <f t="shared" si="4"/>
        <v>1230117999.9995439</v>
      </c>
      <c r="H17" s="100">
        <f>IF(F17="",0,G17-F17)</f>
        <v>0</v>
      </c>
      <c r="I17" s="327" t="str">
        <f>IF(F17="","",IF(H17=0,"",H17/G17))</f>
        <v/>
      </c>
      <c r="J17" s="685" t="str">
        <f>IF(F17="","",F17/$C$18)</f>
        <v/>
      </c>
    </row>
    <row r="18" spans="1:10" ht="12.75" customHeight="1" x14ac:dyDescent="0.2">
      <c r="A18" s="95" t="s">
        <v>585</v>
      </c>
      <c r="B18" s="245">
        <f>SUM(B6:B17)</f>
        <v>1063499359.6573</v>
      </c>
      <c r="C18" s="266">
        <f>SUM(C6:C17)</f>
        <v>1230117999.9995439</v>
      </c>
      <c r="D18" s="77">
        <f>SUM(D6:D17)</f>
        <v>0</v>
      </c>
      <c r="E18" s="77">
        <f>SUM(E6:E17)</f>
        <v>275937385.358585</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62" activePane="bottomRight" state="frozen"/>
      <selection pane="topRight"/>
      <selection pane="bottomLeft"/>
      <selection pane="bottomRight" activeCell="C7" sqref="C7:K16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"&amp;S71Sa&amp; " - "&amp;Head57</f>
        <v>LIM354 Polokwane - Supporting Table SC13a Monthly Budget Statement - capital expenditure on new assets by asset class - M04 October</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905</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583412021.41712594</v>
      </c>
      <c r="D7" s="611">
        <f t="shared" si="0"/>
        <v>759323718</v>
      </c>
      <c r="E7" s="103">
        <f t="shared" si="0"/>
        <v>0</v>
      </c>
      <c r="F7" s="103">
        <f t="shared" si="0"/>
        <v>12630797.306399999</v>
      </c>
      <c r="G7" s="103">
        <f t="shared" si="0"/>
        <v>130278206.28479999</v>
      </c>
      <c r="H7" s="103">
        <f t="shared" si="0"/>
        <v>253107906</v>
      </c>
      <c r="I7" s="102">
        <f t="shared" ref="I7:I37" si="1">H7-G7</f>
        <v>122829699.71520001</v>
      </c>
      <c r="J7" s="588">
        <f t="shared" ref="J7:J37" si="2">IF(I7=0,"",I7/H7)</f>
        <v>0.4852859069333062</v>
      </c>
      <c r="K7" s="612">
        <f>K8+K13+K17+K27+K38+K45+K53+K63+K69</f>
        <v>759323718</v>
      </c>
    </row>
    <row r="8" spans="1:11" ht="12.75" customHeight="1" x14ac:dyDescent="0.2">
      <c r="A8" s="521" t="s">
        <v>1258</v>
      </c>
      <c r="B8" s="170"/>
      <c r="C8" s="686">
        <f t="shared" ref="C8:H8" si="3">SUM(C9:C12)</f>
        <v>95078475.409389988</v>
      </c>
      <c r="D8" s="618">
        <f t="shared" si="3"/>
        <v>269949855</v>
      </c>
      <c r="E8" s="617">
        <f t="shared" si="3"/>
        <v>0</v>
      </c>
      <c r="F8" s="617">
        <f t="shared" si="3"/>
        <v>3780753.2165999995</v>
      </c>
      <c r="G8" s="617">
        <f t="shared" si="3"/>
        <v>17854749.152399998</v>
      </c>
      <c r="H8" s="617">
        <f t="shared" si="3"/>
        <v>89983285</v>
      </c>
      <c r="I8" s="259">
        <f t="shared" si="1"/>
        <v>72128535.847599998</v>
      </c>
      <c r="J8" s="584">
        <f t="shared" si="2"/>
        <v>0.80157704675485009</v>
      </c>
      <c r="K8" s="619">
        <f>SUM(K9:K12)</f>
        <v>269949855</v>
      </c>
    </row>
    <row r="9" spans="1:11" ht="12.75" customHeight="1" x14ac:dyDescent="0.2">
      <c r="A9" s="583" t="s">
        <v>176</v>
      </c>
      <c r="B9" s="170"/>
      <c r="C9" s="758">
        <v>95078475.409389988</v>
      </c>
      <c r="D9" s="755">
        <v>47837855</v>
      </c>
      <c r="E9" s="743"/>
      <c r="F9" s="743">
        <v>3780753.2165999995</v>
      </c>
      <c r="G9" s="743">
        <f>F9+14073995.9358</f>
        <v>17854749.152399998</v>
      </c>
      <c r="H9" s="743">
        <f>D9/12*4</f>
        <v>15945951.666666666</v>
      </c>
      <c r="I9" s="259">
        <f t="shared" si="1"/>
        <v>-1908797.4857333321</v>
      </c>
      <c r="J9" s="584">
        <f t="shared" si="2"/>
        <v>-0.11970420616058133</v>
      </c>
      <c r="K9" s="745">
        <f>D9</f>
        <v>47837855</v>
      </c>
    </row>
    <row r="10" spans="1:11" ht="12.75" customHeight="1" x14ac:dyDescent="0.2">
      <c r="A10" s="583" t="s">
        <v>1259</v>
      </c>
      <c r="B10" s="170"/>
      <c r="C10" s="758"/>
      <c r="D10" s="755">
        <v>222112000</v>
      </c>
      <c r="E10" s="743"/>
      <c r="F10" s="743"/>
      <c r="G10" s="743"/>
      <c r="H10" s="743">
        <f>D10/12*4</f>
        <v>74037333.333333328</v>
      </c>
      <c r="I10" s="259">
        <f t="shared" si="1"/>
        <v>74037333.333333328</v>
      </c>
      <c r="J10" s="584">
        <f t="shared" si="2"/>
        <v>1</v>
      </c>
      <c r="K10" s="745">
        <f t="shared" ref="K10:K12" si="4">D10</f>
        <v>222112000</v>
      </c>
    </row>
    <row r="11" spans="1:11" ht="12.75" customHeight="1" x14ac:dyDescent="0.2">
      <c r="A11" s="583" t="s">
        <v>1260</v>
      </c>
      <c r="B11" s="170"/>
      <c r="C11" s="758"/>
      <c r="D11" s="755"/>
      <c r="E11" s="743"/>
      <c r="F11" s="743"/>
      <c r="G11" s="743"/>
      <c r="H11" s="743">
        <f>D11/12*4</f>
        <v>0</v>
      </c>
      <c r="I11" s="259">
        <f t="shared" si="1"/>
        <v>0</v>
      </c>
      <c r="J11" s="584" t="str">
        <f t="shared" si="2"/>
        <v/>
      </c>
      <c r="K11" s="745">
        <f t="shared" si="4"/>
        <v>0</v>
      </c>
    </row>
    <row r="12" spans="1:11" ht="12.75" customHeight="1" x14ac:dyDescent="0.2">
      <c r="A12" s="583" t="s">
        <v>1261</v>
      </c>
      <c r="B12" s="170"/>
      <c r="C12" s="758"/>
      <c r="D12" s="755"/>
      <c r="E12" s="743"/>
      <c r="F12" s="743"/>
      <c r="G12" s="743"/>
      <c r="H12" s="743">
        <f>D12/12*4</f>
        <v>0</v>
      </c>
      <c r="I12" s="259">
        <f t="shared" si="1"/>
        <v>0</v>
      </c>
      <c r="J12" s="584" t="str">
        <f t="shared" si="2"/>
        <v/>
      </c>
      <c r="K12" s="745">
        <f t="shared" si="4"/>
        <v>0</v>
      </c>
    </row>
    <row r="13" spans="1:11" ht="12.75" customHeight="1" x14ac:dyDescent="0.2">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1263</v>
      </c>
      <c r="B14" s="170"/>
      <c r="C14" s="758"/>
      <c r="D14" s="755"/>
      <c r="E14" s="743"/>
      <c r="F14" s="743"/>
      <c r="G14" s="743"/>
      <c r="H14" s="743"/>
      <c r="I14" s="259">
        <f t="shared" si="1"/>
        <v>0</v>
      </c>
      <c r="J14" s="584" t="str">
        <f t="shared" si="2"/>
        <v/>
      </c>
      <c r="K14" s="745"/>
    </row>
    <row r="15" spans="1:11" ht="12.75" customHeight="1" x14ac:dyDescent="0.2">
      <c r="A15" s="583" t="s">
        <v>1264</v>
      </c>
      <c r="B15" s="170"/>
      <c r="C15" s="758"/>
      <c r="D15" s="755"/>
      <c r="E15" s="743"/>
      <c r="F15" s="743"/>
      <c r="G15" s="743"/>
      <c r="H15" s="743"/>
      <c r="I15" s="259">
        <f t="shared" si="1"/>
        <v>0</v>
      </c>
      <c r="J15" s="584" t="str">
        <f t="shared" si="2"/>
        <v/>
      </c>
      <c r="K15" s="745"/>
    </row>
    <row r="16" spans="1:11" ht="12.75" customHeight="1" x14ac:dyDescent="0.2">
      <c r="A16" s="583" t="s">
        <v>1265</v>
      </c>
      <c r="B16" s="170"/>
      <c r="C16" s="758"/>
      <c r="D16" s="755"/>
      <c r="E16" s="743"/>
      <c r="F16" s="743"/>
      <c r="G16" s="743"/>
      <c r="H16" s="743"/>
      <c r="I16" s="259">
        <f t="shared" si="1"/>
        <v>0</v>
      </c>
      <c r="J16" s="584" t="str">
        <f t="shared" si="2"/>
        <v/>
      </c>
      <c r="K16" s="745"/>
    </row>
    <row r="17" spans="1:11" ht="12.75" customHeight="1" x14ac:dyDescent="0.2">
      <c r="A17" s="521" t="s">
        <v>1266</v>
      </c>
      <c r="B17" s="170"/>
      <c r="C17" s="657">
        <f t="shared" ref="C17:H17" si="6">SUM(C18:C26)</f>
        <v>19649958.860799998</v>
      </c>
      <c r="D17" s="658">
        <f t="shared" si="6"/>
        <v>71900000</v>
      </c>
      <c r="E17" s="411">
        <f t="shared" si="6"/>
        <v>0</v>
      </c>
      <c r="F17" s="411">
        <f t="shared" si="6"/>
        <v>12441.6294</v>
      </c>
      <c r="G17" s="411">
        <f t="shared" si="6"/>
        <v>68036.032200000001</v>
      </c>
      <c r="H17" s="411">
        <f t="shared" si="6"/>
        <v>23966666.666666668</v>
      </c>
      <c r="I17" s="259">
        <f t="shared" si="1"/>
        <v>23898630.634466667</v>
      </c>
      <c r="J17" s="584">
        <f t="shared" si="2"/>
        <v>0.99716122257858131</v>
      </c>
      <c r="K17" s="651">
        <f>SUM(K18:K26)</f>
        <v>71900000</v>
      </c>
    </row>
    <row r="18" spans="1:11" ht="12.75" customHeight="1" x14ac:dyDescent="0.2">
      <c r="A18" s="583" t="s">
        <v>1267</v>
      </c>
      <c r="B18" s="170"/>
      <c r="C18" s="758"/>
      <c r="D18" s="755"/>
      <c r="E18" s="743"/>
      <c r="F18" s="743"/>
      <c r="G18" s="743"/>
      <c r="H18" s="743">
        <f t="shared" ref="H18:H26" si="7">D18/12*4</f>
        <v>0</v>
      </c>
      <c r="I18" s="259">
        <f t="shared" si="1"/>
        <v>0</v>
      </c>
      <c r="J18" s="584" t="str">
        <f t="shared" si="2"/>
        <v/>
      </c>
      <c r="K18" s="745">
        <f>D18</f>
        <v>0</v>
      </c>
    </row>
    <row r="19" spans="1:11" ht="12.75" customHeight="1" x14ac:dyDescent="0.2">
      <c r="A19" s="583" t="s">
        <v>1268</v>
      </c>
      <c r="B19" s="170"/>
      <c r="C19" s="758"/>
      <c r="D19" s="755"/>
      <c r="E19" s="743"/>
      <c r="F19" s="743"/>
      <c r="G19" s="743"/>
      <c r="H19" s="743">
        <f t="shared" si="7"/>
        <v>0</v>
      </c>
      <c r="I19" s="259">
        <f t="shared" si="1"/>
        <v>0</v>
      </c>
      <c r="J19" s="584" t="str">
        <f t="shared" si="2"/>
        <v/>
      </c>
      <c r="K19" s="745">
        <f t="shared" ref="K19:K26" si="8">D19</f>
        <v>0</v>
      </c>
    </row>
    <row r="20" spans="1:11" ht="12.75" customHeight="1" x14ac:dyDescent="0.2">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
      <c r="A26" s="583" t="s">
        <v>1261</v>
      </c>
      <c r="B26" s="170"/>
      <c r="C26" s="758">
        <v>19649958.860799998</v>
      </c>
      <c r="D26" s="755">
        <v>71900000</v>
      </c>
      <c r="E26" s="743"/>
      <c r="F26" s="743">
        <v>12441.6294</v>
      </c>
      <c r="G26" s="743">
        <f>F26+55594.4028</f>
        <v>68036.032200000001</v>
      </c>
      <c r="H26" s="743">
        <f t="shared" si="7"/>
        <v>23966666.666666668</v>
      </c>
      <c r="I26" s="259">
        <f t="shared" si="1"/>
        <v>23898630.634466667</v>
      </c>
      <c r="J26" s="584">
        <f t="shared" si="2"/>
        <v>0.99716122257858131</v>
      </c>
      <c r="K26" s="745">
        <f t="shared" si="8"/>
        <v>71900000</v>
      </c>
    </row>
    <row r="27" spans="1:11" ht="12.75" customHeight="1" x14ac:dyDescent="0.2">
      <c r="A27" s="520" t="s">
        <v>1275</v>
      </c>
      <c r="B27" s="170"/>
      <c r="C27" s="657">
        <f t="shared" ref="C27:H27" si="9">SUM(C28:C37)</f>
        <v>339940945.54273599</v>
      </c>
      <c r="D27" s="658">
        <f t="shared" si="9"/>
        <v>270338000</v>
      </c>
      <c r="E27" s="411">
        <f t="shared" si="9"/>
        <v>0</v>
      </c>
      <c r="F27" s="411">
        <f t="shared" si="9"/>
        <v>8837602.4604000002</v>
      </c>
      <c r="G27" s="411">
        <f t="shared" si="9"/>
        <v>96093159.778799996</v>
      </c>
      <c r="H27" s="411">
        <f t="shared" si="9"/>
        <v>90112666.666666672</v>
      </c>
      <c r="I27" s="259">
        <f t="shared" si="1"/>
        <v>-5980493.1121333241</v>
      </c>
      <c r="J27" s="584">
        <f t="shared" si="2"/>
        <v>-6.636684201407117E-2</v>
      </c>
      <c r="K27" s="651">
        <f>SUM(K28:K37)</f>
        <v>270338000</v>
      </c>
    </row>
    <row r="28" spans="1:11" ht="12.75" customHeight="1" x14ac:dyDescent="0.2">
      <c r="A28" s="583" t="s">
        <v>1276</v>
      </c>
      <c r="B28" s="170"/>
      <c r="C28" s="758"/>
      <c r="D28" s="755"/>
      <c r="E28" s="743"/>
      <c r="F28" s="743"/>
      <c r="G28" s="743"/>
      <c r="H28" s="743">
        <f t="shared" ref="H28:H37" si="10">D28/12*4</f>
        <v>0</v>
      </c>
      <c r="I28" s="259">
        <f t="shared" si="1"/>
        <v>0</v>
      </c>
      <c r="J28" s="584" t="str">
        <f t="shared" si="2"/>
        <v/>
      </c>
      <c r="K28" s="745">
        <f>D28</f>
        <v>0</v>
      </c>
    </row>
    <row r="29" spans="1:11" ht="12.75" customHeight="1" x14ac:dyDescent="0.2">
      <c r="A29" s="583" t="s">
        <v>1277</v>
      </c>
      <c r="B29" s="170"/>
      <c r="C29" s="758"/>
      <c r="D29" s="755"/>
      <c r="E29" s="743"/>
      <c r="F29" s="743"/>
      <c r="G29" s="743"/>
      <c r="H29" s="743">
        <f t="shared" si="10"/>
        <v>0</v>
      </c>
      <c r="I29" s="259">
        <f t="shared" si="1"/>
        <v>0</v>
      </c>
      <c r="J29" s="584" t="str">
        <f t="shared" si="2"/>
        <v/>
      </c>
      <c r="K29" s="745">
        <f t="shared" ref="K29:K37" si="11">D29</f>
        <v>0</v>
      </c>
    </row>
    <row r="30" spans="1:11" ht="12.75" customHeight="1" x14ac:dyDescent="0.2">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
      <c r="A34" s="583" t="s">
        <v>1282</v>
      </c>
      <c r="B34" s="170"/>
      <c r="C34" s="758">
        <v>339940945.54273599</v>
      </c>
      <c r="D34" s="755">
        <v>270338000</v>
      </c>
      <c r="E34" s="743"/>
      <c r="F34" s="743">
        <v>8837602.4604000002</v>
      </c>
      <c r="G34" s="743">
        <f>F34+87255557.3184</f>
        <v>96093159.778799996</v>
      </c>
      <c r="H34" s="743">
        <f t="shared" si="10"/>
        <v>90112666.666666672</v>
      </c>
      <c r="I34" s="259">
        <f t="shared" si="1"/>
        <v>-5980493.1121333241</v>
      </c>
      <c r="J34" s="584">
        <f t="shared" si="2"/>
        <v>-6.636684201407117E-2</v>
      </c>
      <c r="K34" s="745">
        <f t="shared" si="11"/>
        <v>270338000</v>
      </c>
    </row>
    <row r="35" spans="1:11" ht="12.75" customHeight="1" x14ac:dyDescent="0.2">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
      <c r="A38" s="520" t="s">
        <v>1285</v>
      </c>
      <c r="B38" s="170"/>
      <c r="C38" s="657">
        <f t="shared" ref="C38:H38" si="12">SUM(C39:C44)</f>
        <v>0</v>
      </c>
      <c r="D38" s="658">
        <f t="shared" si="12"/>
        <v>132035000</v>
      </c>
      <c r="E38" s="411">
        <f t="shared" si="12"/>
        <v>0</v>
      </c>
      <c r="F38" s="411">
        <f t="shared" si="12"/>
        <v>0</v>
      </c>
      <c r="G38" s="411">
        <f t="shared" si="12"/>
        <v>16070123.065199999</v>
      </c>
      <c r="H38" s="411">
        <f t="shared" si="12"/>
        <v>44011666.666666664</v>
      </c>
      <c r="I38" s="259">
        <f t="shared" ref="I38:I44" si="13">H38-G38</f>
        <v>27941543.601466663</v>
      </c>
      <c r="J38" s="584">
        <f t="shared" ref="J38:J44" si="14">IF(I38=0,"",I38/H38)</f>
        <v>0.63486674597190129</v>
      </c>
      <c r="K38" s="651">
        <f>SUM(K39:K44)</f>
        <v>132035000</v>
      </c>
    </row>
    <row r="39" spans="1:11" ht="12.75" customHeight="1" x14ac:dyDescent="0.2">
      <c r="A39" s="583" t="s">
        <v>1286</v>
      </c>
      <c r="B39" s="170"/>
      <c r="C39" s="758"/>
      <c r="D39" s="755"/>
      <c r="E39" s="743"/>
      <c r="F39" s="743"/>
      <c r="G39" s="743"/>
      <c r="H39" s="743">
        <f t="shared" ref="H39:H44" si="15">D39/12*4</f>
        <v>0</v>
      </c>
      <c r="I39" s="259">
        <f t="shared" si="13"/>
        <v>0</v>
      </c>
      <c r="J39" s="584" t="str">
        <f t="shared" si="14"/>
        <v/>
      </c>
      <c r="K39" s="745">
        <f>D39</f>
        <v>0</v>
      </c>
    </row>
    <row r="40" spans="1:11" ht="12.75" customHeight="1" x14ac:dyDescent="0.2">
      <c r="A40" s="583" t="s">
        <v>142</v>
      </c>
      <c r="B40" s="170"/>
      <c r="C40" s="758"/>
      <c r="D40" s="755">
        <v>132035000</v>
      </c>
      <c r="E40" s="743"/>
      <c r="F40" s="743"/>
      <c r="G40" s="743">
        <v>16070123.065199999</v>
      </c>
      <c r="H40" s="743">
        <f t="shared" si="15"/>
        <v>44011666.666666664</v>
      </c>
      <c r="I40" s="259">
        <f>H40-G40</f>
        <v>27941543.601466663</v>
      </c>
      <c r="J40" s="584">
        <f>IF(I40=0,"",I40/H40)</f>
        <v>0.63486674597190129</v>
      </c>
      <c r="K40" s="745">
        <f t="shared" ref="K40:K44" si="16">D40</f>
        <v>132035000</v>
      </c>
    </row>
    <row r="41" spans="1:11" ht="12.75" customHeight="1" x14ac:dyDescent="0.2">
      <c r="A41" s="583" t="s">
        <v>1287</v>
      </c>
      <c r="B41" s="170"/>
      <c r="C41" s="758"/>
      <c r="D41" s="755"/>
      <c r="E41" s="743"/>
      <c r="F41" s="743"/>
      <c r="G41" s="743"/>
      <c r="H41" s="743">
        <f t="shared" si="15"/>
        <v>0</v>
      </c>
      <c r="I41" s="259">
        <f>H41-G41</f>
        <v>0</v>
      </c>
      <c r="J41" s="584" t="str">
        <f>IF(I41=0,"",I41/H41)</f>
        <v/>
      </c>
      <c r="K41" s="745">
        <f t="shared" si="16"/>
        <v>0</v>
      </c>
    </row>
    <row r="42" spans="1:11" ht="12.75" customHeight="1" x14ac:dyDescent="0.2">
      <c r="A42" s="583" t="s">
        <v>1288</v>
      </c>
      <c r="B42" s="170"/>
      <c r="C42" s="758"/>
      <c r="D42" s="755"/>
      <c r="E42" s="743"/>
      <c r="F42" s="743"/>
      <c r="G42" s="743"/>
      <c r="H42" s="743">
        <f t="shared" si="15"/>
        <v>0</v>
      </c>
      <c r="I42" s="259">
        <f>H42-G42</f>
        <v>0</v>
      </c>
      <c r="J42" s="584" t="str">
        <f>IF(I42=0,"",I42/H42)</f>
        <v/>
      </c>
      <c r="K42" s="745">
        <f t="shared" si="16"/>
        <v>0</v>
      </c>
    </row>
    <row r="43" spans="1:11" ht="12.75" customHeight="1" x14ac:dyDescent="0.2">
      <c r="A43" s="583" t="s">
        <v>1289</v>
      </c>
      <c r="B43" s="170"/>
      <c r="C43" s="758"/>
      <c r="D43" s="755"/>
      <c r="E43" s="743"/>
      <c r="F43" s="743"/>
      <c r="G43" s="743"/>
      <c r="H43" s="743">
        <f t="shared" si="15"/>
        <v>0</v>
      </c>
      <c r="I43" s="259">
        <f t="shared" si="13"/>
        <v>0</v>
      </c>
      <c r="J43" s="584" t="str">
        <f t="shared" si="14"/>
        <v/>
      </c>
      <c r="K43" s="745">
        <f t="shared" si="16"/>
        <v>0</v>
      </c>
    </row>
    <row r="44" spans="1:11" ht="12.75" customHeight="1" x14ac:dyDescent="0.2">
      <c r="A44" s="583" t="s">
        <v>1261</v>
      </c>
      <c r="B44" s="170"/>
      <c r="C44" s="758"/>
      <c r="D44" s="755"/>
      <c r="E44" s="743"/>
      <c r="F44" s="743"/>
      <c r="G44" s="743"/>
      <c r="H44" s="743">
        <f t="shared" si="15"/>
        <v>0</v>
      </c>
      <c r="I44" s="259">
        <f t="shared" si="13"/>
        <v>0</v>
      </c>
      <c r="J44" s="584" t="str">
        <f t="shared" si="14"/>
        <v/>
      </c>
      <c r="K44" s="745">
        <f t="shared" si="16"/>
        <v>0</v>
      </c>
    </row>
    <row r="45" spans="1:11" ht="12.75" customHeight="1" x14ac:dyDescent="0.2">
      <c r="A45" s="520" t="s">
        <v>1290</v>
      </c>
      <c r="B45" s="170"/>
      <c r="C45" s="657">
        <f t="shared" ref="C45:H45" si="17">SUM(C46:C52)</f>
        <v>128742641.60420001</v>
      </c>
      <c r="D45" s="658">
        <f t="shared" si="17"/>
        <v>15100863</v>
      </c>
      <c r="E45" s="411">
        <f t="shared" si="17"/>
        <v>0</v>
      </c>
      <c r="F45" s="411">
        <f t="shared" si="17"/>
        <v>0</v>
      </c>
      <c r="G45" s="411">
        <f t="shared" si="17"/>
        <v>192138.25619999997</v>
      </c>
      <c r="H45" s="411">
        <f t="shared" si="17"/>
        <v>5033621</v>
      </c>
      <c r="I45" s="259">
        <f t="shared" ref="I45:I68" si="18">H45-G45</f>
        <v>4841482.7438000003</v>
      </c>
      <c r="J45" s="584">
        <f t="shared" ref="J45:J68" si="19">IF(I45=0,"",I45/H45)</f>
        <v>0.961829018076649</v>
      </c>
      <c r="K45" s="651">
        <f>SUM(K46:K52)</f>
        <v>15100863</v>
      </c>
    </row>
    <row r="46" spans="1:11" ht="12.75" customHeight="1" x14ac:dyDescent="0.2">
      <c r="A46" s="583" t="s">
        <v>1291</v>
      </c>
      <c r="B46" s="170"/>
      <c r="C46" s="758">
        <v>41082030.994000003</v>
      </c>
      <c r="D46" s="755">
        <v>10000863</v>
      </c>
      <c r="E46" s="743"/>
      <c r="F46" s="743"/>
      <c r="G46" s="743">
        <v>192138.25619999997</v>
      </c>
      <c r="H46" s="743">
        <f t="shared" ref="H46:H52" si="20">D46/12*4</f>
        <v>3333621</v>
      </c>
      <c r="I46" s="259">
        <f t="shared" si="18"/>
        <v>3141482.7437999998</v>
      </c>
      <c r="J46" s="584">
        <f t="shared" si="19"/>
        <v>0.94236349717019419</v>
      </c>
      <c r="K46" s="745">
        <f>D46</f>
        <v>10000863</v>
      </c>
    </row>
    <row r="47" spans="1:11" ht="12.75" customHeight="1" x14ac:dyDescent="0.2">
      <c r="A47" s="583" t="s">
        <v>1292</v>
      </c>
      <c r="B47" s="170"/>
      <c r="C47" s="758">
        <v>87660610.610200003</v>
      </c>
      <c r="D47" s="755">
        <v>5100000</v>
      </c>
      <c r="E47" s="743"/>
      <c r="F47" s="743"/>
      <c r="G47" s="743"/>
      <c r="H47" s="743">
        <f t="shared" si="20"/>
        <v>1700000</v>
      </c>
      <c r="I47" s="259">
        <f t="shared" si="18"/>
        <v>1700000</v>
      </c>
      <c r="J47" s="584">
        <f t="shared" si="19"/>
        <v>1</v>
      </c>
      <c r="K47" s="745">
        <f t="shared" ref="K47:K52" si="21">D47</f>
        <v>5100000</v>
      </c>
    </row>
    <row r="48" spans="1:11" ht="12.75" customHeight="1" x14ac:dyDescent="0.2">
      <c r="A48" s="583" t="s">
        <v>1293</v>
      </c>
      <c r="B48" s="170"/>
      <c r="C48" s="758"/>
      <c r="D48" s="755"/>
      <c r="E48" s="743"/>
      <c r="F48" s="743"/>
      <c r="G48" s="743"/>
      <c r="H48" s="743">
        <f t="shared" si="20"/>
        <v>0</v>
      </c>
      <c r="I48" s="259">
        <f>H48-G48</f>
        <v>0</v>
      </c>
      <c r="J48" s="584" t="str">
        <f>IF(I48=0,"",I48/H48)</f>
        <v/>
      </c>
      <c r="K48" s="745">
        <f t="shared" si="21"/>
        <v>0</v>
      </c>
    </row>
    <row r="49" spans="1:11" ht="12.75" customHeight="1" x14ac:dyDescent="0.2">
      <c r="A49" s="583" t="s">
        <v>1294</v>
      </c>
      <c r="B49" s="170"/>
      <c r="C49" s="758"/>
      <c r="D49" s="755"/>
      <c r="E49" s="743"/>
      <c r="F49" s="743"/>
      <c r="G49" s="743"/>
      <c r="H49" s="743">
        <f t="shared" si="20"/>
        <v>0</v>
      </c>
      <c r="I49" s="259">
        <f t="shared" si="18"/>
        <v>0</v>
      </c>
      <c r="J49" s="584" t="str">
        <f t="shared" si="19"/>
        <v/>
      </c>
      <c r="K49" s="745">
        <f t="shared" si="21"/>
        <v>0</v>
      </c>
    </row>
    <row r="50" spans="1:11" ht="12.75" customHeight="1" x14ac:dyDescent="0.2">
      <c r="A50" s="583" t="s">
        <v>1295</v>
      </c>
      <c r="B50" s="170"/>
      <c r="C50" s="758"/>
      <c r="D50" s="755"/>
      <c r="E50" s="743"/>
      <c r="F50" s="743"/>
      <c r="G50" s="743"/>
      <c r="H50" s="743">
        <f t="shared" si="20"/>
        <v>0</v>
      </c>
      <c r="I50" s="259">
        <f t="shared" si="18"/>
        <v>0</v>
      </c>
      <c r="J50" s="584" t="str">
        <f t="shared" si="19"/>
        <v/>
      </c>
      <c r="K50" s="745">
        <f t="shared" si="21"/>
        <v>0</v>
      </c>
    </row>
    <row r="51" spans="1:11" ht="12.75" customHeight="1" x14ac:dyDescent="0.2">
      <c r="A51" s="583" t="s">
        <v>1296</v>
      </c>
      <c r="B51" s="170"/>
      <c r="C51" s="758"/>
      <c r="D51" s="755"/>
      <c r="E51" s="743"/>
      <c r="F51" s="743"/>
      <c r="G51" s="743"/>
      <c r="H51" s="743">
        <f t="shared" si="20"/>
        <v>0</v>
      </c>
      <c r="I51" s="259">
        <f t="shared" si="18"/>
        <v>0</v>
      </c>
      <c r="J51" s="584" t="str">
        <f t="shared" si="19"/>
        <v/>
      </c>
      <c r="K51" s="745">
        <f t="shared" si="21"/>
        <v>0</v>
      </c>
    </row>
    <row r="52" spans="1:11" ht="12.75" customHeight="1" x14ac:dyDescent="0.2">
      <c r="A52" s="583" t="s">
        <v>1261</v>
      </c>
      <c r="B52" s="170"/>
      <c r="C52" s="758"/>
      <c r="D52" s="755"/>
      <c r="E52" s="743"/>
      <c r="F52" s="743"/>
      <c r="G52" s="743"/>
      <c r="H52" s="743">
        <f t="shared" si="20"/>
        <v>0</v>
      </c>
      <c r="I52" s="259">
        <f t="shared" si="18"/>
        <v>0</v>
      </c>
      <c r="J52" s="584" t="str">
        <f t="shared" si="19"/>
        <v/>
      </c>
      <c r="K52" s="745">
        <f t="shared" si="21"/>
        <v>0</v>
      </c>
    </row>
    <row r="53" spans="1:11" ht="12.75" customHeight="1" x14ac:dyDescent="0.2">
      <c r="A53" s="521" t="s">
        <v>1297</v>
      </c>
      <c r="B53" s="170"/>
      <c r="C53" s="657">
        <f t="shared" ref="C53:H53" si="22">SUM(C54:C62)</f>
        <v>0</v>
      </c>
      <c r="D53" s="658">
        <f t="shared" si="22"/>
        <v>0</v>
      </c>
      <c r="E53" s="411">
        <f t="shared" si="22"/>
        <v>0</v>
      </c>
      <c r="F53" s="411">
        <f t="shared" si="22"/>
        <v>0</v>
      </c>
      <c r="G53" s="411">
        <f t="shared" si="22"/>
        <v>0</v>
      </c>
      <c r="H53" s="411">
        <f t="shared" si="22"/>
        <v>0</v>
      </c>
      <c r="I53" s="259">
        <f t="shared" si="18"/>
        <v>0</v>
      </c>
      <c r="J53" s="584" t="str">
        <f t="shared" si="19"/>
        <v/>
      </c>
      <c r="K53" s="651">
        <f>SUM(K54:K62)</f>
        <v>0</v>
      </c>
    </row>
    <row r="54" spans="1:11" ht="12.75" customHeight="1" x14ac:dyDescent="0.2">
      <c r="A54" s="583" t="s">
        <v>1298</v>
      </c>
      <c r="B54" s="170"/>
      <c r="C54" s="758"/>
      <c r="D54" s="755"/>
      <c r="E54" s="743"/>
      <c r="F54" s="743"/>
      <c r="G54" s="743"/>
      <c r="H54" s="743"/>
      <c r="I54" s="259">
        <f t="shared" si="18"/>
        <v>0</v>
      </c>
      <c r="J54" s="584" t="str">
        <f t="shared" si="19"/>
        <v/>
      </c>
      <c r="K54" s="745"/>
    </row>
    <row r="55" spans="1:11" ht="12.75" customHeight="1" x14ac:dyDescent="0.2">
      <c r="A55" s="583" t="s">
        <v>1299</v>
      </c>
      <c r="B55" s="170"/>
      <c r="C55" s="758"/>
      <c r="D55" s="755"/>
      <c r="E55" s="743"/>
      <c r="F55" s="743"/>
      <c r="G55" s="743"/>
      <c r="H55" s="743"/>
      <c r="I55" s="259">
        <f t="shared" si="18"/>
        <v>0</v>
      </c>
      <c r="J55" s="584" t="str">
        <f t="shared" si="19"/>
        <v/>
      </c>
      <c r="K55" s="745"/>
    </row>
    <row r="56" spans="1:11" ht="12.75" customHeight="1" x14ac:dyDescent="0.2">
      <c r="A56" s="583" t="s">
        <v>1300</v>
      </c>
      <c r="B56" s="170"/>
      <c r="C56" s="758"/>
      <c r="D56" s="755"/>
      <c r="E56" s="743"/>
      <c r="F56" s="743"/>
      <c r="G56" s="743"/>
      <c r="H56" s="743"/>
      <c r="I56" s="259">
        <f t="shared" si="18"/>
        <v>0</v>
      </c>
      <c r="J56" s="584" t="str">
        <f t="shared" si="19"/>
        <v/>
      </c>
      <c r="K56" s="745"/>
    </row>
    <row r="57" spans="1:11" ht="12.75" customHeight="1" x14ac:dyDescent="0.2">
      <c r="A57" s="583" t="s">
        <v>1263</v>
      </c>
      <c r="B57" s="170"/>
      <c r="C57" s="758"/>
      <c r="D57" s="755"/>
      <c r="E57" s="743"/>
      <c r="F57" s="743"/>
      <c r="G57" s="743"/>
      <c r="H57" s="743"/>
      <c r="I57" s="259">
        <f t="shared" si="18"/>
        <v>0</v>
      </c>
      <c r="J57" s="584" t="str">
        <f t="shared" si="19"/>
        <v/>
      </c>
      <c r="K57" s="745"/>
    </row>
    <row r="58" spans="1:11" ht="12.75" customHeight="1" x14ac:dyDescent="0.2">
      <c r="A58" s="583" t="s">
        <v>1264</v>
      </c>
      <c r="B58" s="170"/>
      <c r="C58" s="758"/>
      <c r="D58" s="755"/>
      <c r="E58" s="743"/>
      <c r="F58" s="743"/>
      <c r="G58" s="743"/>
      <c r="H58" s="743"/>
      <c r="I58" s="259">
        <f t="shared" si="18"/>
        <v>0</v>
      </c>
      <c r="J58" s="584" t="str">
        <f t="shared" si="19"/>
        <v/>
      </c>
      <c r="K58" s="745"/>
    </row>
    <row r="59" spans="1:11" ht="12.75" customHeight="1" x14ac:dyDescent="0.2">
      <c r="A59" s="583" t="s">
        <v>1265</v>
      </c>
      <c r="B59" s="170"/>
      <c r="C59" s="758"/>
      <c r="D59" s="755"/>
      <c r="E59" s="743"/>
      <c r="F59" s="743"/>
      <c r="G59" s="743"/>
      <c r="H59" s="743"/>
      <c r="I59" s="259">
        <f t="shared" si="18"/>
        <v>0</v>
      </c>
      <c r="J59" s="584" t="str">
        <f t="shared" si="19"/>
        <v/>
      </c>
      <c r="K59" s="745"/>
    </row>
    <row r="60" spans="1:11" ht="12.75" customHeight="1" x14ac:dyDescent="0.2">
      <c r="A60" s="583" t="s">
        <v>1271</v>
      </c>
      <c r="B60" s="170"/>
      <c r="C60" s="758"/>
      <c r="D60" s="755"/>
      <c r="E60" s="743"/>
      <c r="F60" s="743"/>
      <c r="G60" s="743"/>
      <c r="H60" s="743"/>
      <c r="I60" s="259">
        <f t="shared" si="18"/>
        <v>0</v>
      </c>
      <c r="J60" s="584" t="str">
        <f t="shared" si="19"/>
        <v/>
      </c>
      <c r="K60" s="745"/>
    </row>
    <row r="61" spans="1:11" ht="12.75" customHeight="1" x14ac:dyDescent="0.2">
      <c r="A61" s="583" t="s">
        <v>1274</v>
      </c>
      <c r="B61" s="170"/>
      <c r="C61" s="758"/>
      <c r="D61" s="755"/>
      <c r="E61" s="743"/>
      <c r="F61" s="743"/>
      <c r="G61" s="743"/>
      <c r="H61" s="743"/>
      <c r="I61" s="259">
        <f t="shared" si="18"/>
        <v>0</v>
      </c>
      <c r="J61" s="584" t="str">
        <f t="shared" si="19"/>
        <v/>
      </c>
      <c r="K61" s="745"/>
    </row>
    <row r="62" spans="1:11" ht="12.75" customHeight="1" x14ac:dyDescent="0.2">
      <c r="A62" s="583" t="s">
        <v>1261</v>
      </c>
      <c r="B62" s="170"/>
      <c r="C62" s="758"/>
      <c r="D62" s="755"/>
      <c r="E62" s="743"/>
      <c r="F62" s="743"/>
      <c r="G62" s="743"/>
      <c r="H62" s="743"/>
      <c r="I62" s="259">
        <f t="shared" si="18"/>
        <v>0</v>
      </c>
      <c r="J62" s="584" t="str">
        <f t="shared" si="19"/>
        <v/>
      </c>
      <c r="K62" s="745"/>
    </row>
    <row r="63" spans="1:11" ht="12.75" customHeight="1" x14ac:dyDescent="0.2">
      <c r="A63" s="520" t="s">
        <v>1301</v>
      </c>
      <c r="B63" s="170"/>
      <c r="C63" s="657">
        <f t="shared" ref="C63:H63" si="23">SUM(C64:C68)</f>
        <v>0</v>
      </c>
      <c r="D63" s="658">
        <f t="shared" si="23"/>
        <v>0</v>
      </c>
      <c r="E63" s="411">
        <f t="shared" si="23"/>
        <v>0</v>
      </c>
      <c r="F63" s="411">
        <f t="shared" si="23"/>
        <v>0</v>
      </c>
      <c r="G63" s="411">
        <f t="shared" si="23"/>
        <v>0</v>
      </c>
      <c r="H63" s="411">
        <f t="shared" si="23"/>
        <v>0</v>
      </c>
      <c r="I63" s="259">
        <f t="shared" si="18"/>
        <v>0</v>
      </c>
      <c r="J63" s="584" t="str">
        <f t="shared" si="19"/>
        <v/>
      </c>
      <c r="K63" s="651">
        <f>SUM(K64:K68)</f>
        <v>0</v>
      </c>
    </row>
    <row r="64" spans="1:11" ht="12.75" customHeight="1" x14ac:dyDescent="0.2">
      <c r="A64" s="583" t="s">
        <v>1302</v>
      </c>
      <c r="B64" s="170"/>
      <c r="C64" s="758"/>
      <c r="D64" s="755"/>
      <c r="E64" s="743"/>
      <c r="F64" s="743"/>
      <c r="G64" s="743"/>
      <c r="H64" s="743"/>
      <c r="I64" s="259">
        <f t="shared" si="18"/>
        <v>0</v>
      </c>
      <c r="J64" s="584" t="str">
        <f t="shared" si="19"/>
        <v/>
      </c>
      <c r="K64" s="745"/>
    </row>
    <row r="65" spans="1:11" ht="12.75" customHeight="1" x14ac:dyDescent="0.2">
      <c r="A65" s="583" t="s">
        <v>1303</v>
      </c>
      <c r="B65" s="170"/>
      <c r="C65" s="758"/>
      <c r="D65" s="755"/>
      <c r="E65" s="743"/>
      <c r="F65" s="743"/>
      <c r="G65" s="743"/>
      <c r="H65" s="743"/>
      <c r="I65" s="259">
        <f t="shared" si="18"/>
        <v>0</v>
      </c>
      <c r="J65" s="584" t="str">
        <f t="shared" si="19"/>
        <v/>
      </c>
      <c r="K65" s="745"/>
    </row>
    <row r="66" spans="1:11" ht="12.75" customHeight="1" x14ac:dyDescent="0.2">
      <c r="A66" s="583" t="s">
        <v>1304</v>
      </c>
      <c r="B66" s="170"/>
      <c r="C66" s="758"/>
      <c r="D66" s="755"/>
      <c r="E66" s="743"/>
      <c r="F66" s="743"/>
      <c r="G66" s="743"/>
      <c r="H66" s="743"/>
      <c r="I66" s="259">
        <f t="shared" si="18"/>
        <v>0</v>
      </c>
      <c r="J66" s="584" t="str">
        <f t="shared" si="19"/>
        <v/>
      </c>
      <c r="K66" s="745"/>
    </row>
    <row r="67" spans="1:11" ht="12.75" customHeight="1" x14ac:dyDescent="0.2">
      <c r="A67" s="583" t="s">
        <v>1305</v>
      </c>
      <c r="B67" s="170"/>
      <c r="C67" s="758"/>
      <c r="D67" s="755"/>
      <c r="E67" s="743"/>
      <c r="F67" s="743"/>
      <c r="G67" s="743"/>
      <c r="H67" s="743"/>
      <c r="I67" s="259">
        <f t="shared" si="18"/>
        <v>0</v>
      </c>
      <c r="J67" s="584" t="str">
        <f t="shared" si="19"/>
        <v/>
      </c>
      <c r="K67" s="745"/>
    </row>
    <row r="68" spans="1:11" ht="12.75" customHeight="1" x14ac:dyDescent="0.2">
      <c r="A68" s="583" t="s">
        <v>1261</v>
      </c>
      <c r="B68" s="170"/>
      <c r="C68" s="758"/>
      <c r="D68" s="755"/>
      <c r="E68" s="743"/>
      <c r="F68" s="743"/>
      <c r="G68" s="743"/>
      <c r="H68" s="743"/>
      <c r="I68" s="259">
        <f t="shared" si="18"/>
        <v>0</v>
      </c>
      <c r="J68" s="584" t="str">
        <f t="shared" si="19"/>
        <v/>
      </c>
      <c r="K68" s="745"/>
    </row>
    <row r="69" spans="1:11" ht="12.75" customHeight="1" x14ac:dyDescent="0.2">
      <c r="A69" s="521" t="s">
        <v>1306</v>
      </c>
      <c r="B69" s="170"/>
      <c r="C69" s="657">
        <f t="shared" ref="C69:H69" si="24">SUM(C70:C73)</f>
        <v>0</v>
      </c>
      <c r="D69" s="658">
        <f t="shared" si="24"/>
        <v>0</v>
      </c>
      <c r="E69" s="411">
        <f t="shared" si="24"/>
        <v>0</v>
      </c>
      <c r="F69" s="411">
        <f t="shared" si="24"/>
        <v>0</v>
      </c>
      <c r="G69" s="411">
        <f t="shared" si="24"/>
        <v>0</v>
      </c>
      <c r="H69" s="411">
        <f t="shared" si="24"/>
        <v>0</v>
      </c>
      <c r="I69" s="259">
        <f>H69-G69</f>
        <v>0</v>
      </c>
      <c r="J69" s="584" t="str">
        <f t="shared" ref="J69:J75" si="25">IF(I69=0,"",I69/H69)</f>
        <v/>
      </c>
      <c r="K69" s="651">
        <f>SUM(K70:K73)</f>
        <v>0</v>
      </c>
    </row>
    <row r="70" spans="1:11" ht="12.75" customHeight="1" x14ac:dyDescent="0.2">
      <c r="A70" s="583" t="s">
        <v>1307</v>
      </c>
      <c r="B70" s="170"/>
      <c r="C70" s="758"/>
      <c r="D70" s="755"/>
      <c r="E70" s="743"/>
      <c r="F70" s="743"/>
      <c r="G70" s="743"/>
      <c r="H70" s="743"/>
      <c r="I70" s="259">
        <f>H70-G70</f>
        <v>0</v>
      </c>
      <c r="J70" s="584" t="str">
        <f t="shared" si="25"/>
        <v/>
      </c>
      <c r="K70" s="745"/>
    </row>
    <row r="71" spans="1:11" ht="12.75" customHeight="1" x14ac:dyDescent="0.2">
      <c r="A71" s="583" t="s">
        <v>1308</v>
      </c>
      <c r="B71" s="170"/>
      <c r="C71" s="758"/>
      <c r="D71" s="755"/>
      <c r="E71" s="743"/>
      <c r="F71" s="743"/>
      <c r="G71" s="743"/>
      <c r="H71" s="743"/>
      <c r="I71" s="259">
        <f>H71-G71</f>
        <v>0</v>
      </c>
      <c r="J71" s="584" t="str">
        <f t="shared" si="25"/>
        <v/>
      </c>
      <c r="K71" s="745"/>
    </row>
    <row r="72" spans="1:11" ht="12.75" customHeight="1" x14ac:dyDescent="0.2">
      <c r="A72" s="583" t="s">
        <v>1309</v>
      </c>
      <c r="B72" s="170"/>
      <c r="C72" s="758"/>
      <c r="D72" s="755"/>
      <c r="E72" s="743"/>
      <c r="F72" s="743"/>
      <c r="G72" s="743"/>
      <c r="H72" s="743"/>
      <c r="I72" s="259">
        <f>H72-G72</f>
        <v>0</v>
      </c>
      <c r="J72" s="584" t="str">
        <f t="shared" si="25"/>
        <v/>
      </c>
      <c r="K72" s="745"/>
    </row>
    <row r="73" spans="1:11" ht="12.75" customHeight="1" x14ac:dyDescent="0.2">
      <c r="A73" s="583" t="s">
        <v>1261</v>
      </c>
      <c r="B73" s="170"/>
      <c r="C73" s="758"/>
      <c r="D73" s="755"/>
      <c r="E73" s="743"/>
      <c r="F73" s="743"/>
      <c r="G73" s="743"/>
      <c r="H73" s="743"/>
      <c r="I73" s="259">
        <f>H73-G73</f>
        <v>0</v>
      </c>
      <c r="J73" s="584" t="str">
        <f t="shared" si="25"/>
        <v/>
      </c>
      <c r="K73" s="745"/>
    </row>
    <row r="74" spans="1:11" ht="5.25" customHeight="1" x14ac:dyDescent="0.2">
      <c r="A74" s="583"/>
      <c r="B74" s="170"/>
      <c r="C74" s="135"/>
      <c r="D74" s="47"/>
      <c r="E74" s="45"/>
      <c r="F74" s="45"/>
      <c r="G74" s="45"/>
      <c r="H74" s="45"/>
      <c r="I74" s="259"/>
      <c r="J74" s="584" t="str">
        <f t="shared" si="25"/>
        <v/>
      </c>
      <c r="K74" s="145"/>
    </row>
    <row r="75" spans="1:11" ht="12.75" customHeight="1" x14ac:dyDescent="0.2">
      <c r="A75" s="36" t="s">
        <v>1330</v>
      </c>
      <c r="B75" s="170"/>
      <c r="C75" s="585">
        <f t="shared" ref="C75:H75" si="26">+C76+C99</f>
        <v>44589481.363399997</v>
      </c>
      <c r="D75" s="586">
        <f t="shared" si="26"/>
        <v>53135000</v>
      </c>
      <c r="E75" s="587">
        <f t="shared" si="26"/>
        <v>0</v>
      </c>
      <c r="F75" s="587">
        <f t="shared" si="26"/>
        <v>827637.94800000009</v>
      </c>
      <c r="G75" s="587">
        <f t="shared" si="26"/>
        <v>2083649.8314</v>
      </c>
      <c r="H75" s="587">
        <f t="shared" si="26"/>
        <v>17711666.666666668</v>
      </c>
      <c r="I75" s="587">
        <f>H75-G75</f>
        <v>15628016.835266668</v>
      </c>
      <c r="J75" s="588">
        <f t="shared" si="25"/>
        <v>0.88235721286910707</v>
      </c>
      <c r="K75" s="589">
        <f>+K76+K99</f>
        <v>53135000</v>
      </c>
    </row>
    <row r="76" spans="1:11" ht="12.75" customHeight="1" x14ac:dyDescent="0.2">
      <c r="A76" s="521" t="s">
        <v>1310</v>
      </c>
      <c r="B76" s="170"/>
      <c r="C76" s="657">
        <f t="shared" ref="C76:H76" si="27">SUM(C77:C98)</f>
        <v>7101553.8158</v>
      </c>
      <c r="D76" s="658">
        <f t="shared" si="27"/>
        <v>12886000</v>
      </c>
      <c r="E76" s="411">
        <f t="shared" si="27"/>
        <v>0</v>
      </c>
      <c r="F76" s="411">
        <f t="shared" si="27"/>
        <v>827637.94800000009</v>
      </c>
      <c r="G76" s="411">
        <f t="shared" si="27"/>
        <v>1589928.3714000001</v>
      </c>
      <c r="H76" s="411">
        <f t="shared" si="27"/>
        <v>4295333.333333333</v>
      </c>
      <c r="I76" s="259">
        <f t="shared" ref="I76:I87" si="28">H76-G76</f>
        <v>2705404.961933333</v>
      </c>
      <c r="J76" s="584">
        <f t="shared" ref="J76:J87" si="29">IF(I76=0,"",I76/H76)</f>
        <v>0.62984750006208279</v>
      </c>
      <c r="K76" s="651">
        <f>SUM(K77:K98)</f>
        <v>12886000</v>
      </c>
    </row>
    <row r="77" spans="1:11" ht="12.75" customHeight="1" x14ac:dyDescent="0.2">
      <c r="A77" s="583" t="s">
        <v>1311</v>
      </c>
      <c r="B77" s="170"/>
      <c r="C77" s="758">
        <v>4715139.1972000003</v>
      </c>
      <c r="D77" s="763"/>
      <c r="E77" s="743"/>
      <c r="F77" s="743"/>
      <c r="G77" s="743"/>
      <c r="H77" s="743">
        <f t="shared" ref="H77:H98" si="30">D77/12*4</f>
        <v>0</v>
      </c>
      <c r="I77" s="45">
        <f t="shared" si="28"/>
        <v>0</v>
      </c>
      <c r="J77" s="125" t="str">
        <f t="shared" si="29"/>
        <v/>
      </c>
      <c r="K77" s="745">
        <f>D77</f>
        <v>0</v>
      </c>
    </row>
    <row r="78" spans="1:11" ht="12.75" customHeight="1" x14ac:dyDescent="0.2">
      <c r="A78" s="583" t="s">
        <v>1312</v>
      </c>
      <c r="B78" s="170"/>
      <c r="C78" s="758">
        <v>943915.23959999997</v>
      </c>
      <c r="D78" s="763">
        <v>500000</v>
      </c>
      <c r="E78" s="743"/>
      <c r="F78" s="743"/>
      <c r="G78" s="743"/>
      <c r="H78" s="743">
        <f t="shared" si="30"/>
        <v>166666.66666666666</v>
      </c>
      <c r="I78" s="45">
        <f t="shared" si="28"/>
        <v>166666.66666666666</v>
      </c>
      <c r="J78" s="125">
        <f t="shared" si="29"/>
        <v>1</v>
      </c>
      <c r="K78" s="745">
        <f t="shared" ref="K78:K98" si="31">D78</f>
        <v>500000</v>
      </c>
    </row>
    <row r="79" spans="1:11" ht="12.75" customHeight="1" x14ac:dyDescent="0.2">
      <c r="A79" s="583" t="s">
        <v>1313</v>
      </c>
      <c r="B79" s="170"/>
      <c r="C79" s="758"/>
      <c r="D79" s="763"/>
      <c r="E79" s="743"/>
      <c r="F79" s="743"/>
      <c r="G79" s="743"/>
      <c r="H79" s="743">
        <f t="shared" si="30"/>
        <v>0</v>
      </c>
      <c r="I79" s="45">
        <f t="shared" si="28"/>
        <v>0</v>
      </c>
      <c r="J79" s="125" t="str">
        <f t="shared" si="29"/>
        <v/>
      </c>
      <c r="K79" s="745">
        <f t="shared" si="31"/>
        <v>0</v>
      </c>
    </row>
    <row r="80" spans="1:11" ht="12.75" customHeight="1" x14ac:dyDescent="0.2">
      <c r="A80" s="583" t="s">
        <v>1314</v>
      </c>
      <c r="B80" s="170"/>
      <c r="C80" s="758"/>
      <c r="D80" s="763"/>
      <c r="E80" s="743"/>
      <c r="F80" s="743"/>
      <c r="G80" s="743"/>
      <c r="H80" s="743">
        <f t="shared" si="30"/>
        <v>0</v>
      </c>
      <c r="I80" s="45">
        <f t="shared" si="28"/>
        <v>0</v>
      </c>
      <c r="J80" s="125" t="str">
        <f t="shared" si="29"/>
        <v/>
      </c>
      <c r="K80" s="745">
        <f t="shared" si="31"/>
        <v>0</v>
      </c>
    </row>
    <row r="81" spans="1:11" ht="12.75" customHeight="1" x14ac:dyDescent="0.2">
      <c r="A81" s="583" t="s">
        <v>1315</v>
      </c>
      <c r="B81" s="170"/>
      <c r="C81" s="758">
        <v>1442499.379</v>
      </c>
      <c r="D81" s="763">
        <v>3536000</v>
      </c>
      <c r="E81" s="743"/>
      <c r="F81" s="743">
        <v>0</v>
      </c>
      <c r="G81" s="743">
        <v>732957.75600000005</v>
      </c>
      <c r="H81" s="743">
        <f t="shared" si="30"/>
        <v>1178666.6666666667</v>
      </c>
      <c r="I81" s="45">
        <f t="shared" si="28"/>
        <v>445708.91066666669</v>
      </c>
      <c r="J81" s="125">
        <f t="shared" si="29"/>
        <v>0.37814670022624436</v>
      </c>
      <c r="K81" s="745">
        <f t="shared" si="31"/>
        <v>3536000</v>
      </c>
    </row>
    <row r="82" spans="1:11" ht="12.75" customHeight="1" x14ac:dyDescent="0.2">
      <c r="A82" s="583" t="s">
        <v>1316</v>
      </c>
      <c r="B82" s="170"/>
      <c r="C82" s="758"/>
      <c r="D82" s="763"/>
      <c r="E82" s="743"/>
      <c r="F82" s="743"/>
      <c r="G82" s="743"/>
      <c r="H82" s="743">
        <f t="shared" si="30"/>
        <v>0</v>
      </c>
      <c r="I82" s="45">
        <f t="shared" si="28"/>
        <v>0</v>
      </c>
      <c r="J82" s="125" t="str">
        <f t="shared" si="29"/>
        <v/>
      </c>
      <c r="K82" s="745">
        <f t="shared" si="31"/>
        <v>0</v>
      </c>
    </row>
    <row r="83" spans="1:11" ht="12.75" customHeight="1" x14ac:dyDescent="0.2">
      <c r="A83" s="583" t="s">
        <v>1317</v>
      </c>
      <c r="B83" s="170"/>
      <c r="C83" s="758"/>
      <c r="D83" s="763">
        <v>0</v>
      </c>
      <c r="E83" s="743"/>
      <c r="F83" s="743"/>
      <c r="G83" s="743"/>
      <c r="H83" s="743">
        <f t="shared" si="30"/>
        <v>0</v>
      </c>
      <c r="I83" s="45">
        <f t="shared" si="28"/>
        <v>0</v>
      </c>
      <c r="J83" s="125" t="str">
        <f t="shared" si="29"/>
        <v/>
      </c>
      <c r="K83" s="745">
        <f t="shared" si="31"/>
        <v>0</v>
      </c>
    </row>
    <row r="84" spans="1:11" ht="12.75" customHeight="1" x14ac:dyDescent="0.2">
      <c r="A84" s="583" t="s">
        <v>1318</v>
      </c>
      <c r="B84" s="170"/>
      <c r="C84" s="758"/>
      <c r="D84" s="763"/>
      <c r="E84" s="743"/>
      <c r="F84" s="743"/>
      <c r="G84" s="743"/>
      <c r="H84" s="743">
        <f t="shared" si="30"/>
        <v>0</v>
      </c>
      <c r="I84" s="45">
        <f t="shared" si="28"/>
        <v>0</v>
      </c>
      <c r="J84" s="125" t="str">
        <f t="shared" si="29"/>
        <v/>
      </c>
      <c r="K84" s="745">
        <f t="shared" si="31"/>
        <v>0</v>
      </c>
    </row>
    <row r="85" spans="1:11" ht="12.75" customHeight="1" x14ac:dyDescent="0.2">
      <c r="A85" s="583" t="s">
        <v>1194</v>
      </c>
      <c r="B85" s="170"/>
      <c r="C85" s="758"/>
      <c r="D85" s="763"/>
      <c r="E85" s="743"/>
      <c r="F85" s="743"/>
      <c r="G85" s="743"/>
      <c r="H85" s="743">
        <f t="shared" si="30"/>
        <v>0</v>
      </c>
      <c r="I85" s="45">
        <f t="shared" si="28"/>
        <v>0</v>
      </c>
      <c r="J85" s="125" t="str">
        <f t="shared" si="29"/>
        <v/>
      </c>
      <c r="K85" s="745">
        <f t="shared" si="31"/>
        <v>0</v>
      </c>
    </row>
    <row r="86" spans="1:11" ht="12.75" customHeight="1" x14ac:dyDescent="0.2">
      <c r="A86" s="583" t="s">
        <v>573</v>
      </c>
      <c r="B86" s="170"/>
      <c r="C86" s="758"/>
      <c r="D86" s="763">
        <v>1300000</v>
      </c>
      <c r="E86" s="743"/>
      <c r="F86" s="743">
        <v>66514.212</v>
      </c>
      <c r="G86" s="743">
        <v>66514.212</v>
      </c>
      <c r="H86" s="743">
        <f t="shared" si="30"/>
        <v>433333.33333333331</v>
      </c>
      <c r="I86" s="45">
        <f t="shared" si="28"/>
        <v>366819.12133333331</v>
      </c>
      <c r="J86" s="125">
        <f t="shared" si="29"/>
        <v>0.84650566461538457</v>
      </c>
      <c r="K86" s="745">
        <f t="shared" si="31"/>
        <v>1300000</v>
      </c>
    </row>
    <row r="87" spans="1:11" ht="12.75" customHeight="1" x14ac:dyDescent="0.2">
      <c r="A87" s="583" t="s">
        <v>1319</v>
      </c>
      <c r="B87" s="170"/>
      <c r="C87" s="758"/>
      <c r="D87" s="763"/>
      <c r="E87" s="743"/>
      <c r="F87" s="743"/>
      <c r="G87" s="743"/>
      <c r="H87" s="743">
        <f t="shared" si="30"/>
        <v>0</v>
      </c>
      <c r="I87" s="45">
        <f t="shared" si="28"/>
        <v>0</v>
      </c>
      <c r="J87" s="125" t="str">
        <f t="shared" si="29"/>
        <v/>
      </c>
      <c r="K87" s="745">
        <f t="shared" si="31"/>
        <v>0</v>
      </c>
    </row>
    <row r="88" spans="1:11" ht="12.75" customHeight="1" x14ac:dyDescent="0.2">
      <c r="A88" s="583" t="s">
        <v>174</v>
      </c>
      <c r="B88" s="170"/>
      <c r="C88" s="758"/>
      <c r="D88" s="763"/>
      <c r="E88" s="743"/>
      <c r="F88" s="743"/>
      <c r="G88" s="743"/>
      <c r="H88" s="743">
        <f t="shared" si="30"/>
        <v>0</v>
      </c>
      <c r="I88" s="45">
        <f t="shared" ref="I88:I133" si="32">H88-G88</f>
        <v>0</v>
      </c>
      <c r="J88" s="125" t="str">
        <f t="shared" ref="J88:J119" si="33">IF(I88=0,"",I88/H88)</f>
        <v/>
      </c>
      <c r="K88" s="745">
        <f t="shared" si="31"/>
        <v>0</v>
      </c>
    </row>
    <row r="89" spans="1:11" ht="12.75" customHeight="1" x14ac:dyDescent="0.2">
      <c r="A89" s="583" t="s">
        <v>1320</v>
      </c>
      <c r="B89" s="170"/>
      <c r="C89" s="758"/>
      <c r="D89" s="763"/>
      <c r="E89" s="743"/>
      <c r="F89" s="743"/>
      <c r="G89" s="743"/>
      <c r="H89" s="743">
        <f t="shared" si="30"/>
        <v>0</v>
      </c>
      <c r="I89" s="45">
        <f t="shared" si="32"/>
        <v>0</v>
      </c>
      <c r="J89" s="125" t="str">
        <f t="shared" si="33"/>
        <v/>
      </c>
      <c r="K89" s="745">
        <f t="shared" si="31"/>
        <v>0</v>
      </c>
    </row>
    <row r="90" spans="1:11" ht="12.75" customHeight="1" x14ac:dyDescent="0.2">
      <c r="A90" s="583" t="s">
        <v>1321</v>
      </c>
      <c r="B90" s="170"/>
      <c r="C90" s="758"/>
      <c r="D90" s="763">
        <v>4450000</v>
      </c>
      <c r="E90" s="743"/>
      <c r="F90" s="743">
        <v>761123.73600000003</v>
      </c>
      <c r="G90" s="743">
        <f>F90+29332.6674</f>
        <v>790456.40340000007</v>
      </c>
      <c r="H90" s="743">
        <f t="shared" si="30"/>
        <v>1483333.3333333333</v>
      </c>
      <c r="I90" s="45">
        <f t="shared" si="32"/>
        <v>692876.92993333319</v>
      </c>
      <c r="J90" s="125">
        <f t="shared" si="33"/>
        <v>0.46710804265168532</v>
      </c>
      <c r="K90" s="745">
        <f t="shared" si="31"/>
        <v>4450000</v>
      </c>
    </row>
    <row r="91" spans="1:11" ht="12.75" customHeight="1" x14ac:dyDescent="0.2">
      <c r="A91" s="583" t="s">
        <v>1322</v>
      </c>
      <c r="B91" s="170"/>
      <c r="C91" s="758"/>
      <c r="D91" s="763"/>
      <c r="E91" s="743"/>
      <c r="F91" s="743"/>
      <c r="G91" s="743"/>
      <c r="H91" s="743">
        <f t="shared" si="30"/>
        <v>0</v>
      </c>
      <c r="I91" s="45">
        <f t="shared" si="32"/>
        <v>0</v>
      </c>
      <c r="J91" s="125" t="str">
        <f t="shared" si="33"/>
        <v/>
      </c>
      <c r="K91" s="745">
        <f t="shared" si="31"/>
        <v>0</v>
      </c>
    </row>
    <row r="92" spans="1:11" ht="12.75" customHeight="1" x14ac:dyDescent="0.2">
      <c r="A92" s="583" t="s">
        <v>1323</v>
      </c>
      <c r="B92" s="170"/>
      <c r="C92" s="758"/>
      <c r="D92" s="763"/>
      <c r="E92" s="743"/>
      <c r="F92" s="743"/>
      <c r="G92" s="743"/>
      <c r="H92" s="743">
        <f t="shared" si="30"/>
        <v>0</v>
      </c>
      <c r="I92" s="45">
        <f t="shared" si="32"/>
        <v>0</v>
      </c>
      <c r="J92" s="125" t="str">
        <f t="shared" si="33"/>
        <v/>
      </c>
      <c r="K92" s="745">
        <f t="shared" si="31"/>
        <v>0</v>
      </c>
    </row>
    <row r="93" spans="1:11" ht="12.75" customHeight="1" x14ac:dyDescent="0.2">
      <c r="A93" s="583" t="s">
        <v>452</v>
      </c>
      <c r="B93" s="170"/>
      <c r="C93" s="758"/>
      <c r="D93" s="763"/>
      <c r="E93" s="743"/>
      <c r="F93" s="743"/>
      <c r="G93" s="743"/>
      <c r="H93" s="743">
        <f t="shared" si="30"/>
        <v>0</v>
      </c>
      <c r="I93" s="45">
        <f t="shared" si="32"/>
        <v>0</v>
      </c>
      <c r="J93" s="125" t="str">
        <f t="shared" si="33"/>
        <v/>
      </c>
      <c r="K93" s="745">
        <f t="shared" si="31"/>
        <v>0</v>
      </c>
    </row>
    <row r="94" spans="1:11" ht="12.75" customHeight="1" x14ac:dyDescent="0.2">
      <c r="A94" s="583" t="s">
        <v>1324</v>
      </c>
      <c r="B94" s="170"/>
      <c r="C94" s="758"/>
      <c r="D94" s="763"/>
      <c r="E94" s="743"/>
      <c r="F94" s="743"/>
      <c r="G94" s="743"/>
      <c r="H94" s="743">
        <f t="shared" si="30"/>
        <v>0</v>
      </c>
      <c r="I94" s="45">
        <f t="shared" si="32"/>
        <v>0</v>
      </c>
      <c r="J94" s="125" t="str">
        <f t="shared" si="33"/>
        <v/>
      </c>
      <c r="K94" s="745">
        <f t="shared" si="31"/>
        <v>0</v>
      </c>
    </row>
    <row r="95" spans="1:11" ht="12.75" customHeight="1" x14ac:dyDescent="0.2">
      <c r="A95" s="583" t="s">
        <v>451</v>
      </c>
      <c r="B95" s="170"/>
      <c r="C95" s="758"/>
      <c r="D95" s="763"/>
      <c r="E95" s="743"/>
      <c r="F95" s="743"/>
      <c r="G95" s="743"/>
      <c r="H95" s="743">
        <f t="shared" si="30"/>
        <v>0</v>
      </c>
      <c r="I95" s="45">
        <f t="shared" si="32"/>
        <v>0</v>
      </c>
      <c r="J95" s="125" t="str">
        <f t="shared" si="33"/>
        <v/>
      </c>
      <c r="K95" s="745">
        <f t="shared" si="31"/>
        <v>0</v>
      </c>
    </row>
    <row r="96" spans="1:11" ht="12.75" customHeight="1" x14ac:dyDescent="0.2">
      <c r="A96" s="583" t="s">
        <v>1325</v>
      </c>
      <c r="B96" s="170"/>
      <c r="C96" s="758"/>
      <c r="D96" s="763"/>
      <c r="E96" s="743"/>
      <c r="F96" s="743"/>
      <c r="G96" s="743"/>
      <c r="H96" s="743">
        <f t="shared" si="30"/>
        <v>0</v>
      </c>
      <c r="I96" s="45">
        <f t="shared" si="32"/>
        <v>0</v>
      </c>
      <c r="J96" s="125" t="str">
        <f t="shared" si="33"/>
        <v/>
      </c>
      <c r="K96" s="745">
        <f t="shared" si="31"/>
        <v>0</v>
      </c>
    </row>
    <row r="97" spans="1:11" ht="12.75" customHeight="1" x14ac:dyDescent="0.2">
      <c r="A97" s="583" t="s">
        <v>1326</v>
      </c>
      <c r="B97" s="170"/>
      <c r="C97" s="758"/>
      <c r="D97" s="763"/>
      <c r="E97" s="743"/>
      <c r="F97" s="743"/>
      <c r="G97" s="743"/>
      <c r="H97" s="743">
        <f t="shared" si="30"/>
        <v>0</v>
      </c>
      <c r="I97" s="45">
        <f t="shared" si="32"/>
        <v>0</v>
      </c>
      <c r="J97" s="125" t="str">
        <f t="shared" si="33"/>
        <v/>
      </c>
      <c r="K97" s="745">
        <f t="shared" si="31"/>
        <v>0</v>
      </c>
    </row>
    <row r="98" spans="1:11" ht="12.75" customHeight="1" x14ac:dyDescent="0.2">
      <c r="A98" s="583" t="s">
        <v>1261</v>
      </c>
      <c r="B98" s="170"/>
      <c r="C98" s="758"/>
      <c r="D98" s="763">
        <v>3100000</v>
      </c>
      <c r="E98" s="743"/>
      <c r="F98" s="743"/>
      <c r="G98" s="743"/>
      <c r="H98" s="743">
        <f t="shared" si="30"/>
        <v>1033333.3333333334</v>
      </c>
      <c r="I98" s="45">
        <f t="shared" si="32"/>
        <v>1033333.3333333334</v>
      </c>
      <c r="J98" s="125">
        <f t="shared" si="33"/>
        <v>1</v>
      </c>
      <c r="K98" s="745">
        <f t="shared" si="31"/>
        <v>3100000</v>
      </c>
    </row>
    <row r="99" spans="1:11" ht="12.75" customHeight="1" x14ac:dyDescent="0.2">
      <c r="A99" s="521" t="s">
        <v>1327</v>
      </c>
      <c r="B99" s="170"/>
      <c r="C99" s="657">
        <f t="shared" ref="C99:H99" si="34">SUM(C100:C102)</f>
        <v>37487927.547600001</v>
      </c>
      <c r="D99" s="658">
        <f t="shared" si="34"/>
        <v>40249000</v>
      </c>
      <c r="E99" s="411">
        <f t="shared" si="34"/>
        <v>0</v>
      </c>
      <c r="F99" s="411">
        <f t="shared" si="34"/>
        <v>0</v>
      </c>
      <c r="G99" s="411">
        <f t="shared" si="34"/>
        <v>493721.46</v>
      </c>
      <c r="H99" s="411">
        <f t="shared" si="34"/>
        <v>13416333.333333334</v>
      </c>
      <c r="I99" s="259">
        <f t="shared" si="32"/>
        <v>12922611.873333333</v>
      </c>
      <c r="J99" s="584">
        <f t="shared" si="33"/>
        <v>0.96319997068250141</v>
      </c>
      <c r="K99" s="651">
        <f>SUM(K100:K102)</f>
        <v>40249000</v>
      </c>
    </row>
    <row r="100" spans="1:11" ht="12.75" customHeight="1" x14ac:dyDescent="0.2">
      <c r="A100" s="583" t="s">
        <v>1328</v>
      </c>
      <c r="B100" s="170"/>
      <c r="C100" s="758">
        <v>37487927.547600001</v>
      </c>
      <c r="D100" s="763">
        <v>40249000</v>
      </c>
      <c r="E100" s="743"/>
      <c r="F100" s="743"/>
      <c r="G100" s="743">
        <v>493721.46</v>
      </c>
      <c r="H100" s="743">
        <f>D100/12*4</f>
        <v>13416333.333333334</v>
      </c>
      <c r="I100" s="45">
        <f t="shared" si="32"/>
        <v>12922611.873333333</v>
      </c>
      <c r="J100" s="125">
        <f t="shared" si="33"/>
        <v>0.96319997068250141</v>
      </c>
      <c r="K100" s="745">
        <f>D100</f>
        <v>40249000</v>
      </c>
    </row>
    <row r="101" spans="1:11" ht="12.75" customHeight="1" x14ac:dyDescent="0.2">
      <c r="A101" s="583" t="s">
        <v>1329</v>
      </c>
      <c r="B101" s="170"/>
      <c r="C101" s="758"/>
      <c r="D101" s="763"/>
      <c r="E101" s="743"/>
      <c r="F101" s="743"/>
      <c r="G101" s="743"/>
      <c r="H101" s="743">
        <f>D101/12*4</f>
        <v>0</v>
      </c>
      <c r="I101" s="45">
        <f t="shared" si="32"/>
        <v>0</v>
      </c>
      <c r="J101" s="125" t="str">
        <f t="shared" si="33"/>
        <v/>
      </c>
      <c r="K101" s="745">
        <f t="shared" ref="K101:K102" si="35">D101</f>
        <v>0</v>
      </c>
    </row>
    <row r="102" spans="1:11" ht="12.75" customHeight="1" x14ac:dyDescent="0.2">
      <c r="A102" s="583" t="s">
        <v>1261</v>
      </c>
      <c r="B102" s="170"/>
      <c r="C102" s="758"/>
      <c r="D102" s="763"/>
      <c r="E102" s="743"/>
      <c r="F102" s="743"/>
      <c r="G102" s="743"/>
      <c r="H102" s="743">
        <f>D102/12*4</f>
        <v>0</v>
      </c>
      <c r="I102" s="45">
        <f t="shared" si="32"/>
        <v>0</v>
      </c>
      <c r="J102" s="125" t="str">
        <f t="shared" si="33"/>
        <v/>
      </c>
      <c r="K102" s="745">
        <f t="shared" si="35"/>
        <v>0</v>
      </c>
    </row>
    <row r="103" spans="1:11" ht="12.75" customHeight="1" x14ac:dyDescent="0.2">
      <c r="A103" s="553" t="s">
        <v>691</v>
      </c>
      <c r="B103" s="170"/>
      <c r="C103" s="250">
        <f t="shared" ref="C103:H103" si="36">SUM(C104:C108)</f>
        <v>0</v>
      </c>
      <c r="D103" s="265">
        <f t="shared" si="36"/>
        <v>0</v>
      </c>
      <c r="E103" s="100">
        <f t="shared" si="36"/>
        <v>0</v>
      </c>
      <c r="F103" s="100">
        <f t="shared" si="36"/>
        <v>0</v>
      </c>
      <c r="G103" s="100">
        <f t="shared" si="36"/>
        <v>0</v>
      </c>
      <c r="H103" s="100">
        <f t="shared" si="36"/>
        <v>0</v>
      </c>
      <c r="I103" s="100">
        <f t="shared" si="32"/>
        <v>0</v>
      </c>
      <c r="J103" s="327" t="str">
        <f t="shared" si="33"/>
        <v/>
      </c>
      <c r="K103" s="196">
        <f>SUM(K104:K108)</f>
        <v>0</v>
      </c>
    </row>
    <row r="104" spans="1:11" ht="12.75" customHeight="1" x14ac:dyDescent="0.2">
      <c r="A104" s="521" t="s">
        <v>1331</v>
      </c>
      <c r="B104" s="170"/>
      <c r="C104" s="796"/>
      <c r="D104" s="763"/>
      <c r="E104" s="743"/>
      <c r="F104" s="743"/>
      <c r="G104" s="743"/>
      <c r="H104" s="743"/>
      <c r="I104" s="45">
        <f t="shared" si="32"/>
        <v>0</v>
      </c>
      <c r="J104" s="125" t="str">
        <f t="shared" si="33"/>
        <v/>
      </c>
      <c r="K104" s="745"/>
    </row>
    <row r="105" spans="1:11" ht="12.75" customHeight="1" x14ac:dyDescent="0.2">
      <c r="A105" s="520" t="s">
        <v>1332</v>
      </c>
      <c r="B105" s="170"/>
      <c r="C105" s="796"/>
      <c r="D105" s="763"/>
      <c r="E105" s="743"/>
      <c r="F105" s="743"/>
      <c r="G105" s="743"/>
      <c r="H105" s="743"/>
      <c r="I105" s="45">
        <f t="shared" si="32"/>
        <v>0</v>
      </c>
      <c r="J105" s="125" t="str">
        <f t="shared" si="33"/>
        <v/>
      </c>
      <c r="K105" s="745"/>
    </row>
    <row r="106" spans="1:11" ht="12.75" customHeight="1" x14ac:dyDescent="0.2">
      <c r="A106" s="521" t="s">
        <v>1333</v>
      </c>
      <c r="B106" s="170"/>
      <c r="C106" s="796"/>
      <c r="D106" s="763"/>
      <c r="E106" s="743"/>
      <c r="F106" s="743"/>
      <c r="G106" s="743"/>
      <c r="H106" s="743"/>
      <c r="I106" s="45">
        <f t="shared" si="32"/>
        <v>0</v>
      </c>
      <c r="J106" s="125" t="str">
        <f t="shared" si="33"/>
        <v/>
      </c>
      <c r="K106" s="745"/>
    </row>
    <row r="107" spans="1:11" ht="12.75" customHeight="1" x14ac:dyDescent="0.2">
      <c r="A107" s="521" t="s">
        <v>1334</v>
      </c>
      <c r="B107" s="170"/>
      <c r="C107" s="796"/>
      <c r="D107" s="763"/>
      <c r="E107" s="743"/>
      <c r="F107" s="743"/>
      <c r="G107" s="743"/>
      <c r="H107" s="743"/>
      <c r="I107" s="45">
        <f t="shared" si="32"/>
        <v>0</v>
      </c>
      <c r="J107" s="125" t="str">
        <f t="shared" si="33"/>
        <v/>
      </c>
      <c r="K107" s="745"/>
    </row>
    <row r="108" spans="1:11" ht="12.75" customHeight="1" x14ac:dyDescent="0.2">
      <c r="A108" s="520" t="s">
        <v>1335</v>
      </c>
      <c r="B108" s="170"/>
      <c r="C108" s="796"/>
      <c r="D108" s="763"/>
      <c r="E108" s="743"/>
      <c r="F108" s="743"/>
      <c r="G108" s="743"/>
      <c r="H108" s="743"/>
      <c r="I108" s="45">
        <f t="shared" si="32"/>
        <v>0</v>
      </c>
      <c r="J108" s="125" t="str">
        <f t="shared" si="33"/>
        <v/>
      </c>
      <c r="K108" s="745"/>
    </row>
    <row r="109" spans="1:11" ht="5.0999999999999996" customHeight="1" x14ac:dyDescent="0.2">
      <c r="A109" s="950"/>
      <c r="B109" s="170"/>
      <c r="C109" s="135"/>
      <c r="D109" s="259"/>
      <c r="E109" s="45"/>
      <c r="F109" s="45"/>
      <c r="G109" s="45"/>
      <c r="H109" s="45"/>
      <c r="I109" s="45">
        <f t="shared" si="32"/>
        <v>0</v>
      </c>
      <c r="J109" s="125" t="str">
        <f t="shared" si="33"/>
        <v/>
      </c>
      <c r="K109" s="145"/>
    </row>
    <row r="110" spans="1:11" ht="12.75" customHeight="1" x14ac:dyDescent="0.2">
      <c r="A110" s="951" t="s">
        <v>692</v>
      </c>
      <c r="B110" s="39"/>
      <c r="C110" s="585">
        <f t="shared" ref="C110:H110" si="37">+C111+C114</f>
        <v>0</v>
      </c>
      <c r="D110" s="586">
        <f t="shared" si="37"/>
        <v>10000000</v>
      </c>
      <c r="E110" s="587">
        <f t="shared" si="37"/>
        <v>0</v>
      </c>
      <c r="F110" s="587">
        <f t="shared" si="37"/>
        <v>898125.32220000005</v>
      </c>
      <c r="G110" s="587">
        <f t="shared" si="37"/>
        <v>898125.32220000005</v>
      </c>
      <c r="H110" s="587">
        <f t="shared" si="37"/>
        <v>3333333.3333333335</v>
      </c>
      <c r="I110" s="100">
        <f t="shared" si="32"/>
        <v>2435208.0111333337</v>
      </c>
      <c r="J110" s="327">
        <f t="shared" si="33"/>
        <v>0.73056240334000011</v>
      </c>
      <c r="K110" s="589">
        <f>+K111+K114</f>
        <v>10000000</v>
      </c>
    </row>
    <row r="111" spans="1:11" ht="12.75" customHeight="1" x14ac:dyDescent="0.2">
      <c r="A111" s="521" t="s">
        <v>1336</v>
      </c>
      <c r="B111" s="170"/>
      <c r="C111" s="657">
        <f t="shared" ref="C111:H111" si="38">SUM(C112:C113)</f>
        <v>0</v>
      </c>
      <c r="D111" s="658">
        <f t="shared" si="38"/>
        <v>10000000</v>
      </c>
      <c r="E111" s="411">
        <f t="shared" si="38"/>
        <v>0</v>
      </c>
      <c r="F111" s="411">
        <f t="shared" si="38"/>
        <v>898125.32220000005</v>
      </c>
      <c r="G111" s="411">
        <f t="shared" si="38"/>
        <v>898125.32220000005</v>
      </c>
      <c r="H111" s="411">
        <f t="shared" si="38"/>
        <v>3333333.3333333335</v>
      </c>
      <c r="I111" s="259">
        <f t="shared" si="32"/>
        <v>2435208.0111333337</v>
      </c>
      <c r="J111" s="584">
        <f t="shared" si="33"/>
        <v>0.73056240334000011</v>
      </c>
      <c r="K111" s="651">
        <f>SUM(K112:K113)</f>
        <v>10000000</v>
      </c>
    </row>
    <row r="112" spans="1:11" ht="12.75" customHeight="1" x14ac:dyDescent="0.2">
      <c r="A112" s="583" t="s">
        <v>1337</v>
      </c>
      <c r="B112" s="170"/>
      <c r="C112" s="758"/>
      <c r="D112" s="763"/>
      <c r="E112" s="743"/>
      <c r="F112" s="743"/>
      <c r="G112" s="743"/>
      <c r="H112" s="743">
        <f>D112/12*4</f>
        <v>0</v>
      </c>
      <c r="I112" s="45">
        <f t="shared" si="32"/>
        <v>0</v>
      </c>
      <c r="J112" s="125" t="str">
        <f t="shared" si="33"/>
        <v/>
      </c>
      <c r="K112" s="745">
        <f>D112</f>
        <v>0</v>
      </c>
    </row>
    <row r="113" spans="1:11" ht="12.75" customHeight="1" x14ac:dyDescent="0.2">
      <c r="A113" s="583" t="s">
        <v>1338</v>
      </c>
      <c r="B113" s="170"/>
      <c r="C113" s="758"/>
      <c r="D113" s="763">
        <v>10000000</v>
      </c>
      <c r="E113" s="743"/>
      <c r="F113" s="743">
        <v>898125.32220000005</v>
      </c>
      <c r="G113" s="743">
        <v>898125.32220000005</v>
      </c>
      <c r="H113" s="743">
        <f>D113/12*4</f>
        <v>3333333.3333333335</v>
      </c>
      <c r="I113" s="45">
        <f t="shared" si="32"/>
        <v>2435208.0111333337</v>
      </c>
      <c r="J113" s="125">
        <f t="shared" si="33"/>
        <v>0.73056240334000011</v>
      </c>
      <c r="K113" s="745">
        <f>D113</f>
        <v>10000000</v>
      </c>
    </row>
    <row r="114" spans="1:11" ht="12.75" customHeight="1" x14ac:dyDescent="0.2">
      <c r="A114" s="521" t="s">
        <v>1339</v>
      </c>
      <c r="B114" s="170"/>
      <c r="C114" s="657">
        <f t="shared" ref="C114:H114" si="39">SUM(C115:C116)</f>
        <v>0</v>
      </c>
      <c r="D114" s="658">
        <f t="shared" si="39"/>
        <v>0</v>
      </c>
      <c r="E114" s="411">
        <f t="shared" si="39"/>
        <v>0</v>
      </c>
      <c r="F114" s="411">
        <f t="shared" si="39"/>
        <v>0</v>
      </c>
      <c r="G114" s="411">
        <f t="shared" si="39"/>
        <v>0</v>
      </c>
      <c r="H114" s="411">
        <f t="shared" si="39"/>
        <v>0</v>
      </c>
      <c r="I114" s="259">
        <f t="shared" si="32"/>
        <v>0</v>
      </c>
      <c r="J114" s="584" t="str">
        <f t="shared" si="33"/>
        <v/>
      </c>
      <c r="K114" s="651">
        <f>SUM(K115:K116)</f>
        <v>0</v>
      </c>
    </row>
    <row r="115" spans="1:11" ht="12.75" customHeight="1" x14ac:dyDescent="0.2">
      <c r="A115" s="583" t="s">
        <v>1337</v>
      </c>
      <c r="B115" s="170"/>
      <c r="C115" s="758"/>
      <c r="D115" s="763"/>
      <c r="E115" s="743"/>
      <c r="F115" s="743"/>
      <c r="G115" s="743"/>
      <c r="H115" s="743"/>
      <c r="I115" s="45">
        <f t="shared" si="32"/>
        <v>0</v>
      </c>
      <c r="J115" s="125" t="str">
        <f t="shared" si="33"/>
        <v/>
      </c>
      <c r="K115" s="745"/>
    </row>
    <row r="116" spans="1:11" ht="12.75" customHeight="1" x14ac:dyDescent="0.2">
      <c r="A116" s="583" t="s">
        <v>1338</v>
      </c>
      <c r="B116" s="170"/>
      <c r="C116" s="758"/>
      <c r="D116" s="763"/>
      <c r="E116" s="743"/>
      <c r="F116" s="743"/>
      <c r="G116" s="743"/>
      <c r="H116" s="743"/>
      <c r="I116" s="45">
        <f t="shared" si="32"/>
        <v>0</v>
      </c>
      <c r="J116" s="125" t="str">
        <f t="shared" si="33"/>
        <v/>
      </c>
      <c r="K116" s="745"/>
    </row>
    <row r="117" spans="1:11" ht="12.75" customHeight="1" x14ac:dyDescent="0.2">
      <c r="A117" s="951" t="s">
        <v>693</v>
      </c>
      <c r="B117" s="170"/>
      <c r="C117" s="585">
        <f t="shared" ref="C117:H117" si="40">+C118+C130</f>
        <v>5210789.0204002345</v>
      </c>
      <c r="D117" s="586">
        <f t="shared" si="40"/>
        <v>5500000</v>
      </c>
      <c r="E117" s="587">
        <f t="shared" si="40"/>
        <v>0</v>
      </c>
      <c r="F117" s="587">
        <f t="shared" si="40"/>
        <v>542244.68219999992</v>
      </c>
      <c r="G117" s="587">
        <f t="shared" si="40"/>
        <v>2288669.8596000001</v>
      </c>
      <c r="H117" s="587">
        <f t="shared" si="40"/>
        <v>1833333.3333333333</v>
      </c>
      <c r="I117" s="587">
        <f t="shared" si="32"/>
        <v>-455336.52626666683</v>
      </c>
      <c r="J117" s="588">
        <f t="shared" si="33"/>
        <v>-0.24836537796363647</v>
      </c>
      <c r="K117" s="589">
        <f>+K118+K130</f>
        <v>5500000</v>
      </c>
    </row>
    <row r="118" spans="1:11" ht="12.75" customHeight="1" x14ac:dyDescent="0.2">
      <c r="A118" s="521" t="s">
        <v>1340</v>
      </c>
      <c r="B118" s="170"/>
      <c r="C118" s="657">
        <f t="shared" ref="C118:H118" si="41">SUM(C119:C129)</f>
        <v>5210789.0204002345</v>
      </c>
      <c r="D118" s="658">
        <f t="shared" si="41"/>
        <v>5500000</v>
      </c>
      <c r="E118" s="411">
        <f t="shared" si="41"/>
        <v>0</v>
      </c>
      <c r="F118" s="411">
        <f t="shared" si="41"/>
        <v>542244.68219999992</v>
      </c>
      <c r="G118" s="411">
        <f t="shared" si="41"/>
        <v>2288669.8596000001</v>
      </c>
      <c r="H118" s="411">
        <f t="shared" si="41"/>
        <v>1833333.3333333333</v>
      </c>
      <c r="I118" s="259">
        <f t="shared" si="32"/>
        <v>-455336.52626666683</v>
      </c>
      <c r="J118" s="584">
        <f t="shared" si="33"/>
        <v>-0.24836537796363647</v>
      </c>
      <c r="K118" s="651">
        <f>SUM(K119:K129)</f>
        <v>5500000</v>
      </c>
    </row>
    <row r="119" spans="1:11" ht="12.75" customHeight="1" x14ac:dyDescent="0.2">
      <c r="A119" s="583" t="s">
        <v>1341</v>
      </c>
      <c r="B119" s="170"/>
      <c r="C119" s="758">
        <v>5210789.0204002345</v>
      </c>
      <c r="D119" s="763">
        <v>5500000</v>
      </c>
      <c r="E119" s="743"/>
      <c r="F119" s="743">
        <v>542244.68219999992</v>
      </c>
      <c r="G119" s="743">
        <f>F119+1746425.1774</f>
        <v>2288669.8596000001</v>
      </c>
      <c r="H119" s="743">
        <f t="shared" ref="H119:H129" si="42">D119/12*4</f>
        <v>1833333.3333333333</v>
      </c>
      <c r="I119" s="45">
        <f t="shared" si="32"/>
        <v>-455336.52626666683</v>
      </c>
      <c r="J119" s="125">
        <f t="shared" si="33"/>
        <v>-0.24836537796363647</v>
      </c>
      <c r="K119" s="745">
        <f>D119</f>
        <v>5500000</v>
      </c>
    </row>
    <row r="120" spans="1:11" ht="12.75" customHeight="1" x14ac:dyDescent="0.2">
      <c r="A120" s="583" t="s">
        <v>1342</v>
      </c>
      <c r="B120" s="170"/>
      <c r="C120" s="758"/>
      <c r="D120" s="763"/>
      <c r="E120" s="743"/>
      <c r="F120" s="743"/>
      <c r="G120" s="743"/>
      <c r="H120" s="743">
        <f t="shared" si="42"/>
        <v>0</v>
      </c>
      <c r="I120" s="45">
        <f t="shared" si="32"/>
        <v>0</v>
      </c>
      <c r="J120" s="125" t="str">
        <f t="shared" ref="J120:J146" si="43">IF(I120=0,"",I120/H120)</f>
        <v/>
      </c>
      <c r="K120" s="745">
        <f t="shared" ref="K120:K129" si="44">D120</f>
        <v>0</v>
      </c>
    </row>
    <row r="121" spans="1:11" ht="12.75" customHeight="1" x14ac:dyDescent="0.2">
      <c r="A121" s="583" t="s">
        <v>1343</v>
      </c>
      <c r="B121" s="170"/>
      <c r="C121" s="758"/>
      <c r="D121" s="763"/>
      <c r="E121" s="743"/>
      <c r="F121" s="743"/>
      <c r="G121" s="743"/>
      <c r="H121" s="743">
        <f t="shared" si="42"/>
        <v>0</v>
      </c>
      <c r="I121" s="45">
        <f t="shared" si="32"/>
        <v>0</v>
      </c>
      <c r="J121" s="125" t="str">
        <f t="shared" si="43"/>
        <v/>
      </c>
      <c r="K121" s="745">
        <f t="shared" si="44"/>
        <v>0</v>
      </c>
    </row>
    <row r="122" spans="1:11" ht="12.75" customHeight="1" x14ac:dyDescent="0.2">
      <c r="A122" s="583" t="s">
        <v>1344</v>
      </c>
      <c r="B122" s="170"/>
      <c r="C122" s="758"/>
      <c r="D122" s="763"/>
      <c r="E122" s="743"/>
      <c r="F122" s="743"/>
      <c r="G122" s="743"/>
      <c r="H122" s="743">
        <f t="shared" si="42"/>
        <v>0</v>
      </c>
      <c r="I122" s="45">
        <f t="shared" si="32"/>
        <v>0</v>
      </c>
      <c r="J122" s="125" t="str">
        <f t="shared" si="43"/>
        <v/>
      </c>
      <c r="K122" s="745">
        <f t="shared" si="44"/>
        <v>0</v>
      </c>
    </row>
    <row r="123" spans="1:11" ht="12.75" customHeight="1" x14ac:dyDescent="0.2">
      <c r="A123" s="583" t="s">
        <v>1345</v>
      </c>
      <c r="B123" s="170"/>
      <c r="C123" s="758"/>
      <c r="D123" s="763"/>
      <c r="E123" s="743"/>
      <c r="F123" s="743"/>
      <c r="G123" s="743"/>
      <c r="H123" s="743">
        <f t="shared" si="42"/>
        <v>0</v>
      </c>
      <c r="I123" s="45">
        <f t="shared" si="32"/>
        <v>0</v>
      </c>
      <c r="J123" s="125" t="str">
        <f t="shared" si="43"/>
        <v/>
      </c>
      <c r="K123" s="745">
        <f t="shared" si="44"/>
        <v>0</v>
      </c>
    </row>
    <row r="124" spans="1:11" ht="12.75" customHeight="1" x14ac:dyDescent="0.2">
      <c r="A124" s="583" t="s">
        <v>1346</v>
      </c>
      <c r="B124" s="170"/>
      <c r="C124" s="758"/>
      <c r="D124" s="763"/>
      <c r="E124" s="743"/>
      <c r="F124" s="743"/>
      <c r="G124" s="743"/>
      <c r="H124" s="743">
        <f t="shared" si="42"/>
        <v>0</v>
      </c>
      <c r="I124" s="45">
        <f t="shared" si="32"/>
        <v>0</v>
      </c>
      <c r="J124" s="125" t="str">
        <f t="shared" si="43"/>
        <v/>
      </c>
      <c r="K124" s="745">
        <f t="shared" si="44"/>
        <v>0</v>
      </c>
    </row>
    <row r="125" spans="1:11" ht="12.75" customHeight="1" x14ac:dyDescent="0.2">
      <c r="A125" s="583" t="s">
        <v>1347</v>
      </c>
      <c r="B125" s="170"/>
      <c r="C125" s="758"/>
      <c r="D125" s="763"/>
      <c r="E125" s="743"/>
      <c r="F125" s="743"/>
      <c r="G125" s="743"/>
      <c r="H125" s="743">
        <f t="shared" si="42"/>
        <v>0</v>
      </c>
      <c r="I125" s="45">
        <f t="shared" si="32"/>
        <v>0</v>
      </c>
      <c r="J125" s="125" t="str">
        <f t="shared" si="43"/>
        <v/>
      </c>
      <c r="K125" s="745">
        <f t="shared" si="44"/>
        <v>0</v>
      </c>
    </row>
    <row r="126" spans="1:11" ht="12.75" customHeight="1" x14ac:dyDescent="0.2">
      <c r="A126" s="583" t="s">
        <v>1348</v>
      </c>
      <c r="B126" s="170"/>
      <c r="C126" s="758"/>
      <c r="D126" s="763"/>
      <c r="E126" s="743"/>
      <c r="F126" s="743"/>
      <c r="G126" s="743"/>
      <c r="H126" s="743">
        <f t="shared" si="42"/>
        <v>0</v>
      </c>
      <c r="I126" s="45">
        <f t="shared" si="32"/>
        <v>0</v>
      </c>
      <c r="J126" s="125" t="str">
        <f t="shared" si="43"/>
        <v/>
      </c>
      <c r="K126" s="745">
        <f t="shared" si="44"/>
        <v>0</v>
      </c>
    </row>
    <row r="127" spans="1:11" ht="12.75" customHeight="1" x14ac:dyDescent="0.2">
      <c r="A127" s="583" t="s">
        <v>1349</v>
      </c>
      <c r="B127" s="170"/>
      <c r="C127" s="758"/>
      <c r="D127" s="763"/>
      <c r="E127" s="743"/>
      <c r="F127" s="743"/>
      <c r="G127" s="743"/>
      <c r="H127" s="743">
        <f t="shared" si="42"/>
        <v>0</v>
      </c>
      <c r="I127" s="45">
        <f t="shared" si="32"/>
        <v>0</v>
      </c>
      <c r="J127" s="125" t="str">
        <f t="shared" si="43"/>
        <v/>
      </c>
      <c r="K127" s="745">
        <f t="shared" si="44"/>
        <v>0</v>
      </c>
    </row>
    <row r="128" spans="1:11" ht="12.75" customHeight="1" x14ac:dyDescent="0.2">
      <c r="A128" s="583" t="s">
        <v>1350</v>
      </c>
      <c r="B128" s="170"/>
      <c r="C128" s="758"/>
      <c r="D128" s="763"/>
      <c r="E128" s="743"/>
      <c r="F128" s="743"/>
      <c r="G128" s="743"/>
      <c r="H128" s="743">
        <f t="shared" si="42"/>
        <v>0</v>
      </c>
      <c r="I128" s="45">
        <f t="shared" si="32"/>
        <v>0</v>
      </c>
      <c r="J128" s="125" t="str">
        <f t="shared" si="43"/>
        <v/>
      </c>
      <c r="K128" s="745">
        <f t="shared" si="44"/>
        <v>0</v>
      </c>
    </row>
    <row r="129" spans="1:11" ht="12.75" customHeight="1" x14ac:dyDescent="0.2">
      <c r="A129" s="583" t="s">
        <v>1261</v>
      </c>
      <c r="B129" s="170"/>
      <c r="C129" s="758"/>
      <c r="D129" s="763"/>
      <c r="E129" s="743"/>
      <c r="F129" s="743"/>
      <c r="G129" s="743"/>
      <c r="H129" s="743">
        <f t="shared" si="42"/>
        <v>0</v>
      </c>
      <c r="I129" s="45">
        <f t="shared" si="32"/>
        <v>0</v>
      </c>
      <c r="J129" s="125" t="str">
        <f t="shared" si="43"/>
        <v/>
      </c>
      <c r="K129" s="745">
        <f t="shared" si="44"/>
        <v>0</v>
      </c>
    </row>
    <row r="130" spans="1:11" ht="12.75" customHeight="1" x14ac:dyDescent="0.2">
      <c r="A130" s="521" t="s">
        <v>734</v>
      </c>
      <c r="B130" s="170"/>
      <c r="C130" s="657">
        <f t="shared" ref="C130:H130" si="45">SUM(C131:C133)</f>
        <v>0</v>
      </c>
      <c r="D130" s="658">
        <f t="shared" si="45"/>
        <v>0</v>
      </c>
      <c r="E130" s="411">
        <f t="shared" si="45"/>
        <v>0</v>
      </c>
      <c r="F130" s="411">
        <f t="shared" si="45"/>
        <v>0</v>
      </c>
      <c r="G130" s="411">
        <f t="shared" si="45"/>
        <v>0</v>
      </c>
      <c r="H130" s="411">
        <f t="shared" si="45"/>
        <v>0</v>
      </c>
      <c r="I130" s="259">
        <f t="shared" si="32"/>
        <v>0</v>
      </c>
      <c r="J130" s="584" t="str">
        <f t="shared" si="43"/>
        <v/>
      </c>
      <c r="K130" s="651">
        <f>SUM(K131:K133)</f>
        <v>0</v>
      </c>
    </row>
    <row r="131" spans="1:11" ht="12.75" customHeight="1" x14ac:dyDescent="0.2">
      <c r="A131" s="583" t="s">
        <v>1351</v>
      </c>
      <c r="B131" s="170"/>
      <c r="C131" s="758"/>
      <c r="D131" s="763"/>
      <c r="E131" s="743"/>
      <c r="F131" s="743"/>
      <c r="G131" s="743"/>
      <c r="H131" s="743"/>
      <c r="I131" s="45">
        <f t="shared" si="32"/>
        <v>0</v>
      </c>
      <c r="J131" s="125" t="str">
        <f t="shared" si="43"/>
        <v/>
      </c>
      <c r="K131" s="745"/>
    </row>
    <row r="132" spans="1:11" ht="12.75" customHeight="1" x14ac:dyDescent="0.2">
      <c r="A132" s="583" t="s">
        <v>1352</v>
      </c>
      <c r="B132" s="170"/>
      <c r="C132" s="758"/>
      <c r="D132" s="763"/>
      <c r="E132" s="743"/>
      <c r="F132" s="743"/>
      <c r="G132" s="743"/>
      <c r="H132" s="743"/>
      <c r="I132" s="45">
        <f t="shared" si="32"/>
        <v>0</v>
      </c>
      <c r="J132" s="125" t="str">
        <f t="shared" si="43"/>
        <v/>
      </c>
      <c r="K132" s="745"/>
    </row>
    <row r="133" spans="1:11" ht="12.75" customHeight="1" x14ac:dyDescent="0.2">
      <c r="A133" s="583" t="s">
        <v>1261</v>
      </c>
      <c r="B133" s="170"/>
      <c r="C133" s="758"/>
      <c r="D133" s="763"/>
      <c r="E133" s="743"/>
      <c r="F133" s="743"/>
      <c r="G133" s="743"/>
      <c r="H133" s="743"/>
      <c r="I133" s="45">
        <f t="shared" si="32"/>
        <v>0</v>
      </c>
      <c r="J133" s="125" t="str">
        <f t="shared" si="43"/>
        <v/>
      </c>
      <c r="K133" s="745"/>
    </row>
    <row r="134" spans="1:11" ht="5.0999999999999996" customHeight="1" x14ac:dyDescent="0.2">
      <c r="A134" s="40"/>
      <c r="B134" s="170"/>
      <c r="C134" s="135"/>
      <c r="D134" s="259"/>
      <c r="E134" s="45"/>
      <c r="F134" s="45"/>
      <c r="G134" s="45"/>
      <c r="H134" s="45"/>
      <c r="I134" s="45"/>
      <c r="J134" s="125" t="str">
        <f t="shared" si="43"/>
        <v/>
      </c>
      <c r="K134" s="145"/>
    </row>
    <row r="135" spans="1:11" ht="12.75" customHeight="1" x14ac:dyDescent="0.2">
      <c r="A135" s="553" t="s">
        <v>1353</v>
      </c>
      <c r="B135" s="170"/>
      <c r="C135" s="585">
        <f t="shared" ref="C135:H135" si="46">SUM(C136:C136)</f>
        <v>0</v>
      </c>
      <c r="D135" s="586">
        <f t="shared" si="46"/>
        <v>0</v>
      </c>
      <c r="E135" s="587">
        <f t="shared" si="46"/>
        <v>0</v>
      </c>
      <c r="F135" s="587">
        <f t="shared" si="46"/>
        <v>0</v>
      </c>
      <c r="G135" s="587">
        <f t="shared" si="46"/>
        <v>0</v>
      </c>
      <c r="H135" s="587">
        <f t="shared" si="46"/>
        <v>0</v>
      </c>
      <c r="I135" s="587">
        <f>H135-G135</f>
        <v>0</v>
      </c>
      <c r="J135" s="327" t="str">
        <f t="shared" si="43"/>
        <v/>
      </c>
      <c r="K135" s="589">
        <f>SUM(K136)</f>
        <v>0</v>
      </c>
    </row>
    <row r="136" spans="1:11" ht="12.75" customHeight="1" x14ac:dyDescent="0.2">
      <c r="A136" s="521" t="s">
        <v>1353</v>
      </c>
      <c r="B136" s="170"/>
      <c r="C136" s="758"/>
      <c r="D136" s="763"/>
      <c r="E136" s="743"/>
      <c r="F136" s="743"/>
      <c r="G136" s="743"/>
      <c r="H136" s="743"/>
      <c r="I136" s="45">
        <f>H136-G136</f>
        <v>0</v>
      </c>
      <c r="J136" s="125" t="str">
        <f t="shared" si="43"/>
        <v/>
      </c>
      <c r="K136" s="745"/>
    </row>
    <row r="137" spans="1:11" ht="5.0999999999999996" customHeight="1" x14ac:dyDescent="0.2">
      <c r="A137" s="552"/>
      <c r="B137" s="170"/>
      <c r="C137" s="135"/>
      <c r="D137" s="259"/>
      <c r="E137" s="45"/>
      <c r="F137" s="45"/>
      <c r="G137" s="45"/>
      <c r="H137" s="45"/>
      <c r="I137" s="45"/>
      <c r="J137" s="125" t="str">
        <f t="shared" si="43"/>
        <v/>
      </c>
      <c r="K137" s="145"/>
    </row>
    <row r="138" spans="1:11" s="101" customFormat="1" ht="12.75" customHeight="1" x14ac:dyDescent="0.2">
      <c r="A138" s="553" t="s">
        <v>1354</v>
      </c>
      <c r="B138" s="172"/>
      <c r="C138" s="952">
        <f t="shared" ref="C138:H138" si="47">SUM(C139:C140)</f>
        <v>0</v>
      </c>
      <c r="D138" s="953">
        <f t="shared" si="47"/>
        <v>750000</v>
      </c>
      <c r="E138" s="954">
        <f t="shared" si="47"/>
        <v>0</v>
      </c>
      <c r="F138" s="954">
        <f t="shared" si="47"/>
        <v>0</v>
      </c>
      <c r="G138" s="954">
        <f t="shared" si="47"/>
        <v>0</v>
      </c>
      <c r="H138" s="954">
        <f t="shared" si="47"/>
        <v>250000</v>
      </c>
      <c r="I138" s="954">
        <f t="shared" ref="I138:I146" si="48">H138-G138</f>
        <v>250000</v>
      </c>
      <c r="J138" s="327">
        <f t="shared" si="43"/>
        <v>1</v>
      </c>
      <c r="K138" s="955">
        <f>SUM(K139:K140)</f>
        <v>750000</v>
      </c>
    </row>
    <row r="139" spans="1:11" ht="12.75" customHeight="1" x14ac:dyDescent="0.2">
      <c r="A139" s="520" t="s">
        <v>1355</v>
      </c>
      <c r="B139" s="170"/>
      <c r="C139" s="758"/>
      <c r="D139" s="763"/>
      <c r="E139" s="743"/>
      <c r="F139" s="743"/>
      <c r="G139" s="743"/>
      <c r="H139" s="743"/>
      <c r="I139" s="45">
        <f t="shared" si="48"/>
        <v>0</v>
      </c>
      <c r="J139" s="125" t="str">
        <f t="shared" si="43"/>
        <v/>
      </c>
      <c r="K139" s="745"/>
    </row>
    <row r="140" spans="1:11" ht="12.75" customHeight="1" x14ac:dyDescent="0.2">
      <c r="A140" s="520" t="s">
        <v>1356</v>
      </c>
      <c r="B140" s="170"/>
      <c r="C140" s="657">
        <f t="shared" ref="C140:H140" si="49">SUM(C141:C146)</f>
        <v>0</v>
      </c>
      <c r="D140" s="658">
        <f t="shared" si="49"/>
        <v>750000</v>
      </c>
      <c r="E140" s="411">
        <f t="shared" si="49"/>
        <v>0</v>
      </c>
      <c r="F140" s="411">
        <f t="shared" si="49"/>
        <v>0</v>
      </c>
      <c r="G140" s="411">
        <f t="shared" si="49"/>
        <v>0</v>
      </c>
      <c r="H140" s="411">
        <f t="shared" si="49"/>
        <v>250000</v>
      </c>
      <c r="I140" s="259">
        <f t="shared" si="48"/>
        <v>250000</v>
      </c>
      <c r="J140" s="584">
        <f t="shared" si="43"/>
        <v>1</v>
      </c>
      <c r="K140" s="651">
        <f>SUM(K141:K146)</f>
        <v>750000</v>
      </c>
    </row>
    <row r="141" spans="1:11" ht="12.75" customHeight="1" x14ac:dyDescent="0.2">
      <c r="A141" s="583" t="s">
        <v>1357</v>
      </c>
      <c r="B141" s="170"/>
      <c r="C141" s="758"/>
      <c r="D141" s="763"/>
      <c r="E141" s="743"/>
      <c r="F141" s="743"/>
      <c r="G141" s="743"/>
      <c r="H141" s="743">
        <f t="shared" ref="H141:H146" si="50">D141/12*4</f>
        <v>0</v>
      </c>
      <c r="I141" s="45">
        <f t="shared" si="48"/>
        <v>0</v>
      </c>
      <c r="J141" s="125" t="str">
        <f t="shared" si="43"/>
        <v/>
      </c>
      <c r="K141" s="745">
        <f>D141</f>
        <v>0</v>
      </c>
    </row>
    <row r="142" spans="1:11" ht="12.75" customHeight="1" x14ac:dyDescent="0.2">
      <c r="A142" s="583" t="s">
        <v>1358</v>
      </c>
      <c r="B142" s="170"/>
      <c r="C142" s="758"/>
      <c r="D142" s="763"/>
      <c r="E142" s="743"/>
      <c r="F142" s="743"/>
      <c r="G142" s="743"/>
      <c r="H142" s="743">
        <f t="shared" si="50"/>
        <v>0</v>
      </c>
      <c r="I142" s="45">
        <f t="shared" si="48"/>
        <v>0</v>
      </c>
      <c r="J142" s="125" t="str">
        <f t="shared" si="43"/>
        <v/>
      </c>
      <c r="K142" s="745">
        <f t="shared" ref="K142:K146" si="51">D142</f>
        <v>0</v>
      </c>
    </row>
    <row r="143" spans="1:11" ht="12.75" customHeight="1" x14ac:dyDescent="0.2">
      <c r="A143" s="583" t="s">
        <v>1359</v>
      </c>
      <c r="B143" s="170"/>
      <c r="C143" s="758"/>
      <c r="D143" s="763"/>
      <c r="E143" s="743"/>
      <c r="F143" s="743"/>
      <c r="G143" s="743"/>
      <c r="H143" s="743">
        <f t="shared" si="50"/>
        <v>0</v>
      </c>
      <c r="I143" s="45">
        <f t="shared" si="48"/>
        <v>0</v>
      </c>
      <c r="J143" s="125" t="str">
        <f t="shared" si="43"/>
        <v/>
      </c>
      <c r="K143" s="745">
        <f t="shared" si="51"/>
        <v>0</v>
      </c>
    </row>
    <row r="144" spans="1:11" ht="12.75" customHeight="1" x14ac:dyDescent="0.2">
      <c r="A144" s="583" t="s">
        <v>1360</v>
      </c>
      <c r="B144" s="170"/>
      <c r="C144" s="758"/>
      <c r="D144" s="763">
        <v>750000</v>
      </c>
      <c r="E144" s="743"/>
      <c r="F144" s="743"/>
      <c r="G144" s="743"/>
      <c r="H144" s="743">
        <f t="shared" si="50"/>
        <v>250000</v>
      </c>
      <c r="I144" s="45">
        <f t="shared" si="48"/>
        <v>250000</v>
      </c>
      <c r="J144" s="125">
        <f t="shared" si="43"/>
        <v>1</v>
      </c>
      <c r="K144" s="745">
        <f t="shared" si="51"/>
        <v>750000</v>
      </c>
    </row>
    <row r="145" spans="1:12" ht="12.75" customHeight="1" x14ac:dyDescent="0.2">
      <c r="A145" s="583" t="s">
        <v>1361</v>
      </c>
      <c r="B145" s="170"/>
      <c r="C145" s="758"/>
      <c r="D145" s="763"/>
      <c r="E145" s="743"/>
      <c r="F145" s="743"/>
      <c r="G145" s="743"/>
      <c r="H145" s="743">
        <f t="shared" si="50"/>
        <v>0</v>
      </c>
      <c r="I145" s="45">
        <f t="shared" si="48"/>
        <v>0</v>
      </c>
      <c r="J145" s="125" t="str">
        <f t="shared" si="43"/>
        <v/>
      </c>
      <c r="K145" s="745">
        <f t="shared" si="51"/>
        <v>0</v>
      </c>
    </row>
    <row r="146" spans="1:12" ht="12.75" customHeight="1" x14ac:dyDescent="0.2">
      <c r="A146" s="583" t="s">
        <v>1362</v>
      </c>
      <c r="B146" s="170"/>
      <c r="C146" s="758"/>
      <c r="D146" s="763"/>
      <c r="E146" s="743"/>
      <c r="F146" s="743"/>
      <c r="G146" s="743"/>
      <c r="H146" s="743">
        <f t="shared" si="50"/>
        <v>0</v>
      </c>
      <c r="I146" s="45">
        <f t="shared" si="48"/>
        <v>0</v>
      </c>
      <c r="J146" s="125" t="str">
        <f t="shared" si="43"/>
        <v/>
      </c>
      <c r="K146" s="745">
        <f t="shared" si="51"/>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2">SUM(C149:C149)</f>
        <v>0</v>
      </c>
      <c r="D148" s="586">
        <f t="shared" si="52"/>
        <v>2000000</v>
      </c>
      <c r="E148" s="587">
        <f t="shared" si="52"/>
        <v>0</v>
      </c>
      <c r="F148" s="587">
        <f t="shared" si="52"/>
        <v>743488.1298</v>
      </c>
      <c r="G148" s="587">
        <f t="shared" si="52"/>
        <v>1103885.1298</v>
      </c>
      <c r="H148" s="587">
        <f t="shared" si="52"/>
        <v>666666.66666666663</v>
      </c>
      <c r="I148" s="587">
        <f>H148-G148</f>
        <v>-437218.46313333337</v>
      </c>
      <c r="J148" s="327">
        <f>IF(I148=0,"",I148/H148)</f>
        <v>-0.65582769470000013</v>
      </c>
      <c r="K148" s="589">
        <f>SUM(K149)</f>
        <v>2000000</v>
      </c>
    </row>
    <row r="149" spans="1:12" ht="12.75" customHeight="1" x14ac:dyDescent="0.2">
      <c r="A149" s="521" t="s">
        <v>1363</v>
      </c>
      <c r="B149" s="170"/>
      <c r="C149" s="758"/>
      <c r="D149" s="763">
        <v>2000000</v>
      </c>
      <c r="E149" s="743"/>
      <c r="F149" s="966">
        <v>743488.1298</v>
      </c>
      <c r="G149" s="743">
        <f>F149+360397</f>
        <v>1103885.1298</v>
      </c>
      <c r="H149" s="743">
        <f>D149/12*4</f>
        <v>666666.66666666663</v>
      </c>
      <c r="I149" s="45">
        <f>H149-G149</f>
        <v>-437218.46313333337</v>
      </c>
      <c r="J149" s="125">
        <f>IF(I149=0,"",I149/H149)</f>
        <v>-0.65582769470000013</v>
      </c>
      <c r="K149" s="745">
        <f>D149</f>
        <v>2000000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3">SUM(C152:C152)</f>
        <v>0</v>
      </c>
      <c r="D151" s="586">
        <f t="shared" si="53"/>
        <v>500000</v>
      </c>
      <c r="E151" s="587">
        <f t="shared" si="53"/>
        <v>0</v>
      </c>
      <c r="F151" s="587">
        <f t="shared" si="53"/>
        <v>0</v>
      </c>
      <c r="G151" s="587">
        <f t="shared" si="53"/>
        <v>0</v>
      </c>
      <c r="H151" s="587">
        <f t="shared" si="53"/>
        <v>166666.66666666666</v>
      </c>
      <c r="I151" s="587">
        <f>H151-G151</f>
        <v>166666.66666666666</v>
      </c>
      <c r="J151" s="327">
        <f>IF(I151=0,"",I151/H151)</f>
        <v>1</v>
      </c>
      <c r="K151" s="589">
        <f>SUM(K152)</f>
        <v>500000</v>
      </c>
    </row>
    <row r="152" spans="1:12" ht="12.75" customHeight="1" x14ac:dyDescent="0.2">
      <c r="A152" s="521" t="s">
        <v>1364</v>
      </c>
      <c r="B152" s="170"/>
      <c r="C152" s="758"/>
      <c r="D152" s="763">
        <v>500000</v>
      </c>
      <c r="E152" s="743"/>
      <c r="F152" s="743"/>
      <c r="G152" s="743"/>
      <c r="H152" s="743">
        <f>D152/12*4</f>
        <v>166666.66666666666</v>
      </c>
      <c r="I152" s="45">
        <f>H152-G152</f>
        <v>166666.66666666666</v>
      </c>
      <c r="J152" s="125">
        <f>IF(I152=0,"",I152/H152)</f>
        <v>1</v>
      </c>
      <c r="K152" s="745">
        <f>D152</f>
        <v>500000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4">SUM(C155:C155)</f>
        <v>0</v>
      </c>
      <c r="D154" s="586">
        <f t="shared" si="54"/>
        <v>0</v>
      </c>
      <c r="E154" s="587">
        <f t="shared" si="54"/>
        <v>0</v>
      </c>
      <c r="F154" s="587">
        <f t="shared" si="54"/>
        <v>0</v>
      </c>
      <c r="G154" s="587">
        <f t="shared" si="54"/>
        <v>0</v>
      </c>
      <c r="H154" s="587">
        <f t="shared" si="54"/>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5">SUM(C158:C158)</f>
        <v>0</v>
      </c>
      <c r="D157" s="586">
        <f t="shared" si="55"/>
        <v>35000000</v>
      </c>
      <c r="E157" s="587">
        <f t="shared" si="55"/>
        <v>0</v>
      </c>
      <c r="F157" s="587">
        <f t="shared" si="55"/>
        <v>2622499.8330000001</v>
      </c>
      <c r="G157" s="587">
        <f t="shared" si="55"/>
        <v>13965626.033</v>
      </c>
      <c r="H157" s="587">
        <f t="shared" si="55"/>
        <v>11666666.666666666</v>
      </c>
      <c r="I157" s="587">
        <f>H157-G157</f>
        <v>-2298959.3663333338</v>
      </c>
      <c r="J157" s="327">
        <f>IF(I157=0,"",I157/H157)</f>
        <v>-0.19705365997142862</v>
      </c>
      <c r="K157" s="589">
        <f>SUM(K158)</f>
        <v>35000000</v>
      </c>
    </row>
    <row r="158" spans="1:12" ht="12.75" customHeight="1" x14ac:dyDescent="0.2">
      <c r="A158" s="521" t="s">
        <v>1366</v>
      </c>
      <c r="B158" s="170"/>
      <c r="C158" s="758"/>
      <c r="D158" s="763">
        <v>35000000</v>
      </c>
      <c r="E158" s="743"/>
      <c r="F158" s="743">
        <v>2622499.8330000001</v>
      </c>
      <c r="G158" s="743">
        <f>F158+11343126.2</f>
        <v>13965626.033</v>
      </c>
      <c r="H158" s="743">
        <f>D158/12*4</f>
        <v>11666666.666666666</v>
      </c>
      <c r="I158" s="45">
        <f>H158-G158</f>
        <v>-2298959.3663333338</v>
      </c>
      <c r="J158" s="125">
        <f>IF(I158=0,"",I158/H158)</f>
        <v>-0.19705365997142862</v>
      </c>
      <c r="K158" s="745">
        <f>D158</f>
        <v>35000000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6">SUM(C161:C161)</f>
        <v>0</v>
      </c>
      <c r="D160" s="586">
        <f t="shared" si="56"/>
        <v>0</v>
      </c>
      <c r="E160" s="587">
        <f t="shared" si="56"/>
        <v>0</v>
      </c>
      <c r="F160" s="587">
        <f t="shared" si="56"/>
        <v>0</v>
      </c>
      <c r="G160" s="587">
        <f t="shared" si="56"/>
        <v>0</v>
      </c>
      <c r="H160" s="587">
        <f t="shared" si="56"/>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7">SUM(C164:C164)</f>
        <v>0</v>
      </c>
      <c r="D163" s="586">
        <f t="shared" si="57"/>
        <v>0</v>
      </c>
      <c r="E163" s="587">
        <f t="shared" si="57"/>
        <v>0</v>
      </c>
      <c r="F163" s="587">
        <f t="shared" si="57"/>
        <v>0</v>
      </c>
      <c r="G163" s="587">
        <f t="shared" si="57"/>
        <v>0</v>
      </c>
      <c r="H163" s="587">
        <f t="shared" si="57"/>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58">C7+C75+C103+C110+C117+C135+C138+C148+C151+C154+C157+C160+C163</f>
        <v>633212291.80092621</v>
      </c>
      <c r="D166" s="272">
        <f t="shared" si="58"/>
        <v>866208718</v>
      </c>
      <c r="E166" s="56">
        <f t="shared" si="58"/>
        <v>0</v>
      </c>
      <c r="F166" s="56">
        <f t="shared" si="58"/>
        <v>18264793.2216</v>
      </c>
      <c r="G166" s="56">
        <f t="shared" si="58"/>
        <v>150618162.46079999</v>
      </c>
      <c r="H166" s="56">
        <f t="shared" si="58"/>
        <v>288736239.33333337</v>
      </c>
      <c r="I166" s="56">
        <f>H166-G166</f>
        <v>138118076.87253338</v>
      </c>
      <c r="J166" s="293">
        <f>IF(I166=0,"",I166/H166)</f>
        <v>0.47835379857906268</v>
      </c>
      <c r="K166" s="236">
        <f>K7+K75+K103+K110+K117+K135+K138+K148+K151+K154+K157+K160+K163</f>
        <v>866208718</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C166+SC13b!C166+SC13e!C166-'C5-Capex'!C40</f>
        <v>1.8000602722167969E-3</v>
      </c>
      <c r="D171" s="136">
        <f>D166+SC13b!D166+SC13e!D166-'C5-Capex'!D40</f>
        <v>0</v>
      </c>
      <c r="E171" s="136">
        <f>E166+SC13b!E166+SC13e!E166-'C5-Capex'!E40</f>
        <v>0</v>
      </c>
      <c r="F171" s="136">
        <f>F166+SC13b!F166+SC13e!F166-'C5-Capex'!F40</f>
        <v>0</v>
      </c>
      <c r="G171" s="136">
        <f>G166+SC13b!G166+SC13e!G166-'C5-Capex'!G40</f>
        <v>0.15759998559951782</v>
      </c>
      <c r="H171" s="136">
        <f>H166+SC13b!H166+SC13e!H166-'C5-Capex'!H40</f>
        <v>0</v>
      </c>
      <c r="I171" s="136"/>
      <c r="J171" s="136"/>
      <c r="K171" s="136">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2" activePane="bottomRight" state="frozen"/>
      <selection pane="topRight"/>
      <selection pane="bottomLeft"/>
      <selection pane="bottomRight" activeCell="C7"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"&amp;S71Sb&amp; " - "&amp;Head57</f>
        <v>LIM354 Polokwane - Supporting Table SC13b Monthly Budget Statement - capital expenditure on renewal of existing assets by asset class - M04 October</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133795695.686</v>
      </c>
      <c r="D7" s="611">
        <f t="shared" si="0"/>
        <v>254080162</v>
      </c>
      <c r="E7" s="103">
        <f t="shared" si="0"/>
        <v>0</v>
      </c>
      <c r="F7" s="103">
        <f t="shared" si="0"/>
        <v>41711968.576799996</v>
      </c>
      <c r="G7" s="103">
        <f t="shared" si="0"/>
        <v>93377679.288599998</v>
      </c>
      <c r="H7" s="103">
        <f t="shared" si="0"/>
        <v>84693387.333333343</v>
      </c>
      <c r="I7" s="102">
        <f t="shared" ref="I7:I133" si="1">H7-G7</f>
        <v>-8684291.9552666545</v>
      </c>
      <c r="J7" s="588">
        <f t="shared" ref="J7:J136" si="2">IF(I7=0,"",I7/H7)</f>
        <v>-0.10253801658785136</v>
      </c>
      <c r="K7" s="612">
        <f>K8+K13+K17+K27+K38+K45+K53+K63+K69</f>
        <v>254080162</v>
      </c>
    </row>
    <row r="8" spans="1:11" ht="12.75" customHeight="1" x14ac:dyDescent="0.2">
      <c r="A8" s="521" t="s">
        <v>1258</v>
      </c>
      <c r="B8" s="170"/>
      <c r="C8" s="686">
        <f t="shared" ref="C8:H8" si="3">SUM(C9:C12)</f>
        <v>37034713.487400003</v>
      </c>
      <c r="D8" s="618">
        <f t="shared" si="3"/>
        <v>106380025</v>
      </c>
      <c r="E8" s="617">
        <f t="shared" si="3"/>
        <v>0</v>
      </c>
      <c r="F8" s="617">
        <f t="shared" si="3"/>
        <v>11674507.4058</v>
      </c>
      <c r="G8" s="617">
        <f t="shared" si="3"/>
        <v>31027887.402600002</v>
      </c>
      <c r="H8" s="617">
        <f t="shared" si="3"/>
        <v>35460008.333333336</v>
      </c>
      <c r="I8" s="259">
        <f t="shared" si="1"/>
        <v>4432120.9307333343</v>
      </c>
      <c r="J8" s="584">
        <f t="shared" si="2"/>
        <v>0.12498928057405516</v>
      </c>
      <c r="K8" s="619">
        <f>SUM(K9:K12)</f>
        <v>106380025</v>
      </c>
    </row>
    <row r="9" spans="1:11" ht="12.75" customHeight="1" x14ac:dyDescent="0.2">
      <c r="A9" s="583" t="s">
        <v>176</v>
      </c>
      <c r="B9" s="170"/>
      <c r="C9" s="758">
        <v>37034713.487400003</v>
      </c>
      <c r="D9" s="755">
        <v>106380025</v>
      </c>
      <c r="E9" s="743"/>
      <c r="F9" s="743">
        <v>11674507.4058</v>
      </c>
      <c r="G9" s="743">
        <f>F9+19353379.9968</f>
        <v>31027887.402600002</v>
      </c>
      <c r="H9" s="743">
        <f>D9/12*4</f>
        <v>35460008.333333336</v>
      </c>
      <c r="I9" s="259">
        <f t="shared" si="1"/>
        <v>4432120.9307333343</v>
      </c>
      <c r="J9" s="584">
        <f t="shared" si="2"/>
        <v>0.12498928057405516</v>
      </c>
      <c r="K9" s="745">
        <f>D9</f>
        <v>106380025</v>
      </c>
    </row>
    <row r="10" spans="1:11" ht="12.75" customHeight="1" x14ac:dyDescent="0.2">
      <c r="A10" s="583" t="s">
        <v>1259</v>
      </c>
      <c r="B10" s="170"/>
      <c r="C10" s="758"/>
      <c r="D10" s="755"/>
      <c r="E10" s="743"/>
      <c r="F10" s="743"/>
      <c r="G10" s="743"/>
      <c r="H10" s="743">
        <f>D10/12*4</f>
        <v>0</v>
      </c>
      <c r="I10" s="259">
        <f t="shared" si="1"/>
        <v>0</v>
      </c>
      <c r="J10" s="584" t="str">
        <f t="shared" si="2"/>
        <v/>
      </c>
      <c r="K10" s="745">
        <f t="shared" ref="K10:K12" si="4">D10</f>
        <v>0</v>
      </c>
    </row>
    <row r="11" spans="1:11" ht="12.75" customHeight="1" x14ac:dyDescent="0.2">
      <c r="A11" s="583" t="s">
        <v>1260</v>
      </c>
      <c r="B11" s="170"/>
      <c r="C11" s="758"/>
      <c r="D11" s="755"/>
      <c r="E11" s="743"/>
      <c r="F11" s="743"/>
      <c r="G11" s="743"/>
      <c r="H11" s="743">
        <f>D11/12*4</f>
        <v>0</v>
      </c>
      <c r="I11" s="259">
        <f t="shared" si="1"/>
        <v>0</v>
      </c>
      <c r="J11" s="584" t="str">
        <f t="shared" si="2"/>
        <v/>
      </c>
      <c r="K11" s="745">
        <f t="shared" si="4"/>
        <v>0</v>
      </c>
    </row>
    <row r="12" spans="1:11" ht="12.75" customHeight="1" x14ac:dyDescent="0.2">
      <c r="A12" s="583" t="s">
        <v>1261</v>
      </c>
      <c r="B12" s="170"/>
      <c r="C12" s="758"/>
      <c r="D12" s="755"/>
      <c r="E12" s="743"/>
      <c r="F12" s="743"/>
      <c r="G12" s="743"/>
      <c r="H12" s="743">
        <f>D12/12*4</f>
        <v>0</v>
      </c>
      <c r="I12" s="259">
        <f t="shared" si="1"/>
        <v>0</v>
      </c>
      <c r="J12" s="584" t="str">
        <f t="shared" si="2"/>
        <v/>
      </c>
      <c r="K12" s="745">
        <f t="shared" si="4"/>
        <v>0</v>
      </c>
    </row>
    <row r="13" spans="1:11" ht="12.75" customHeight="1" x14ac:dyDescent="0.2">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1263</v>
      </c>
      <c r="B14" s="170"/>
      <c r="C14" s="758"/>
      <c r="D14" s="755"/>
      <c r="E14" s="743"/>
      <c r="F14" s="743"/>
      <c r="G14" s="743"/>
      <c r="H14" s="743"/>
      <c r="I14" s="259">
        <f t="shared" si="1"/>
        <v>0</v>
      </c>
      <c r="J14" s="584" t="str">
        <f t="shared" si="2"/>
        <v/>
      </c>
      <c r="K14" s="745"/>
    </row>
    <row r="15" spans="1:11" ht="12.75" customHeight="1" x14ac:dyDescent="0.2">
      <c r="A15" s="583" t="s">
        <v>1264</v>
      </c>
      <c r="B15" s="170"/>
      <c r="C15" s="758"/>
      <c r="D15" s="755"/>
      <c r="E15" s="743"/>
      <c r="F15" s="743"/>
      <c r="G15" s="743"/>
      <c r="H15" s="743"/>
      <c r="I15" s="259">
        <f t="shared" si="1"/>
        <v>0</v>
      </c>
      <c r="J15" s="584" t="str">
        <f t="shared" si="2"/>
        <v/>
      </c>
      <c r="K15" s="745"/>
    </row>
    <row r="16" spans="1:11" ht="12.75" customHeight="1" x14ac:dyDescent="0.2">
      <c r="A16" s="583" t="s">
        <v>1265</v>
      </c>
      <c r="B16" s="170"/>
      <c r="C16" s="758"/>
      <c r="D16" s="755"/>
      <c r="E16" s="743"/>
      <c r="F16" s="743"/>
      <c r="G16" s="743"/>
      <c r="H16" s="743"/>
      <c r="I16" s="259">
        <f t="shared" si="1"/>
        <v>0</v>
      </c>
      <c r="J16" s="584" t="str">
        <f t="shared" si="2"/>
        <v/>
      </c>
      <c r="K16" s="745"/>
    </row>
    <row r="17" spans="1:11" ht="12.75" customHeight="1" x14ac:dyDescent="0.2">
      <c r="A17" s="521" t="s">
        <v>1266</v>
      </c>
      <c r="B17" s="170"/>
      <c r="C17" s="657">
        <f t="shared" ref="C17:H17" si="6">SUM(C18:C26)</f>
        <v>2730220</v>
      </c>
      <c r="D17" s="658">
        <f t="shared" si="6"/>
        <v>12250000</v>
      </c>
      <c r="E17" s="411">
        <f t="shared" si="6"/>
        <v>0</v>
      </c>
      <c r="F17" s="411">
        <f t="shared" si="6"/>
        <v>0</v>
      </c>
      <c r="G17" s="411">
        <f t="shared" si="6"/>
        <v>0</v>
      </c>
      <c r="H17" s="411">
        <f t="shared" si="6"/>
        <v>4083333.3333333335</v>
      </c>
      <c r="I17" s="259">
        <f t="shared" si="1"/>
        <v>4083333.3333333335</v>
      </c>
      <c r="J17" s="584">
        <f t="shared" si="2"/>
        <v>1</v>
      </c>
      <c r="K17" s="651">
        <f>SUM(K18:K26)</f>
        <v>12250000</v>
      </c>
    </row>
    <row r="18" spans="1:11" ht="12.75" customHeight="1" x14ac:dyDescent="0.2">
      <c r="A18" s="583" t="s">
        <v>1267</v>
      </c>
      <c r="B18" s="170"/>
      <c r="C18" s="758"/>
      <c r="D18" s="755"/>
      <c r="E18" s="743"/>
      <c r="F18" s="743"/>
      <c r="G18" s="743"/>
      <c r="H18" s="743">
        <f t="shared" ref="H18:H26" si="7">D18/12*4</f>
        <v>0</v>
      </c>
      <c r="I18" s="259">
        <f t="shared" si="1"/>
        <v>0</v>
      </c>
      <c r="J18" s="584" t="str">
        <f t="shared" si="2"/>
        <v/>
      </c>
      <c r="K18" s="745">
        <f>D18</f>
        <v>0</v>
      </c>
    </row>
    <row r="19" spans="1:11" ht="12.75" customHeight="1" x14ac:dyDescent="0.2">
      <c r="A19" s="583" t="s">
        <v>1268</v>
      </c>
      <c r="B19" s="170"/>
      <c r="C19" s="758"/>
      <c r="D19" s="755"/>
      <c r="E19" s="743"/>
      <c r="F19" s="743"/>
      <c r="G19" s="743"/>
      <c r="H19" s="743">
        <f t="shared" si="7"/>
        <v>0</v>
      </c>
      <c r="I19" s="259">
        <f t="shared" si="1"/>
        <v>0</v>
      </c>
      <c r="J19" s="584" t="str">
        <f t="shared" si="2"/>
        <v/>
      </c>
      <c r="K19" s="745">
        <f t="shared" ref="K19:K26" si="8">D19</f>
        <v>0</v>
      </c>
    </row>
    <row r="20" spans="1:11" ht="12.75" customHeight="1" x14ac:dyDescent="0.2">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
      <c r="A26" s="583" t="s">
        <v>1261</v>
      </c>
      <c r="B26" s="170"/>
      <c r="C26" s="758">
        <v>2730220</v>
      </c>
      <c r="D26" s="755">
        <v>12250000</v>
      </c>
      <c r="E26" s="743"/>
      <c r="F26" s="743"/>
      <c r="G26" s="743"/>
      <c r="H26" s="743">
        <f t="shared" si="7"/>
        <v>4083333.3333333335</v>
      </c>
      <c r="I26" s="259">
        <f t="shared" si="1"/>
        <v>4083333.3333333335</v>
      </c>
      <c r="J26" s="584">
        <f t="shared" si="2"/>
        <v>1</v>
      </c>
      <c r="K26" s="745">
        <f t="shared" si="8"/>
        <v>12250000</v>
      </c>
    </row>
    <row r="27" spans="1:11" ht="12.75" customHeight="1" x14ac:dyDescent="0.2">
      <c r="A27" s="520" t="s">
        <v>1275</v>
      </c>
      <c r="B27" s="170"/>
      <c r="C27" s="657">
        <f t="shared" ref="C27:G27" si="9">SUM(C28:C37)</f>
        <v>92471607.991400003</v>
      </c>
      <c r="D27" s="658">
        <f t="shared" si="9"/>
        <v>134000000</v>
      </c>
      <c r="E27" s="411">
        <f t="shared" si="9"/>
        <v>0</v>
      </c>
      <c r="F27" s="411">
        <f t="shared" si="9"/>
        <v>29983931.695799999</v>
      </c>
      <c r="G27" s="411">
        <f t="shared" si="9"/>
        <v>62254272.471599996</v>
      </c>
      <c r="H27" s="411">
        <f>SUM(H28:H37)</f>
        <v>44666666.666666664</v>
      </c>
      <c r="I27" s="259">
        <f t="shared" si="1"/>
        <v>-17587605.804933332</v>
      </c>
      <c r="J27" s="584">
        <f t="shared" si="2"/>
        <v>-0.39375236876716418</v>
      </c>
      <c r="K27" s="651">
        <f>SUM(K28:K37)</f>
        <v>134000000</v>
      </c>
    </row>
    <row r="28" spans="1:11" ht="12.75" customHeight="1" x14ac:dyDescent="0.2">
      <c r="A28" s="583" t="s">
        <v>1276</v>
      </c>
      <c r="B28" s="170"/>
      <c r="C28" s="758"/>
      <c r="D28" s="755"/>
      <c r="E28" s="743"/>
      <c r="F28" s="743"/>
      <c r="G28" s="743"/>
      <c r="H28" s="743">
        <f t="shared" ref="H28:H37" si="10">D28/12*4</f>
        <v>0</v>
      </c>
      <c r="I28" s="259">
        <f>H28-G28</f>
        <v>0</v>
      </c>
      <c r="J28" s="584" t="str">
        <f>IF(I28=0,"",I28/H28)</f>
        <v/>
      </c>
      <c r="K28" s="745">
        <f>D28</f>
        <v>0</v>
      </c>
    </row>
    <row r="29" spans="1:11" ht="12.75" customHeight="1" x14ac:dyDescent="0.2">
      <c r="A29" s="583" t="s">
        <v>1277</v>
      </c>
      <c r="B29" s="170"/>
      <c r="C29" s="758"/>
      <c r="D29" s="755"/>
      <c r="E29" s="743"/>
      <c r="F29" s="743"/>
      <c r="G29" s="743"/>
      <c r="H29" s="743">
        <f t="shared" si="10"/>
        <v>0</v>
      </c>
      <c r="I29" s="259">
        <f>H29-G29</f>
        <v>0</v>
      </c>
      <c r="J29" s="584" t="str">
        <f>IF(I29=0,"",I29/H29)</f>
        <v/>
      </c>
      <c r="K29" s="745">
        <f t="shared" ref="K29:K37" si="11">D29</f>
        <v>0</v>
      </c>
    </row>
    <row r="30" spans="1:11" ht="12.75" customHeight="1" x14ac:dyDescent="0.2">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
      <c r="A34" s="583" t="s">
        <v>1282</v>
      </c>
      <c r="B34" s="170"/>
      <c r="C34" s="758">
        <v>92471607.991400003</v>
      </c>
      <c r="D34" s="755">
        <v>134000000</v>
      </c>
      <c r="E34" s="743"/>
      <c r="F34" s="743">
        <v>29983931.695799999</v>
      </c>
      <c r="G34" s="743">
        <f>F34+32270340.7758</f>
        <v>62254272.471599996</v>
      </c>
      <c r="H34" s="743">
        <f t="shared" si="10"/>
        <v>44666666.666666664</v>
      </c>
      <c r="I34" s="259">
        <f t="shared" si="1"/>
        <v>-17587605.804933332</v>
      </c>
      <c r="J34" s="584">
        <f t="shared" si="2"/>
        <v>-0.39375236876716418</v>
      </c>
      <c r="K34" s="745">
        <f t="shared" si="11"/>
        <v>134000000</v>
      </c>
    </row>
    <row r="35" spans="1:11" ht="12.75" customHeight="1" x14ac:dyDescent="0.2">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
      <c r="A38" s="520" t="s">
        <v>1285</v>
      </c>
      <c r="B38" s="170"/>
      <c r="C38" s="657">
        <f t="shared" ref="C38:H38" si="12">SUM(C39:C44)</f>
        <v>0</v>
      </c>
      <c r="D38" s="658">
        <f t="shared" si="12"/>
        <v>0</v>
      </c>
      <c r="E38" s="411">
        <f t="shared" si="12"/>
        <v>0</v>
      </c>
      <c r="F38" s="411">
        <f t="shared" si="12"/>
        <v>0</v>
      </c>
      <c r="G38" s="411">
        <f t="shared" si="12"/>
        <v>0</v>
      </c>
      <c r="H38" s="411">
        <f t="shared" si="12"/>
        <v>0</v>
      </c>
      <c r="I38" s="259">
        <f t="shared" si="1"/>
        <v>0</v>
      </c>
      <c r="J38" s="584" t="str">
        <f t="shared" si="2"/>
        <v/>
      </c>
      <c r="K38" s="651">
        <f>SUM(K39:K44)</f>
        <v>0</v>
      </c>
    </row>
    <row r="39" spans="1:11" ht="12.75" customHeight="1" x14ac:dyDescent="0.2">
      <c r="A39" s="583" t="s">
        <v>1286</v>
      </c>
      <c r="B39" s="170"/>
      <c r="C39" s="758"/>
      <c r="D39" s="755"/>
      <c r="E39" s="743"/>
      <c r="F39" s="743"/>
      <c r="G39" s="743"/>
      <c r="H39" s="743"/>
      <c r="I39" s="259">
        <f t="shared" si="1"/>
        <v>0</v>
      </c>
      <c r="J39" s="584" t="str">
        <f t="shared" si="2"/>
        <v/>
      </c>
      <c r="K39" s="745"/>
    </row>
    <row r="40" spans="1:11" ht="12.75" customHeight="1" x14ac:dyDescent="0.2">
      <c r="A40" s="583" t="s">
        <v>142</v>
      </c>
      <c r="B40" s="170"/>
      <c r="C40" s="758"/>
      <c r="D40" s="755"/>
      <c r="E40" s="743"/>
      <c r="F40" s="743"/>
      <c r="G40" s="743"/>
      <c r="H40" s="743"/>
      <c r="I40" s="259">
        <f t="shared" si="1"/>
        <v>0</v>
      </c>
      <c r="J40" s="584" t="str">
        <f t="shared" si="2"/>
        <v/>
      </c>
      <c r="K40" s="745"/>
    </row>
    <row r="41" spans="1:11" ht="12.75" customHeight="1" x14ac:dyDescent="0.2">
      <c r="A41" s="583" t="s">
        <v>1287</v>
      </c>
      <c r="B41" s="170"/>
      <c r="C41" s="758"/>
      <c r="D41" s="755"/>
      <c r="E41" s="743"/>
      <c r="F41" s="743"/>
      <c r="G41" s="743"/>
      <c r="H41" s="743"/>
      <c r="I41" s="259">
        <f t="shared" si="1"/>
        <v>0</v>
      </c>
      <c r="J41" s="584" t="str">
        <f t="shared" si="2"/>
        <v/>
      </c>
      <c r="K41" s="745"/>
    </row>
    <row r="42" spans="1:11" ht="12.75" customHeight="1" x14ac:dyDescent="0.2">
      <c r="A42" s="583" t="s">
        <v>1288</v>
      </c>
      <c r="B42" s="170"/>
      <c r="C42" s="758"/>
      <c r="D42" s="755"/>
      <c r="E42" s="743"/>
      <c r="F42" s="743"/>
      <c r="G42" s="743"/>
      <c r="H42" s="743"/>
      <c r="I42" s="259">
        <f t="shared" si="1"/>
        <v>0</v>
      </c>
      <c r="J42" s="584" t="str">
        <f t="shared" si="2"/>
        <v/>
      </c>
      <c r="K42" s="745"/>
    </row>
    <row r="43" spans="1:11" ht="12.75" customHeight="1" x14ac:dyDescent="0.2">
      <c r="A43" s="583" t="s">
        <v>1289</v>
      </c>
      <c r="B43" s="170"/>
      <c r="C43" s="758"/>
      <c r="D43" s="755"/>
      <c r="E43" s="743"/>
      <c r="F43" s="743"/>
      <c r="G43" s="743"/>
      <c r="H43" s="743"/>
      <c r="I43" s="259">
        <f t="shared" si="1"/>
        <v>0</v>
      </c>
      <c r="J43" s="584" t="str">
        <f t="shared" si="2"/>
        <v/>
      </c>
      <c r="K43" s="745"/>
    </row>
    <row r="44" spans="1:11" ht="12.75" customHeight="1" x14ac:dyDescent="0.2">
      <c r="A44" s="583" t="s">
        <v>1261</v>
      </c>
      <c r="B44" s="170"/>
      <c r="C44" s="758"/>
      <c r="D44" s="755"/>
      <c r="E44" s="743"/>
      <c r="F44" s="743"/>
      <c r="G44" s="743"/>
      <c r="H44" s="743"/>
      <c r="I44" s="259">
        <f t="shared" si="1"/>
        <v>0</v>
      </c>
      <c r="J44" s="584" t="str">
        <f t="shared" si="2"/>
        <v/>
      </c>
      <c r="K44" s="745"/>
    </row>
    <row r="45" spans="1:11" ht="12.75" customHeight="1" x14ac:dyDescent="0.2">
      <c r="A45" s="520" t="s">
        <v>1290</v>
      </c>
      <c r="B45" s="170"/>
      <c r="C45" s="657">
        <f t="shared" ref="C45:H45" si="13">SUM(C46:C52)</f>
        <v>1559154.2072000001</v>
      </c>
      <c r="D45" s="658">
        <f t="shared" si="13"/>
        <v>1450137</v>
      </c>
      <c r="E45" s="411">
        <f t="shared" si="13"/>
        <v>0</v>
      </c>
      <c r="F45" s="411">
        <f t="shared" si="13"/>
        <v>53529.475199999993</v>
      </c>
      <c r="G45" s="411">
        <f t="shared" si="13"/>
        <v>95519.414399999994</v>
      </c>
      <c r="H45" s="411">
        <f t="shared" si="13"/>
        <v>483379</v>
      </c>
      <c r="I45" s="259">
        <f t="shared" si="1"/>
        <v>387859.58559999999</v>
      </c>
      <c r="J45" s="584">
        <f t="shared" si="2"/>
        <v>0.80239229590031835</v>
      </c>
      <c r="K45" s="651">
        <f>SUM(K46:K52)</f>
        <v>1450137</v>
      </c>
    </row>
    <row r="46" spans="1:11" ht="12.75" customHeight="1" x14ac:dyDescent="0.2">
      <c r="A46" s="583" t="s">
        <v>1291</v>
      </c>
      <c r="B46" s="170"/>
      <c r="C46" s="758"/>
      <c r="D46" s="755">
        <v>850000</v>
      </c>
      <c r="E46" s="743"/>
      <c r="F46" s="743"/>
      <c r="G46" s="743"/>
      <c r="H46" s="743">
        <f t="shared" ref="H46:H52" si="14">D46/12*4</f>
        <v>283333.33333333331</v>
      </c>
      <c r="I46" s="259">
        <f t="shared" si="1"/>
        <v>283333.33333333331</v>
      </c>
      <c r="J46" s="584">
        <f t="shared" si="2"/>
        <v>1</v>
      </c>
      <c r="K46" s="745">
        <f>D46</f>
        <v>850000</v>
      </c>
    </row>
    <row r="47" spans="1:11" ht="12.75" customHeight="1" x14ac:dyDescent="0.2">
      <c r="A47" s="583" t="s">
        <v>1292</v>
      </c>
      <c r="B47" s="170"/>
      <c r="C47" s="758">
        <v>1559154.2072000001</v>
      </c>
      <c r="D47" s="755">
        <v>600137</v>
      </c>
      <c r="E47" s="743"/>
      <c r="F47" s="743">
        <v>53529.475199999993</v>
      </c>
      <c r="G47" s="743">
        <f>F47+41989.9392</f>
        <v>95519.414399999994</v>
      </c>
      <c r="H47" s="743">
        <f t="shared" si="14"/>
        <v>200045.66666666666</v>
      </c>
      <c r="I47" s="259">
        <f t="shared" si="1"/>
        <v>104526.25226666666</v>
      </c>
      <c r="J47" s="584">
        <f t="shared" si="2"/>
        <v>0.52251195443707021</v>
      </c>
      <c r="K47" s="745">
        <f t="shared" ref="K47:K52" si="15">D47</f>
        <v>600137</v>
      </c>
    </row>
    <row r="48" spans="1:11" ht="12.75" customHeight="1" x14ac:dyDescent="0.2">
      <c r="A48" s="583" t="s">
        <v>1293</v>
      </c>
      <c r="B48" s="170"/>
      <c r="C48" s="758"/>
      <c r="D48" s="755"/>
      <c r="E48" s="743"/>
      <c r="F48" s="743"/>
      <c r="G48" s="743"/>
      <c r="H48" s="743">
        <f t="shared" si="14"/>
        <v>0</v>
      </c>
      <c r="I48" s="259">
        <f t="shared" si="1"/>
        <v>0</v>
      </c>
      <c r="J48" s="584" t="str">
        <f t="shared" si="2"/>
        <v/>
      </c>
      <c r="K48" s="745">
        <f t="shared" si="15"/>
        <v>0</v>
      </c>
    </row>
    <row r="49" spans="1:11" ht="12.75" customHeight="1" x14ac:dyDescent="0.2">
      <c r="A49" s="583" t="s">
        <v>1294</v>
      </c>
      <c r="B49" s="170"/>
      <c r="C49" s="758"/>
      <c r="D49" s="755"/>
      <c r="E49" s="743"/>
      <c r="F49" s="743"/>
      <c r="G49" s="743"/>
      <c r="H49" s="743">
        <f t="shared" si="14"/>
        <v>0</v>
      </c>
      <c r="I49" s="259">
        <f t="shared" si="1"/>
        <v>0</v>
      </c>
      <c r="J49" s="584" t="str">
        <f t="shared" si="2"/>
        <v/>
      </c>
      <c r="K49" s="745">
        <f t="shared" si="15"/>
        <v>0</v>
      </c>
    </row>
    <row r="50" spans="1:11" ht="12.75" customHeight="1" x14ac:dyDescent="0.2">
      <c r="A50" s="583" t="s">
        <v>1295</v>
      </c>
      <c r="B50" s="170"/>
      <c r="C50" s="758"/>
      <c r="D50" s="755"/>
      <c r="E50" s="743"/>
      <c r="F50" s="743"/>
      <c r="G50" s="743"/>
      <c r="H50" s="743">
        <f t="shared" si="14"/>
        <v>0</v>
      </c>
      <c r="I50" s="259">
        <f t="shared" si="1"/>
        <v>0</v>
      </c>
      <c r="J50" s="584" t="str">
        <f t="shared" si="2"/>
        <v/>
      </c>
      <c r="K50" s="745">
        <f t="shared" si="15"/>
        <v>0</v>
      </c>
    </row>
    <row r="51" spans="1:11" ht="12.75" customHeight="1" x14ac:dyDescent="0.2">
      <c r="A51" s="583" t="s">
        <v>1296</v>
      </c>
      <c r="B51" s="170"/>
      <c r="C51" s="758"/>
      <c r="D51" s="755"/>
      <c r="E51" s="743"/>
      <c r="F51" s="743"/>
      <c r="G51" s="743"/>
      <c r="H51" s="743">
        <f t="shared" si="14"/>
        <v>0</v>
      </c>
      <c r="I51" s="259">
        <f t="shared" si="1"/>
        <v>0</v>
      </c>
      <c r="J51" s="584" t="str">
        <f t="shared" si="2"/>
        <v/>
      </c>
      <c r="K51" s="745">
        <f t="shared" si="15"/>
        <v>0</v>
      </c>
    </row>
    <row r="52" spans="1:11" ht="12.75" customHeight="1" x14ac:dyDescent="0.2">
      <c r="A52" s="583" t="s">
        <v>1261</v>
      </c>
      <c r="B52" s="170"/>
      <c r="C52" s="758"/>
      <c r="D52" s="755"/>
      <c r="E52" s="743"/>
      <c r="F52" s="743"/>
      <c r="G52" s="743"/>
      <c r="H52" s="743">
        <f t="shared" si="14"/>
        <v>0</v>
      </c>
      <c r="I52" s="259">
        <f t="shared" si="1"/>
        <v>0</v>
      </c>
      <c r="J52" s="584" t="str">
        <f t="shared" si="2"/>
        <v/>
      </c>
      <c r="K52" s="745">
        <f t="shared" si="15"/>
        <v>0</v>
      </c>
    </row>
    <row r="53" spans="1:11" ht="12.75" customHeight="1" x14ac:dyDescent="0.2">
      <c r="A53" s="521" t="s">
        <v>1297</v>
      </c>
      <c r="B53" s="170"/>
      <c r="C53" s="657">
        <f t="shared" ref="C53:H53" si="16">SUM(C54:C62)</f>
        <v>0</v>
      </c>
      <c r="D53" s="658">
        <f t="shared" si="16"/>
        <v>0</v>
      </c>
      <c r="E53" s="411">
        <f t="shared" si="16"/>
        <v>0</v>
      </c>
      <c r="F53" s="411">
        <f t="shared" si="16"/>
        <v>0</v>
      </c>
      <c r="G53" s="411">
        <f t="shared" si="16"/>
        <v>0</v>
      </c>
      <c r="H53" s="411">
        <f t="shared" si="16"/>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7">SUM(C64:C68)</f>
        <v>0</v>
      </c>
      <c r="D63" s="658">
        <f t="shared" si="17"/>
        <v>0</v>
      </c>
      <c r="E63" s="411">
        <f t="shared" si="17"/>
        <v>0</v>
      </c>
      <c r="F63" s="411">
        <f t="shared" si="17"/>
        <v>0</v>
      </c>
      <c r="G63" s="411">
        <f t="shared" si="17"/>
        <v>0</v>
      </c>
      <c r="H63" s="411">
        <f t="shared" si="17"/>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8">SUM(C70:C73)</f>
        <v>0</v>
      </c>
      <c r="D69" s="658">
        <f t="shared" si="18"/>
        <v>0</v>
      </c>
      <c r="E69" s="411">
        <f t="shared" si="18"/>
        <v>0</v>
      </c>
      <c r="F69" s="411">
        <f t="shared" si="18"/>
        <v>0</v>
      </c>
      <c r="G69" s="411">
        <f t="shared" si="18"/>
        <v>0</v>
      </c>
      <c r="H69" s="411">
        <f t="shared" si="18"/>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9">+C76+C99</f>
        <v>14178714.125063701</v>
      </c>
      <c r="D75" s="586">
        <f t="shared" si="19"/>
        <v>5095000</v>
      </c>
      <c r="E75" s="587">
        <f t="shared" si="19"/>
        <v>0</v>
      </c>
      <c r="F75" s="587">
        <f t="shared" si="19"/>
        <v>0</v>
      </c>
      <c r="G75" s="587">
        <f t="shared" si="19"/>
        <v>476637.93299999996</v>
      </c>
      <c r="H75" s="587">
        <f t="shared" si="19"/>
        <v>1698333.3333333333</v>
      </c>
      <c r="I75" s="587">
        <f t="shared" si="1"/>
        <v>1221695.4003333333</v>
      </c>
      <c r="J75" s="588">
        <f t="shared" si="2"/>
        <v>0.71934959784102059</v>
      </c>
      <c r="K75" s="589">
        <f>+K76+K99</f>
        <v>5095000</v>
      </c>
    </row>
    <row r="76" spans="1:11" ht="12.75" customHeight="1" x14ac:dyDescent="0.2">
      <c r="A76" s="521" t="s">
        <v>1310</v>
      </c>
      <c r="B76" s="170"/>
      <c r="C76" s="657">
        <f t="shared" ref="C76:H76" si="20">SUM(C77:C98)</f>
        <v>6389401.0986000001</v>
      </c>
      <c r="D76" s="658">
        <f t="shared" si="20"/>
        <v>5095000</v>
      </c>
      <c r="E76" s="411">
        <f t="shared" si="20"/>
        <v>0</v>
      </c>
      <c r="F76" s="411">
        <f t="shared" si="20"/>
        <v>0</v>
      </c>
      <c r="G76" s="411">
        <f t="shared" si="20"/>
        <v>476637.93299999996</v>
      </c>
      <c r="H76" s="411">
        <f t="shared" si="20"/>
        <v>1698333.3333333333</v>
      </c>
      <c r="I76" s="259">
        <f t="shared" si="1"/>
        <v>1221695.4003333333</v>
      </c>
      <c r="J76" s="584">
        <f t="shared" si="2"/>
        <v>0.71934959784102059</v>
      </c>
      <c r="K76" s="651">
        <f>SUM(K77:K98)</f>
        <v>5095000</v>
      </c>
    </row>
    <row r="77" spans="1:11" ht="12.75" customHeight="1" x14ac:dyDescent="0.2">
      <c r="A77" s="583" t="s">
        <v>1311</v>
      </c>
      <c r="B77" s="170"/>
      <c r="C77" s="758"/>
      <c r="D77" s="763">
        <v>900000</v>
      </c>
      <c r="E77" s="743"/>
      <c r="F77" s="743"/>
      <c r="G77" s="743">
        <v>407928.70799999998</v>
      </c>
      <c r="H77" s="743">
        <f t="shared" ref="H77:H98" si="21">D77/12*4</f>
        <v>300000</v>
      </c>
      <c r="I77" s="45">
        <f t="shared" si="1"/>
        <v>-107928.70799999998</v>
      </c>
      <c r="J77" s="125">
        <f t="shared" si="2"/>
        <v>-0.35976235999999995</v>
      </c>
      <c r="K77" s="745">
        <f>D77</f>
        <v>900000</v>
      </c>
    </row>
    <row r="78" spans="1:11" ht="12.75" customHeight="1" x14ac:dyDescent="0.2">
      <c r="A78" s="583" t="s">
        <v>1312</v>
      </c>
      <c r="B78" s="170"/>
      <c r="C78" s="758"/>
      <c r="D78" s="763"/>
      <c r="E78" s="743"/>
      <c r="F78" s="743"/>
      <c r="G78" s="743"/>
      <c r="H78" s="743">
        <f t="shared" si="21"/>
        <v>0</v>
      </c>
      <c r="I78" s="45">
        <f t="shared" si="1"/>
        <v>0</v>
      </c>
      <c r="J78" s="125" t="str">
        <f t="shared" si="2"/>
        <v/>
      </c>
      <c r="K78" s="745">
        <f t="shared" ref="K78:K98" si="22">D78</f>
        <v>0</v>
      </c>
    </row>
    <row r="79" spans="1:11" ht="12.75" customHeight="1" x14ac:dyDescent="0.2">
      <c r="A79" s="583" t="s">
        <v>1313</v>
      </c>
      <c r="B79" s="170"/>
      <c r="C79" s="758"/>
      <c r="D79" s="763"/>
      <c r="E79" s="743"/>
      <c r="F79" s="743"/>
      <c r="G79" s="743"/>
      <c r="H79" s="743">
        <f t="shared" si="21"/>
        <v>0</v>
      </c>
      <c r="I79" s="45">
        <f t="shared" si="1"/>
        <v>0</v>
      </c>
      <c r="J79" s="125" t="str">
        <f t="shared" si="2"/>
        <v/>
      </c>
      <c r="K79" s="745">
        <f t="shared" si="22"/>
        <v>0</v>
      </c>
    </row>
    <row r="80" spans="1:11" ht="12.75" customHeight="1" x14ac:dyDescent="0.2">
      <c r="A80" s="583" t="s">
        <v>1314</v>
      </c>
      <c r="B80" s="170"/>
      <c r="C80" s="758"/>
      <c r="D80" s="763"/>
      <c r="E80" s="743"/>
      <c r="F80" s="743"/>
      <c r="G80" s="743"/>
      <c r="H80" s="743">
        <f t="shared" si="21"/>
        <v>0</v>
      </c>
      <c r="I80" s="45">
        <f t="shared" si="1"/>
        <v>0</v>
      </c>
      <c r="J80" s="125" t="str">
        <f t="shared" si="2"/>
        <v/>
      </c>
      <c r="K80" s="745">
        <f t="shared" si="22"/>
        <v>0</v>
      </c>
    </row>
    <row r="81" spans="1:11" ht="12.75" customHeight="1" x14ac:dyDescent="0.2">
      <c r="A81" s="583" t="s">
        <v>1315</v>
      </c>
      <c r="B81" s="170"/>
      <c r="C81" s="758"/>
      <c r="D81" s="763">
        <v>1745000</v>
      </c>
      <c r="E81" s="743"/>
      <c r="F81" s="743"/>
      <c r="G81" s="743"/>
      <c r="H81" s="743">
        <f t="shared" si="21"/>
        <v>581666.66666666663</v>
      </c>
      <c r="I81" s="45">
        <f t="shared" si="1"/>
        <v>581666.66666666663</v>
      </c>
      <c r="J81" s="125">
        <f t="shared" si="2"/>
        <v>1</v>
      </c>
      <c r="K81" s="745">
        <f t="shared" si="22"/>
        <v>1745000</v>
      </c>
    </row>
    <row r="82" spans="1:11" ht="12.75" customHeight="1" x14ac:dyDescent="0.2">
      <c r="A82" s="583" t="s">
        <v>1316</v>
      </c>
      <c r="B82" s="170"/>
      <c r="C82" s="758"/>
      <c r="D82" s="763"/>
      <c r="E82" s="743"/>
      <c r="F82" s="743"/>
      <c r="G82" s="743"/>
      <c r="H82" s="743">
        <f t="shared" si="21"/>
        <v>0</v>
      </c>
      <c r="I82" s="45">
        <f t="shared" si="1"/>
        <v>0</v>
      </c>
      <c r="J82" s="125" t="str">
        <f t="shared" si="2"/>
        <v/>
      </c>
      <c r="K82" s="745">
        <f t="shared" si="22"/>
        <v>0</v>
      </c>
    </row>
    <row r="83" spans="1:11" ht="12.75" customHeight="1" x14ac:dyDescent="0.2">
      <c r="A83" s="583" t="s">
        <v>1317</v>
      </c>
      <c r="B83" s="170"/>
      <c r="C83" s="758">
        <v>517209.61600000004</v>
      </c>
      <c r="D83" s="763">
        <v>800000</v>
      </c>
      <c r="E83" s="743"/>
      <c r="F83" s="743">
        <v>0</v>
      </c>
      <c r="G83" s="743">
        <v>68709.225000000006</v>
      </c>
      <c r="H83" s="743">
        <f t="shared" si="21"/>
        <v>266666.66666666669</v>
      </c>
      <c r="I83" s="45">
        <f t="shared" si="1"/>
        <v>197957.44166666668</v>
      </c>
      <c r="J83" s="125">
        <f t="shared" si="2"/>
        <v>0.74234040624999997</v>
      </c>
      <c r="K83" s="745">
        <f t="shared" si="22"/>
        <v>800000</v>
      </c>
    </row>
    <row r="84" spans="1:11" ht="12.75" customHeight="1" x14ac:dyDescent="0.2">
      <c r="A84" s="583" t="s">
        <v>1318</v>
      </c>
      <c r="B84" s="170"/>
      <c r="C84" s="758"/>
      <c r="D84" s="763"/>
      <c r="E84" s="743"/>
      <c r="F84" s="743"/>
      <c r="G84" s="743"/>
      <c r="H84" s="743">
        <f t="shared" si="21"/>
        <v>0</v>
      </c>
      <c r="I84" s="45">
        <f t="shared" si="1"/>
        <v>0</v>
      </c>
      <c r="J84" s="125" t="str">
        <f t="shared" si="2"/>
        <v/>
      </c>
      <c r="K84" s="745">
        <f t="shared" si="22"/>
        <v>0</v>
      </c>
    </row>
    <row r="85" spans="1:11" ht="12.75" customHeight="1" x14ac:dyDescent="0.2">
      <c r="A85" s="583" t="s">
        <v>1194</v>
      </c>
      <c r="B85" s="170"/>
      <c r="C85" s="758"/>
      <c r="D85" s="763"/>
      <c r="E85" s="743"/>
      <c r="F85" s="743"/>
      <c r="G85" s="743"/>
      <c r="H85" s="743">
        <f t="shared" si="21"/>
        <v>0</v>
      </c>
      <c r="I85" s="45">
        <f t="shared" si="1"/>
        <v>0</v>
      </c>
      <c r="J85" s="125" t="str">
        <f t="shared" si="2"/>
        <v/>
      </c>
      <c r="K85" s="745">
        <f t="shared" si="22"/>
        <v>0</v>
      </c>
    </row>
    <row r="86" spans="1:11" ht="12.75" customHeight="1" x14ac:dyDescent="0.2">
      <c r="A86" s="583" t="s">
        <v>573</v>
      </c>
      <c r="B86" s="170"/>
      <c r="C86" s="758"/>
      <c r="D86" s="763">
        <v>1400000</v>
      </c>
      <c r="E86" s="743"/>
      <c r="F86" s="743"/>
      <c r="G86" s="743"/>
      <c r="H86" s="743">
        <f t="shared" si="21"/>
        <v>466666.66666666669</v>
      </c>
      <c r="I86" s="45">
        <f t="shared" si="1"/>
        <v>466666.66666666669</v>
      </c>
      <c r="J86" s="125">
        <f t="shared" si="2"/>
        <v>1</v>
      </c>
      <c r="K86" s="745">
        <f t="shared" si="22"/>
        <v>1400000</v>
      </c>
    </row>
    <row r="87" spans="1:11" ht="12.75" customHeight="1" x14ac:dyDescent="0.2">
      <c r="A87" s="583" t="s">
        <v>1319</v>
      </c>
      <c r="B87" s="170"/>
      <c r="C87" s="758">
        <v>0</v>
      </c>
      <c r="D87" s="763"/>
      <c r="E87" s="743"/>
      <c r="F87" s="743"/>
      <c r="G87" s="743"/>
      <c r="H87" s="743">
        <f t="shared" si="21"/>
        <v>0</v>
      </c>
      <c r="I87" s="45">
        <f t="shared" si="1"/>
        <v>0</v>
      </c>
      <c r="J87" s="125" t="str">
        <f t="shared" si="2"/>
        <v/>
      </c>
      <c r="K87" s="745">
        <f t="shared" si="22"/>
        <v>0</v>
      </c>
    </row>
    <row r="88" spans="1:11" ht="12.75" customHeight="1" x14ac:dyDescent="0.2">
      <c r="A88" s="583" t="s">
        <v>174</v>
      </c>
      <c r="B88" s="170"/>
      <c r="C88" s="758"/>
      <c r="D88" s="763"/>
      <c r="E88" s="743"/>
      <c r="F88" s="743"/>
      <c r="G88" s="743"/>
      <c r="H88" s="743">
        <f t="shared" si="21"/>
        <v>0</v>
      </c>
      <c r="I88" s="45">
        <f t="shared" si="1"/>
        <v>0</v>
      </c>
      <c r="J88" s="125" t="str">
        <f t="shared" si="2"/>
        <v/>
      </c>
      <c r="K88" s="745">
        <f t="shared" si="22"/>
        <v>0</v>
      </c>
    </row>
    <row r="89" spans="1:11" ht="12.75" customHeight="1" x14ac:dyDescent="0.2">
      <c r="A89" s="583" t="s">
        <v>1320</v>
      </c>
      <c r="B89" s="170"/>
      <c r="C89" s="758"/>
      <c r="D89" s="763"/>
      <c r="E89" s="743"/>
      <c r="F89" s="743"/>
      <c r="G89" s="743"/>
      <c r="H89" s="743">
        <f t="shared" si="21"/>
        <v>0</v>
      </c>
      <c r="I89" s="45">
        <f t="shared" si="1"/>
        <v>0</v>
      </c>
      <c r="J89" s="125" t="str">
        <f t="shared" si="2"/>
        <v/>
      </c>
      <c r="K89" s="745">
        <f t="shared" si="22"/>
        <v>0</v>
      </c>
    </row>
    <row r="90" spans="1:11" ht="12.75" customHeight="1" x14ac:dyDescent="0.2">
      <c r="A90" s="583" t="s">
        <v>1321</v>
      </c>
      <c r="B90" s="170"/>
      <c r="C90" s="758">
        <v>5872191.4825999998</v>
      </c>
      <c r="D90" s="763"/>
      <c r="E90" s="743"/>
      <c r="F90" s="743"/>
      <c r="G90" s="743"/>
      <c r="H90" s="743">
        <f t="shared" si="21"/>
        <v>0</v>
      </c>
      <c r="I90" s="45">
        <f t="shared" si="1"/>
        <v>0</v>
      </c>
      <c r="J90" s="125" t="str">
        <f t="shared" si="2"/>
        <v/>
      </c>
      <c r="K90" s="745">
        <f t="shared" si="22"/>
        <v>0</v>
      </c>
    </row>
    <row r="91" spans="1:11" ht="12.75" customHeight="1" x14ac:dyDescent="0.2">
      <c r="A91" s="583" t="s">
        <v>1322</v>
      </c>
      <c r="B91" s="170"/>
      <c r="C91" s="758"/>
      <c r="D91" s="763"/>
      <c r="E91" s="743"/>
      <c r="F91" s="743"/>
      <c r="G91" s="743"/>
      <c r="H91" s="743">
        <f t="shared" si="21"/>
        <v>0</v>
      </c>
      <c r="I91" s="45">
        <f t="shared" si="1"/>
        <v>0</v>
      </c>
      <c r="J91" s="125" t="str">
        <f t="shared" si="2"/>
        <v/>
      </c>
      <c r="K91" s="745">
        <f t="shared" si="22"/>
        <v>0</v>
      </c>
    </row>
    <row r="92" spans="1:11" ht="12.75" customHeight="1" x14ac:dyDescent="0.2">
      <c r="A92" s="583" t="s">
        <v>1323</v>
      </c>
      <c r="B92" s="170"/>
      <c r="C92" s="758"/>
      <c r="D92" s="763"/>
      <c r="E92" s="743"/>
      <c r="F92" s="743"/>
      <c r="G92" s="743"/>
      <c r="H92" s="743">
        <f t="shared" si="21"/>
        <v>0</v>
      </c>
      <c r="I92" s="45">
        <f t="shared" si="1"/>
        <v>0</v>
      </c>
      <c r="J92" s="125" t="str">
        <f t="shared" si="2"/>
        <v/>
      </c>
      <c r="K92" s="745">
        <f t="shared" si="22"/>
        <v>0</v>
      </c>
    </row>
    <row r="93" spans="1:11" ht="12.75" customHeight="1" x14ac:dyDescent="0.2">
      <c r="A93" s="583" t="s">
        <v>452</v>
      </c>
      <c r="B93" s="170"/>
      <c r="C93" s="758"/>
      <c r="D93" s="763"/>
      <c r="E93" s="743"/>
      <c r="F93" s="743"/>
      <c r="G93" s="743"/>
      <c r="H93" s="743">
        <f t="shared" si="21"/>
        <v>0</v>
      </c>
      <c r="I93" s="45">
        <f t="shared" si="1"/>
        <v>0</v>
      </c>
      <c r="J93" s="125" t="str">
        <f t="shared" si="2"/>
        <v/>
      </c>
      <c r="K93" s="745">
        <f t="shared" si="22"/>
        <v>0</v>
      </c>
    </row>
    <row r="94" spans="1:11" ht="12.75" customHeight="1" x14ac:dyDescent="0.2">
      <c r="A94" s="583" t="s">
        <v>1324</v>
      </c>
      <c r="B94" s="170"/>
      <c r="C94" s="758"/>
      <c r="D94" s="763"/>
      <c r="E94" s="743"/>
      <c r="F94" s="743"/>
      <c r="G94" s="743"/>
      <c r="H94" s="743">
        <f t="shared" si="21"/>
        <v>0</v>
      </c>
      <c r="I94" s="45">
        <f t="shared" si="1"/>
        <v>0</v>
      </c>
      <c r="J94" s="125" t="str">
        <f t="shared" si="2"/>
        <v/>
      </c>
      <c r="K94" s="745">
        <f t="shared" si="22"/>
        <v>0</v>
      </c>
    </row>
    <row r="95" spans="1:11" ht="12.75" customHeight="1" x14ac:dyDescent="0.2">
      <c r="A95" s="583" t="s">
        <v>451</v>
      </c>
      <c r="B95" s="170"/>
      <c r="C95" s="758"/>
      <c r="D95" s="763"/>
      <c r="E95" s="743"/>
      <c r="F95" s="743"/>
      <c r="G95" s="743"/>
      <c r="H95" s="743">
        <f t="shared" si="21"/>
        <v>0</v>
      </c>
      <c r="I95" s="45">
        <f t="shared" si="1"/>
        <v>0</v>
      </c>
      <c r="J95" s="125" t="str">
        <f t="shared" si="2"/>
        <v/>
      </c>
      <c r="K95" s="745">
        <f t="shared" si="22"/>
        <v>0</v>
      </c>
    </row>
    <row r="96" spans="1:11" ht="12.75" customHeight="1" x14ac:dyDescent="0.2">
      <c r="A96" s="583" t="s">
        <v>1325</v>
      </c>
      <c r="B96" s="170"/>
      <c r="C96" s="758"/>
      <c r="D96" s="763"/>
      <c r="E96" s="743"/>
      <c r="F96" s="743"/>
      <c r="G96" s="743"/>
      <c r="H96" s="743">
        <f t="shared" si="21"/>
        <v>0</v>
      </c>
      <c r="I96" s="45">
        <f t="shared" si="1"/>
        <v>0</v>
      </c>
      <c r="J96" s="125" t="str">
        <f t="shared" si="2"/>
        <v/>
      </c>
      <c r="K96" s="745">
        <f t="shared" si="22"/>
        <v>0</v>
      </c>
    </row>
    <row r="97" spans="1:11" ht="12.75" customHeight="1" x14ac:dyDescent="0.2">
      <c r="A97" s="583" t="s">
        <v>1326</v>
      </c>
      <c r="B97" s="170"/>
      <c r="C97" s="758"/>
      <c r="D97" s="763"/>
      <c r="E97" s="743"/>
      <c r="F97" s="743"/>
      <c r="G97" s="743"/>
      <c r="H97" s="743">
        <f t="shared" si="21"/>
        <v>0</v>
      </c>
      <c r="I97" s="45">
        <f t="shared" si="1"/>
        <v>0</v>
      </c>
      <c r="J97" s="125" t="str">
        <f t="shared" si="2"/>
        <v/>
      </c>
      <c r="K97" s="745">
        <f t="shared" si="22"/>
        <v>0</v>
      </c>
    </row>
    <row r="98" spans="1:11" ht="12.75" customHeight="1" x14ac:dyDescent="0.2">
      <c r="A98" s="583" t="s">
        <v>1261</v>
      </c>
      <c r="B98" s="170"/>
      <c r="C98" s="758"/>
      <c r="D98" s="763">
        <v>250000</v>
      </c>
      <c r="E98" s="743"/>
      <c r="F98" s="743"/>
      <c r="G98" s="743"/>
      <c r="H98" s="743">
        <f t="shared" si="21"/>
        <v>83333.333333333328</v>
      </c>
      <c r="I98" s="45">
        <f t="shared" si="1"/>
        <v>83333.333333333328</v>
      </c>
      <c r="J98" s="125">
        <f t="shared" si="2"/>
        <v>1</v>
      </c>
      <c r="K98" s="745">
        <f t="shared" si="22"/>
        <v>250000</v>
      </c>
    </row>
    <row r="99" spans="1:11" ht="12.75" customHeight="1" x14ac:dyDescent="0.2">
      <c r="A99" s="521" t="s">
        <v>1327</v>
      </c>
      <c r="B99" s="170"/>
      <c r="C99" s="657">
        <f t="shared" ref="C99:H99" si="23">SUM(C100:C102)</f>
        <v>7789313.0264637005</v>
      </c>
      <c r="D99" s="658">
        <f t="shared" si="23"/>
        <v>0</v>
      </c>
      <c r="E99" s="411">
        <f t="shared" si="23"/>
        <v>0</v>
      </c>
      <c r="F99" s="411">
        <f t="shared" si="23"/>
        <v>0</v>
      </c>
      <c r="G99" s="411">
        <f t="shared" si="23"/>
        <v>0</v>
      </c>
      <c r="H99" s="411">
        <f t="shared" si="23"/>
        <v>0</v>
      </c>
      <c r="I99" s="259">
        <f t="shared" si="1"/>
        <v>0</v>
      </c>
      <c r="J99" s="584" t="str">
        <f t="shared" si="2"/>
        <v/>
      </c>
      <c r="K99" s="651">
        <f>SUM(K100:K102)</f>
        <v>0</v>
      </c>
    </row>
    <row r="100" spans="1:11" ht="12.75" customHeight="1" x14ac:dyDescent="0.2">
      <c r="A100" s="583" t="s">
        <v>1328</v>
      </c>
      <c r="B100" s="170"/>
      <c r="C100" s="758">
        <v>7789313.0264637005</v>
      </c>
      <c r="D100" s="763"/>
      <c r="E100" s="743"/>
      <c r="F100" s="743"/>
      <c r="G100" s="743"/>
      <c r="H100" s="743"/>
      <c r="I100" s="45">
        <f t="shared" si="1"/>
        <v>0</v>
      </c>
      <c r="J100" s="125" t="str">
        <f t="shared" si="2"/>
        <v/>
      </c>
      <c r="K100" s="745"/>
    </row>
    <row r="101" spans="1:11" ht="12.75" customHeight="1" x14ac:dyDescent="0.2">
      <c r="A101" s="583" t="s">
        <v>1329</v>
      </c>
      <c r="B101" s="170"/>
      <c r="C101" s="758"/>
      <c r="D101" s="763"/>
      <c r="E101" s="743"/>
      <c r="F101" s="743"/>
      <c r="G101" s="743"/>
      <c r="H101" s="743"/>
      <c r="I101" s="45">
        <f>H101-G101</f>
        <v>0</v>
      </c>
      <c r="J101" s="125" t="str">
        <f>IF(I101=0,"",I101/H101)</f>
        <v/>
      </c>
      <c r="K101" s="745"/>
    </row>
    <row r="102" spans="1:11" ht="12.75" customHeight="1" x14ac:dyDescent="0.2">
      <c r="A102" s="583" t="s">
        <v>1261</v>
      </c>
      <c r="B102" s="170"/>
      <c r="C102" s="758"/>
      <c r="D102" s="763"/>
      <c r="E102" s="743"/>
      <c r="F102" s="743"/>
      <c r="G102" s="743"/>
      <c r="H102" s="743"/>
      <c r="I102" s="45">
        <f t="shared" si="1"/>
        <v>0</v>
      </c>
      <c r="J102" s="125" t="str">
        <f t="shared" si="2"/>
        <v/>
      </c>
      <c r="K102" s="745"/>
    </row>
    <row r="103" spans="1:11" ht="12.75" customHeight="1" x14ac:dyDescent="0.2">
      <c r="A103" s="553" t="s">
        <v>691</v>
      </c>
      <c r="B103" s="170"/>
      <c r="C103" s="250">
        <f t="shared" ref="C103:H103" si="24">SUM(C104:C108)</f>
        <v>0</v>
      </c>
      <c r="D103" s="265">
        <f t="shared" si="24"/>
        <v>0</v>
      </c>
      <c r="E103" s="100">
        <f t="shared" si="24"/>
        <v>0</v>
      </c>
      <c r="F103" s="100">
        <f t="shared" si="24"/>
        <v>0</v>
      </c>
      <c r="G103" s="100">
        <f t="shared" si="24"/>
        <v>0</v>
      </c>
      <c r="H103" s="100">
        <f t="shared" si="24"/>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5">+C111+C114</f>
        <v>0</v>
      </c>
      <c r="D110" s="586">
        <f t="shared" si="25"/>
        <v>0</v>
      </c>
      <c r="E110" s="587">
        <f t="shared" si="25"/>
        <v>0</v>
      </c>
      <c r="F110" s="587">
        <f t="shared" si="25"/>
        <v>0</v>
      </c>
      <c r="G110" s="587">
        <f t="shared" si="25"/>
        <v>0</v>
      </c>
      <c r="H110" s="587">
        <f t="shared" si="25"/>
        <v>0</v>
      </c>
      <c r="I110" s="100">
        <f t="shared" si="1"/>
        <v>0</v>
      </c>
      <c r="J110" s="327" t="str">
        <f t="shared" si="2"/>
        <v/>
      </c>
      <c r="K110" s="589">
        <f>+K111+K114</f>
        <v>0</v>
      </c>
    </row>
    <row r="111" spans="1:11" ht="12.75" customHeight="1" x14ac:dyDescent="0.2">
      <c r="A111" s="521" t="s">
        <v>1336</v>
      </c>
      <c r="B111" s="170"/>
      <c r="C111" s="657">
        <f t="shared" ref="C111:H111" si="26">SUM(C112:C113)</f>
        <v>0</v>
      </c>
      <c r="D111" s="658">
        <f t="shared" si="26"/>
        <v>0</v>
      </c>
      <c r="E111" s="411">
        <f t="shared" si="26"/>
        <v>0</v>
      </c>
      <c r="F111" s="411">
        <f t="shared" si="26"/>
        <v>0</v>
      </c>
      <c r="G111" s="411">
        <f t="shared" si="26"/>
        <v>0</v>
      </c>
      <c r="H111" s="411">
        <f t="shared" si="26"/>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7">SUM(C115:C116)</f>
        <v>0</v>
      </c>
      <c r="D114" s="658">
        <f t="shared" si="27"/>
        <v>0</v>
      </c>
      <c r="E114" s="411">
        <f t="shared" si="27"/>
        <v>0</v>
      </c>
      <c r="F114" s="411">
        <f t="shared" si="27"/>
        <v>0</v>
      </c>
      <c r="G114" s="411">
        <f t="shared" si="27"/>
        <v>0</v>
      </c>
      <c r="H114" s="411">
        <f t="shared" si="27"/>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28">+C118+C130</f>
        <v>32800687.258199986</v>
      </c>
      <c r="D117" s="586">
        <f t="shared" si="28"/>
        <v>27248000</v>
      </c>
      <c r="E117" s="587">
        <f t="shared" si="28"/>
        <v>0</v>
      </c>
      <c r="F117" s="587">
        <f t="shared" si="28"/>
        <v>1603431.3635999998</v>
      </c>
      <c r="G117" s="587">
        <f t="shared" si="28"/>
        <v>7645789.0841999995</v>
      </c>
      <c r="H117" s="587">
        <f t="shared" si="28"/>
        <v>9082666.666666666</v>
      </c>
      <c r="I117" s="587">
        <f t="shared" si="1"/>
        <v>1436877.5824666666</v>
      </c>
      <c r="J117" s="588">
        <f t="shared" si="2"/>
        <v>0.15819996870963007</v>
      </c>
      <c r="K117" s="589">
        <f>+K118+K130</f>
        <v>27248000</v>
      </c>
    </row>
    <row r="118" spans="1:11" ht="12.75" customHeight="1" x14ac:dyDescent="0.2">
      <c r="A118" s="521" t="s">
        <v>1340</v>
      </c>
      <c r="B118" s="170"/>
      <c r="C118" s="657">
        <f t="shared" ref="C118:H118" si="29">SUM(C119:C129)</f>
        <v>32800687.258199986</v>
      </c>
      <c r="D118" s="658">
        <f t="shared" si="29"/>
        <v>27248000</v>
      </c>
      <c r="E118" s="411">
        <f t="shared" si="29"/>
        <v>0</v>
      </c>
      <c r="F118" s="411">
        <f t="shared" si="29"/>
        <v>1603431.3635999998</v>
      </c>
      <c r="G118" s="411">
        <f t="shared" si="29"/>
        <v>7645789.0841999995</v>
      </c>
      <c r="H118" s="411">
        <f t="shared" si="29"/>
        <v>9082666.666666666</v>
      </c>
      <c r="I118" s="259">
        <f t="shared" si="1"/>
        <v>1436877.5824666666</v>
      </c>
      <c r="J118" s="584">
        <f t="shared" si="2"/>
        <v>0.15819996870963007</v>
      </c>
      <c r="K118" s="651">
        <f>SUM(K119:K129)</f>
        <v>27248000</v>
      </c>
    </row>
    <row r="119" spans="1:11" ht="12.75" customHeight="1" x14ac:dyDescent="0.2">
      <c r="A119" s="583" t="s">
        <v>1341</v>
      </c>
      <c r="B119" s="170"/>
      <c r="C119" s="758">
        <v>32800687.258199986</v>
      </c>
      <c r="D119" s="763">
        <v>21100000</v>
      </c>
      <c r="E119" s="743"/>
      <c r="F119" s="743">
        <v>1603431.3635999998</v>
      </c>
      <c r="G119" s="743">
        <f>F119+6042357.7206</f>
        <v>7645789.0841999995</v>
      </c>
      <c r="H119" s="743">
        <f t="shared" ref="H119:H129" si="30">D119/12*4</f>
        <v>7033333.333333333</v>
      </c>
      <c r="I119" s="45">
        <f t="shared" si="1"/>
        <v>-612455.75086666644</v>
      </c>
      <c r="J119" s="125">
        <f t="shared" si="2"/>
        <v>-8.7079016710900445E-2</v>
      </c>
      <c r="K119" s="745">
        <f>D119</f>
        <v>21100000</v>
      </c>
    </row>
    <row r="120" spans="1:11" ht="12.75" customHeight="1" x14ac:dyDescent="0.2">
      <c r="A120" s="583" t="s">
        <v>1342</v>
      </c>
      <c r="B120" s="170"/>
      <c r="C120" s="758"/>
      <c r="D120" s="763"/>
      <c r="E120" s="743"/>
      <c r="F120" s="743"/>
      <c r="G120" s="743"/>
      <c r="H120" s="743">
        <f t="shared" si="30"/>
        <v>0</v>
      </c>
      <c r="I120" s="45">
        <f t="shared" si="1"/>
        <v>0</v>
      </c>
      <c r="J120" s="125" t="str">
        <f t="shared" si="2"/>
        <v/>
      </c>
      <c r="K120" s="745">
        <f t="shared" ref="K120:K129" si="31">D120</f>
        <v>0</v>
      </c>
    </row>
    <row r="121" spans="1:11" ht="12.75" customHeight="1" x14ac:dyDescent="0.2">
      <c r="A121" s="583" t="s">
        <v>1343</v>
      </c>
      <c r="B121" s="170"/>
      <c r="C121" s="758"/>
      <c r="D121" s="763"/>
      <c r="E121" s="743"/>
      <c r="F121" s="743"/>
      <c r="G121" s="743"/>
      <c r="H121" s="743">
        <f t="shared" si="30"/>
        <v>0</v>
      </c>
      <c r="I121" s="45">
        <f t="shared" si="1"/>
        <v>0</v>
      </c>
      <c r="J121" s="125" t="str">
        <f t="shared" si="2"/>
        <v/>
      </c>
      <c r="K121" s="745">
        <f t="shared" si="31"/>
        <v>0</v>
      </c>
    </row>
    <row r="122" spans="1:11" ht="12.75" customHeight="1" x14ac:dyDescent="0.2">
      <c r="A122" s="583" t="s">
        <v>1344</v>
      </c>
      <c r="B122" s="170"/>
      <c r="C122" s="758"/>
      <c r="D122" s="763"/>
      <c r="E122" s="743"/>
      <c r="F122" s="743"/>
      <c r="G122" s="743"/>
      <c r="H122" s="743">
        <f t="shared" si="30"/>
        <v>0</v>
      </c>
      <c r="I122" s="45">
        <f t="shared" si="1"/>
        <v>0</v>
      </c>
      <c r="J122" s="125" t="str">
        <f t="shared" si="2"/>
        <v/>
      </c>
      <c r="K122" s="745">
        <f t="shared" si="31"/>
        <v>0</v>
      </c>
    </row>
    <row r="123" spans="1:11" ht="12.75" customHeight="1" x14ac:dyDescent="0.2">
      <c r="A123" s="583" t="s">
        <v>1345</v>
      </c>
      <c r="B123" s="170"/>
      <c r="C123" s="758"/>
      <c r="D123" s="763"/>
      <c r="E123" s="743"/>
      <c r="F123" s="743"/>
      <c r="G123" s="743"/>
      <c r="H123" s="743">
        <f t="shared" si="30"/>
        <v>0</v>
      </c>
      <c r="I123" s="45">
        <f t="shared" si="1"/>
        <v>0</v>
      </c>
      <c r="J123" s="125" t="str">
        <f t="shared" si="2"/>
        <v/>
      </c>
      <c r="K123" s="745">
        <f t="shared" si="31"/>
        <v>0</v>
      </c>
    </row>
    <row r="124" spans="1:11" ht="12.75" customHeight="1" x14ac:dyDescent="0.2">
      <c r="A124" s="583" t="s">
        <v>1346</v>
      </c>
      <c r="B124" s="170"/>
      <c r="C124" s="758"/>
      <c r="D124" s="763">
        <v>6148000</v>
      </c>
      <c r="E124" s="743"/>
      <c r="F124" s="743"/>
      <c r="G124" s="743"/>
      <c r="H124" s="743">
        <f t="shared" si="30"/>
        <v>2049333.3333333333</v>
      </c>
      <c r="I124" s="45">
        <f t="shared" si="1"/>
        <v>2049333.3333333333</v>
      </c>
      <c r="J124" s="125">
        <f t="shared" si="2"/>
        <v>1</v>
      </c>
      <c r="K124" s="745">
        <f t="shared" si="31"/>
        <v>6148000</v>
      </c>
    </row>
    <row r="125" spans="1:11" ht="12.75" customHeight="1" x14ac:dyDescent="0.2">
      <c r="A125" s="583" t="s">
        <v>1347</v>
      </c>
      <c r="B125" s="170"/>
      <c r="C125" s="758"/>
      <c r="D125" s="763"/>
      <c r="E125" s="743"/>
      <c r="F125" s="743"/>
      <c r="G125" s="743"/>
      <c r="H125" s="743">
        <f t="shared" si="30"/>
        <v>0</v>
      </c>
      <c r="I125" s="45">
        <f t="shared" si="1"/>
        <v>0</v>
      </c>
      <c r="J125" s="125" t="str">
        <f t="shared" si="2"/>
        <v/>
      </c>
      <c r="K125" s="745">
        <f t="shared" si="31"/>
        <v>0</v>
      </c>
    </row>
    <row r="126" spans="1:11" ht="12.75" customHeight="1" x14ac:dyDescent="0.2">
      <c r="A126" s="583" t="s">
        <v>1348</v>
      </c>
      <c r="B126" s="170"/>
      <c r="C126" s="758"/>
      <c r="D126" s="763"/>
      <c r="E126" s="743"/>
      <c r="F126" s="743"/>
      <c r="G126" s="743"/>
      <c r="H126" s="743">
        <f t="shared" si="30"/>
        <v>0</v>
      </c>
      <c r="I126" s="45">
        <f t="shared" si="1"/>
        <v>0</v>
      </c>
      <c r="J126" s="125" t="str">
        <f t="shared" si="2"/>
        <v/>
      </c>
      <c r="K126" s="745">
        <f t="shared" si="31"/>
        <v>0</v>
      </c>
    </row>
    <row r="127" spans="1:11" ht="12.75" customHeight="1" x14ac:dyDescent="0.2">
      <c r="A127" s="583" t="s">
        <v>1349</v>
      </c>
      <c r="B127" s="170"/>
      <c r="C127" s="758"/>
      <c r="D127" s="763"/>
      <c r="E127" s="743"/>
      <c r="F127" s="743"/>
      <c r="G127" s="743"/>
      <c r="H127" s="743">
        <f t="shared" si="30"/>
        <v>0</v>
      </c>
      <c r="I127" s="45">
        <f t="shared" si="1"/>
        <v>0</v>
      </c>
      <c r="J127" s="125" t="str">
        <f t="shared" si="2"/>
        <v/>
      </c>
      <c r="K127" s="745">
        <f t="shared" si="31"/>
        <v>0</v>
      </c>
    </row>
    <row r="128" spans="1:11" ht="12.75" customHeight="1" x14ac:dyDescent="0.2">
      <c r="A128" s="583" t="s">
        <v>1350</v>
      </c>
      <c r="B128" s="170"/>
      <c r="C128" s="758"/>
      <c r="D128" s="763"/>
      <c r="E128" s="743"/>
      <c r="F128" s="743"/>
      <c r="G128" s="743"/>
      <c r="H128" s="743">
        <f t="shared" si="30"/>
        <v>0</v>
      </c>
      <c r="I128" s="45">
        <f t="shared" si="1"/>
        <v>0</v>
      </c>
      <c r="J128" s="125" t="str">
        <f t="shared" si="2"/>
        <v/>
      </c>
      <c r="K128" s="745">
        <f t="shared" si="31"/>
        <v>0</v>
      </c>
    </row>
    <row r="129" spans="1:11" ht="12.75" customHeight="1" x14ac:dyDescent="0.2">
      <c r="A129" s="583" t="s">
        <v>1261</v>
      </c>
      <c r="B129" s="170"/>
      <c r="C129" s="758"/>
      <c r="D129" s="763"/>
      <c r="E129" s="743"/>
      <c r="F129" s="743"/>
      <c r="G129" s="743"/>
      <c r="H129" s="743">
        <f t="shared" si="30"/>
        <v>0</v>
      </c>
      <c r="I129" s="45">
        <f t="shared" si="1"/>
        <v>0</v>
      </c>
      <c r="J129" s="125" t="str">
        <f t="shared" si="2"/>
        <v/>
      </c>
      <c r="K129" s="745">
        <f t="shared" si="31"/>
        <v>0</v>
      </c>
    </row>
    <row r="130" spans="1:11" ht="12.75" customHeight="1" x14ac:dyDescent="0.2">
      <c r="A130" s="521" t="s">
        <v>734</v>
      </c>
      <c r="B130" s="170"/>
      <c r="C130" s="657">
        <f t="shared" ref="C130:H130" si="32">SUM(C131:C133)</f>
        <v>0</v>
      </c>
      <c r="D130" s="658">
        <f t="shared" si="32"/>
        <v>0</v>
      </c>
      <c r="E130" s="411">
        <f t="shared" si="32"/>
        <v>0</v>
      </c>
      <c r="F130" s="411">
        <f t="shared" si="32"/>
        <v>0</v>
      </c>
      <c r="G130" s="411">
        <f t="shared" si="32"/>
        <v>0</v>
      </c>
      <c r="H130" s="411">
        <f t="shared" si="32"/>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33">SUM(C136:C136)</f>
        <v>0</v>
      </c>
      <c r="D135" s="586">
        <f t="shared" si="33"/>
        <v>0</v>
      </c>
      <c r="E135" s="587">
        <f t="shared" si="33"/>
        <v>0</v>
      </c>
      <c r="F135" s="587">
        <f t="shared" si="33"/>
        <v>0</v>
      </c>
      <c r="G135" s="587">
        <f t="shared" si="33"/>
        <v>0</v>
      </c>
      <c r="H135" s="587">
        <f t="shared" si="33"/>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4">IF(I137=0,"",I137/H137)</f>
        <v/>
      </c>
      <c r="K137" s="145"/>
    </row>
    <row r="138" spans="1:11" s="101" customFormat="1" ht="12.75" customHeight="1" x14ac:dyDescent="0.2">
      <c r="A138" s="553" t="s">
        <v>1354</v>
      </c>
      <c r="B138" s="172"/>
      <c r="C138" s="952">
        <f t="shared" ref="C138:H138" si="35">SUM(C139:C140)</f>
        <v>1435568.75711012</v>
      </c>
      <c r="D138" s="953">
        <f t="shared" si="35"/>
        <v>3000000</v>
      </c>
      <c r="E138" s="954">
        <f t="shared" si="35"/>
        <v>0</v>
      </c>
      <c r="F138" s="954">
        <f t="shared" si="35"/>
        <v>0</v>
      </c>
      <c r="G138" s="954">
        <f t="shared" si="35"/>
        <v>0</v>
      </c>
      <c r="H138" s="954">
        <f t="shared" si="35"/>
        <v>1000000</v>
      </c>
      <c r="I138" s="954">
        <f t="shared" ref="I138:I146" si="36">H138-G138</f>
        <v>1000000</v>
      </c>
      <c r="J138" s="327">
        <f t="shared" si="34"/>
        <v>1</v>
      </c>
      <c r="K138" s="955">
        <f>SUM(K139:K140)</f>
        <v>3000000</v>
      </c>
    </row>
    <row r="139" spans="1:11" ht="12.75" customHeight="1" x14ac:dyDescent="0.2">
      <c r="A139" s="520" t="s">
        <v>1355</v>
      </c>
      <c r="B139" s="170"/>
      <c r="C139" s="758"/>
      <c r="D139" s="763"/>
      <c r="E139" s="743"/>
      <c r="F139" s="743"/>
      <c r="G139" s="743"/>
      <c r="H139" s="743"/>
      <c r="I139" s="45">
        <f t="shared" si="36"/>
        <v>0</v>
      </c>
      <c r="J139" s="125" t="str">
        <f t="shared" si="34"/>
        <v/>
      </c>
      <c r="K139" s="745"/>
    </row>
    <row r="140" spans="1:11" ht="12.75" customHeight="1" x14ac:dyDescent="0.2">
      <c r="A140" s="520" t="s">
        <v>1356</v>
      </c>
      <c r="B140" s="170"/>
      <c r="C140" s="657">
        <f t="shared" ref="C140:H140" si="37">SUM(C141:C146)</f>
        <v>1435568.75711012</v>
      </c>
      <c r="D140" s="658">
        <f t="shared" si="37"/>
        <v>3000000</v>
      </c>
      <c r="E140" s="411">
        <f t="shared" si="37"/>
        <v>0</v>
      </c>
      <c r="F140" s="411">
        <f t="shared" si="37"/>
        <v>0</v>
      </c>
      <c r="G140" s="411">
        <f t="shared" si="37"/>
        <v>0</v>
      </c>
      <c r="H140" s="411">
        <f t="shared" si="37"/>
        <v>1000000</v>
      </c>
      <c r="I140" s="259">
        <f t="shared" si="36"/>
        <v>1000000</v>
      </c>
      <c r="J140" s="584">
        <f t="shared" si="34"/>
        <v>1</v>
      </c>
      <c r="K140" s="651">
        <f>SUM(K141:K146)</f>
        <v>3000000</v>
      </c>
    </row>
    <row r="141" spans="1:11" ht="12.75" customHeight="1" x14ac:dyDescent="0.2">
      <c r="A141" s="583" t="s">
        <v>1357</v>
      </c>
      <c r="B141" s="170"/>
      <c r="C141" s="758"/>
      <c r="D141" s="763"/>
      <c r="E141" s="743"/>
      <c r="F141" s="743"/>
      <c r="G141" s="743"/>
      <c r="H141" s="743">
        <f t="shared" ref="H141:H146" si="38">D141/12*4</f>
        <v>0</v>
      </c>
      <c r="I141" s="45">
        <f t="shared" si="36"/>
        <v>0</v>
      </c>
      <c r="J141" s="125" t="str">
        <f t="shared" si="34"/>
        <v/>
      </c>
      <c r="K141" s="745">
        <f>D141</f>
        <v>0</v>
      </c>
    </row>
    <row r="142" spans="1:11" ht="12.75" customHeight="1" x14ac:dyDescent="0.2">
      <c r="A142" s="583" t="s">
        <v>1358</v>
      </c>
      <c r="B142" s="170"/>
      <c r="C142" s="758"/>
      <c r="D142" s="763"/>
      <c r="E142" s="743"/>
      <c r="F142" s="743"/>
      <c r="G142" s="743"/>
      <c r="H142" s="743">
        <f t="shared" si="38"/>
        <v>0</v>
      </c>
      <c r="I142" s="45">
        <f t="shared" si="36"/>
        <v>0</v>
      </c>
      <c r="J142" s="125" t="str">
        <f t="shared" si="34"/>
        <v/>
      </c>
      <c r="K142" s="745">
        <f t="shared" ref="K142:K146" si="39">D142</f>
        <v>0</v>
      </c>
    </row>
    <row r="143" spans="1:11" ht="12.75" customHeight="1" x14ac:dyDescent="0.2">
      <c r="A143" s="583" t="s">
        <v>1359</v>
      </c>
      <c r="B143" s="170"/>
      <c r="C143" s="758"/>
      <c r="D143" s="763"/>
      <c r="E143" s="743"/>
      <c r="F143" s="743"/>
      <c r="G143" s="743"/>
      <c r="H143" s="743">
        <f t="shared" si="38"/>
        <v>0</v>
      </c>
      <c r="I143" s="45">
        <f t="shared" si="36"/>
        <v>0</v>
      </c>
      <c r="J143" s="125" t="str">
        <f t="shared" si="34"/>
        <v/>
      </c>
      <c r="K143" s="745">
        <f t="shared" si="39"/>
        <v>0</v>
      </c>
    </row>
    <row r="144" spans="1:11" ht="12.75" customHeight="1" x14ac:dyDescent="0.2">
      <c r="A144" s="583" t="s">
        <v>1360</v>
      </c>
      <c r="B144" s="170"/>
      <c r="C144" s="758">
        <v>1435568.75711012</v>
      </c>
      <c r="D144" s="763">
        <v>3000000</v>
      </c>
      <c r="E144" s="743"/>
      <c r="F144" s="743"/>
      <c r="G144" s="743"/>
      <c r="H144" s="743">
        <f t="shared" si="38"/>
        <v>1000000</v>
      </c>
      <c r="I144" s="45">
        <f t="shared" si="36"/>
        <v>1000000</v>
      </c>
      <c r="J144" s="125">
        <f t="shared" si="34"/>
        <v>1</v>
      </c>
      <c r="K144" s="745">
        <f t="shared" si="39"/>
        <v>3000000</v>
      </c>
    </row>
    <row r="145" spans="1:12" ht="12.75" customHeight="1" x14ac:dyDescent="0.2">
      <c r="A145" s="583" t="s">
        <v>1361</v>
      </c>
      <c r="B145" s="170"/>
      <c r="C145" s="758"/>
      <c r="D145" s="763"/>
      <c r="E145" s="743"/>
      <c r="F145" s="743"/>
      <c r="G145" s="743"/>
      <c r="H145" s="743">
        <f t="shared" si="38"/>
        <v>0</v>
      </c>
      <c r="I145" s="45">
        <f t="shared" si="36"/>
        <v>0</v>
      </c>
      <c r="J145" s="125" t="str">
        <f t="shared" si="34"/>
        <v/>
      </c>
      <c r="K145" s="745">
        <f t="shared" si="39"/>
        <v>0</v>
      </c>
    </row>
    <row r="146" spans="1:12" ht="12.75" customHeight="1" x14ac:dyDescent="0.2">
      <c r="A146" s="583" t="s">
        <v>1362</v>
      </c>
      <c r="B146" s="170"/>
      <c r="C146" s="758"/>
      <c r="D146" s="763"/>
      <c r="E146" s="743"/>
      <c r="F146" s="743"/>
      <c r="G146" s="743"/>
      <c r="H146" s="743">
        <f t="shared" si="38"/>
        <v>0</v>
      </c>
      <c r="I146" s="45">
        <f t="shared" si="36"/>
        <v>0</v>
      </c>
      <c r="J146" s="125" t="str">
        <f t="shared" si="34"/>
        <v/>
      </c>
      <c r="K146" s="745">
        <f t="shared" si="39"/>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0">SUM(C149:C149)</f>
        <v>0</v>
      </c>
      <c r="D148" s="586">
        <f t="shared" si="40"/>
        <v>0</v>
      </c>
      <c r="E148" s="587">
        <f t="shared" si="40"/>
        <v>0</v>
      </c>
      <c r="F148" s="587">
        <f t="shared" si="40"/>
        <v>0</v>
      </c>
      <c r="G148" s="587">
        <f t="shared" si="40"/>
        <v>0</v>
      </c>
      <c r="H148" s="587">
        <f t="shared" si="40"/>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1">SUM(C152:C152)</f>
        <v>0</v>
      </c>
      <c r="D151" s="586">
        <f t="shared" si="41"/>
        <v>0</v>
      </c>
      <c r="E151" s="587">
        <f t="shared" si="41"/>
        <v>0</v>
      </c>
      <c r="F151" s="587">
        <f t="shared" si="41"/>
        <v>0</v>
      </c>
      <c r="G151" s="587">
        <f t="shared" si="41"/>
        <v>0</v>
      </c>
      <c r="H151" s="587">
        <f t="shared" si="41"/>
        <v>0</v>
      </c>
      <c r="I151" s="587">
        <f>H151-G151</f>
        <v>0</v>
      </c>
      <c r="J151" s="327" t="str">
        <f>IF(I151=0,"",I151/H151)</f>
        <v/>
      </c>
      <c r="K151" s="589">
        <f>SUM(K152)</f>
        <v>0</v>
      </c>
    </row>
    <row r="152" spans="1:12" ht="12.75" customHeight="1" x14ac:dyDescent="0.2">
      <c r="A152" s="521" t="s">
        <v>1364</v>
      </c>
      <c r="B152" s="170"/>
      <c r="C152" s="758"/>
      <c r="D152" s="763"/>
      <c r="E152" s="743"/>
      <c r="F152" s="743"/>
      <c r="G152" s="743"/>
      <c r="H152" s="743"/>
      <c r="I152" s="45">
        <f>H152-G152</f>
        <v>0</v>
      </c>
      <c r="J152" s="125" t="str">
        <f>IF(I152=0,"",I152/H152)</f>
        <v/>
      </c>
      <c r="K152" s="745"/>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44">SUM(C161:C161)</f>
        <v>0</v>
      </c>
      <c r="D160" s="586">
        <f t="shared" si="44"/>
        <v>1400000</v>
      </c>
      <c r="E160" s="587">
        <f t="shared" si="44"/>
        <v>0</v>
      </c>
      <c r="F160" s="587">
        <f t="shared" si="44"/>
        <v>937493.38679999998</v>
      </c>
      <c r="G160" s="587">
        <f t="shared" si="44"/>
        <v>937493.38679999998</v>
      </c>
      <c r="H160" s="587">
        <f t="shared" si="44"/>
        <v>466666.66666666669</v>
      </c>
      <c r="I160" s="587">
        <f>H160-G160</f>
        <v>-470826.72013333329</v>
      </c>
      <c r="J160" s="327">
        <f>IF(I160=0,"",I160/H160)</f>
        <v>-1.0089144002857142</v>
      </c>
      <c r="K160" s="589">
        <f>SUM(K161)</f>
        <v>1400000</v>
      </c>
    </row>
    <row r="161" spans="1:11" ht="12.75" customHeight="1" x14ac:dyDescent="0.2">
      <c r="A161" s="521" t="s">
        <v>573</v>
      </c>
      <c r="B161" s="170"/>
      <c r="C161" s="758"/>
      <c r="D161" s="763">
        <v>1400000</v>
      </c>
      <c r="E161" s="743"/>
      <c r="F161" s="743">
        <v>937493.38679999998</v>
      </c>
      <c r="G161" s="743">
        <v>937493.38679999998</v>
      </c>
      <c r="H161" s="743">
        <f>D161/12*4</f>
        <v>466666.66666666669</v>
      </c>
      <c r="I161" s="45">
        <f>H161-G161</f>
        <v>-470826.72013333329</v>
      </c>
      <c r="J161" s="125">
        <f>IF(I161=0,"",I161/H161)</f>
        <v>-1.0089144002857142</v>
      </c>
      <c r="K161" s="745">
        <f>D161</f>
        <v>1400000</v>
      </c>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907</v>
      </c>
      <c r="B166" s="237">
        <v>1</v>
      </c>
      <c r="C166" s="113">
        <f t="shared" ref="C166:H166" si="46">C7+C75+C103+C110+C117+C135+C138+C148+C151+C154+C157+C160+C163</f>
        <v>182210665.82637382</v>
      </c>
      <c r="D166" s="272">
        <f t="shared" si="46"/>
        <v>290823162</v>
      </c>
      <c r="E166" s="56">
        <f t="shared" si="46"/>
        <v>0</v>
      </c>
      <c r="F166" s="56">
        <f t="shared" si="46"/>
        <v>44252893.327199996</v>
      </c>
      <c r="G166" s="56">
        <f t="shared" si="46"/>
        <v>102437599.6926</v>
      </c>
      <c r="H166" s="56">
        <f t="shared" si="46"/>
        <v>96941054.000000015</v>
      </c>
      <c r="I166" s="56">
        <f>H166-G166</f>
        <v>-5496545.692599982</v>
      </c>
      <c r="J166" s="293">
        <f>IF(I166=0,"",I166/H166)</f>
        <v>-5.6699875499599803E-2</v>
      </c>
      <c r="K166" s="236">
        <f>K7+K75+K103+K110+K117+K135+K138+K148+K151+K154+K157+K160+K163</f>
        <v>290823162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1372</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C166+SC13a!C166+SC13e!C166-'C5-Capex'!C40</f>
        <v>1.8000602722167969E-3</v>
      </c>
      <c r="D171" s="136">
        <f>D166+SC13a!D166+SC13e!D166-'C5-Capex'!D40</f>
        <v>0</v>
      </c>
      <c r="E171" s="136">
        <f>E166+SC13a!E166+SC13e!E166-'C5-Capex'!E40</f>
        <v>0</v>
      </c>
      <c r="F171" s="136">
        <f>F166+SC13a!F166+SC13e!F166-'C5-Capex'!F40</f>
        <v>0</v>
      </c>
      <c r="G171" s="136">
        <f>G166+SC13a!G166+SC13e!G166-'C5-Capex'!G40</f>
        <v>0.15759998559951782</v>
      </c>
      <c r="H171" s="136">
        <f>H166+SC13a!H166+SC13e!H166-'C5-Capex'!H40</f>
        <v>0</v>
      </c>
      <c r="I171" s="136"/>
      <c r="J171" s="136"/>
      <c r="K171" s="136">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56" activePane="bottomRight" state="frozen"/>
      <selection activeCell="F166" sqref="F166"/>
      <selection pane="topRight" activeCell="F166" sqref="F166"/>
      <selection pane="bottomLeft" activeCell="F166" sqref="F166"/>
      <selection pane="bottomRight" activeCell="F166" sqref="F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"&amp;S71Sc&amp; " - "&amp;Head57</f>
        <v>LIM354 Polokwane - Supporting Table SC13c Monthly Budget Statement - expenditure on repairs and maintenance by asset class - M04 October</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45658117</v>
      </c>
      <c r="I7" s="102">
        <f t="shared" ref="I7:I166" si="1">H7-G7</f>
        <v>29733117</v>
      </c>
      <c r="J7" s="588">
        <f t="shared" ref="J7:J166" si="2">IF(I7=0,"",I7/H7)</f>
        <v>0.65121207254342095</v>
      </c>
      <c r="K7" s="612">
        <f>K8+K13+K17+K27+K38+K45+K53+K63+K69</f>
        <v>138643960</v>
      </c>
    </row>
    <row r="8" spans="1:11" ht="12.75" customHeight="1" x14ac:dyDescent="0.2">
      <c r="A8" s="521" t="s">
        <v>1258</v>
      </c>
      <c r="B8" s="170"/>
      <c r="C8" s="686">
        <f t="shared" ref="C8:H8" si="3">SUM(C9:C12)</f>
        <v>41388484.121930599</v>
      </c>
      <c r="D8" s="618">
        <f t="shared" si="3"/>
        <v>57726247</v>
      </c>
      <c r="E8" s="617">
        <f t="shared" si="3"/>
        <v>0</v>
      </c>
      <c r="F8" s="617">
        <f t="shared" si="3"/>
        <v>0</v>
      </c>
      <c r="G8" s="617">
        <f t="shared" si="3"/>
        <v>4010000</v>
      </c>
      <c r="H8" s="617">
        <f t="shared" si="3"/>
        <v>19242082.333333336</v>
      </c>
      <c r="I8" s="259">
        <f t="shared" si="1"/>
        <v>15232082.333333336</v>
      </c>
      <c r="J8" s="584">
        <f t="shared" si="2"/>
        <v>0.7916025963025104</v>
      </c>
      <c r="K8" s="619">
        <f>SUM(K9:K12)</f>
        <v>57726247</v>
      </c>
    </row>
    <row r="9" spans="1:11" ht="12.75" customHeight="1" x14ac:dyDescent="0.2">
      <c r="A9" s="583" t="s">
        <v>176</v>
      </c>
      <c r="B9" s="170"/>
      <c r="C9" s="758">
        <v>41388484.121930599</v>
      </c>
      <c r="D9" s="755">
        <v>24035676</v>
      </c>
      <c r="E9" s="743"/>
      <c r="F9" s="743"/>
      <c r="G9" s="743">
        <f>1450000</f>
        <v>1450000</v>
      </c>
      <c r="H9" s="743">
        <f>D9/12*4</f>
        <v>8011892</v>
      </c>
      <c r="I9" s="259">
        <f t="shared" si="1"/>
        <v>6561892</v>
      </c>
      <c r="J9" s="584">
        <f t="shared" si="2"/>
        <v>0.81901902821455907</v>
      </c>
      <c r="K9" s="745">
        <f>D9</f>
        <v>24035676</v>
      </c>
    </row>
    <row r="10" spans="1:11" ht="12.75" customHeight="1" x14ac:dyDescent="0.2">
      <c r="A10" s="583" t="s">
        <v>1259</v>
      </c>
      <c r="B10" s="170"/>
      <c r="C10" s="758"/>
      <c r="D10" s="755"/>
      <c r="E10" s="743"/>
      <c r="F10" s="743"/>
      <c r="G10" s="743"/>
      <c r="H10" s="743">
        <f>D10/12*4</f>
        <v>0</v>
      </c>
      <c r="I10" s="259">
        <f t="shared" si="1"/>
        <v>0</v>
      </c>
      <c r="J10" s="584" t="str">
        <f t="shared" si="2"/>
        <v/>
      </c>
      <c r="K10" s="745">
        <f t="shared" ref="K10:K12" si="4">D10</f>
        <v>0</v>
      </c>
    </row>
    <row r="11" spans="1:11" ht="12.75" customHeight="1" x14ac:dyDescent="0.2">
      <c r="A11" s="583" t="s">
        <v>1260</v>
      </c>
      <c r="B11" s="170"/>
      <c r="C11" s="758"/>
      <c r="D11" s="755">
        <v>17964170</v>
      </c>
      <c r="E11" s="743"/>
      <c r="F11" s="743"/>
      <c r="G11" s="743"/>
      <c r="H11" s="743">
        <f>D11/12*4</f>
        <v>5988056.666666667</v>
      </c>
      <c r="I11" s="259">
        <f t="shared" si="1"/>
        <v>5988056.666666667</v>
      </c>
      <c r="J11" s="584">
        <f t="shared" si="2"/>
        <v>1</v>
      </c>
      <c r="K11" s="745">
        <f t="shared" si="4"/>
        <v>17964170</v>
      </c>
    </row>
    <row r="12" spans="1:11" ht="12.75" customHeight="1" x14ac:dyDescent="0.2">
      <c r="A12" s="583" t="s">
        <v>1261</v>
      </c>
      <c r="B12" s="170"/>
      <c r="C12" s="758"/>
      <c r="D12" s="755">
        <v>15726401</v>
      </c>
      <c r="E12" s="743"/>
      <c r="F12" s="743"/>
      <c r="G12" s="743">
        <f>2560000</f>
        <v>2560000</v>
      </c>
      <c r="H12" s="743">
        <f>D12/12*4</f>
        <v>5242133.666666667</v>
      </c>
      <c r="I12" s="259">
        <f t="shared" si="1"/>
        <v>2682133.666666667</v>
      </c>
      <c r="J12" s="584">
        <f t="shared" si="2"/>
        <v>0.51164923239589277</v>
      </c>
      <c r="K12" s="745">
        <f t="shared" si="4"/>
        <v>15726401</v>
      </c>
    </row>
    <row r="13" spans="1:11" ht="12.75" customHeight="1" x14ac:dyDescent="0.2">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
      <c r="A16" s="583" t="s">
        <v>1265</v>
      </c>
      <c r="B16" s="170"/>
      <c r="C16" s="758"/>
      <c r="D16" s="755"/>
      <c r="E16" s="743"/>
      <c r="F16" s="743"/>
      <c r="G16" s="743"/>
      <c r="H16" s="743"/>
      <c r="I16" s="259">
        <f t="shared" si="1"/>
        <v>0</v>
      </c>
      <c r="J16" s="584" t="str">
        <f t="shared" si="2"/>
        <v/>
      </c>
      <c r="K16" s="745">
        <f t="shared" si="6"/>
        <v>0</v>
      </c>
    </row>
    <row r="17" spans="1:11" ht="12.75" customHeight="1" x14ac:dyDescent="0.2">
      <c r="A17" s="521" t="s">
        <v>1266</v>
      </c>
      <c r="B17" s="170"/>
      <c r="C17" s="657">
        <f t="shared" ref="C17:G17" si="7">SUM(C18:C26)</f>
        <v>25309035.100000001</v>
      </c>
      <c r="D17" s="658">
        <f t="shared" si="7"/>
        <v>35772655</v>
      </c>
      <c r="E17" s="411">
        <f t="shared" si="7"/>
        <v>0</v>
      </c>
      <c r="F17" s="411">
        <f t="shared" si="7"/>
        <v>0</v>
      </c>
      <c r="G17" s="411">
        <f t="shared" si="7"/>
        <v>5725000</v>
      </c>
      <c r="H17" s="411">
        <f>SUM(H18:H26)</f>
        <v>11924218.333333334</v>
      </c>
      <c r="I17" s="259">
        <f t="shared" si="1"/>
        <v>6199218.333333334</v>
      </c>
      <c r="J17" s="584">
        <f t="shared" si="2"/>
        <v>0.5198846716856772</v>
      </c>
      <c r="K17" s="651">
        <f>SUM(K18:K26)</f>
        <v>35772655</v>
      </c>
    </row>
    <row r="18" spans="1:11" ht="12.75" customHeight="1" x14ac:dyDescent="0.2">
      <c r="A18" s="583" t="s">
        <v>1267</v>
      </c>
      <c r="B18" s="170"/>
      <c r="C18" s="758"/>
      <c r="D18" s="755"/>
      <c r="E18" s="743"/>
      <c r="F18" s="743"/>
      <c r="G18" s="743"/>
      <c r="H18" s="743">
        <f t="shared" ref="H18:H26" si="8">D18/12*4</f>
        <v>0</v>
      </c>
      <c r="I18" s="259">
        <f>H18-G18</f>
        <v>0</v>
      </c>
      <c r="J18" s="584" t="str">
        <f>IF(I18=0,"",I18/H18)</f>
        <v/>
      </c>
      <c r="K18" s="745">
        <f>D18</f>
        <v>0</v>
      </c>
    </row>
    <row r="19" spans="1:11" ht="12.75" customHeight="1" x14ac:dyDescent="0.2">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
      <c r="A26" s="583" t="s">
        <v>1261</v>
      </c>
      <c r="B26" s="170"/>
      <c r="C26" s="758">
        <v>25309035.100000001</v>
      </c>
      <c r="D26" s="755">
        <v>35772655</v>
      </c>
      <c r="E26" s="743"/>
      <c r="F26" s="743"/>
      <c r="G26" s="743">
        <f>5725000</f>
        <v>5725000</v>
      </c>
      <c r="H26" s="743">
        <f t="shared" si="8"/>
        <v>11924218.333333334</v>
      </c>
      <c r="I26" s="259">
        <f t="shared" si="1"/>
        <v>6199218.333333334</v>
      </c>
      <c r="J26" s="584">
        <f t="shared" si="2"/>
        <v>0.5198846716856772</v>
      </c>
      <c r="K26" s="745">
        <f t="shared" si="9"/>
        <v>35772655</v>
      </c>
    </row>
    <row r="27" spans="1:11" ht="12.75" customHeight="1" x14ac:dyDescent="0.2">
      <c r="A27" s="520" t="s">
        <v>1275</v>
      </c>
      <c r="B27" s="170"/>
      <c r="C27" s="657">
        <f t="shared" ref="C27:H27" si="10">SUM(C28:C37)</f>
        <v>26856635.630000003</v>
      </c>
      <c r="D27" s="658">
        <f t="shared" si="10"/>
        <v>24719678</v>
      </c>
      <c r="E27" s="411">
        <f t="shared" si="10"/>
        <v>0</v>
      </c>
      <c r="F27" s="411">
        <f t="shared" si="10"/>
        <v>0</v>
      </c>
      <c r="G27" s="411">
        <f t="shared" si="10"/>
        <v>3581110</v>
      </c>
      <c r="H27" s="411">
        <f t="shared" si="10"/>
        <v>8239892.666666667</v>
      </c>
      <c r="I27" s="259">
        <f t="shared" si="1"/>
        <v>4658782.666666667</v>
      </c>
      <c r="J27" s="584">
        <f t="shared" si="2"/>
        <v>0.5653936107096541</v>
      </c>
      <c r="K27" s="651">
        <f>SUM(K28:K37)</f>
        <v>24719678</v>
      </c>
    </row>
    <row r="28" spans="1:11" ht="12.75" customHeight="1" x14ac:dyDescent="0.2">
      <c r="A28" s="583" t="s">
        <v>1276</v>
      </c>
      <c r="B28" s="170"/>
      <c r="C28" s="758"/>
      <c r="D28" s="755"/>
      <c r="E28" s="743"/>
      <c r="F28" s="743"/>
      <c r="G28" s="743"/>
      <c r="H28" s="743">
        <f t="shared" ref="H28:H37" si="11">D28/12*4</f>
        <v>0</v>
      </c>
      <c r="I28" s="259">
        <f t="shared" si="1"/>
        <v>0</v>
      </c>
      <c r="J28" s="584" t="str">
        <f t="shared" si="2"/>
        <v/>
      </c>
      <c r="K28" s="745">
        <f>D28</f>
        <v>0</v>
      </c>
    </row>
    <row r="29" spans="1:11" ht="12.75" customHeight="1" x14ac:dyDescent="0.2">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
      <c r="A30" s="583" t="s">
        <v>1278</v>
      </c>
      <c r="B30" s="170"/>
      <c r="C30" s="758"/>
      <c r="D30" s="755">
        <v>477521</v>
      </c>
      <c r="E30" s="743"/>
      <c r="F30" s="743"/>
      <c r="G30" s="743"/>
      <c r="H30" s="743">
        <f t="shared" si="11"/>
        <v>159173.66666666666</v>
      </c>
      <c r="I30" s="259">
        <f t="shared" si="1"/>
        <v>159173.66666666666</v>
      </c>
      <c r="J30" s="584">
        <f t="shared" si="2"/>
        <v>1</v>
      </c>
      <c r="K30" s="745">
        <f t="shared" si="12"/>
        <v>477521</v>
      </c>
    </row>
    <row r="31" spans="1:11" ht="12.75" customHeight="1" x14ac:dyDescent="0.2">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
      <c r="A34" s="583" t="s">
        <v>1282</v>
      </c>
      <c r="B34" s="170"/>
      <c r="C34" s="758">
        <v>26856635.630000003</v>
      </c>
      <c r="D34" s="755">
        <v>22331006</v>
      </c>
      <c r="E34" s="743"/>
      <c r="F34" s="743"/>
      <c r="G34" s="743">
        <f>3581110</f>
        <v>3581110</v>
      </c>
      <c r="H34" s="743">
        <f t="shared" si="11"/>
        <v>7443668.666666667</v>
      </c>
      <c r="I34" s="259">
        <f t="shared" si="1"/>
        <v>3862558.666666667</v>
      </c>
      <c r="J34" s="584">
        <f t="shared" si="2"/>
        <v>0.51890523875189498</v>
      </c>
      <c r="K34" s="745">
        <f t="shared" si="12"/>
        <v>22331006</v>
      </c>
    </row>
    <row r="35" spans="1:11" ht="12.75" customHeight="1" x14ac:dyDescent="0.2">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
      <c r="A37" s="583" t="s">
        <v>1261</v>
      </c>
      <c r="B37" s="170"/>
      <c r="C37" s="758"/>
      <c r="D37" s="755">
        <v>1911151</v>
      </c>
      <c r="E37" s="743"/>
      <c r="F37" s="743"/>
      <c r="G37" s="743"/>
      <c r="H37" s="743">
        <f t="shared" si="11"/>
        <v>637050.33333333337</v>
      </c>
      <c r="I37" s="259">
        <f t="shared" si="1"/>
        <v>637050.33333333337</v>
      </c>
      <c r="J37" s="584">
        <f t="shared" si="2"/>
        <v>1</v>
      </c>
      <c r="K37" s="745">
        <f t="shared" si="12"/>
        <v>1911151</v>
      </c>
    </row>
    <row r="38" spans="1:11" ht="12.75" customHeight="1" x14ac:dyDescent="0.2">
      <c r="A38" s="520" t="s">
        <v>1285</v>
      </c>
      <c r="B38" s="170"/>
      <c r="C38" s="657">
        <f t="shared" ref="C38:H38" si="13">SUM(C39:C44)</f>
        <v>4946130.8899999997</v>
      </c>
      <c r="D38" s="658">
        <f t="shared" si="13"/>
        <v>6961413</v>
      </c>
      <c r="E38" s="411">
        <f t="shared" si="13"/>
        <v>0</v>
      </c>
      <c r="F38" s="411">
        <f t="shared" si="13"/>
        <v>0</v>
      </c>
      <c r="G38" s="411">
        <f t="shared" si="13"/>
        <v>1591163</v>
      </c>
      <c r="H38" s="411">
        <f t="shared" si="13"/>
        <v>2320471</v>
      </c>
      <c r="I38" s="259">
        <f t="shared" si="1"/>
        <v>729308</v>
      </c>
      <c r="J38" s="584">
        <f t="shared" si="2"/>
        <v>0.3142930896356817</v>
      </c>
      <c r="K38" s="651">
        <f>SUM(K39:K44)</f>
        <v>6961413</v>
      </c>
    </row>
    <row r="39" spans="1:11" ht="12.75" customHeight="1" x14ac:dyDescent="0.2">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
      <c r="A40" s="583" t="s">
        <v>142</v>
      </c>
      <c r="B40" s="170"/>
      <c r="C40" s="758">
        <v>4946130.8899999997</v>
      </c>
      <c r="D40" s="755">
        <v>4771817</v>
      </c>
      <c r="E40" s="743"/>
      <c r="F40" s="743"/>
      <c r="G40" s="743">
        <f>1591163</f>
        <v>1591163</v>
      </c>
      <c r="H40" s="743">
        <f t="shared" si="14"/>
        <v>1590605.6666666667</v>
      </c>
      <c r="I40" s="259">
        <f t="shared" si="1"/>
        <v>-557.33333333325572</v>
      </c>
      <c r="J40" s="584">
        <f t="shared" si="2"/>
        <v>-3.503906373609397E-4</v>
      </c>
      <c r="K40" s="745">
        <f t="shared" ref="K40:K44" si="15">D40</f>
        <v>4771817</v>
      </c>
    </row>
    <row r="41" spans="1:11" ht="12.75" customHeight="1" x14ac:dyDescent="0.2">
      <c r="A41" s="583" t="s">
        <v>1287</v>
      </c>
      <c r="B41" s="170"/>
      <c r="C41" s="758"/>
      <c r="D41" s="755">
        <v>2189596</v>
      </c>
      <c r="E41" s="743"/>
      <c r="F41" s="743"/>
      <c r="G41" s="743"/>
      <c r="H41" s="743">
        <f t="shared" si="14"/>
        <v>729865.33333333337</v>
      </c>
      <c r="I41" s="259">
        <f t="shared" si="1"/>
        <v>729865.33333333337</v>
      </c>
      <c r="J41" s="584">
        <f t="shared" si="2"/>
        <v>1</v>
      </c>
      <c r="K41" s="745">
        <f t="shared" si="15"/>
        <v>2189596</v>
      </c>
    </row>
    <row r="42" spans="1:11" ht="12.75" customHeight="1" x14ac:dyDescent="0.2">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
      <c r="A45" s="520" t="s">
        <v>1290</v>
      </c>
      <c r="B45" s="170"/>
      <c r="C45" s="657">
        <f t="shared" ref="C45:H45" si="16">SUM(C46:C52)</f>
        <v>31265790.870000001</v>
      </c>
      <c r="D45" s="658">
        <f t="shared" si="16"/>
        <v>11741846</v>
      </c>
      <c r="E45" s="411">
        <f t="shared" si="16"/>
        <v>0</v>
      </c>
      <c r="F45" s="411">
        <f t="shared" si="16"/>
        <v>0</v>
      </c>
      <c r="G45" s="411">
        <f t="shared" si="16"/>
        <v>1017727</v>
      </c>
      <c r="H45" s="411">
        <f t="shared" si="16"/>
        <v>3913948.6666666665</v>
      </c>
      <c r="I45" s="259">
        <f t="shared" si="1"/>
        <v>2896221.6666666665</v>
      </c>
      <c r="J45" s="584">
        <f t="shared" si="2"/>
        <v>0.7399743617826362</v>
      </c>
      <c r="K45" s="651">
        <f>SUM(K46:K52)</f>
        <v>11741846</v>
      </c>
    </row>
    <row r="46" spans="1:11" ht="12.75" customHeight="1" x14ac:dyDescent="0.2">
      <c r="A46" s="583" t="s">
        <v>1291</v>
      </c>
      <c r="B46" s="170"/>
      <c r="C46" s="758"/>
      <c r="D46" s="755"/>
      <c r="E46" s="743"/>
      <c r="F46" s="743"/>
      <c r="G46" s="743"/>
      <c r="H46" s="743">
        <f t="shared" ref="H46:H52" si="17">D46/12*4</f>
        <v>0</v>
      </c>
      <c r="I46" s="259">
        <f t="shared" si="1"/>
        <v>0</v>
      </c>
      <c r="J46" s="584" t="str">
        <f t="shared" si="2"/>
        <v/>
      </c>
      <c r="K46" s="745">
        <f>D46</f>
        <v>0</v>
      </c>
    </row>
    <row r="47" spans="1:11" ht="12.75" customHeight="1" x14ac:dyDescent="0.2">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
      <c r="A49" s="583" t="s">
        <v>1294</v>
      </c>
      <c r="B49" s="170"/>
      <c r="C49" s="758">
        <v>31265790.870000001</v>
      </c>
      <c r="D49" s="755">
        <v>11420951</v>
      </c>
      <c r="E49" s="743"/>
      <c r="F49" s="743"/>
      <c r="G49" s="743">
        <f>1017727</f>
        <v>1017727</v>
      </c>
      <c r="H49" s="743">
        <f t="shared" si="17"/>
        <v>3806983.6666666665</v>
      </c>
      <c r="I49" s="259">
        <f t="shared" si="1"/>
        <v>2789256.6666666665</v>
      </c>
      <c r="J49" s="584">
        <f t="shared" si="2"/>
        <v>0.73266840913685738</v>
      </c>
      <c r="K49" s="745">
        <f t="shared" si="18"/>
        <v>11420951</v>
      </c>
    </row>
    <row r="50" spans="1:11" ht="12.75" customHeight="1" x14ac:dyDescent="0.2">
      <c r="A50" s="583" t="s">
        <v>1295</v>
      </c>
      <c r="B50" s="170"/>
      <c r="C50" s="758"/>
      <c r="D50" s="755"/>
      <c r="E50" s="743"/>
      <c r="F50" s="743"/>
      <c r="G50" s="743"/>
      <c r="H50" s="743">
        <f t="shared" si="17"/>
        <v>0</v>
      </c>
      <c r="I50" s="259">
        <f t="shared" si="1"/>
        <v>0</v>
      </c>
      <c r="J50" s="584" t="str">
        <f t="shared" si="2"/>
        <v/>
      </c>
      <c r="K50" s="745">
        <f t="shared" si="18"/>
        <v>0</v>
      </c>
    </row>
    <row r="51" spans="1:11" ht="12.75" customHeight="1" x14ac:dyDescent="0.2">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
      <c r="A52" s="583" t="s">
        <v>1261</v>
      </c>
      <c r="B52" s="170"/>
      <c r="C52" s="758"/>
      <c r="D52" s="755">
        <v>320895</v>
      </c>
      <c r="E52" s="743"/>
      <c r="F52" s="743"/>
      <c r="G52" s="743"/>
      <c r="H52" s="743">
        <f t="shared" si="17"/>
        <v>106965</v>
      </c>
      <c r="I52" s="259">
        <f t="shared" si="1"/>
        <v>106965</v>
      </c>
      <c r="J52" s="584">
        <f t="shared" si="2"/>
        <v>1</v>
      </c>
      <c r="K52" s="745">
        <f t="shared" si="18"/>
        <v>320895</v>
      </c>
    </row>
    <row r="53" spans="1:11" ht="12.75" customHeight="1" x14ac:dyDescent="0.2">
      <c r="A53" s="521" t="s">
        <v>1297</v>
      </c>
      <c r="B53" s="170"/>
      <c r="C53" s="657">
        <f t="shared" ref="C53:H53" si="19">SUM(C54:C62)</f>
        <v>0</v>
      </c>
      <c r="D53" s="658">
        <f t="shared" si="19"/>
        <v>52512</v>
      </c>
      <c r="E53" s="411">
        <f t="shared" si="19"/>
        <v>0</v>
      </c>
      <c r="F53" s="411">
        <f t="shared" si="19"/>
        <v>0</v>
      </c>
      <c r="G53" s="411">
        <f t="shared" si="19"/>
        <v>0</v>
      </c>
      <c r="H53" s="411">
        <f t="shared" si="19"/>
        <v>17504</v>
      </c>
      <c r="I53" s="259">
        <f t="shared" si="1"/>
        <v>17504</v>
      </c>
      <c r="J53" s="584">
        <f t="shared" si="2"/>
        <v>1</v>
      </c>
      <c r="K53" s="651">
        <f>SUM(K54:K62)</f>
        <v>52512</v>
      </c>
    </row>
    <row r="54" spans="1:11" ht="12.75" customHeight="1" x14ac:dyDescent="0.2">
      <c r="A54" s="583" t="s">
        <v>1298</v>
      </c>
      <c r="B54" s="170"/>
      <c r="C54" s="758"/>
      <c r="D54" s="755">
        <v>52512</v>
      </c>
      <c r="E54" s="743"/>
      <c r="F54" s="743"/>
      <c r="G54" s="743"/>
      <c r="H54" s="743">
        <f t="shared" ref="H54:H62" si="20">D54/12*4</f>
        <v>17504</v>
      </c>
      <c r="I54" s="259">
        <f t="shared" si="1"/>
        <v>17504</v>
      </c>
      <c r="J54" s="584">
        <f t="shared" si="2"/>
        <v>1</v>
      </c>
      <c r="K54" s="745">
        <f>D54</f>
        <v>52512</v>
      </c>
    </row>
    <row r="55" spans="1:11" ht="12.75" customHeight="1" x14ac:dyDescent="0.2">
      <c r="A55" s="583" t="s">
        <v>1299</v>
      </c>
      <c r="B55" s="170"/>
      <c r="C55" s="758"/>
      <c r="D55" s="755"/>
      <c r="E55" s="743"/>
      <c r="F55" s="743"/>
      <c r="G55" s="743"/>
      <c r="H55" s="743">
        <f t="shared" si="20"/>
        <v>0</v>
      </c>
      <c r="I55" s="259">
        <f t="shared" si="1"/>
        <v>0</v>
      </c>
      <c r="J55" s="584" t="str">
        <f t="shared" si="2"/>
        <v/>
      </c>
      <c r="K55" s="745">
        <f t="shared" ref="K55:K62" si="21">D55</f>
        <v>0</v>
      </c>
    </row>
    <row r="56" spans="1:11" ht="12.75" customHeight="1" x14ac:dyDescent="0.2">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4">+C76+C99</f>
        <v>18320861.400000006</v>
      </c>
      <c r="D75" s="586">
        <f t="shared" si="24"/>
        <v>24399307</v>
      </c>
      <c r="E75" s="587">
        <f t="shared" si="24"/>
        <v>0</v>
      </c>
      <c r="F75" s="587">
        <f t="shared" si="24"/>
        <v>0</v>
      </c>
      <c r="G75" s="587">
        <f t="shared" si="24"/>
        <v>850000</v>
      </c>
      <c r="H75" s="587">
        <f t="shared" si="24"/>
        <v>8133102.333333333</v>
      </c>
      <c r="I75" s="587">
        <f t="shared" si="1"/>
        <v>7283102.333333333</v>
      </c>
      <c r="J75" s="588">
        <f t="shared" si="2"/>
        <v>0.89548883499027243</v>
      </c>
      <c r="K75" s="589">
        <f>+K76+K99</f>
        <v>24399307</v>
      </c>
    </row>
    <row r="76" spans="1:11" ht="12.75" customHeight="1" x14ac:dyDescent="0.2">
      <c r="A76" s="521" t="s">
        <v>1310</v>
      </c>
      <c r="B76" s="170"/>
      <c r="C76" s="657">
        <f t="shared" ref="C76:H76" si="25">SUM(C77:C98)</f>
        <v>15098986.360000005</v>
      </c>
      <c r="D76" s="658">
        <f t="shared" si="25"/>
        <v>20076311</v>
      </c>
      <c r="E76" s="411">
        <f t="shared" si="25"/>
        <v>0</v>
      </c>
      <c r="F76" s="411">
        <f t="shared" si="25"/>
        <v>0</v>
      </c>
      <c r="G76" s="411">
        <f t="shared" si="25"/>
        <v>0</v>
      </c>
      <c r="H76" s="411">
        <f t="shared" si="25"/>
        <v>6692103.666666666</v>
      </c>
      <c r="I76" s="259">
        <f t="shared" si="1"/>
        <v>6692103.666666666</v>
      </c>
      <c r="J76" s="584">
        <f t="shared" si="2"/>
        <v>1</v>
      </c>
      <c r="K76" s="651">
        <f>SUM(K77:K98)</f>
        <v>20076311</v>
      </c>
    </row>
    <row r="77" spans="1:11" ht="12.75" customHeight="1" x14ac:dyDescent="0.2">
      <c r="A77" s="583" t="s">
        <v>1311</v>
      </c>
      <c r="B77" s="170"/>
      <c r="C77" s="758"/>
      <c r="D77" s="763"/>
      <c r="E77" s="743"/>
      <c r="F77" s="743"/>
      <c r="G77" s="743"/>
      <c r="H77" s="743">
        <f t="shared" ref="H77:H98" si="26">D77/12*4</f>
        <v>0</v>
      </c>
      <c r="I77" s="45">
        <f t="shared" si="1"/>
        <v>0</v>
      </c>
      <c r="J77" s="125" t="str">
        <f t="shared" si="2"/>
        <v/>
      </c>
      <c r="K77" s="745">
        <f>D77</f>
        <v>0</v>
      </c>
    </row>
    <row r="78" spans="1:11" ht="12.75" customHeight="1" x14ac:dyDescent="0.2">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
      <c r="A81" s="583" t="s">
        <v>1315</v>
      </c>
      <c r="B81" s="170"/>
      <c r="C81" s="758">
        <v>187213.16</v>
      </c>
      <c r="D81" s="763">
        <v>1582197</v>
      </c>
      <c r="E81" s="743"/>
      <c r="F81" s="743"/>
      <c r="G81" s="743"/>
      <c r="H81" s="743">
        <f t="shared" si="26"/>
        <v>527399</v>
      </c>
      <c r="I81" s="45">
        <f t="shared" si="1"/>
        <v>527399</v>
      </c>
      <c r="J81" s="125">
        <f t="shared" si="2"/>
        <v>1</v>
      </c>
      <c r="K81" s="745">
        <f t="shared" si="27"/>
        <v>1582197</v>
      </c>
    </row>
    <row r="82" spans="1:11" ht="12.75" customHeight="1" x14ac:dyDescent="0.2">
      <c r="A82" s="583" t="s">
        <v>1316</v>
      </c>
      <c r="B82" s="170"/>
      <c r="C82" s="758"/>
      <c r="D82" s="763">
        <v>1873</v>
      </c>
      <c r="E82" s="743"/>
      <c r="F82" s="743"/>
      <c r="G82" s="743"/>
      <c r="H82" s="743">
        <f t="shared" si="26"/>
        <v>624.33333333333337</v>
      </c>
      <c r="I82" s="45">
        <f t="shared" si="1"/>
        <v>624.33333333333337</v>
      </c>
      <c r="J82" s="125">
        <f t="shared" si="2"/>
        <v>1</v>
      </c>
      <c r="K82" s="745">
        <f t="shared" si="27"/>
        <v>1873</v>
      </c>
    </row>
    <row r="83" spans="1:11" ht="12.75" customHeight="1" x14ac:dyDescent="0.2">
      <c r="A83" s="583" t="s">
        <v>1317</v>
      </c>
      <c r="B83" s="170"/>
      <c r="C83" s="758">
        <v>30144.339999999997</v>
      </c>
      <c r="D83" s="763">
        <v>16867</v>
      </c>
      <c r="E83" s="743"/>
      <c r="F83" s="743"/>
      <c r="G83" s="743"/>
      <c r="H83" s="743">
        <f t="shared" si="26"/>
        <v>5622.333333333333</v>
      </c>
      <c r="I83" s="45">
        <f t="shared" si="1"/>
        <v>5622.333333333333</v>
      </c>
      <c r="J83" s="125">
        <f t="shared" si="2"/>
        <v>1</v>
      </c>
      <c r="K83" s="745">
        <f t="shared" si="27"/>
        <v>16867</v>
      </c>
    </row>
    <row r="84" spans="1:11" ht="12.75" customHeight="1" x14ac:dyDescent="0.2">
      <c r="A84" s="583" t="s">
        <v>1318</v>
      </c>
      <c r="B84" s="170"/>
      <c r="C84" s="758">
        <v>5932237.7800000003</v>
      </c>
      <c r="D84" s="763">
        <v>27938</v>
      </c>
      <c r="E84" s="743"/>
      <c r="F84" s="743"/>
      <c r="G84" s="743"/>
      <c r="H84" s="743">
        <f t="shared" si="26"/>
        <v>9312.6666666666661</v>
      </c>
      <c r="I84" s="45">
        <f t="shared" si="1"/>
        <v>9312.6666666666661</v>
      </c>
      <c r="J84" s="125">
        <f t="shared" si="2"/>
        <v>1</v>
      </c>
      <c r="K84" s="745">
        <f t="shared" si="27"/>
        <v>27938</v>
      </c>
    </row>
    <row r="85" spans="1:11" ht="12.75" customHeight="1" x14ac:dyDescent="0.2">
      <c r="A85" s="583" t="s">
        <v>1194</v>
      </c>
      <c r="B85" s="170"/>
      <c r="C85" s="758"/>
      <c r="D85" s="763"/>
      <c r="E85" s="743"/>
      <c r="F85" s="743"/>
      <c r="G85" s="743"/>
      <c r="H85" s="743">
        <f t="shared" si="26"/>
        <v>0</v>
      </c>
      <c r="I85" s="45">
        <f t="shared" si="1"/>
        <v>0</v>
      </c>
      <c r="J85" s="125" t="str">
        <f t="shared" si="2"/>
        <v/>
      </c>
      <c r="K85" s="745">
        <f t="shared" si="27"/>
        <v>0</v>
      </c>
    </row>
    <row r="86" spans="1:11" ht="12.75" customHeight="1" x14ac:dyDescent="0.2">
      <c r="A86" s="583" t="s">
        <v>573</v>
      </c>
      <c r="B86" s="170"/>
      <c r="C86" s="758"/>
      <c r="D86" s="763">
        <v>36359</v>
      </c>
      <c r="E86" s="743"/>
      <c r="F86" s="743"/>
      <c r="G86" s="743"/>
      <c r="H86" s="743">
        <f t="shared" si="26"/>
        <v>12119.666666666666</v>
      </c>
      <c r="I86" s="45">
        <f t="shared" si="1"/>
        <v>12119.666666666666</v>
      </c>
      <c r="J86" s="125">
        <f t="shared" si="2"/>
        <v>1</v>
      </c>
      <c r="K86" s="745">
        <f t="shared" si="27"/>
        <v>36359</v>
      </c>
    </row>
    <row r="87" spans="1:11" ht="12.75" customHeight="1" x14ac:dyDescent="0.2">
      <c r="A87" s="583" t="s">
        <v>1319</v>
      </c>
      <c r="B87" s="170"/>
      <c r="C87" s="758">
        <v>761576.46</v>
      </c>
      <c r="D87" s="763">
        <v>1017727</v>
      </c>
      <c r="E87" s="743"/>
      <c r="F87" s="743"/>
      <c r="G87" s="743"/>
      <c r="H87" s="743">
        <f t="shared" si="26"/>
        <v>339242.33333333331</v>
      </c>
      <c r="I87" s="45">
        <f t="shared" si="1"/>
        <v>339242.33333333331</v>
      </c>
      <c r="J87" s="125">
        <f t="shared" si="2"/>
        <v>1</v>
      </c>
      <c r="K87" s="745">
        <f t="shared" si="27"/>
        <v>1017727</v>
      </c>
    </row>
    <row r="88" spans="1:11" ht="12.75" customHeight="1" x14ac:dyDescent="0.2">
      <c r="A88" s="583" t="s">
        <v>174</v>
      </c>
      <c r="B88" s="170"/>
      <c r="C88" s="758"/>
      <c r="D88" s="763"/>
      <c r="E88" s="743"/>
      <c r="F88" s="743"/>
      <c r="G88" s="743"/>
      <c r="H88" s="743">
        <f t="shared" si="26"/>
        <v>0</v>
      </c>
      <c r="I88" s="45">
        <f t="shared" si="1"/>
        <v>0</v>
      </c>
      <c r="J88" s="125" t="str">
        <f t="shared" si="2"/>
        <v/>
      </c>
      <c r="K88" s="745">
        <f t="shared" si="27"/>
        <v>0</v>
      </c>
    </row>
    <row r="89" spans="1:11" ht="12.75" customHeight="1" x14ac:dyDescent="0.2">
      <c r="A89" s="583" t="s">
        <v>1320</v>
      </c>
      <c r="B89" s="170"/>
      <c r="C89" s="758"/>
      <c r="D89" s="763"/>
      <c r="E89" s="743"/>
      <c r="F89" s="743"/>
      <c r="G89" s="743"/>
      <c r="H89" s="743">
        <f t="shared" si="26"/>
        <v>0</v>
      </c>
      <c r="I89" s="45">
        <f t="shared" si="1"/>
        <v>0</v>
      </c>
      <c r="J89" s="125" t="str">
        <f t="shared" si="2"/>
        <v/>
      </c>
      <c r="K89" s="745">
        <f t="shared" si="27"/>
        <v>0</v>
      </c>
    </row>
    <row r="90" spans="1:11" ht="12.75" customHeight="1" x14ac:dyDescent="0.2">
      <c r="A90" s="583" t="s">
        <v>1321</v>
      </c>
      <c r="B90" s="170"/>
      <c r="C90" s="758"/>
      <c r="D90" s="763">
        <v>8963132</v>
      </c>
      <c r="E90" s="743"/>
      <c r="F90" s="743"/>
      <c r="G90" s="743"/>
      <c r="H90" s="743">
        <f t="shared" si="26"/>
        <v>2987710.6666666665</v>
      </c>
      <c r="I90" s="45">
        <f t="shared" si="1"/>
        <v>2987710.6666666665</v>
      </c>
      <c r="J90" s="125">
        <f t="shared" si="2"/>
        <v>1</v>
      </c>
      <c r="K90" s="745">
        <f t="shared" si="27"/>
        <v>8963132</v>
      </c>
    </row>
    <row r="91" spans="1:11" ht="12.75" customHeight="1" x14ac:dyDescent="0.2">
      <c r="A91" s="583" t="s">
        <v>1322</v>
      </c>
      <c r="B91" s="170"/>
      <c r="C91" s="758">
        <v>432066.62000000477</v>
      </c>
      <c r="D91" s="763">
        <v>395882</v>
      </c>
      <c r="E91" s="743"/>
      <c r="F91" s="743"/>
      <c r="G91" s="743"/>
      <c r="H91" s="743">
        <f t="shared" si="26"/>
        <v>131960.66666666666</v>
      </c>
      <c r="I91" s="45">
        <f t="shared" si="1"/>
        <v>131960.66666666666</v>
      </c>
      <c r="J91" s="125">
        <f t="shared" si="2"/>
        <v>1</v>
      </c>
      <c r="K91" s="745">
        <f t="shared" si="27"/>
        <v>395882</v>
      </c>
    </row>
    <row r="92" spans="1:11" ht="12.75" customHeight="1" x14ac:dyDescent="0.2">
      <c r="A92" s="583" t="s">
        <v>1323</v>
      </c>
      <c r="B92" s="170"/>
      <c r="C92" s="758"/>
      <c r="D92" s="763">
        <v>3230437</v>
      </c>
      <c r="E92" s="743"/>
      <c r="F92" s="743"/>
      <c r="G92" s="743"/>
      <c r="H92" s="743">
        <f t="shared" si="26"/>
        <v>1076812.3333333333</v>
      </c>
      <c r="I92" s="45">
        <f t="shared" si="1"/>
        <v>1076812.3333333333</v>
      </c>
      <c r="J92" s="125">
        <f t="shared" si="2"/>
        <v>1</v>
      </c>
      <c r="K92" s="745">
        <f t="shared" si="27"/>
        <v>3230437</v>
      </c>
    </row>
    <row r="93" spans="1:11" ht="12.75" customHeight="1" x14ac:dyDescent="0.2">
      <c r="A93" s="583" t="s">
        <v>452</v>
      </c>
      <c r="B93" s="170"/>
      <c r="C93" s="758"/>
      <c r="D93" s="763"/>
      <c r="E93" s="743"/>
      <c r="F93" s="743"/>
      <c r="G93" s="743"/>
      <c r="H93" s="743">
        <f t="shared" si="26"/>
        <v>0</v>
      </c>
      <c r="I93" s="45">
        <f t="shared" si="1"/>
        <v>0</v>
      </c>
      <c r="J93" s="125" t="str">
        <f t="shared" si="2"/>
        <v/>
      </c>
      <c r="K93" s="745">
        <f t="shared" si="27"/>
        <v>0</v>
      </c>
    </row>
    <row r="94" spans="1:11" ht="12.75" customHeight="1" x14ac:dyDescent="0.2">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
      <c r="A96" s="583" t="s">
        <v>1325</v>
      </c>
      <c r="B96" s="170"/>
      <c r="C96" s="758"/>
      <c r="D96" s="763">
        <v>5917</v>
      </c>
      <c r="E96" s="743"/>
      <c r="F96" s="743"/>
      <c r="G96" s="743"/>
      <c r="H96" s="743">
        <f t="shared" si="26"/>
        <v>1972.3333333333333</v>
      </c>
      <c r="I96" s="45">
        <f t="shared" si="1"/>
        <v>1972.3333333333333</v>
      </c>
      <c r="J96" s="125">
        <f t="shared" si="2"/>
        <v>1</v>
      </c>
      <c r="K96" s="745">
        <f t="shared" si="27"/>
        <v>5917</v>
      </c>
    </row>
    <row r="97" spans="1:11" ht="12.75" customHeight="1" x14ac:dyDescent="0.2">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
      <c r="A98" s="583" t="s">
        <v>1261</v>
      </c>
      <c r="B98" s="170"/>
      <c r="C98" s="758">
        <v>7755748</v>
      </c>
      <c r="D98" s="763">
        <v>4797982</v>
      </c>
      <c r="E98" s="743"/>
      <c r="F98" s="743"/>
      <c r="G98" s="743"/>
      <c r="H98" s="743">
        <f t="shared" si="26"/>
        <v>1599327.3333333333</v>
      </c>
      <c r="I98" s="45">
        <f t="shared" si="1"/>
        <v>1599327.3333333333</v>
      </c>
      <c r="J98" s="125">
        <f t="shared" si="2"/>
        <v>1</v>
      </c>
      <c r="K98" s="745">
        <f t="shared" si="27"/>
        <v>4797982</v>
      </c>
    </row>
    <row r="99" spans="1:11" ht="12.75" customHeight="1" x14ac:dyDescent="0.2">
      <c r="A99" s="521" t="s">
        <v>1327</v>
      </c>
      <c r="B99" s="170"/>
      <c r="C99" s="657">
        <f t="shared" ref="C99:H99" si="28">SUM(C100:C102)</f>
        <v>3221875.04</v>
      </c>
      <c r="D99" s="658">
        <f t="shared" si="28"/>
        <v>4322996</v>
      </c>
      <c r="E99" s="411">
        <f t="shared" si="28"/>
        <v>0</v>
      </c>
      <c r="F99" s="411">
        <f t="shared" si="28"/>
        <v>0</v>
      </c>
      <c r="G99" s="411">
        <f t="shared" si="28"/>
        <v>850000</v>
      </c>
      <c r="H99" s="411">
        <f t="shared" si="28"/>
        <v>1440998.6666666667</v>
      </c>
      <c r="I99" s="259">
        <f t="shared" si="1"/>
        <v>590998.66666666674</v>
      </c>
      <c r="J99" s="584">
        <f t="shared" si="2"/>
        <v>0.41013130708425366</v>
      </c>
      <c r="K99" s="651">
        <f>SUM(K100:K102)</f>
        <v>4322996</v>
      </c>
    </row>
    <row r="100" spans="1:11" ht="12.75" customHeight="1" x14ac:dyDescent="0.2">
      <c r="A100" s="583" t="s">
        <v>1328</v>
      </c>
      <c r="B100" s="170"/>
      <c r="C100" s="758">
        <v>3221875.04</v>
      </c>
      <c r="D100" s="763">
        <v>4322996</v>
      </c>
      <c r="E100" s="743"/>
      <c r="F100" s="743"/>
      <c r="G100" s="743">
        <f>850000</f>
        <v>850000</v>
      </c>
      <c r="H100" s="743">
        <f>D100/12*4</f>
        <v>1440998.6666666667</v>
      </c>
      <c r="I100" s="45">
        <f t="shared" si="1"/>
        <v>590998.66666666674</v>
      </c>
      <c r="J100" s="125">
        <f t="shared" si="2"/>
        <v>0.41013130708425366</v>
      </c>
      <c r="K100" s="745">
        <f>D100</f>
        <v>4322996</v>
      </c>
    </row>
    <row r="101" spans="1:11" ht="12.75" customHeight="1" x14ac:dyDescent="0.2">
      <c r="A101" s="583" t="s">
        <v>1329</v>
      </c>
      <c r="B101" s="170"/>
      <c r="C101" s="758"/>
      <c r="D101" s="763"/>
      <c r="E101" s="743"/>
      <c r="F101" s="743"/>
      <c r="G101" s="743"/>
      <c r="H101" s="743">
        <f>D101/12*4</f>
        <v>0</v>
      </c>
      <c r="I101" s="45">
        <f>H101-G101</f>
        <v>0</v>
      </c>
      <c r="J101" s="125" t="str">
        <f>IF(I101=0,"",I101/H101)</f>
        <v/>
      </c>
      <c r="K101" s="745">
        <f t="shared" ref="K101:K102" si="29">D101</f>
        <v>0</v>
      </c>
    </row>
    <row r="102" spans="1:11" ht="12.75" customHeight="1" x14ac:dyDescent="0.2">
      <c r="A102" s="583" t="s">
        <v>1261</v>
      </c>
      <c r="B102" s="170"/>
      <c r="C102" s="758"/>
      <c r="D102" s="763"/>
      <c r="E102" s="743"/>
      <c r="F102" s="743"/>
      <c r="G102" s="743"/>
      <c r="H102" s="743">
        <f>D102/12*4</f>
        <v>0</v>
      </c>
      <c r="I102" s="45">
        <f t="shared" si="1"/>
        <v>0</v>
      </c>
      <c r="J102" s="125" t="str">
        <f t="shared" si="2"/>
        <v/>
      </c>
      <c r="K102" s="745">
        <f t="shared" si="29"/>
        <v>0</v>
      </c>
    </row>
    <row r="103" spans="1:11" ht="12.75" customHeight="1" x14ac:dyDescent="0.2">
      <c r="A103" s="553" t="s">
        <v>691</v>
      </c>
      <c r="B103" s="170"/>
      <c r="C103" s="250">
        <f t="shared" ref="C103:H103" si="30">SUM(C104:C108)</f>
        <v>0</v>
      </c>
      <c r="D103" s="265">
        <f t="shared" si="30"/>
        <v>0</v>
      </c>
      <c r="E103" s="100">
        <f t="shared" si="30"/>
        <v>0</v>
      </c>
      <c r="F103" s="100">
        <f t="shared" si="30"/>
        <v>0</v>
      </c>
      <c r="G103" s="100">
        <f t="shared" si="30"/>
        <v>0</v>
      </c>
      <c r="H103" s="100">
        <f t="shared" si="30"/>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1">+C111+C114</f>
        <v>0</v>
      </c>
      <c r="D110" s="586">
        <f t="shared" si="31"/>
        <v>0</v>
      </c>
      <c r="E110" s="587">
        <f t="shared" si="31"/>
        <v>0</v>
      </c>
      <c r="F110" s="587">
        <f t="shared" si="31"/>
        <v>0</v>
      </c>
      <c r="G110" s="587">
        <f t="shared" si="31"/>
        <v>0</v>
      </c>
      <c r="H110" s="587">
        <f t="shared" si="31"/>
        <v>0</v>
      </c>
      <c r="I110" s="100">
        <f t="shared" si="1"/>
        <v>0</v>
      </c>
      <c r="J110" s="327" t="str">
        <f t="shared" si="2"/>
        <v/>
      </c>
      <c r="K110" s="589">
        <f>+K111+K114</f>
        <v>0</v>
      </c>
    </row>
    <row r="111" spans="1:11" ht="12.75" customHeight="1" x14ac:dyDescent="0.2">
      <c r="A111" s="521" t="s">
        <v>1336</v>
      </c>
      <c r="B111" s="170"/>
      <c r="C111" s="657">
        <f t="shared" ref="C111:H111" si="32">SUM(C112:C113)</f>
        <v>0</v>
      </c>
      <c r="D111" s="658">
        <f t="shared" si="32"/>
        <v>0</v>
      </c>
      <c r="E111" s="411">
        <f t="shared" si="32"/>
        <v>0</v>
      </c>
      <c r="F111" s="411">
        <f t="shared" si="32"/>
        <v>0</v>
      </c>
      <c r="G111" s="411">
        <f t="shared" si="32"/>
        <v>0</v>
      </c>
      <c r="H111" s="411">
        <f t="shared" si="32"/>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3">SUM(C115:C116)</f>
        <v>0</v>
      </c>
      <c r="D114" s="658">
        <f t="shared" si="33"/>
        <v>0</v>
      </c>
      <c r="E114" s="411">
        <f t="shared" si="33"/>
        <v>0</v>
      </c>
      <c r="F114" s="411">
        <f t="shared" si="33"/>
        <v>0</v>
      </c>
      <c r="G114" s="411">
        <f t="shared" si="33"/>
        <v>0</v>
      </c>
      <c r="H114" s="411">
        <f t="shared" si="33"/>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4">+C118+C130</f>
        <v>0</v>
      </c>
      <c r="D117" s="586">
        <f t="shared" si="34"/>
        <v>1448528</v>
      </c>
      <c r="E117" s="587">
        <f t="shared" si="34"/>
        <v>0</v>
      </c>
      <c r="F117" s="587">
        <f t="shared" si="34"/>
        <v>0</v>
      </c>
      <c r="G117" s="587">
        <f t="shared" si="34"/>
        <v>0</v>
      </c>
      <c r="H117" s="587">
        <f t="shared" si="34"/>
        <v>482842.66666666669</v>
      </c>
      <c r="I117" s="587">
        <f t="shared" si="1"/>
        <v>482842.66666666669</v>
      </c>
      <c r="J117" s="588">
        <f t="shared" si="2"/>
        <v>1</v>
      </c>
      <c r="K117" s="589">
        <f>+K118+K130</f>
        <v>1448528</v>
      </c>
    </row>
    <row r="118" spans="1:11" ht="12.75" customHeight="1" x14ac:dyDescent="0.2">
      <c r="A118" s="521" t="s">
        <v>1340</v>
      </c>
      <c r="B118" s="170"/>
      <c r="C118" s="657">
        <f t="shared" ref="C118:H118" si="35">SUM(C119:C129)</f>
        <v>0</v>
      </c>
      <c r="D118" s="658">
        <f t="shared" si="35"/>
        <v>1448528</v>
      </c>
      <c r="E118" s="411">
        <f t="shared" si="35"/>
        <v>0</v>
      </c>
      <c r="F118" s="411">
        <f t="shared" si="35"/>
        <v>0</v>
      </c>
      <c r="G118" s="411">
        <f t="shared" si="35"/>
        <v>0</v>
      </c>
      <c r="H118" s="411">
        <f t="shared" si="35"/>
        <v>482842.66666666669</v>
      </c>
      <c r="I118" s="259">
        <f t="shared" si="1"/>
        <v>482842.66666666669</v>
      </c>
      <c r="J118" s="584">
        <f t="shared" si="2"/>
        <v>1</v>
      </c>
      <c r="K118" s="651">
        <f>SUM(K119:K129)</f>
        <v>1448528</v>
      </c>
    </row>
    <row r="119" spans="1:11" ht="12.75" customHeight="1" x14ac:dyDescent="0.2">
      <c r="A119" s="583" t="s">
        <v>1341</v>
      </c>
      <c r="B119" s="170"/>
      <c r="C119" s="758"/>
      <c r="D119" s="763">
        <v>1448528</v>
      </c>
      <c r="E119" s="743"/>
      <c r="F119" s="743"/>
      <c r="G119" s="743"/>
      <c r="H119" s="743">
        <f t="shared" ref="H119:H129" si="36">D119/12*4</f>
        <v>482842.66666666669</v>
      </c>
      <c r="I119" s="45">
        <f t="shared" si="1"/>
        <v>482842.66666666669</v>
      </c>
      <c r="J119" s="125">
        <f t="shared" si="2"/>
        <v>1</v>
      </c>
      <c r="K119" s="745">
        <f>D119</f>
        <v>1448528</v>
      </c>
    </row>
    <row r="120" spans="1:11" ht="12.75" customHeight="1" x14ac:dyDescent="0.2">
      <c r="A120" s="583" t="s">
        <v>1342</v>
      </c>
      <c r="B120" s="170"/>
      <c r="C120" s="758"/>
      <c r="D120" s="763"/>
      <c r="E120" s="743"/>
      <c r="F120" s="743"/>
      <c r="G120" s="743"/>
      <c r="H120" s="743">
        <f t="shared" si="36"/>
        <v>0</v>
      </c>
      <c r="I120" s="45">
        <f t="shared" si="1"/>
        <v>0</v>
      </c>
      <c r="J120" s="125" t="str">
        <f t="shared" si="2"/>
        <v/>
      </c>
      <c r="K120" s="745">
        <f t="shared" ref="K120:K129" si="37">D120</f>
        <v>0</v>
      </c>
    </row>
    <row r="121" spans="1:11" ht="12.75" customHeight="1" x14ac:dyDescent="0.2">
      <c r="A121" s="583" t="s">
        <v>1343</v>
      </c>
      <c r="B121" s="170"/>
      <c r="C121" s="758"/>
      <c r="D121" s="763"/>
      <c r="E121" s="743"/>
      <c r="F121" s="743"/>
      <c r="G121" s="743"/>
      <c r="H121" s="743">
        <f t="shared" si="36"/>
        <v>0</v>
      </c>
      <c r="I121" s="45">
        <f t="shared" si="1"/>
        <v>0</v>
      </c>
      <c r="J121" s="125" t="str">
        <f t="shared" si="2"/>
        <v/>
      </c>
      <c r="K121" s="745">
        <f t="shared" si="37"/>
        <v>0</v>
      </c>
    </row>
    <row r="122" spans="1:11" ht="12.75" customHeight="1" x14ac:dyDescent="0.2">
      <c r="A122" s="583" t="s">
        <v>1344</v>
      </c>
      <c r="B122" s="170"/>
      <c r="C122" s="758"/>
      <c r="D122" s="763"/>
      <c r="E122" s="743"/>
      <c r="F122" s="743"/>
      <c r="G122" s="743"/>
      <c r="H122" s="743">
        <f t="shared" si="36"/>
        <v>0</v>
      </c>
      <c r="I122" s="45">
        <f t="shared" si="1"/>
        <v>0</v>
      </c>
      <c r="J122" s="125" t="str">
        <f t="shared" si="2"/>
        <v/>
      </c>
      <c r="K122" s="745">
        <f t="shared" si="37"/>
        <v>0</v>
      </c>
    </row>
    <row r="123" spans="1:11" ht="12.75" customHeight="1" x14ac:dyDescent="0.2">
      <c r="A123" s="583" t="s">
        <v>1345</v>
      </c>
      <c r="B123" s="170"/>
      <c r="C123" s="758"/>
      <c r="D123" s="763"/>
      <c r="E123" s="743"/>
      <c r="F123" s="743"/>
      <c r="G123" s="743"/>
      <c r="H123" s="743">
        <f t="shared" si="36"/>
        <v>0</v>
      </c>
      <c r="I123" s="45">
        <f t="shared" si="1"/>
        <v>0</v>
      </c>
      <c r="J123" s="125" t="str">
        <f t="shared" si="2"/>
        <v/>
      </c>
      <c r="K123" s="745">
        <f t="shared" si="37"/>
        <v>0</v>
      </c>
    </row>
    <row r="124" spans="1:11" ht="12.75" customHeight="1" x14ac:dyDescent="0.2">
      <c r="A124" s="583" t="s">
        <v>1346</v>
      </c>
      <c r="B124" s="170"/>
      <c r="C124" s="758"/>
      <c r="D124" s="763"/>
      <c r="E124" s="743"/>
      <c r="F124" s="743"/>
      <c r="G124" s="743"/>
      <c r="H124" s="743">
        <f t="shared" si="36"/>
        <v>0</v>
      </c>
      <c r="I124" s="45">
        <f t="shared" si="1"/>
        <v>0</v>
      </c>
      <c r="J124" s="125" t="str">
        <f t="shared" si="2"/>
        <v/>
      </c>
      <c r="K124" s="745">
        <f t="shared" si="37"/>
        <v>0</v>
      </c>
    </row>
    <row r="125" spans="1:11" ht="12.75" customHeight="1" x14ac:dyDescent="0.2">
      <c r="A125" s="583" t="s">
        <v>1347</v>
      </c>
      <c r="B125" s="170"/>
      <c r="C125" s="758"/>
      <c r="D125" s="763"/>
      <c r="E125" s="743"/>
      <c r="F125" s="743"/>
      <c r="G125" s="743"/>
      <c r="H125" s="743">
        <f t="shared" si="36"/>
        <v>0</v>
      </c>
      <c r="I125" s="45">
        <f t="shared" si="1"/>
        <v>0</v>
      </c>
      <c r="J125" s="125" t="str">
        <f t="shared" si="2"/>
        <v/>
      </c>
      <c r="K125" s="745">
        <f t="shared" si="37"/>
        <v>0</v>
      </c>
    </row>
    <row r="126" spans="1:11" ht="12.75" customHeight="1" x14ac:dyDescent="0.2">
      <c r="A126" s="583" t="s">
        <v>1348</v>
      </c>
      <c r="B126" s="170"/>
      <c r="C126" s="758"/>
      <c r="D126" s="763"/>
      <c r="E126" s="743"/>
      <c r="F126" s="743"/>
      <c r="G126" s="743"/>
      <c r="H126" s="743">
        <f t="shared" si="36"/>
        <v>0</v>
      </c>
      <c r="I126" s="45">
        <f t="shared" si="1"/>
        <v>0</v>
      </c>
      <c r="J126" s="125" t="str">
        <f t="shared" si="2"/>
        <v/>
      </c>
      <c r="K126" s="745">
        <f t="shared" si="37"/>
        <v>0</v>
      </c>
    </row>
    <row r="127" spans="1:11" ht="12.75" customHeight="1" x14ac:dyDescent="0.2">
      <c r="A127" s="583" t="s">
        <v>1349</v>
      </c>
      <c r="B127" s="170"/>
      <c r="C127" s="758"/>
      <c r="D127" s="763"/>
      <c r="E127" s="743"/>
      <c r="F127" s="743"/>
      <c r="G127" s="743"/>
      <c r="H127" s="743">
        <f t="shared" si="36"/>
        <v>0</v>
      </c>
      <c r="I127" s="45">
        <f t="shared" si="1"/>
        <v>0</v>
      </c>
      <c r="J127" s="125" t="str">
        <f t="shared" si="2"/>
        <v/>
      </c>
      <c r="K127" s="745">
        <f t="shared" si="37"/>
        <v>0</v>
      </c>
    </row>
    <row r="128" spans="1:11" ht="12.75" customHeight="1" x14ac:dyDescent="0.2">
      <c r="A128" s="583" t="s">
        <v>1350</v>
      </c>
      <c r="B128" s="170"/>
      <c r="C128" s="758"/>
      <c r="D128" s="763"/>
      <c r="E128" s="743"/>
      <c r="F128" s="743"/>
      <c r="G128" s="743"/>
      <c r="H128" s="743">
        <f t="shared" si="36"/>
        <v>0</v>
      </c>
      <c r="I128" s="45">
        <f t="shared" si="1"/>
        <v>0</v>
      </c>
      <c r="J128" s="125" t="str">
        <f t="shared" si="2"/>
        <v/>
      </c>
      <c r="K128" s="745">
        <f t="shared" si="37"/>
        <v>0</v>
      </c>
    </row>
    <row r="129" spans="1:11" ht="12.75" customHeight="1" x14ac:dyDescent="0.2">
      <c r="A129" s="583" t="s">
        <v>1261</v>
      </c>
      <c r="B129" s="170"/>
      <c r="C129" s="758"/>
      <c r="D129" s="763"/>
      <c r="E129" s="743"/>
      <c r="F129" s="743"/>
      <c r="G129" s="743"/>
      <c r="H129" s="743">
        <f t="shared" si="36"/>
        <v>0</v>
      </c>
      <c r="I129" s="45">
        <f t="shared" si="1"/>
        <v>0</v>
      </c>
      <c r="J129" s="125" t="str">
        <f t="shared" si="2"/>
        <v/>
      </c>
      <c r="K129" s="745">
        <f t="shared" si="37"/>
        <v>0</v>
      </c>
    </row>
    <row r="130" spans="1:11" ht="12.75" customHeight="1" x14ac:dyDescent="0.2">
      <c r="A130" s="521" t="s">
        <v>734</v>
      </c>
      <c r="B130" s="170"/>
      <c r="C130" s="657">
        <f t="shared" ref="C130:H130" si="38">SUM(C131:C133)</f>
        <v>0</v>
      </c>
      <c r="D130" s="658">
        <f t="shared" si="38"/>
        <v>0</v>
      </c>
      <c r="E130" s="411">
        <f t="shared" si="38"/>
        <v>0</v>
      </c>
      <c r="F130" s="411">
        <f t="shared" si="38"/>
        <v>0</v>
      </c>
      <c r="G130" s="411">
        <f t="shared" si="38"/>
        <v>0</v>
      </c>
      <c r="H130" s="411">
        <f t="shared" si="38"/>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39">SUM(C136:C136)</f>
        <v>0</v>
      </c>
      <c r="D135" s="586">
        <f t="shared" si="39"/>
        <v>0</v>
      </c>
      <c r="E135" s="587">
        <f t="shared" si="39"/>
        <v>0</v>
      </c>
      <c r="F135" s="587">
        <f t="shared" si="39"/>
        <v>0</v>
      </c>
      <c r="G135" s="587">
        <f t="shared" si="39"/>
        <v>0</v>
      </c>
      <c r="H135" s="587">
        <f t="shared" si="39"/>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0">IF(I137=0,"",I137/H137)</f>
        <v/>
      </c>
      <c r="K137" s="145"/>
    </row>
    <row r="138" spans="1:11" s="101" customFormat="1" ht="12.75" customHeight="1" x14ac:dyDescent="0.2">
      <c r="A138" s="553" t="s">
        <v>1354</v>
      </c>
      <c r="B138" s="172"/>
      <c r="C138" s="952">
        <f t="shared" ref="C138:H138" si="41">SUM(C139:C140)</f>
        <v>38333148.339999899</v>
      </c>
      <c r="D138" s="953">
        <f t="shared" si="41"/>
        <v>12742158</v>
      </c>
      <c r="E138" s="954">
        <f t="shared" si="41"/>
        <v>0</v>
      </c>
      <c r="F138" s="954">
        <f t="shared" si="41"/>
        <v>0</v>
      </c>
      <c r="G138" s="954">
        <f t="shared" si="41"/>
        <v>0</v>
      </c>
      <c r="H138" s="954">
        <f t="shared" si="41"/>
        <v>4247386</v>
      </c>
      <c r="I138" s="954">
        <f t="shared" ref="I138:I146" si="42">H138-G138</f>
        <v>4247386</v>
      </c>
      <c r="J138" s="327">
        <f t="shared" si="40"/>
        <v>1</v>
      </c>
      <c r="K138" s="955">
        <f>SUM(K139:K140)</f>
        <v>12742158</v>
      </c>
    </row>
    <row r="139" spans="1:11" ht="12.75" customHeight="1" x14ac:dyDescent="0.2">
      <c r="A139" s="520" t="s">
        <v>1355</v>
      </c>
      <c r="B139" s="170"/>
      <c r="C139" s="758"/>
      <c r="D139" s="763"/>
      <c r="E139" s="743"/>
      <c r="F139" s="743"/>
      <c r="G139" s="743"/>
      <c r="H139" s="743"/>
      <c r="I139" s="45">
        <f t="shared" si="42"/>
        <v>0</v>
      </c>
      <c r="J139" s="125" t="str">
        <f t="shared" si="40"/>
        <v/>
      </c>
      <c r="K139" s="745"/>
    </row>
    <row r="140" spans="1:11" ht="12.75" customHeight="1" x14ac:dyDescent="0.2">
      <c r="A140" s="520" t="s">
        <v>1356</v>
      </c>
      <c r="B140" s="170"/>
      <c r="C140" s="657">
        <f t="shared" ref="C140:H140" si="43">SUM(C141:C146)</f>
        <v>38333148.339999899</v>
      </c>
      <c r="D140" s="658">
        <f t="shared" si="43"/>
        <v>12742158</v>
      </c>
      <c r="E140" s="411">
        <f t="shared" si="43"/>
        <v>0</v>
      </c>
      <c r="F140" s="411">
        <f t="shared" si="43"/>
        <v>0</v>
      </c>
      <c r="G140" s="411">
        <f t="shared" si="43"/>
        <v>0</v>
      </c>
      <c r="H140" s="411">
        <f t="shared" si="43"/>
        <v>4247386</v>
      </c>
      <c r="I140" s="259">
        <f t="shared" si="42"/>
        <v>4247386</v>
      </c>
      <c r="J140" s="584">
        <f t="shared" si="40"/>
        <v>1</v>
      </c>
      <c r="K140" s="651">
        <f>SUM(K141:K146)</f>
        <v>12742158</v>
      </c>
    </row>
    <row r="141" spans="1:11" ht="12.75" customHeight="1" x14ac:dyDescent="0.2">
      <c r="A141" s="583" t="s">
        <v>1357</v>
      </c>
      <c r="B141" s="170"/>
      <c r="C141" s="758"/>
      <c r="D141" s="763"/>
      <c r="E141" s="743"/>
      <c r="F141" s="743"/>
      <c r="G141" s="743"/>
      <c r="H141" s="743">
        <f t="shared" ref="H141:H146" si="44">D141/12*4</f>
        <v>0</v>
      </c>
      <c r="I141" s="45">
        <f t="shared" si="42"/>
        <v>0</v>
      </c>
      <c r="J141" s="125" t="str">
        <f t="shared" si="40"/>
        <v/>
      </c>
      <c r="K141" s="745">
        <f>D141</f>
        <v>0</v>
      </c>
    </row>
    <row r="142" spans="1:11" ht="12.75" customHeight="1" x14ac:dyDescent="0.2">
      <c r="A142" s="583" t="s">
        <v>1358</v>
      </c>
      <c r="B142" s="170"/>
      <c r="C142" s="758"/>
      <c r="D142" s="763"/>
      <c r="E142" s="743"/>
      <c r="F142" s="743"/>
      <c r="G142" s="743"/>
      <c r="H142" s="743">
        <f t="shared" si="44"/>
        <v>0</v>
      </c>
      <c r="I142" s="45">
        <f t="shared" si="42"/>
        <v>0</v>
      </c>
      <c r="J142" s="125" t="str">
        <f t="shared" si="40"/>
        <v/>
      </c>
      <c r="K142" s="745">
        <f t="shared" ref="K142:K146" si="45">D142</f>
        <v>0</v>
      </c>
    </row>
    <row r="143" spans="1:11" ht="12.75" customHeight="1" x14ac:dyDescent="0.2">
      <c r="A143" s="583" t="s">
        <v>1359</v>
      </c>
      <c r="B143" s="170"/>
      <c r="C143" s="758"/>
      <c r="D143" s="763"/>
      <c r="E143" s="743"/>
      <c r="F143" s="743"/>
      <c r="G143" s="743"/>
      <c r="H143" s="743">
        <f t="shared" si="44"/>
        <v>0</v>
      </c>
      <c r="I143" s="45">
        <f t="shared" si="42"/>
        <v>0</v>
      </c>
      <c r="J143" s="125" t="str">
        <f t="shared" si="40"/>
        <v/>
      </c>
      <c r="K143" s="745">
        <f t="shared" si="45"/>
        <v>0</v>
      </c>
    </row>
    <row r="144" spans="1:11" ht="12.75" customHeight="1" x14ac:dyDescent="0.2">
      <c r="A144" s="583" t="s">
        <v>1360</v>
      </c>
      <c r="B144" s="170"/>
      <c r="C144" s="758">
        <v>38333148.339999899</v>
      </c>
      <c r="D144" s="763">
        <v>12742158</v>
      </c>
      <c r="E144" s="743"/>
      <c r="F144" s="743"/>
      <c r="G144" s="743"/>
      <c r="H144" s="743">
        <f t="shared" si="44"/>
        <v>4247386</v>
      </c>
      <c r="I144" s="45">
        <f t="shared" si="42"/>
        <v>4247386</v>
      </c>
      <c r="J144" s="125">
        <f t="shared" si="40"/>
        <v>1</v>
      </c>
      <c r="K144" s="745">
        <f t="shared" si="45"/>
        <v>12742158</v>
      </c>
    </row>
    <row r="145" spans="1:12" ht="12.75" customHeight="1" x14ac:dyDescent="0.2">
      <c r="A145" s="583" t="s">
        <v>1361</v>
      </c>
      <c r="B145" s="170"/>
      <c r="C145" s="758"/>
      <c r="D145" s="763"/>
      <c r="E145" s="743"/>
      <c r="F145" s="743"/>
      <c r="G145" s="743"/>
      <c r="H145" s="743">
        <f t="shared" si="44"/>
        <v>0</v>
      </c>
      <c r="I145" s="45">
        <f t="shared" si="42"/>
        <v>0</v>
      </c>
      <c r="J145" s="125" t="str">
        <f t="shared" si="40"/>
        <v/>
      </c>
      <c r="K145" s="745">
        <f t="shared" si="45"/>
        <v>0</v>
      </c>
    </row>
    <row r="146" spans="1:12" ht="12.75" customHeight="1" x14ac:dyDescent="0.2">
      <c r="A146" s="583" t="s">
        <v>1362</v>
      </c>
      <c r="B146" s="170"/>
      <c r="C146" s="758"/>
      <c r="D146" s="763"/>
      <c r="E146" s="743"/>
      <c r="F146" s="743"/>
      <c r="G146" s="743"/>
      <c r="H146" s="743">
        <f t="shared" si="44"/>
        <v>0</v>
      </c>
      <c r="I146" s="45">
        <f t="shared" si="42"/>
        <v>0</v>
      </c>
      <c r="J146" s="125" t="str">
        <f t="shared" si="40"/>
        <v/>
      </c>
      <c r="K146" s="745">
        <f t="shared" si="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6">SUM(C149:C149)</f>
        <v>0</v>
      </c>
      <c r="D148" s="586">
        <f t="shared" si="46"/>
        <v>0</v>
      </c>
      <c r="E148" s="587">
        <f t="shared" si="46"/>
        <v>0</v>
      </c>
      <c r="F148" s="587">
        <f t="shared" si="46"/>
        <v>0</v>
      </c>
      <c r="G148" s="587">
        <f t="shared" si="46"/>
        <v>0</v>
      </c>
      <c r="H148" s="587">
        <f t="shared" si="46"/>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7">SUM(C152:C152)</f>
        <v>0</v>
      </c>
      <c r="D151" s="586">
        <f t="shared" si="47"/>
        <v>2026305</v>
      </c>
      <c r="E151" s="587">
        <f t="shared" si="47"/>
        <v>0</v>
      </c>
      <c r="F151" s="587">
        <f t="shared" si="47"/>
        <v>0</v>
      </c>
      <c r="G151" s="587">
        <f t="shared" si="47"/>
        <v>0</v>
      </c>
      <c r="H151" s="587">
        <f t="shared" si="47"/>
        <v>675435</v>
      </c>
      <c r="I151" s="587">
        <f>H151-G151</f>
        <v>675435</v>
      </c>
      <c r="J151" s="327">
        <f>IF(I151=0,"",I151/H151)</f>
        <v>1</v>
      </c>
      <c r="K151" s="589">
        <f>SUM(K152)</f>
        <v>2026305</v>
      </c>
    </row>
    <row r="152" spans="1:12" ht="12.75" customHeight="1" x14ac:dyDescent="0.2">
      <c r="A152" s="521" t="s">
        <v>1364</v>
      </c>
      <c r="B152" s="170"/>
      <c r="C152" s="758"/>
      <c r="D152" s="763">
        <v>2026305</v>
      </c>
      <c r="E152" s="743"/>
      <c r="F152" s="743"/>
      <c r="G152" s="743"/>
      <c r="H152" s="743">
        <f>D152/12*4</f>
        <v>675435</v>
      </c>
      <c r="I152" s="45">
        <f>H152-G152</f>
        <v>675435</v>
      </c>
      <c r="J152" s="125">
        <f>IF(I152=0,"",I152/H152)</f>
        <v>1</v>
      </c>
      <c r="K152" s="745">
        <f>D152</f>
        <v>2026305</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8">SUM(C155:C155)</f>
        <v>0</v>
      </c>
      <c r="D154" s="586">
        <f t="shared" si="48"/>
        <v>19548562</v>
      </c>
      <c r="E154" s="587">
        <f t="shared" si="48"/>
        <v>0</v>
      </c>
      <c r="F154" s="587">
        <f t="shared" si="48"/>
        <v>0</v>
      </c>
      <c r="G154" s="587">
        <f t="shared" si="48"/>
        <v>0</v>
      </c>
      <c r="H154" s="587">
        <f t="shared" si="48"/>
        <v>6516187.333333333</v>
      </c>
      <c r="I154" s="587">
        <f>H154-G154</f>
        <v>6516187.333333333</v>
      </c>
      <c r="J154" s="327">
        <f>IF(I154=0,"",I154/H154)</f>
        <v>1</v>
      </c>
      <c r="K154" s="589">
        <f>SUM(K155)</f>
        <v>19548562</v>
      </c>
    </row>
    <row r="155" spans="1:12" ht="12.75" customHeight="1" x14ac:dyDescent="0.2">
      <c r="A155" s="521" t="s">
        <v>1365</v>
      </c>
      <c r="B155" s="170"/>
      <c r="C155" s="758"/>
      <c r="D155" s="763">
        <v>19548562</v>
      </c>
      <c r="E155" s="743"/>
      <c r="F155" s="743"/>
      <c r="G155" s="743"/>
      <c r="H155" s="743">
        <f>D155/12*4</f>
        <v>6516187.333333333</v>
      </c>
      <c r="I155" s="45">
        <f>H155-G155</f>
        <v>6516187.333333333</v>
      </c>
      <c r="J155" s="125">
        <f>IF(I155=0,"",I155/H155)</f>
        <v>1</v>
      </c>
      <c r="K155" s="745">
        <f>D155</f>
        <v>19548562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49">SUM(C158:C158)</f>
        <v>0</v>
      </c>
      <c r="D157" s="586">
        <f t="shared" si="49"/>
        <v>6158180</v>
      </c>
      <c r="E157" s="587">
        <f t="shared" si="49"/>
        <v>0</v>
      </c>
      <c r="F157" s="587">
        <f t="shared" si="49"/>
        <v>0</v>
      </c>
      <c r="G157" s="587">
        <f t="shared" si="49"/>
        <v>0</v>
      </c>
      <c r="H157" s="587">
        <f t="shared" si="49"/>
        <v>2052726.6666666667</v>
      </c>
      <c r="I157" s="587">
        <f>H157-G157</f>
        <v>2052726.6666666667</v>
      </c>
      <c r="J157" s="327">
        <f>IF(I157=0,"",I157/H157)</f>
        <v>1</v>
      </c>
      <c r="K157" s="589">
        <f>SUM(K158)</f>
        <v>6158180</v>
      </c>
    </row>
    <row r="158" spans="1:12" ht="12.75" customHeight="1" x14ac:dyDescent="0.2">
      <c r="A158" s="521" t="s">
        <v>1366</v>
      </c>
      <c r="B158" s="170"/>
      <c r="C158" s="758"/>
      <c r="D158" s="763">
        <v>6158180</v>
      </c>
      <c r="E158" s="743"/>
      <c r="F158" s="743"/>
      <c r="G158" s="743"/>
      <c r="H158" s="743">
        <f>D158/12*4</f>
        <v>2052726.6666666667</v>
      </c>
      <c r="I158" s="45">
        <f>H158-G158</f>
        <v>2052726.6666666667</v>
      </c>
      <c r="J158" s="125">
        <f>IF(I158=0,"",I158/H158)</f>
        <v>1</v>
      </c>
      <c r="K158" s="745">
        <f>D158</f>
        <v>6158180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0">SUM(C161:C161)</f>
        <v>0</v>
      </c>
      <c r="D160" s="586">
        <f t="shared" si="50"/>
        <v>0</v>
      </c>
      <c r="E160" s="587">
        <f t="shared" si="50"/>
        <v>0</v>
      </c>
      <c r="F160" s="587">
        <f t="shared" si="50"/>
        <v>0</v>
      </c>
      <c r="G160" s="587">
        <f t="shared" si="50"/>
        <v>0</v>
      </c>
      <c r="H160" s="587">
        <f t="shared" si="50"/>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1">SUM(C164:C164)</f>
        <v>0</v>
      </c>
      <c r="D163" s="586">
        <f t="shared" si="51"/>
        <v>0</v>
      </c>
      <c r="E163" s="587">
        <f t="shared" si="51"/>
        <v>0</v>
      </c>
      <c r="F163" s="587">
        <f t="shared" si="51"/>
        <v>0</v>
      </c>
      <c r="G163" s="587">
        <f t="shared" si="51"/>
        <v>0</v>
      </c>
      <c r="H163" s="587">
        <f t="shared" si="51"/>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910</v>
      </c>
      <c r="B166" s="237">
        <v>1</v>
      </c>
      <c r="C166" s="113">
        <f t="shared" ref="C166:H166" si="52">C7+C75+C103+C110+C117+C135+C138+C148+C151+C154+C157+C160+C163</f>
        <v>211288056.56999987</v>
      </c>
      <c r="D166" s="272">
        <f t="shared" si="52"/>
        <v>204967000</v>
      </c>
      <c r="E166" s="56">
        <f t="shared" si="52"/>
        <v>0</v>
      </c>
      <c r="F166" s="56">
        <f t="shared" si="52"/>
        <v>0</v>
      </c>
      <c r="G166" s="56">
        <f t="shared" si="52"/>
        <v>16775000</v>
      </c>
      <c r="H166" s="56">
        <f t="shared" si="52"/>
        <v>67765797</v>
      </c>
      <c r="I166" s="56">
        <f t="shared" si="1"/>
        <v>50990797</v>
      </c>
      <c r="J166" s="293">
        <f t="shared" si="2"/>
        <v>0.75245624278572276</v>
      </c>
      <c r="K166" s="236">
        <f>K7+K75+K103+K110+K117+K135+K138+K148+K151+K154+K157+K160+K163</f>
        <v>204967000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8" activePane="bottomRight" state="frozen"/>
      <selection pane="topRight"/>
      <selection pane="bottomLeft"/>
      <selection pane="bottomRight" activeCell="F173" sqref="F173"/>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"&amp;S71Sd&amp; " - "&amp;Head57</f>
        <v>LIM354 Polokwane - Supporting Table SC13d Monthly Budget Statement - depreciation by asset class - M04 October</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1098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88554513.244000003</v>
      </c>
      <c r="D7" s="611">
        <f t="shared" si="0"/>
        <v>116618171.31044212</v>
      </c>
      <c r="E7" s="103">
        <f t="shared" si="0"/>
        <v>0</v>
      </c>
      <c r="F7" s="103">
        <f t="shared" si="0"/>
        <v>9718180.9425368402</v>
      </c>
      <c r="G7" s="103">
        <f t="shared" si="0"/>
        <v>38872723.770147376</v>
      </c>
      <c r="H7" s="103">
        <f t="shared" si="0"/>
        <v>38872723.770147376</v>
      </c>
      <c r="I7" s="102">
        <f t="shared" ref="I7:I166" si="1">H7-G7</f>
        <v>0</v>
      </c>
      <c r="J7" s="588" t="str">
        <f t="shared" ref="J7:J166" si="2">IF(I7=0,"",I7/H7)</f>
        <v/>
      </c>
      <c r="K7" s="612">
        <f>K8+K13+K17+K27+K38+K45+K53+K63+K69</f>
        <v>116618171.31044212</v>
      </c>
    </row>
    <row r="8" spans="1:11" ht="12.75" customHeight="1" x14ac:dyDescent="0.2">
      <c r="A8" s="521" t="s">
        <v>1258</v>
      </c>
      <c r="B8" s="170"/>
      <c r="C8" s="686">
        <f t="shared" ref="C8:H8" si="3">SUM(C9:C12)</f>
        <v>25340137.716000002</v>
      </c>
      <c r="D8" s="618">
        <f t="shared" si="3"/>
        <v>53578947.875910059</v>
      </c>
      <c r="E8" s="617">
        <f t="shared" si="3"/>
        <v>0</v>
      </c>
      <c r="F8" s="617">
        <f t="shared" si="3"/>
        <v>4464912.3229925046</v>
      </c>
      <c r="G8" s="617">
        <f t="shared" si="3"/>
        <v>17859649.291970018</v>
      </c>
      <c r="H8" s="617">
        <f t="shared" si="3"/>
        <v>17859649.291970018</v>
      </c>
      <c r="I8" s="259">
        <f t="shared" si="1"/>
        <v>0</v>
      </c>
      <c r="J8" s="584" t="str">
        <f t="shared" si="2"/>
        <v/>
      </c>
      <c r="K8" s="619">
        <f>SUM(K9:K12)</f>
        <v>53578947.875910059</v>
      </c>
    </row>
    <row r="9" spans="1:11" ht="12.75" customHeight="1" x14ac:dyDescent="0.2">
      <c r="A9" s="583" t="s">
        <v>176</v>
      </c>
      <c r="B9" s="170"/>
      <c r="C9" s="758">
        <v>25340137.716000002</v>
      </c>
      <c r="D9" s="755">
        <v>45516148.736055359</v>
      </c>
      <c r="E9" s="743"/>
      <c r="F9" s="743">
        <v>3793012.3946712799</v>
      </c>
      <c r="G9" s="743">
        <f t="shared" ref="G9:G10" si="4">H9</f>
        <v>15172049.57868512</v>
      </c>
      <c r="H9" s="743">
        <f>D9/12*4</f>
        <v>15172049.57868512</v>
      </c>
      <c r="I9" s="259">
        <f t="shared" si="1"/>
        <v>0</v>
      </c>
      <c r="J9" s="584" t="str">
        <f t="shared" si="2"/>
        <v/>
      </c>
      <c r="K9" s="745">
        <f>D9</f>
        <v>45516148.736055359</v>
      </c>
    </row>
    <row r="10" spans="1:11" ht="12.75" customHeight="1" x14ac:dyDescent="0.2">
      <c r="A10" s="583" t="s">
        <v>1259</v>
      </c>
      <c r="B10" s="170"/>
      <c r="C10" s="758"/>
      <c r="D10" s="755">
        <v>7470028.0282234093</v>
      </c>
      <c r="E10" s="743"/>
      <c r="F10" s="743">
        <v>622502.33568528399</v>
      </c>
      <c r="G10" s="743">
        <f t="shared" si="4"/>
        <v>2490009.3427411364</v>
      </c>
      <c r="H10" s="743">
        <f>D10/12*4</f>
        <v>2490009.3427411364</v>
      </c>
      <c r="I10" s="259">
        <f t="shared" si="1"/>
        <v>0</v>
      </c>
      <c r="J10" s="584" t="str">
        <f t="shared" si="2"/>
        <v/>
      </c>
      <c r="K10" s="745">
        <f t="shared" ref="K10:K12" si="5">D10</f>
        <v>7470028.0282234093</v>
      </c>
    </row>
    <row r="11" spans="1:11" ht="12.75" customHeight="1" x14ac:dyDescent="0.2">
      <c r="A11" s="583" t="s">
        <v>1260</v>
      </c>
      <c r="B11" s="170"/>
      <c r="C11" s="758"/>
      <c r="D11" s="755">
        <v>592771.11163129122</v>
      </c>
      <c r="E11" s="743"/>
      <c r="F11" s="743">
        <v>49397.592635940899</v>
      </c>
      <c r="G11" s="743">
        <f>H11</f>
        <v>197590.37054376374</v>
      </c>
      <c r="H11" s="743">
        <f>D11/12*4</f>
        <v>197590.37054376374</v>
      </c>
      <c r="I11" s="259">
        <f t="shared" si="1"/>
        <v>0</v>
      </c>
      <c r="J11" s="584" t="str">
        <f t="shared" si="2"/>
        <v/>
      </c>
      <c r="K11" s="745">
        <f t="shared" si="5"/>
        <v>592771.11163129122</v>
      </c>
    </row>
    <row r="12" spans="1:11" ht="12.75" customHeight="1" x14ac:dyDescent="0.2">
      <c r="A12" s="583" t="s">
        <v>1261</v>
      </c>
      <c r="B12" s="170"/>
      <c r="C12" s="758"/>
      <c r="D12" s="755"/>
      <c r="E12" s="743"/>
      <c r="F12" s="743">
        <v>0</v>
      </c>
      <c r="G12" s="743">
        <v>0</v>
      </c>
      <c r="H12" s="743">
        <f>D12/12*4</f>
        <v>0</v>
      </c>
      <c r="I12" s="259">
        <f t="shared" si="1"/>
        <v>0</v>
      </c>
      <c r="J12" s="584" t="str">
        <f t="shared" si="2"/>
        <v/>
      </c>
      <c r="K12" s="745">
        <f t="shared" si="5"/>
        <v>0</v>
      </c>
    </row>
    <row r="13" spans="1:11" ht="12.75" customHeight="1" x14ac:dyDescent="0.2">
      <c r="A13" s="521" t="s">
        <v>1262</v>
      </c>
      <c r="B13" s="170"/>
      <c r="C13" s="657">
        <f t="shared" ref="C13:H13" si="6">SUM(C14:C16)</f>
        <v>39555378.740000002</v>
      </c>
      <c r="D13" s="658">
        <f t="shared" si="6"/>
        <v>7893148.4379749699</v>
      </c>
      <c r="E13" s="411">
        <f t="shared" si="6"/>
        <v>0</v>
      </c>
      <c r="F13" s="411">
        <f t="shared" si="6"/>
        <v>657762.36983124702</v>
      </c>
      <c r="G13" s="411">
        <f t="shared" si="6"/>
        <v>2631049.47932499</v>
      </c>
      <c r="H13" s="411">
        <f t="shared" si="6"/>
        <v>2631049.47932499</v>
      </c>
      <c r="I13" s="259">
        <f t="shared" si="1"/>
        <v>0</v>
      </c>
      <c r="J13" s="584" t="str">
        <f t="shared" si="2"/>
        <v/>
      </c>
      <c r="K13" s="651">
        <f>SUM(K14:K16)</f>
        <v>7893148.4379749699</v>
      </c>
    </row>
    <row r="14" spans="1:11" ht="12.75" customHeight="1" x14ac:dyDescent="0.2">
      <c r="A14" s="583" t="s">
        <v>1263</v>
      </c>
      <c r="B14" s="170"/>
      <c r="C14" s="758"/>
      <c r="D14" s="755"/>
      <c r="E14" s="743"/>
      <c r="F14" s="743"/>
      <c r="G14" s="743"/>
      <c r="H14" s="743">
        <f>D14/12*4</f>
        <v>0</v>
      </c>
      <c r="I14" s="259">
        <f t="shared" si="1"/>
        <v>0</v>
      </c>
      <c r="J14" s="584" t="str">
        <f t="shared" si="2"/>
        <v/>
      </c>
      <c r="K14" s="745">
        <f>D14</f>
        <v>0</v>
      </c>
    </row>
    <row r="15" spans="1:11" ht="12.75" customHeight="1" x14ac:dyDescent="0.2">
      <c r="A15" s="583" t="s">
        <v>1264</v>
      </c>
      <c r="B15" s="170"/>
      <c r="C15" s="758">
        <v>39555378.740000002</v>
      </c>
      <c r="D15" s="755">
        <v>7893148.4379749699</v>
      </c>
      <c r="E15" s="743"/>
      <c r="F15" s="743">
        <v>657762.36983124702</v>
      </c>
      <c r="G15" s="743">
        <f>H15</f>
        <v>2631049.47932499</v>
      </c>
      <c r="H15" s="743">
        <f>D15/12*4</f>
        <v>2631049.47932499</v>
      </c>
      <c r="I15" s="259">
        <f t="shared" si="1"/>
        <v>0</v>
      </c>
      <c r="J15" s="584" t="str">
        <f t="shared" si="2"/>
        <v/>
      </c>
      <c r="K15" s="745">
        <f t="shared" ref="K15:K16" si="7">D15</f>
        <v>7893148.4379749699</v>
      </c>
    </row>
    <row r="16" spans="1:11" ht="12.75" customHeight="1" x14ac:dyDescent="0.2">
      <c r="A16" s="583" t="s">
        <v>1265</v>
      </c>
      <c r="B16" s="170"/>
      <c r="C16" s="758"/>
      <c r="D16" s="755"/>
      <c r="E16" s="743"/>
      <c r="F16" s="743"/>
      <c r="G16" s="743"/>
      <c r="H16" s="743">
        <f>D16/12*4</f>
        <v>0</v>
      </c>
      <c r="I16" s="259">
        <f t="shared" si="1"/>
        <v>0</v>
      </c>
      <c r="J16" s="584" t="str">
        <f t="shared" si="2"/>
        <v/>
      </c>
      <c r="K16" s="745">
        <f t="shared" si="7"/>
        <v>0</v>
      </c>
    </row>
    <row r="17" spans="1:11" ht="12.75" customHeight="1" x14ac:dyDescent="0.2">
      <c r="A17" s="521" t="s">
        <v>1266</v>
      </c>
      <c r="B17" s="170"/>
      <c r="C17" s="657">
        <f t="shared" ref="C17:H17" si="8">SUM(C18:C26)</f>
        <v>17978123.524</v>
      </c>
      <c r="D17" s="658">
        <f t="shared" si="8"/>
        <v>22479198.11145559</v>
      </c>
      <c r="E17" s="411">
        <f t="shared" si="8"/>
        <v>0</v>
      </c>
      <c r="F17" s="411">
        <f t="shared" si="8"/>
        <v>1873266.5092879659</v>
      </c>
      <c r="G17" s="411">
        <f t="shared" si="8"/>
        <v>7493066.0371518638</v>
      </c>
      <c r="H17" s="411">
        <f t="shared" si="8"/>
        <v>7493066.0371518638</v>
      </c>
      <c r="I17" s="259">
        <f t="shared" si="1"/>
        <v>0</v>
      </c>
      <c r="J17" s="584" t="str">
        <f t="shared" si="2"/>
        <v/>
      </c>
      <c r="K17" s="651">
        <f>SUM(K18:K26)</f>
        <v>22479198.11145559</v>
      </c>
    </row>
    <row r="18" spans="1:11" ht="12.75" customHeight="1" x14ac:dyDescent="0.2">
      <c r="A18" s="583" t="s">
        <v>1267</v>
      </c>
      <c r="B18" s="170"/>
      <c r="C18" s="758"/>
      <c r="D18" s="755"/>
      <c r="E18" s="743"/>
      <c r="F18" s="743">
        <v>0</v>
      </c>
      <c r="G18" s="743">
        <f t="shared" ref="G18:G24" si="9">H18</f>
        <v>0</v>
      </c>
      <c r="H18" s="743">
        <f t="shared" ref="H18:H26" si="10">D18/12*4</f>
        <v>0</v>
      </c>
      <c r="I18" s="259">
        <f t="shared" si="1"/>
        <v>0</v>
      </c>
      <c r="J18" s="584" t="str">
        <f t="shared" si="2"/>
        <v/>
      </c>
      <c r="K18" s="745">
        <f>D18</f>
        <v>0</v>
      </c>
    </row>
    <row r="19" spans="1:11" ht="12.75" customHeight="1" x14ac:dyDescent="0.2">
      <c r="A19" s="583" t="s">
        <v>1268</v>
      </c>
      <c r="B19" s="170"/>
      <c r="C19" s="758"/>
      <c r="D19" s="755">
        <v>4887379.4075908195</v>
      </c>
      <c r="E19" s="743"/>
      <c r="F19" s="743">
        <v>407281.61729923502</v>
      </c>
      <c r="G19" s="743">
        <f t="shared" si="9"/>
        <v>1629126.4691969398</v>
      </c>
      <c r="H19" s="743">
        <f t="shared" si="10"/>
        <v>1629126.4691969398</v>
      </c>
      <c r="I19" s="259">
        <f t="shared" si="1"/>
        <v>0</v>
      </c>
      <c r="J19" s="584" t="str">
        <f t="shared" si="2"/>
        <v/>
      </c>
      <c r="K19" s="745">
        <f t="shared" ref="K19:K26" si="11">D19</f>
        <v>4887379.4075908195</v>
      </c>
    </row>
    <row r="20" spans="1:11" ht="12.75" customHeight="1" x14ac:dyDescent="0.2">
      <c r="A20" s="583" t="s">
        <v>1269</v>
      </c>
      <c r="B20" s="170"/>
      <c r="C20" s="758"/>
      <c r="D20" s="755"/>
      <c r="E20" s="743"/>
      <c r="F20" s="743">
        <v>0</v>
      </c>
      <c r="G20" s="743">
        <f t="shared" si="9"/>
        <v>0</v>
      </c>
      <c r="H20" s="743">
        <f t="shared" si="10"/>
        <v>0</v>
      </c>
      <c r="I20" s="259">
        <f t="shared" si="1"/>
        <v>0</v>
      </c>
      <c r="J20" s="584" t="str">
        <f t="shared" si="2"/>
        <v/>
      </c>
      <c r="K20" s="745">
        <f t="shared" si="11"/>
        <v>0</v>
      </c>
    </row>
    <row r="21" spans="1:11" ht="12.75" customHeight="1" x14ac:dyDescent="0.2">
      <c r="A21" s="583" t="s">
        <v>1270</v>
      </c>
      <c r="B21" s="170"/>
      <c r="C21" s="758"/>
      <c r="D21" s="755"/>
      <c r="E21" s="743"/>
      <c r="F21" s="743">
        <v>0</v>
      </c>
      <c r="G21" s="743">
        <f t="shared" si="9"/>
        <v>0</v>
      </c>
      <c r="H21" s="743">
        <f t="shared" si="10"/>
        <v>0</v>
      </c>
      <c r="I21" s="259">
        <f t="shared" si="1"/>
        <v>0</v>
      </c>
      <c r="J21" s="584" t="str">
        <f t="shared" si="2"/>
        <v/>
      </c>
      <c r="K21" s="745">
        <f t="shared" si="11"/>
        <v>0</v>
      </c>
    </row>
    <row r="22" spans="1:11" ht="12.75" customHeight="1" x14ac:dyDescent="0.2">
      <c r="A22" s="583" t="s">
        <v>1271</v>
      </c>
      <c r="B22" s="170"/>
      <c r="C22" s="758"/>
      <c r="D22" s="755"/>
      <c r="E22" s="743"/>
      <c r="F22" s="743">
        <v>0</v>
      </c>
      <c r="G22" s="743">
        <f t="shared" si="9"/>
        <v>0</v>
      </c>
      <c r="H22" s="743">
        <f t="shared" si="10"/>
        <v>0</v>
      </c>
      <c r="I22" s="259">
        <f t="shared" si="1"/>
        <v>0</v>
      </c>
      <c r="J22" s="584" t="str">
        <f t="shared" si="2"/>
        <v/>
      </c>
      <c r="K22" s="745">
        <f t="shared" si="11"/>
        <v>0</v>
      </c>
    </row>
    <row r="23" spans="1:11" ht="12.75" customHeight="1" x14ac:dyDescent="0.2">
      <c r="A23" s="583" t="s">
        <v>1272</v>
      </c>
      <c r="B23" s="170"/>
      <c r="C23" s="758"/>
      <c r="D23" s="755"/>
      <c r="E23" s="743"/>
      <c r="F23" s="743">
        <v>0</v>
      </c>
      <c r="G23" s="743">
        <f t="shared" si="9"/>
        <v>0</v>
      </c>
      <c r="H23" s="743">
        <f t="shared" si="10"/>
        <v>0</v>
      </c>
      <c r="I23" s="259">
        <f t="shared" si="1"/>
        <v>0</v>
      </c>
      <c r="J23" s="584" t="str">
        <f t="shared" si="2"/>
        <v/>
      </c>
      <c r="K23" s="745">
        <f t="shared" si="11"/>
        <v>0</v>
      </c>
    </row>
    <row r="24" spans="1:11" ht="12.75" customHeight="1" x14ac:dyDescent="0.2">
      <c r="A24" s="583" t="s">
        <v>1273</v>
      </c>
      <c r="B24" s="170"/>
      <c r="C24" s="758">
        <v>17978123.524</v>
      </c>
      <c r="D24" s="755">
        <v>12012961.636498075</v>
      </c>
      <c r="E24" s="743"/>
      <c r="F24" s="743">
        <v>1001080.13637484</v>
      </c>
      <c r="G24" s="743">
        <f t="shared" si="9"/>
        <v>4004320.5454993583</v>
      </c>
      <c r="H24" s="743">
        <f t="shared" si="10"/>
        <v>4004320.5454993583</v>
      </c>
      <c r="I24" s="259">
        <f t="shared" si="1"/>
        <v>0</v>
      </c>
      <c r="J24" s="584" t="str">
        <f t="shared" si="2"/>
        <v/>
      </c>
      <c r="K24" s="745">
        <f t="shared" si="11"/>
        <v>12012961.636498075</v>
      </c>
    </row>
    <row r="25" spans="1:11" ht="12.75" customHeight="1" x14ac:dyDescent="0.2">
      <c r="A25" s="583" t="s">
        <v>1274</v>
      </c>
      <c r="B25" s="170"/>
      <c r="C25" s="758"/>
      <c r="D25" s="755">
        <v>5578857.067366696</v>
      </c>
      <c r="E25" s="743"/>
      <c r="F25" s="743">
        <v>464904.755613891</v>
      </c>
      <c r="G25" s="743">
        <f>H25</f>
        <v>1859619.0224555654</v>
      </c>
      <c r="H25" s="743">
        <f t="shared" si="10"/>
        <v>1859619.0224555654</v>
      </c>
      <c r="I25" s="259">
        <f t="shared" si="1"/>
        <v>0</v>
      </c>
      <c r="J25" s="584" t="str">
        <f t="shared" si="2"/>
        <v/>
      </c>
      <c r="K25" s="745">
        <f t="shared" si="11"/>
        <v>5578857.067366696</v>
      </c>
    </row>
    <row r="26" spans="1:11" ht="12.75" customHeight="1" x14ac:dyDescent="0.2">
      <c r="A26" s="583" t="s">
        <v>1261</v>
      </c>
      <c r="B26" s="170"/>
      <c r="C26" s="758"/>
      <c r="D26" s="755"/>
      <c r="E26" s="743"/>
      <c r="F26" s="743">
        <v>0</v>
      </c>
      <c r="G26" s="743">
        <v>0</v>
      </c>
      <c r="H26" s="743">
        <f t="shared" si="10"/>
        <v>0</v>
      </c>
      <c r="I26" s="259">
        <f t="shared" si="1"/>
        <v>0</v>
      </c>
      <c r="J26" s="584" t="str">
        <f t="shared" si="2"/>
        <v/>
      </c>
      <c r="K26" s="745">
        <f t="shared" si="11"/>
        <v>0</v>
      </c>
    </row>
    <row r="27" spans="1:11" ht="12.75" customHeight="1" x14ac:dyDescent="0.2">
      <c r="A27" s="520" t="s">
        <v>1275</v>
      </c>
      <c r="B27" s="170"/>
      <c r="C27" s="657">
        <f t="shared" ref="C27:H27" si="12">SUM(C28:C37)</f>
        <v>0</v>
      </c>
      <c r="D27" s="658">
        <f t="shared" si="12"/>
        <v>22921384.394252162</v>
      </c>
      <c r="E27" s="411">
        <f t="shared" si="12"/>
        <v>0</v>
      </c>
      <c r="F27" s="411">
        <f t="shared" si="12"/>
        <v>1910115.3661876791</v>
      </c>
      <c r="G27" s="411">
        <f t="shared" si="12"/>
        <v>7640461.4647507202</v>
      </c>
      <c r="H27" s="411">
        <f t="shared" si="12"/>
        <v>7640461.4647507202</v>
      </c>
      <c r="I27" s="259">
        <f t="shared" si="1"/>
        <v>0</v>
      </c>
      <c r="J27" s="584" t="str">
        <f t="shared" si="2"/>
        <v/>
      </c>
      <c r="K27" s="651">
        <f>SUM(K28:K37)</f>
        <v>22921384.394252162</v>
      </c>
    </row>
    <row r="28" spans="1:11" ht="12.75" customHeight="1" x14ac:dyDescent="0.2">
      <c r="A28" s="583" t="s">
        <v>1276</v>
      </c>
      <c r="B28" s="170"/>
      <c r="C28" s="758"/>
      <c r="D28" s="755">
        <v>627032.38651248696</v>
      </c>
      <c r="E28" s="743"/>
      <c r="F28" s="743">
        <v>52252.698876040602</v>
      </c>
      <c r="G28" s="743">
        <f t="shared" ref="G28:G35" si="13">H28</f>
        <v>209010.79550416232</v>
      </c>
      <c r="H28" s="743">
        <f t="shared" ref="H28:H37" si="14">D28/12*4</f>
        <v>209010.79550416232</v>
      </c>
      <c r="I28" s="259">
        <f t="shared" si="1"/>
        <v>0</v>
      </c>
      <c r="J28" s="584" t="str">
        <f t="shared" si="2"/>
        <v/>
      </c>
      <c r="K28" s="745">
        <f>D28</f>
        <v>627032.38651248696</v>
      </c>
    </row>
    <row r="29" spans="1:11" ht="12.75" customHeight="1" x14ac:dyDescent="0.2">
      <c r="A29" s="583" t="s">
        <v>1277</v>
      </c>
      <c r="B29" s="170"/>
      <c r="C29" s="758"/>
      <c r="D29" s="755">
        <v>1728167.292737965</v>
      </c>
      <c r="E29" s="743"/>
      <c r="F29" s="743">
        <v>144013.941061497</v>
      </c>
      <c r="G29" s="743">
        <f t="shared" si="13"/>
        <v>576055.76424598834</v>
      </c>
      <c r="H29" s="743">
        <f t="shared" si="14"/>
        <v>576055.76424598834</v>
      </c>
      <c r="I29" s="259">
        <f t="shared" si="1"/>
        <v>0</v>
      </c>
      <c r="J29" s="584" t="str">
        <f t="shared" si="2"/>
        <v/>
      </c>
      <c r="K29" s="745">
        <f t="shared" ref="K29:K37" si="15">D29</f>
        <v>1728167.292737965</v>
      </c>
    </row>
    <row r="30" spans="1:11" ht="12.75" customHeight="1" x14ac:dyDescent="0.2">
      <c r="A30" s="583" t="s">
        <v>1278</v>
      </c>
      <c r="B30" s="170"/>
      <c r="C30" s="758"/>
      <c r="D30" s="755">
        <v>4561389.2653264934</v>
      </c>
      <c r="E30" s="743"/>
      <c r="F30" s="743">
        <v>380115.772110541</v>
      </c>
      <c r="G30" s="743">
        <f t="shared" si="13"/>
        <v>1520463.0884421645</v>
      </c>
      <c r="H30" s="743">
        <f t="shared" si="14"/>
        <v>1520463.0884421645</v>
      </c>
      <c r="I30" s="259">
        <f t="shared" si="1"/>
        <v>0</v>
      </c>
      <c r="J30" s="584" t="str">
        <f t="shared" si="2"/>
        <v/>
      </c>
      <c r="K30" s="745">
        <f t="shared" si="15"/>
        <v>4561389.2653264934</v>
      </c>
    </row>
    <row r="31" spans="1:11" ht="12.75" customHeight="1" x14ac:dyDescent="0.2">
      <c r="A31" s="583" t="s">
        <v>1279</v>
      </c>
      <c r="B31" s="170"/>
      <c r="C31" s="758"/>
      <c r="D31" s="755">
        <v>653887.14392628463</v>
      </c>
      <c r="E31" s="743"/>
      <c r="F31" s="743">
        <v>54490.5953271904</v>
      </c>
      <c r="G31" s="743">
        <f t="shared" si="13"/>
        <v>217962.38130876154</v>
      </c>
      <c r="H31" s="743">
        <f t="shared" si="14"/>
        <v>217962.38130876154</v>
      </c>
      <c r="I31" s="259">
        <f t="shared" si="1"/>
        <v>0</v>
      </c>
      <c r="J31" s="584" t="str">
        <f t="shared" si="2"/>
        <v/>
      </c>
      <c r="K31" s="745">
        <f t="shared" si="15"/>
        <v>653887.14392628463</v>
      </c>
    </row>
    <row r="32" spans="1:11" ht="12.75" customHeight="1" x14ac:dyDescent="0.2">
      <c r="A32" s="583" t="s">
        <v>1280</v>
      </c>
      <c r="B32" s="170"/>
      <c r="C32" s="758"/>
      <c r="D32" s="755">
        <v>780401.29302530445</v>
      </c>
      <c r="E32" s="743"/>
      <c r="F32" s="743">
        <v>65033.441085441998</v>
      </c>
      <c r="G32" s="743">
        <f t="shared" si="13"/>
        <v>260133.76434176814</v>
      </c>
      <c r="H32" s="743">
        <f t="shared" si="14"/>
        <v>260133.76434176814</v>
      </c>
      <c r="I32" s="259">
        <f t="shared" si="1"/>
        <v>0</v>
      </c>
      <c r="J32" s="584" t="str">
        <f t="shared" si="2"/>
        <v/>
      </c>
      <c r="K32" s="745">
        <f t="shared" si="15"/>
        <v>780401.29302530445</v>
      </c>
    </row>
    <row r="33" spans="1:11" ht="12.75" customHeight="1" x14ac:dyDescent="0.2">
      <c r="A33" s="583" t="s">
        <v>1281</v>
      </c>
      <c r="B33" s="170"/>
      <c r="C33" s="758"/>
      <c r="D33" s="755">
        <v>3214812.4276203751</v>
      </c>
      <c r="E33" s="743"/>
      <c r="F33" s="743">
        <v>267901.035635031</v>
      </c>
      <c r="G33" s="743">
        <f t="shared" si="13"/>
        <v>1071604.1425401249</v>
      </c>
      <c r="H33" s="743">
        <f t="shared" si="14"/>
        <v>1071604.1425401249</v>
      </c>
      <c r="I33" s="259">
        <f t="shared" si="1"/>
        <v>0</v>
      </c>
      <c r="J33" s="584" t="str">
        <f t="shared" si="2"/>
        <v/>
      </c>
      <c r="K33" s="745">
        <f t="shared" si="15"/>
        <v>3214812.4276203751</v>
      </c>
    </row>
    <row r="34" spans="1:11" ht="12.75" customHeight="1" x14ac:dyDescent="0.2">
      <c r="A34" s="583" t="s">
        <v>1282</v>
      </c>
      <c r="B34" s="170"/>
      <c r="C34" s="758"/>
      <c r="D34" s="755">
        <v>10934725.278179128</v>
      </c>
      <c r="E34" s="743"/>
      <c r="F34" s="743">
        <v>911227.106514927</v>
      </c>
      <c r="G34" s="743">
        <f t="shared" si="13"/>
        <v>3644908.4260597094</v>
      </c>
      <c r="H34" s="743">
        <f t="shared" si="14"/>
        <v>3644908.4260597094</v>
      </c>
      <c r="I34" s="259">
        <f t="shared" si="1"/>
        <v>0</v>
      </c>
      <c r="J34" s="584" t="str">
        <f t="shared" si="2"/>
        <v/>
      </c>
      <c r="K34" s="745">
        <f t="shared" si="15"/>
        <v>10934725.278179128</v>
      </c>
    </row>
    <row r="35" spans="1:11" ht="12.75" customHeight="1" x14ac:dyDescent="0.2">
      <c r="A35" s="583" t="s">
        <v>1283</v>
      </c>
      <c r="B35" s="170"/>
      <c r="C35" s="758"/>
      <c r="D35" s="755">
        <v>413443.41942884983</v>
      </c>
      <c r="E35" s="743"/>
      <c r="F35" s="743">
        <v>34453.618285737502</v>
      </c>
      <c r="G35" s="743">
        <f t="shared" si="13"/>
        <v>137814.47314294995</v>
      </c>
      <c r="H35" s="743">
        <f t="shared" si="14"/>
        <v>137814.47314294995</v>
      </c>
      <c r="I35" s="259">
        <f t="shared" si="1"/>
        <v>0</v>
      </c>
      <c r="J35" s="584" t="str">
        <f t="shared" si="2"/>
        <v/>
      </c>
      <c r="K35" s="745">
        <f t="shared" si="15"/>
        <v>413443.41942884983</v>
      </c>
    </row>
    <row r="36" spans="1:11" ht="12.75" customHeight="1" x14ac:dyDescent="0.2">
      <c r="A36" s="583" t="s">
        <v>1284</v>
      </c>
      <c r="B36" s="170"/>
      <c r="C36" s="758"/>
      <c r="D36" s="755">
        <v>7525.8874952716833</v>
      </c>
      <c r="E36" s="743"/>
      <c r="F36" s="743">
        <v>627.15729127264001</v>
      </c>
      <c r="G36" s="743">
        <f>H36</f>
        <v>2508.6291650905609</v>
      </c>
      <c r="H36" s="743">
        <f t="shared" si="14"/>
        <v>2508.6291650905609</v>
      </c>
      <c r="I36" s="259">
        <f t="shared" si="1"/>
        <v>0</v>
      </c>
      <c r="J36" s="584" t="str">
        <f t="shared" si="2"/>
        <v/>
      </c>
      <c r="K36" s="745">
        <f t="shared" si="15"/>
        <v>7525.8874952716833</v>
      </c>
    </row>
    <row r="37" spans="1:11" ht="12.75" customHeight="1" x14ac:dyDescent="0.2">
      <c r="A37" s="583" t="s">
        <v>1261</v>
      </c>
      <c r="B37" s="170"/>
      <c r="C37" s="758"/>
      <c r="D37" s="755"/>
      <c r="E37" s="743"/>
      <c r="F37" s="743">
        <v>0</v>
      </c>
      <c r="G37" s="743">
        <v>0</v>
      </c>
      <c r="H37" s="743">
        <f t="shared" si="14"/>
        <v>0</v>
      </c>
      <c r="I37" s="259">
        <f t="shared" si="1"/>
        <v>0</v>
      </c>
      <c r="J37" s="584" t="str">
        <f t="shared" si="2"/>
        <v/>
      </c>
      <c r="K37" s="745">
        <f t="shared" si="15"/>
        <v>0</v>
      </c>
    </row>
    <row r="38" spans="1:11" ht="12.75" customHeight="1" x14ac:dyDescent="0.2">
      <c r="A38" s="520" t="s">
        <v>1285</v>
      </c>
      <c r="B38" s="170"/>
      <c r="C38" s="657">
        <f t="shared" ref="C38:H38" si="16">SUM(C39:C44)</f>
        <v>4451280.7</v>
      </c>
      <c r="D38" s="658">
        <f t="shared" si="16"/>
        <v>6950625.7136387117</v>
      </c>
      <c r="E38" s="411">
        <f t="shared" si="16"/>
        <v>0</v>
      </c>
      <c r="F38" s="411">
        <f t="shared" si="16"/>
        <v>579218.80946989264</v>
      </c>
      <c r="G38" s="411">
        <f t="shared" si="16"/>
        <v>2316875.2378795706</v>
      </c>
      <c r="H38" s="411">
        <f t="shared" si="16"/>
        <v>2316875.2378795706</v>
      </c>
      <c r="I38" s="259">
        <f t="shared" si="1"/>
        <v>0</v>
      </c>
      <c r="J38" s="584" t="str">
        <f t="shared" si="2"/>
        <v/>
      </c>
      <c r="K38" s="651">
        <f>SUM(K39:K44)</f>
        <v>6950625.7136387117</v>
      </c>
    </row>
    <row r="39" spans="1:11" ht="12.75" customHeight="1" x14ac:dyDescent="0.2">
      <c r="A39" s="583" t="s">
        <v>1286</v>
      </c>
      <c r="B39" s="170"/>
      <c r="C39" s="758"/>
      <c r="D39" s="755">
        <v>303924.13797742582</v>
      </c>
      <c r="E39" s="743"/>
      <c r="F39" s="743">
        <v>25327.011498118802</v>
      </c>
      <c r="G39" s="743">
        <f t="shared" ref="G39:G42" si="17">H39</f>
        <v>101308.04599247528</v>
      </c>
      <c r="H39" s="743">
        <f t="shared" ref="H39:H44" si="18">D39/12*4</f>
        <v>101308.04599247528</v>
      </c>
      <c r="I39" s="259">
        <f t="shared" si="1"/>
        <v>0</v>
      </c>
      <c r="J39" s="584" t="str">
        <f t="shared" si="2"/>
        <v/>
      </c>
      <c r="K39" s="745">
        <f>D39</f>
        <v>303924.13797742582</v>
      </c>
    </row>
    <row r="40" spans="1:11" ht="12.75" customHeight="1" x14ac:dyDescent="0.2">
      <c r="A40" s="583" t="s">
        <v>142</v>
      </c>
      <c r="B40" s="170"/>
      <c r="C40" s="758">
        <v>4451280.7</v>
      </c>
      <c r="D40" s="755">
        <v>2250172.3812103868</v>
      </c>
      <c r="E40" s="743"/>
      <c r="F40" s="743">
        <v>187514.36510086601</v>
      </c>
      <c r="G40" s="743">
        <f t="shared" si="17"/>
        <v>750057.46040346229</v>
      </c>
      <c r="H40" s="743">
        <f t="shared" si="18"/>
        <v>750057.46040346229</v>
      </c>
      <c r="I40" s="259">
        <f t="shared" si="1"/>
        <v>0</v>
      </c>
      <c r="J40" s="584" t="str">
        <f t="shared" si="2"/>
        <v/>
      </c>
      <c r="K40" s="745">
        <f t="shared" ref="K40:K44" si="19">D40</f>
        <v>2250172.3812103868</v>
      </c>
    </row>
    <row r="41" spans="1:11" ht="12.75" customHeight="1" x14ac:dyDescent="0.2">
      <c r="A41" s="583" t="s">
        <v>1287</v>
      </c>
      <c r="B41" s="170"/>
      <c r="C41" s="758"/>
      <c r="D41" s="755">
        <v>3245025.4263593936</v>
      </c>
      <c r="E41" s="743"/>
      <c r="F41" s="743">
        <v>270418.785529949</v>
      </c>
      <c r="G41" s="743">
        <f t="shared" si="17"/>
        <v>1081675.1421197979</v>
      </c>
      <c r="H41" s="743">
        <f t="shared" si="18"/>
        <v>1081675.1421197979</v>
      </c>
      <c r="I41" s="259">
        <f t="shared" si="1"/>
        <v>0</v>
      </c>
      <c r="J41" s="584" t="str">
        <f t="shared" si="2"/>
        <v/>
      </c>
      <c r="K41" s="745">
        <f t="shared" si="19"/>
        <v>3245025.4263593936</v>
      </c>
    </row>
    <row r="42" spans="1:11" ht="12.75" customHeight="1" x14ac:dyDescent="0.2">
      <c r="A42" s="583" t="s">
        <v>1288</v>
      </c>
      <c r="B42" s="170"/>
      <c r="C42" s="758"/>
      <c r="D42" s="755">
        <v>1151503.7680915052</v>
      </c>
      <c r="E42" s="743"/>
      <c r="F42" s="743">
        <v>95958.647340958807</v>
      </c>
      <c r="G42" s="743">
        <f t="shared" si="17"/>
        <v>383834.58936383505</v>
      </c>
      <c r="H42" s="743">
        <f t="shared" si="18"/>
        <v>383834.58936383505</v>
      </c>
      <c r="I42" s="259">
        <f t="shared" si="1"/>
        <v>0</v>
      </c>
      <c r="J42" s="584" t="str">
        <f t="shared" si="2"/>
        <v/>
      </c>
      <c r="K42" s="745">
        <f t="shared" si="19"/>
        <v>1151503.7680915052</v>
      </c>
    </row>
    <row r="43" spans="1:11" ht="12.75" customHeight="1" x14ac:dyDescent="0.2">
      <c r="A43" s="583" t="s">
        <v>1289</v>
      </c>
      <c r="B43" s="170"/>
      <c r="C43" s="758"/>
      <c r="D43" s="755"/>
      <c r="E43" s="743"/>
      <c r="F43" s="743">
        <v>0</v>
      </c>
      <c r="G43" s="743">
        <f>H43</f>
        <v>0</v>
      </c>
      <c r="H43" s="743">
        <f t="shared" si="18"/>
        <v>0</v>
      </c>
      <c r="I43" s="259">
        <f t="shared" si="1"/>
        <v>0</v>
      </c>
      <c r="J43" s="584" t="str">
        <f t="shared" si="2"/>
        <v/>
      </c>
      <c r="K43" s="745">
        <f t="shared" si="19"/>
        <v>0</v>
      </c>
    </row>
    <row r="44" spans="1:11" ht="12.75" customHeight="1" x14ac:dyDescent="0.2">
      <c r="A44" s="583" t="s">
        <v>1261</v>
      </c>
      <c r="B44" s="170"/>
      <c r="C44" s="758"/>
      <c r="D44" s="755"/>
      <c r="E44" s="743"/>
      <c r="F44" s="743"/>
      <c r="G44" s="743">
        <v>0</v>
      </c>
      <c r="H44" s="743">
        <f t="shared" si="18"/>
        <v>0</v>
      </c>
      <c r="I44" s="259">
        <f t="shared" si="1"/>
        <v>0</v>
      </c>
      <c r="J44" s="584" t="str">
        <f t="shared" si="2"/>
        <v/>
      </c>
      <c r="K44" s="745">
        <f t="shared" si="19"/>
        <v>0</v>
      </c>
    </row>
    <row r="45" spans="1:11" ht="12.75" customHeight="1" x14ac:dyDescent="0.2">
      <c r="A45" s="520" t="s">
        <v>1290</v>
      </c>
      <c r="B45" s="170"/>
      <c r="C45" s="657">
        <f t="shared" ref="C45:H45" si="20">SUM(C46:C52)</f>
        <v>1229592.5640000002</v>
      </c>
      <c r="D45" s="658">
        <f t="shared" si="20"/>
        <v>2138396.3364921669</v>
      </c>
      <c r="E45" s="411">
        <f t="shared" si="20"/>
        <v>0</v>
      </c>
      <c r="F45" s="411">
        <f t="shared" si="20"/>
        <v>178199.6947076809</v>
      </c>
      <c r="G45" s="411">
        <f t="shared" si="20"/>
        <v>712798.77883072232</v>
      </c>
      <c r="H45" s="411">
        <f t="shared" si="20"/>
        <v>712798.77883072232</v>
      </c>
      <c r="I45" s="259">
        <f t="shared" si="1"/>
        <v>0</v>
      </c>
      <c r="J45" s="584" t="str">
        <f t="shared" si="2"/>
        <v/>
      </c>
      <c r="K45" s="651">
        <f>SUM(K46:K52)</f>
        <v>2138396.3364921669</v>
      </c>
    </row>
    <row r="46" spans="1:11" ht="12.75" customHeight="1" x14ac:dyDescent="0.2">
      <c r="A46" s="583" t="s">
        <v>1291</v>
      </c>
      <c r="B46" s="170"/>
      <c r="C46" s="758">
        <v>1229592.5640000002</v>
      </c>
      <c r="D46" s="755">
        <v>2090905.9671906205</v>
      </c>
      <c r="E46" s="743"/>
      <c r="F46" s="743">
        <v>174242.16393255201</v>
      </c>
      <c r="G46" s="743">
        <f t="shared" ref="G46:G48" si="21">H46</f>
        <v>696968.65573020687</v>
      </c>
      <c r="H46" s="743">
        <f t="shared" ref="H46:H52" si="22">D46/12*4</f>
        <v>696968.65573020687</v>
      </c>
      <c r="I46" s="259">
        <f t="shared" si="1"/>
        <v>0</v>
      </c>
      <c r="J46" s="584" t="str">
        <f t="shared" si="2"/>
        <v/>
      </c>
      <c r="K46" s="745">
        <f>D46</f>
        <v>2090905.9671906205</v>
      </c>
    </row>
    <row r="47" spans="1:11" ht="12.75" customHeight="1" x14ac:dyDescent="0.2">
      <c r="A47" s="583" t="s">
        <v>1292</v>
      </c>
      <c r="B47" s="170"/>
      <c r="C47" s="758"/>
      <c r="D47" s="755">
        <v>47490.369301546518</v>
      </c>
      <c r="E47" s="743"/>
      <c r="F47" s="743">
        <v>3957.5307751288801</v>
      </c>
      <c r="G47" s="743">
        <f t="shared" si="21"/>
        <v>15830.123100515506</v>
      </c>
      <c r="H47" s="743">
        <f t="shared" si="22"/>
        <v>15830.123100515506</v>
      </c>
      <c r="I47" s="259">
        <f t="shared" si="1"/>
        <v>0</v>
      </c>
      <c r="J47" s="584" t="str">
        <f t="shared" si="2"/>
        <v/>
      </c>
      <c r="K47" s="745">
        <f t="shared" ref="K47:K52" si="23">D47</f>
        <v>47490.369301546518</v>
      </c>
    </row>
    <row r="48" spans="1:11" ht="12.75" customHeight="1" x14ac:dyDescent="0.2">
      <c r="A48" s="583" t="s">
        <v>1293</v>
      </c>
      <c r="B48" s="170"/>
      <c r="C48" s="758"/>
      <c r="D48" s="755"/>
      <c r="E48" s="743"/>
      <c r="F48" s="743">
        <v>0</v>
      </c>
      <c r="G48" s="743">
        <f t="shared" si="21"/>
        <v>0</v>
      </c>
      <c r="H48" s="743">
        <f t="shared" si="22"/>
        <v>0</v>
      </c>
      <c r="I48" s="259">
        <f t="shared" si="1"/>
        <v>0</v>
      </c>
      <c r="J48" s="584" t="str">
        <f t="shared" si="2"/>
        <v/>
      </c>
      <c r="K48" s="745">
        <f t="shared" si="23"/>
        <v>0</v>
      </c>
    </row>
    <row r="49" spans="1:11" ht="12.75" customHeight="1" x14ac:dyDescent="0.2">
      <c r="A49" s="583" t="s">
        <v>1294</v>
      </c>
      <c r="B49" s="170"/>
      <c r="C49" s="758"/>
      <c r="D49" s="755"/>
      <c r="E49" s="743"/>
      <c r="F49" s="743">
        <v>0</v>
      </c>
      <c r="G49" s="743">
        <f>H49</f>
        <v>0</v>
      </c>
      <c r="H49" s="743">
        <f t="shared" si="22"/>
        <v>0</v>
      </c>
      <c r="I49" s="259">
        <f t="shared" si="1"/>
        <v>0</v>
      </c>
      <c r="J49" s="584" t="str">
        <f t="shared" si="2"/>
        <v/>
      </c>
      <c r="K49" s="745">
        <f t="shared" si="23"/>
        <v>0</v>
      </c>
    </row>
    <row r="50" spans="1:11" ht="12.75" customHeight="1" x14ac:dyDescent="0.2">
      <c r="A50" s="583" t="s">
        <v>1295</v>
      </c>
      <c r="B50" s="170"/>
      <c r="C50" s="758"/>
      <c r="D50" s="755"/>
      <c r="E50" s="743"/>
      <c r="F50" s="743">
        <v>0</v>
      </c>
      <c r="G50" s="743">
        <v>0</v>
      </c>
      <c r="H50" s="743">
        <f t="shared" si="22"/>
        <v>0</v>
      </c>
      <c r="I50" s="259">
        <f t="shared" si="1"/>
        <v>0</v>
      </c>
      <c r="J50" s="584" t="str">
        <f t="shared" si="2"/>
        <v/>
      </c>
      <c r="K50" s="745">
        <f t="shared" si="23"/>
        <v>0</v>
      </c>
    </row>
    <row r="51" spans="1:11" ht="12.75" customHeight="1" x14ac:dyDescent="0.2">
      <c r="A51" s="583" t="s">
        <v>1296</v>
      </c>
      <c r="B51" s="170"/>
      <c r="C51" s="758"/>
      <c r="D51" s="755"/>
      <c r="E51" s="743"/>
      <c r="F51" s="743">
        <v>0</v>
      </c>
      <c r="G51" s="743">
        <v>0</v>
      </c>
      <c r="H51" s="743">
        <f t="shared" si="22"/>
        <v>0</v>
      </c>
      <c r="I51" s="259">
        <f t="shared" si="1"/>
        <v>0</v>
      </c>
      <c r="J51" s="584" t="str">
        <f t="shared" si="2"/>
        <v/>
      </c>
      <c r="K51" s="745">
        <f t="shared" si="23"/>
        <v>0</v>
      </c>
    </row>
    <row r="52" spans="1:11" ht="12.75" customHeight="1" x14ac:dyDescent="0.2">
      <c r="A52" s="583" t="s">
        <v>1261</v>
      </c>
      <c r="B52" s="170"/>
      <c r="C52" s="758"/>
      <c r="D52" s="755"/>
      <c r="E52" s="743"/>
      <c r="F52" s="743">
        <v>0</v>
      </c>
      <c r="G52" s="743">
        <v>0</v>
      </c>
      <c r="H52" s="743">
        <f t="shared" si="22"/>
        <v>0</v>
      </c>
      <c r="I52" s="259">
        <f t="shared" si="1"/>
        <v>0</v>
      </c>
      <c r="J52" s="584" t="str">
        <f t="shared" si="2"/>
        <v/>
      </c>
      <c r="K52" s="745">
        <f t="shared" si="23"/>
        <v>0</v>
      </c>
    </row>
    <row r="53" spans="1:11" ht="12.75" customHeight="1" x14ac:dyDescent="0.2">
      <c r="A53" s="521" t="s">
        <v>1297</v>
      </c>
      <c r="B53" s="170"/>
      <c r="C53" s="657">
        <f t="shared" ref="C53:H53" si="24">SUM(C54:C62)</f>
        <v>0</v>
      </c>
      <c r="D53" s="658">
        <f t="shared" si="24"/>
        <v>0</v>
      </c>
      <c r="E53" s="411">
        <f t="shared" si="24"/>
        <v>0</v>
      </c>
      <c r="F53" s="411">
        <f t="shared" si="24"/>
        <v>0</v>
      </c>
      <c r="G53" s="411">
        <f t="shared" si="24"/>
        <v>0</v>
      </c>
      <c r="H53" s="411">
        <f t="shared" si="24"/>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25">SUM(C64:C68)</f>
        <v>0</v>
      </c>
      <c r="D63" s="658">
        <f t="shared" si="25"/>
        <v>0</v>
      </c>
      <c r="E63" s="411">
        <f t="shared" si="25"/>
        <v>0</v>
      </c>
      <c r="F63" s="411">
        <f t="shared" si="25"/>
        <v>0</v>
      </c>
      <c r="G63" s="411">
        <f t="shared" si="25"/>
        <v>0</v>
      </c>
      <c r="H63" s="411">
        <f t="shared" si="25"/>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6">SUM(C70:C73)</f>
        <v>0</v>
      </c>
      <c r="D69" s="658">
        <f t="shared" si="26"/>
        <v>656470.44071846176</v>
      </c>
      <c r="E69" s="411">
        <f t="shared" si="26"/>
        <v>0</v>
      </c>
      <c r="F69" s="411">
        <f t="shared" si="26"/>
        <v>54705.870059871762</v>
      </c>
      <c r="G69" s="411">
        <f t="shared" si="26"/>
        <v>218823.48023948719</v>
      </c>
      <c r="H69" s="411">
        <f t="shared" si="26"/>
        <v>218823.48023948719</v>
      </c>
      <c r="I69" s="259">
        <f t="shared" si="1"/>
        <v>0</v>
      </c>
      <c r="J69" s="584" t="str">
        <f t="shared" si="2"/>
        <v/>
      </c>
      <c r="K69" s="651">
        <f>SUM(K70:K73)</f>
        <v>656470.44071846176</v>
      </c>
    </row>
    <row r="70" spans="1:11" ht="12.75" customHeight="1" x14ac:dyDescent="0.2">
      <c r="A70" s="583" t="s">
        <v>1307</v>
      </c>
      <c r="B70" s="170"/>
      <c r="C70" s="758"/>
      <c r="D70" s="755">
        <v>197014.27353979214</v>
      </c>
      <c r="E70" s="743"/>
      <c r="F70" s="743">
        <v>16417.856128316002</v>
      </c>
      <c r="G70" s="743">
        <f t="shared" ref="G70:G72" si="27">H70</f>
        <v>65671.42451326405</v>
      </c>
      <c r="H70" s="743">
        <f>D70/12*4</f>
        <v>65671.42451326405</v>
      </c>
      <c r="I70" s="259">
        <f t="shared" si="1"/>
        <v>0</v>
      </c>
      <c r="J70" s="584" t="str">
        <f t="shared" si="2"/>
        <v/>
      </c>
      <c r="K70" s="745">
        <f>D70</f>
        <v>197014.27353979214</v>
      </c>
    </row>
    <row r="71" spans="1:11" ht="12.75" customHeight="1" x14ac:dyDescent="0.2">
      <c r="A71" s="583" t="s">
        <v>1308</v>
      </c>
      <c r="B71" s="170"/>
      <c r="C71" s="758"/>
      <c r="D71" s="755">
        <v>426864.03560711676</v>
      </c>
      <c r="E71" s="743"/>
      <c r="F71" s="743">
        <v>35572.002967259701</v>
      </c>
      <c r="G71" s="743">
        <f t="shared" si="27"/>
        <v>142288.01186903892</v>
      </c>
      <c r="H71" s="743">
        <f>D71/12*4</f>
        <v>142288.01186903892</v>
      </c>
      <c r="I71" s="259">
        <f t="shared" si="1"/>
        <v>0</v>
      </c>
      <c r="J71" s="584" t="str">
        <f t="shared" si="2"/>
        <v/>
      </c>
      <c r="K71" s="745">
        <f t="shared" ref="K71:K73" si="28">D71</f>
        <v>426864.03560711676</v>
      </c>
    </row>
    <row r="72" spans="1:11" ht="12.75" customHeight="1" x14ac:dyDescent="0.2">
      <c r="A72" s="583" t="s">
        <v>1309</v>
      </c>
      <c r="B72" s="170"/>
      <c r="C72" s="758"/>
      <c r="D72" s="755">
        <v>10276.224895699947</v>
      </c>
      <c r="E72" s="743"/>
      <c r="F72" s="743">
        <v>856.35207464166206</v>
      </c>
      <c r="G72" s="743">
        <f t="shared" si="27"/>
        <v>3425.4082985666487</v>
      </c>
      <c r="H72" s="743">
        <f>D72/12*4</f>
        <v>3425.4082985666487</v>
      </c>
      <c r="I72" s="259">
        <f t="shared" si="1"/>
        <v>0</v>
      </c>
      <c r="J72" s="584" t="str">
        <f t="shared" si="2"/>
        <v/>
      </c>
      <c r="K72" s="745">
        <f t="shared" si="28"/>
        <v>10276.224895699947</v>
      </c>
    </row>
    <row r="73" spans="1:11" ht="12.75" customHeight="1" x14ac:dyDescent="0.2">
      <c r="A73" s="583" t="s">
        <v>1261</v>
      </c>
      <c r="B73" s="170"/>
      <c r="C73" s="758"/>
      <c r="D73" s="755">
        <v>22315.906675852788</v>
      </c>
      <c r="E73" s="743"/>
      <c r="F73" s="743">
        <v>1859.6588896543999</v>
      </c>
      <c r="G73" s="743">
        <f>H73</f>
        <v>7438.635558617596</v>
      </c>
      <c r="H73" s="743">
        <f>D73/12*4</f>
        <v>7438.635558617596</v>
      </c>
      <c r="I73" s="259">
        <f t="shared" si="1"/>
        <v>0</v>
      </c>
      <c r="J73" s="584" t="str">
        <f t="shared" si="2"/>
        <v/>
      </c>
      <c r="K73" s="745">
        <f t="shared" si="28"/>
        <v>22315.906675852788</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9">+C76+C99</f>
        <v>53765660.368000001</v>
      </c>
      <c r="D75" s="586">
        <f t="shared" si="29"/>
        <v>31674726.828797769</v>
      </c>
      <c r="E75" s="587">
        <f t="shared" si="29"/>
        <v>0</v>
      </c>
      <c r="F75" s="587">
        <f t="shared" si="29"/>
        <v>2639560.5690664817</v>
      </c>
      <c r="G75" s="587">
        <f t="shared" si="29"/>
        <v>10558242.276265923</v>
      </c>
      <c r="H75" s="587">
        <f t="shared" si="29"/>
        <v>10558242.276265923</v>
      </c>
      <c r="I75" s="587">
        <f t="shared" si="1"/>
        <v>0</v>
      </c>
      <c r="J75" s="588" t="str">
        <f t="shared" si="2"/>
        <v/>
      </c>
      <c r="K75" s="589">
        <f>+K76+K99</f>
        <v>31674726.828797769</v>
      </c>
    </row>
    <row r="76" spans="1:11" ht="12.75" customHeight="1" x14ac:dyDescent="0.2">
      <c r="A76" s="521" t="s">
        <v>1310</v>
      </c>
      <c r="B76" s="170"/>
      <c r="C76" s="657">
        <f t="shared" ref="C76:H76" si="30">SUM(C77:C98)</f>
        <v>4060683.7120000003</v>
      </c>
      <c r="D76" s="658">
        <f t="shared" si="30"/>
        <v>6904333.8641387261</v>
      </c>
      <c r="E76" s="411">
        <f t="shared" si="30"/>
        <v>0</v>
      </c>
      <c r="F76" s="411">
        <f t="shared" si="30"/>
        <v>575361.15534489357</v>
      </c>
      <c r="G76" s="411">
        <f t="shared" si="30"/>
        <v>2301444.6213795752</v>
      </c>
      <c r="H76" s="411">
        <f t="shared" si="30"/>
        <v>2301444.6213795752</v>
      </c>
      <c r="I76" s="259">
        <f t="shared" si="1"/>
        <v>0</v>
      </c>
      <c r="J76" s="584" t="str">
        <f t="shared" si="2"/>
        <v/>
      </c>
      <c r="K76" s="651">
        <f>SUM(K77:K98)</f>
        <v>6904333.8641387261</v>
      </c>
    </row>
    <row r="77" spans="1:11" ht="12.75" customHeight="1" x14ac:dyDescent="0.2">
      <c r="A77" s="583" t="s">
        <v>1311</v>
      </c>
      <c r="B77" s="170"/>
      <c r="C77" s="758">
        <v>81051.58</v>
      </c>
      <c r="D77" s="763">
        <v>737280.80532067432</v>
      </c>
      <c r="E77" s="743"/>
      <c r="F77" s="743">
        <v>61440.067110056203</v>
      </c>
      <c r="G77" s="743">
        <f t="shared" ref="G77:G96" si="31">H77</f>
        <v>245760.26844022478</v>
      </c>
      <c r="H77" s="743">
        <f t="shared" ref="H77:H98" si="32">D77/12*4</f>
        <v>245760.26844022478</v>
      </c>
      <c r="I77" s="45">
        <f t="shared" si="1"/>
        <v>0</v>
      </c>
      <c r="J77" s="125" t="str">
        <f t="shared" si="2"/>
        <v/>
      </c>
      <c r="K77" s="745">
        <f>D77</f>
        <v>737280.80532067432</v>
      </c>
    </row>
    <row r="78" spans="1:11" ht="12.75" customHeight="1" x14ac:dyDescent="0.2">
      <c r="A78" s="583" t="s">
        <v>1312</v>
      </c>
      <c r="B78" s="170"/>
      <c r="C78" s="758"/>
      <c r="D78" s="763">
        <v>24527.586418446826</v>
      </c>
      <c r="E78" s="743"/>
      <c r="F78" s="743">
        <v>2043.9655348705701</v>
      </c>
      <c r="G78" s="743">
        <f t="shared" si="31"/>
        <v>8175.8621394822758</v>
      </c>
      <c r="H78" s="743">
        <f t="shared" si="32"/>
        <v>8175.8621394822758</v>
      </c>
      <c r="I78" s="45">
        <f t="shared" si="1"/>
        <v>0</v>
      </c>
      <c r="J78" s="125" t="str">
        <f t="shared" si="2"/>
        <v/>
      </c>
      <c r="K78" s="745">
        <f t="shared" ref="K78:K98" si="33">D78</f>
        <v>24527.586418446826</v>
      </c>
    </row>
    <row r="79" spans="1:11" ht="12.75" customHeight="1" x14ac:dyDescent="0.2">
      <c r="A79" s="583" t="s">
        <v>1313</v>
      </c>
      <c r="B79" s="170"/>
      <c r="C79" s="758"/>
      <c r="D79" s="763"/>
      <c r="E79" s="743"/>
      <c r="F79" s="743">
        <v>0</v>
      </c>
      <c r="G79" s="743">
        <f t="shared" si="31"/>
        <v>0</v>
      </c>
      <c r="H79" s="743">
        <f t="shared" si="32"/>
        <v>0</v>
      </c>
      <c r="I79" s="45">
        <f t="shared" si="1"/>
        <v>0</v>
      </c>
      <c r="J79" s="125" t="str">
        <f t="shared" si="2"/>
        <v/>
      </c>
      <c r="K79" s="745">
        <f t="shared" si="33"/>
        <v>0</v>
      </c>
    </row>
    <row r="80" spans="1:11" ht="12.75" customHeight="1" x14ac:dyDescent="0.2">
      <c r="A80" s="583" t="s">
        <v>1314</v>
      </c>
      <c r="B80" s="170"/>
      <c r="C80" s="758">
        <v>67692.096000000005</v>
      </c>
      <c r="D80" s="763">
        <v>56322.64417652478</v>
      </c>
      <c r="E80" s="743"/>
      <c r="F80" s="743">
        <v>4693.5536813770696</v>
      </c>
      <c r="G80" s="743">
        <f t="shared" si="31"/>
        <v>18774.21472550826</v>
      </c>
      <c r="H80" s="743">
        <f t="shared" si="32"/>
        <v>18774.21472550826</v>
      </c>
      <c r="I80" s="45">
        <f t="shared" si="1"/>
        <v>0</v>
      </c>
      <c r="J80" s="125" t="str">
        <f t="shared" si="2"/>
        <v/>
      </c>
      <c r="K80" s="745">
        <f t="shared" si="33"/>
        <v>56322.64417652478</v>
      </c>
    </row>
    <row r="81" spans="1:11" ht="12.75" customHeight="1" x14ac:dyDescent="0.2">
      <c r="A81" s="583" t="s">
        <v>1315</v>
      </c>
      <c r="B81" s="170"/>
      <c r="C81" s="758">
        <v>2459185.128</v>
      </c>
      <c r="D81" s="763">
        <v>692805.3659456484</v>
      </c>
      <c r="E81" s="743"/>
      <c r="F81" s="743">
        <v>57733.780495470703</v>
      </c>
      <c r="G81" s="743">
        <f t="shared" si="31"/>
        <v>230935.12198188281</v>
      </c>
      <c r="H81" s="743">
        <f t="shared" si="32"/>
        <v>230935.12198188281</v>
      </c>
      <c r="I81" s="45">
        <f t="shared" si="1"/>
        <v>0</v>
      </c>
      <c r="J81" s="125" t="str">
        <f t="shared" si="2"/>
        <v/>
      </c>
      <c r="K81" s="745">
        <f t="shared" si="33"/>
        <v>692805.3659456484</v>
      </c>
    </row>
    <row r="82" spans="1:11" ht="12.75" customHeight="1" x14ac:dyDescent="0.2">
      <c r="A82" s="583" t="s">
        <v>1316</v>
      </c>
      <c r="B82" s="170"/>
      <c r="C82" s="758"/>
      <c r="D82" s="763">
        <v>120676.3284151273</v>
      </c>
      <c r="E82" s="743"/>
      <c r="F82" s="743">
        <v>10056.360701260601</v>
      </c>
      <c r="G82" s="743">
        <f t="shared" si="31"/>
        <v>40225.442805042432</v>
      </c>
      <c r="H82" s="743">
        <f t="shared" si="32"/>
        <v>40225.442805042432</v>
      </c>
      <c r="I82" s="45">
        <f t="shared" si="1"/>
        <v>0</v>
      </c>
      <c r="J82" s="125" t="str">
        <f t="shared" si="2"/>
        <v/>
      </c>
      <c r="K82" s="745">
        <f t="shared" si="33"/>
        <v>120676.3284151273</v>
      </c>
    </row>
    <row r="83" spans="1:11" ht="12.75" customHeight="1" x14ac:dyDescent="0.2">
      <c r="A83" s="583" t="s">
        <v>1317</v>
      </c>
      <c r="B83" s="170"/>
      <c r="C83" s="758">
        <v>179359.79200000002</v>
      </c>
      <c r="D83" s="763">
        <v>1749530.2907444544</v>
      </c>
      <c r="E83" s="743"/>
      <c r="F83" s="743">
        <v>145794.19089537099</v>
      </c>
      <c r="G83" s="743">
        <f t="shared" si="31"/>
        <v>583176.76358148479</v>
      </c>
      <c r="H83" s="743">
        <f t="shared" si="32"/>
        <v>583176.76358148479</v>
      </c>
      <c r="I83" s="45">
        <f t="shared" si="1"/>
        <v>0</v>
      </c>
      <c r="J83" s="125" t="str">
        <f t="shared" si="2"/>
        <v/>
      </c>
      <c r="K83" s="745">
        <f t="shared" si="33"/>
        <v>1749530.2907444544</v>
      </c>
    </row>
    <row r="84" spans="1:11" ht="12.75" customHeight="1" x14ac:dyDescent="0.2">
      <c r="A84" s="583" t="s">
        <v>1318</v>
      </c>
      <c r="B84" s="170"/>
      <c r="C84" s="758"/>
      <c r="D84" s="763"/>
      <c r="E84" s="743"/>
      <c r="F84" s="743">
        <v>0</v>
      </c>
      <c r="G84" s="743">
        <f t="shared" si="31"/>
        <v>0</v>
      </c>
      <c r="H84" s="743">
        <f t="shared" si="32"/>
        <v>0</v>
      </c>
      <c r="I84" s="45">
        <f t="shared" si="1"/>
        <v>0</v>
      </c>
      <c r="J84" s="125" t="str">
        <f t="shared" si="2"/>
        <v/>
      </c>
      <c r="K84" s="745">
        <f t="shared" si="33"/>
        <v>0</v>
      </c>
    </row>
    <row r="85" spans="1:11" ht="12.75" customHeight="1" x14ac:dyDescent="0.2">
      <c r="A85" s="583" t="s">
        <v>1194</v>
      </c>
      <c r="B85" s="170"/>
      <c r="C85" s="758"/>
      <c r="D85" s="763"/>
      <c r="E85" s="743"/>
      <c r="F85" s="743">
        <v>0</v>
      </c>
      <c r="G85" s="743">
        <f t="shared" si="31"/>
        <v>0</v>
      </c>
      <c r="H85" s="743">
        <f t="shared" si="32"/>
        <v>0</v>
      </c>
      <c r="I85" s="45">
        <f t="shared" si="1"/>
        <v>0</v>
      </c>
      <c r="J85" s="125" t="str">
        <f t="shared" si="2"/>
        <v/>
      </c>
      <c r="K85" s="745">
        <f t="shared" si="33"/>
        <v>0</v>
      </c>
    </row>
    <row r="86" spans="1:11" ht="12.75" customHeight="1" x14ac:dyDescent="0.2">
      <c r="A86" s="583" t="s">
        <v>573</v>
      </c>
      <c r="B86" s="170"/>
      <c r="C86" s="758">
        <v>515736.56000000006</v>
      </c>
      <c r="D86" s="763"/>
      <c r="E86" s="743"/>
      <c r="F86" s="743">
        <v>0</v>
      </c>
      <c r="G86" s="743">
        <f t="shared" si="31"/>
        <v>0</v>
      </c>
      <c r="H86" s="743">
        <f t="shared" si="32"/>
        <v>0</v>
      </c>
      <c r="I86" s="45">
        <f t="shared" si="1"/>
        <v>0</v>
      </c>
      <c r="J86" s="125" t="str">
        <f t="shared" si="2"/>
        <v/>
      </c>
      <c r="K86" s="745">
        <f t="shared" si="33"/>
        <v>0</v>
      </c>
    </row>
    <row r="87" spans="1:11" ht="12.75" customHeight="1" x14ac:dyDescent="0.2">
      <c r="A87" s="583" t="s">
        <v>1319</v>
      </c>
      <c r="B87" s="170"/>
      <c r="C87" s="758">
        <v>165046.76</v>
      </c>
      <c r="D87" s="763">
        <v>245019.25354075246</v>
      </c>
      <c r="E87" s="743"/>
      <c r="F87" s="743">
        <v>20418.271128396002</v>
      </c>
      <c r="G87" s="743">
        <f t="shared" si="31"/>
        <v>81673.084513584152</v>
      </c>
      <c r="H87" s="743">
        <f t="shared" si="32"/>
        <v>81673.084513584152</v>
      </c>
      <c r="I87" s="45">
        <f t="shared" si="1"/>
        <v>0</v>
      </c>
      <c r="J87" s="125" t="str">
        <f t="shared" si="2"/>
        <v/>
      </c>
      <c r="K87" s="745">
        <f t="shared" si="33"/>
        <v>245019.25354075246</v>
      </c>
    </row>
    <row r="88" spans="1:11" ht="12.75" customHeight="1" x14ac:dyDescent="0.2">
      <c r="A88" s="583" t="s">
        <v>174</v>
      </c>
      <c r="B88" s="170"/>
      <c r="C88" s="758">
        <v>145947.25599999999</v>
      </c>
      <c r="D88" s="763"/>
      <c r="E88" s="743"/>
      <c r="F88" s="743">
        <v>0</v>
      </c>
      <c r="G88" s="743">
        <f t="shared" si="31"/>
        <v>0</v>
      </c>
      <c r="H88" s="743">
        <f t="shared" si="32"/>
        <v>0</v>
      </c>
      <c r="I88" s="45">
        <f t="shared" si="1"/>
        <v>0</v>
      </c>
      <c r="J88" s="125" t="str">
        <f t="shared" si="2"/>
        <v/>
      </c>
      <c r="K88" s="745">
        <f t="shared" si="33"/>
        <v>0</v>
      </c>
    </row>
    <row r="89" spans="1:11" ht="12.75" customHeight="1" x14ac:dyDescent="0.2">
      <c r="A89" s="583" t="s">
        <v>1320</v>
      </c>
      <c r="B89" s="170"/>
      <c r="C89" s="758"/>
      <c r="D89" s="763"/>
      <c r="E89" s="743"/>
      <c r="F89" s="743">
        <v>0</v>
      </c>
      <c r="G89" s="743">
        <f t="shared" si="31"/>
        <v>0</v>
      </c>
      <c r="H89" s="743">
        <f t="shared" si="32"/>
        <v>0</v>
      </c>
      <c r="I89" s="45">
        <f t="shared" si="1"/>
        <v>0</v>
      </c>
      <c r="J89" s="125" t="str">
        <f t="shared" si="2"/>
        <v/>
      </c>
      <c r="K89" s="745">
        <f t="shared" si="33"/>
        <v>0</v>
      </c>
    </row>
    <row r="90" spans="1:11" ht="12.75" customHeight="1" x14ac:dyDescent="0.2">
      <c r="A90" s="583" t="s">
        <v>1321</v>
      </c>
      <c r="B90" s="170"/>
      <c r="C90" s="758">
        <v>446664.54</v>
      </c>
      <c r="D90" s="763">
        <v>1248691.1100178929</v>
      </c>
      <c r="E90" s="743"/>
      <c r="F90" s="743">
        <v>104057.592501491</v>
      </c>
      <c r="G90" s="743">
        <f t="shared" si="31"/>
        <v>416230.3700059643</v>
      </c>
      <c r="H90" s="743">
        <f t="shared" si="32"/>
        <v>416230.3700059643</v>
      </c>
      <c r="I90" s="45">
        <f t="shared" si="1"/>
        <v>0</v>
      </c>
      <c r="J90" s="125" t="str">
        <f t="shared" si="2"/>
        <v/>
      </c>
      <c r="K90" s="745">
        <f t="shared" si="33"/>
        <v>1248691.1100178929</v>
      </c>
    </row>
    <row r="91" spans="1:11" ht="12.75" customHeight="1" x14ac:dyDescent="0.2">
      <c r="A91" s="583" t="s">
        <v>1322</v>
      </c>
      <c r="B91" s="170"/>
      <c r="C91" s="758"/>
      <c r="D91" s="763"/>
      <c r="E91" s="743"/>
      <c r="F91" s="743">
        <v>0</v>
      </c>
      <c r="G91" s="743">
        <f t="shared" si="31"/>
        <v>0</v>
      </c>
      <c r="H91" s="743">
        <f t="shared" si="32"/>
        <v>0</v>
      </c>
      <c r="I91" s="45">
        <f t="shared" si="1"/>
        <v>0</v>
      </c>
      <c r="J91" s="125" t="str">
        <f t="shared" si="2"/>
        <v/>
      </c>
      <c r="K91" s="745">
        <f t="shared" si="33"/>
        <v>0</v>
      </c>
    </row>
    <row r="92" spans="1:11" ht="12.75" customHeight="1" x14ac:dyDescent="0.2">
      <c r="A92" s="583" t="s">
        <v>1323</v>
      </c>
      <c r="B92" s="170"/>
      <c r="C92" s="758"/>
      <c r="D92" s="763"/>
      <c r="E92" s="743"/>
      <c r="F92" s="743">
        <v>0</v>
      </c>
      <c r="G92" s="743">
        <f t="shared" si="31"/>
        <v>0</v>
      </c>
      <c r="H92" s="743">
        <f t="shared" si="32"/>
        <v>0</v>
      </c>
      <c r="I92" s="45">
        <f t="shared" si="1"/>
        <v>0</v>
      </c>
      <c r="J92" s="125" t="str">
        <f t="shared" si="2"/>
        <v/>
      </c>
      <c r="K92" s="745">
        <f t="shared" si="33"/>
        <v>0</v>
      </c>
    </row>
    <row r="93" spans="1:11" ht="12.75" customHeight="1" x14ac:dyDescent="0.2">
      <c r="A93" s="583" t="s">
        <v>452</v>
      </c>
      <c r="B93" s="170"/>
      <c r="C93" s="758"/>
      <c r="D93" s="763">
        <v>246453.20630807124</v>
      </c>
      <c r="E93" s="743"/>
      <c r="F93" s="743">
        <v>20537.767192339299</v>
      </c>
      <c r="G93" s="743">
        <f t="shared" si="31"/>
        <v>82151.06876935708</v>
      </c>
      <c r="H93" s="743">
        <f t="shared" si="32"/>
        <v>82151.06876935708</v>
      </c>
      <c r="I93" s="45">
        <f t="shared" si="1"/>
        <v>0</v>
      </c>
      <c r="J93" s="125" t="str">
        <f t="shared" si="2"/>
        <v/>
      </c>
      <c r="K93" s="745">
        <f t="shared" si="33"/>
        <v>246453.20630807124</v>
      </c>
    </row>
    <row r="94" spans="1:11" ht="12.75" customHeight="1" x14ac:dyDescent="0.2">
      <c r="A94" s="583" t="s">
        <v>1324</v>
      </c>
      <c r="B94" s="170"/>
      <c r="C94" s="758"/>
      <c r="D94" s="763"/>
      <c r="E94" s="743"/>
      <c r="F94" s="743">
        <v>0</v>
      </c>
      <c r="G94" s="743">
        <f t="shared" si="31"/>
        <v>0</v>
      </c>
      <c r="H94" s="743">
        <f t="shared" si="32"/>
        <v>0</v>
      </c>
      <c r="I94" s="45">
        <f t="shared" si="1"/>
        <v>0</v>
      </c>
      <c r="J94" s="125" t="str">
        <f t="shared" si="2"/>
        <v/>
      </c>
      <c r="K94" s="745">
        <f t="shared" si="33"/>
        <v>0</v>
      </c>
    </row>
    <row r="95" spans="1:11" ht="12.75" customHeight="1" x14ac:dyDescent="0.2">
      <c r="A95" s="583" t="s">
        <v>451</v>
      </c>
      <c r="B95" s="170"/>
      <c r="C95" s="758"/>
      <c r="D95" s="763"/>
      <c r="E95" s="743"/>
      <c r="F95" s="743">
        <v>0</v>
      </c>
      <c r="G95" s="743">
        <f t="shared" si="31"/>
        <v>0</v>
      </c>
      <c r="H95" s="743">
        <f t="shared" si="32"/>
        <v>0</v>
      </c>
      <c r="I95" s="45">
        <f t="shared" si="1"/>
        <v>0</v>
      </c>
      <c r="J95" s="125" t="str">
        <f t="shared" si="2"/>
        <v/>
      </c>
      <c r="K95" s="745">
        <f t="shared" si="33"/>
        <v>0</v>
      </c>
    </row>
    <row r="96" spans="1:11" ht="12.75" customHeight="1" x14ac:dyDescent="0.2">
      <c r="A96" s="583" t="s">
        <v>1325</v>
      </c>
      <c r="B96" s="170"/>
      <c r="C96" s="758"/>
      <c r="D96" s="763">
        <v>821301.40992593137</v>
      </c>
      <c r="E96" s="743"/>
      <c r="F96" s="743">
        <v>68441.784160494295</v>
      </c>
      <c r="G96" s="743">
        <f t="shared" si="31"/>
        <v>273767.13664197712</v>
      </c>
      <c r="H96" s="743">
        <f t="shared" si="32"/>
        <v>273767.13664197712</v>
      </c>
      <c r="I96" s="45">
        <f t="shared" si="1"/>
        <v>0</v>
      </c>
      <c r="J96" s="125" t="str">
        <f t="shared" si="2"/>
        <v/>
      </c>
      <c r="K96" s="745">
        <f t="shared" si="33"/>
        <v>821301.40992593137</v>
      </c>
    </row>
    <row r="97" spans="1:11" ht="12.75" customHeight="1" x14ac:dyDescent="0.2">
      <c r="A97" s="583" t="s">
        <v>1326</v>
      </c>
      <c r="B97" s="170"/>
      <c r="C97" s="758"/>
      <c r="D97" s="763">
        <v>961725.86332520179</v>
      </c>
      <c r="E97" s="743"/>
      <c r="F97" s="743">
        <v>80143.821943766801</v>
      </c>
      <c r="G97" s="743">
        <f>H97</f>
        <v>320575.28777506726</v>
      </c>
      <c r="H97" s="743">
        <f t="shared" si="32"/>
        <v>320575.28777506726</v>
      </c>
      <c r="I97" s="45">
        <f t="shared" si="1"/>
        <v>0</v>
      </c>
      <c r="J97" s="125" t="str">
        <f t="shared" si="2"/>
        <v/>
      </c>
      <c r="K97" s="745">
        <f t="shared" si="33"/>
        <v>961725.86332520179</v>
      </c>
    </row>
    <row r="98" spans="1:11" ht="12.75" customHeight="1" x14ac:dyDescent="0.2">
      <c r="A98" s="583" t="s">
        <v>1261</v>
      </c>
      <c r="B98" s="170"/>
      <c r="C98" s="758"/>
      <c r="D98" s="763"/>
      <c r="E98" s="743"/>
      <c r="F98" s="743">
        <v>0</v>
      </c>
      <c r="G98" s="743">
        <v>0</v>
      </c>
      <c r="H98" s="743">
        <f t="shared" si="32"/>
        <v>0</v>
      </c>
      <c r="I98" s="45">
        <f t="shared" si="1"/>
        <v>0</v>
      </c>
      <c r="J98" s="125" t="str">
        <f t="shared" si="2"/>
        <v/>
      </c>
      <c r="K98" s="745">
        <f t="shared" si="33"/>
        <v>0</v>
      </c>
    </row>
    <row r="99" spans="1:11" ht="12.75" customHeight="1" x14ac:dyDescent="0.2">
      <c r="A99" s="521" t="s">
        <v>1327</v>
      </c>
      <c r="B99" s="170"/>
      <c r="C99" s="657">
        <f t="shared" ref="C99:H99" si="34">SUM(C100:C102)</f>
        <v>49704976.656000003</v>
      </c>
      <c r="D99" s="658">
        <f t="shared" si="34"/>
        <v>24770392.964659043</v>
      </c>
      <c r="E99" s="411">
        <f t="shared" si="34"/>
        <v>0</v>
      </c>
      <c r="F99" s="411">
        <f t="shared" si="34"/>
        <v>2064199.413721588</v>
      </c>
      <c r="G99" s="411">
        <f t="shared" si="34"/>
        <v>8256797.6548863472</v>
      </c>
      <c r="H99" s="411">
        <f t="shared" si="34"/>
        <v>8256797.6548863472</v>
      </c>
      <c r="I99" s="259">
        <f t="shared" si="1"/>
        <v>0</v>
      </c>
      <c r="J99" s="584" t="str">
        <f t="shared" si="2"/>
        <v/>
      </c>
      <c r="K99" s="651">
        <f>SUM(K100:K102)</f>
        <v>24770392.964659043</v>
      </c>
    </row>
    <row r="100" spans="1:11" ht="12.75" customHeight="1" x14ac:dyDescent="0.2">
      <c r="A100" s="583" t="s">
        <v>1328</v>
      </c>
      <c r="B100" s="170"/>
      <c r="C100" s="758"/>
      <c r="D100" s="763">
        <v>1569101.4859278935</v>
      </c>
      <c r="E100" s="743"/>
      <c r="F100" s="743">
        <v>130758.457160658</v>
      </c>
      <c r="G100" s="743">
        <f>H100</f>
        <v>523033.82864263118</v>
      </c>
      <c r="H100" s="743">
        <f>D100/12*4</f>
        <v>523033.82864263118</v>
      </c>
      <c r="I100" s="45">
        <f t="shared" si="1"/>
        <v>0</v>
      </c>
      <c r="J100" s="125" t="str">
        <f t="shared" si="2"/>
        <v/>
      </c>
      <c r="K100" s="745">
        <f>D100</f>
        <v>1569101.4859278935</v>
      </c>
    </row>
    <row r="101" spans="1:11" ht="12.75" customHeight="1" x14ac:dyDescent="0.2">
      <c r="A101" s="583" t="s">
        <v>1329</v>
      </c>
      <c r="B101" s="170"/>
      <c r="C101" s="758">
        <v>49704976.656000003</v>
      </c>
      <c r="D101" s="763">
        <v>23201291.478731148</v>
      </c>
      <c r="E101" s="743"/>
      <c r="F101" s="743">
        <v>1933440.95656093</v>
      </c>
      <c r="G101" s="743">
        <f>H101</f>
        <v>7733763.8262437163</v>
      </c>
      <c r="H101" s="743">
        <f>D101/12*4</f>
        <v>7733763.8262437163</v>
      </c>
      <c r="I101" s="45">
        <f>H101-G101</f>
        <v>0</v>
      </c>
      <c r="J101" s="125" t="str">
        <f>IF(I101=0,"",I101/H101)</f>
        <v/>
      </c>
      <c r="K101" s="745">
        <f t="shared" ref="K101:K102" si="35">D101</f>
        <v>23201291.478731148</v>
      </c>
    </row>
    <row r="102" spans="1:11" ht="12.75" customHeight="1" x14ac:dyDescent="0.2">
      <c r="A102" s="583" t="s">
        <v>1261</v>
      </c>
      <c r="B102" s="170"/>
      <c r="C102" s="758"/>
      <c r="D102" s="763"/>
      <c r="E102" s="743"/>
      <c r="F102" s="743">
        <v>0</v>
      </c>
      <c r="G102" s="743">
        <v>0</v>
      </c>
      <c r="H102" s="743">
        <f>H98/12*4</f>
        <v>0</v>
      </c>
      <c r="I102" s="45">
        <f t="shared" si="1"/>
        <v>0</v>
      </c>
      <c r="J102" s="125" t="str">
        <f t="shared" si="2"/>
        <v/>
      </c>
      <c r="K102" s="745">
        <f t="shared" si="35"/>
        <v>0</v>
      </c>
    </row>
    <row r="103" spans="1:11" ht="12.75" customHeight="1" x14ac:dyDescent="0.2">
      <c r="A103" s="553" t="s">
        <v>691</v>
      </c>
      <c r="B103" s="170"/>
      <c r="C103" s="250">
        <f t="shared" ref="C103:H103" si="36">SUM(C104:C108)</f>
        <v>0</v>
      </c>
      <c r="D103" s="265">
        <f t="shared" si="36"/>
        <v>0</v>
      </c>
      <c r="E103" s="100">
        <f t="shared" si="36"/>
        <v>0</v>
      </c>
      <c r="F103" s="100">
        <f t="shared" si="36"/>
        <v>0</v>
      </c>
      <c r="G103" s="100">
        <f t="shared" si="36"/>
        <v>0</v>
      </c>
      <c r="H103" s="100">
        <f t="shared" si="36"/>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7">+C111+C114</f>
        <v>0</v>
      </c>
      <c r="D110" s="586">
        <f t="shared" si="37"/>
        <v>0</v>
      </c>
      <c r="E110" s="587">
        <f t="shared" si="37"/>
        <v>0</v>
      </c>
      <c r="F110" s="587">
        <f t="shared" si="37"/>
        <v>0</v>
      </c>
      <c r="G110" s="587">
        <f t="shared" si="37"/>
        <v>0</v>
      </c>
      <c r="H110" s="587">
        <f t="shared" si="37"/>
        <v>0</v>
      </c>
      <c r="I110" s="100">
        <f t="shared" si="1"/>
        <v>0</v>
      </c>
      <c r="J110" s="327" t="str">
        <f t="shared" si="2"/>
        <v/>
      </c>
      <c r="K110" s="589">
        <f>+K111+K114</f>
        <v>0</v>
      </c>
    </row>
    <row r="111" spans="1:11" ht="12.75" customHeight="1" x14ac:dyDescent="0.2">
      <c r="A111" s="521" t="s">
        <v>1336</v>
      </c>
      <c r="B111" s="170"/>
      <c r="C111" s="657">
        <f t="shared" ref="C111:H111" si="38">SUM(C112:C113)</f>
        <v>0</v>
      </c>
      <c r="D111" s="658">
        <f t="shared" si="38"/>
        <v>0</v>
      </c>
      <c r="E111" s="411">
        <f t="shared" si="38"/>
        <v>0</v>
      </c>
      <c r="F111" s="411">
        <f t="shared" si="38"/>
        <v>0</v>
      </c>
      <c r="G111" s="411">
        <f t="shared" si="38"/>
        <v>0</v>
      </c>
      <c r="H111" s="411">
        <f t="shared" si="38"/>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9">SUM(C115:C116)</f>
        <v>0</v>
      </c>
      <c r="D114" s="658">
        <f t="shared" si="39"/>
        <v>0</v>
      </c>
      <c r="E114" s="411">
        <f t="shared" si="39"/>
        <v>0</v>
      </c>
      <c r="F114" s="411">
        <f t="shared" si="39"/>
        <v>0</v>
      </c>
      <c r="G114" s="411">
        <f t="shared" si="39"/>
        <v>0</v>
      </c>
      <c r="H114" s="411">
        <f t="shared" si="39"/>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40">+C118+C130</f>
        <v>37679826.388000011</v>
      </c>
      <c r="D117" s="586">
        <f t="shared" si="40"/>
        <v>6409506.2927598981</v>
      </c>
      <c r="E117" s="587">
        <f t="shared" si="40"/>
        <v>0</v>
      </c>
      <c r="F117" s="587">
        <f t="shared" si="40"/>
        <v>534125.52439665818</v>
      </c>
      <c r="G117" s="587">
        <f t="shared" si="40"/>
        <v>2136502.0975866327</v>
      </c>
      <c r="H117" s="587">
        <f t="shared" si="40"/>
        <v>2136502.0975866327</v>
      </c>
      <c r="I117" s="587">
        <f t="shared" si="1"/>
        <v>0</v>
      </c>
      <c r="J117" s="588" t="str">
        <f t="shared" si="2"/>
        <v/>
      </c>
      <c r="K117" s="589">
        <f>+K118+K130</f>
        <v>6409506.2927598981</v>
      </c>
    </row>
    <row r="118" spans="1:11" ht="12.75" customHeight="1" x14ac:dyDescent="0.2">
      <c r="A118" s="521" t="s">
        <v>1340</v>
      </c>
      <c r="B118" s="170"/>
      <c r="C118" s="657">
        <f t="shared" ref="C118:H118" si="41">SUM(C119:C129)</f>
        <v>37679826.388000011</v>
      </c>
      <c r="D118" s="658">
        <f t="shared" si="41"/>
        <v>6200263.2724808287</v>
      </c>
      <c r="E118" s="411">
        <f t="shared" si="41"/>
        <v>0</v>
      </c>
      <c r="F118" s="411">
        <f t="shared" si="41"/>
        <v>516688.60604006902</v>
      </c>
      <c r="G118" s="411">
        <f t="shared" si="41"/>
        <v>2066754.4241602761</v>
      </c>
      <c r="H118" s="411">
        <f t="shared" si="41"/>
        <v>2066754.4241602761</v>
      </c>
      <c r="I118" s="259">
        <f t="shared" si="1"/>
        <v>0</v>
      </c>
      <c r="J118" s="584" t="str">
        <f t="shared" si="2"/>
        <v/>
      </c>
      <c r="K118" s="651">
        <f>SUM(K119:K129)</f>
        <v>6200263.2724808287</v>
      </c>
    </row>
    <row r="119" spans="1:11" ht="12.75" customHeight="1" x14ac:dyDescent="0.2">
      <c r="A119" s="583" t="s">
        <v>1341</v>
      </c>
      <c r="B119" s="170"/>
      <c r="C119" s="758"/>
      <c r="D119" s="763">
        <v>4528374.4485785291</v>
      </c>
      <c r="E119" s="743"/>
      <c r="F119" s="743">
        <v>377364.53738154401</v>
      </c>
      <c r="G119" s="743">
        <f t="shared" ref="G119:G122" si="42">H119</f>
        <v>1509458.1495261763</v>
      </c>
      <c r="H119" s="743">
        <f t="shared" ref="H119:H129" si="43">D119/12*4</f>
        <v>1509458.1495261763</v>
      </c>
      <c r="I119" s="45">
        <f t="shared" si="1"/>
        <v>0</v>
      </c>
      <c r="J119" s="125" t="str">
        <f t="shared" si="2"/>
        <v/>
      </c>
      <c r="K119" s="745">
        <f>D119</f>
        <v>4528374.4485785291</v>
      </c>
    </row>
    <row r="120" spans="1:11" ht="12.75" customHeight="1" x14ac:dyDescent="0.2">
      <c r="A120" s="583" t="s">
        <v>1342</v>
      </c>
      <c r="B120" s="170"/>
      <c r="C120" s="758"/>
      <c r="D120" s="763">
        <v>330565.5555232754</v>
      </c>
      <c r="E120" s="743"/>
      <c r="F120" s="743">
        <v>27547.129626939601</v>
      </c>
      <c r="G120" s="743">
        <f t="shared" si="42"/>
        <v>110188.51850775846</v>
      </c>
      <c r="H120" s="743">
        <f t="shared" si="43"/>
        <v>110188.51850775846</v>
      </c>
      <c r="I120" s="45">
        <f t="shared" si="1"/>
        <v>0</v>
      </c>
      <c r="J120" s="125" t="str">
        <f t="shared" si="2"/>
        <v/>
      </c>
      <c r="K120" s="745">
        <f t="shared" ref="K120:K129" si="44">D120</f>
        <v>330565.5555232754</v>
      </c>
    </row>
    <row r="121" spans="1:11" ht="12.75" customHeight="1" x14ac:dyDescent="0.2">
      <c r="A121" s="583" t="s">
        <v>1343</v>
      </c>
      <c r="B121" s="170"/>
      <c r="C121" s="758"/>
      <c r="D121" s="763"/>
      <c r="E121" s="743"/>
      <c r="F121" s="743">
        <v>0</v>
      </c>
      <c r="G121" s="743">
        <f t="shared" si="42"/>
        <v>0</v>
      </c>
      <c r="H121" s="743">
        <f t="shared" si="43"/>
        <v>0</v>
      </c>
      <c r="I121" s="45">
        <f t="shared" si="1"/>
        <v>0</v>
      </c>
      <c r="J121" s="125" t="str">
        <f t="shared" si="2"/>
        <v/>
      </c>
      <c r="K121" s="745">
        <f t="shared" si="44"/>
        <v>0</v>
      </c>
    </row>
    <row r="122" spans="1:11" ht="12.75" customHeight="1" x14ac:dyDescent="0.2">
      <c r="A122" s="583" t="s">
        <v>1344</v>
      </c>
      <c r="B122" s="170"/>
      <c r="C122" s="758"/>
      <c r="D122" s="763">
        <v>373628.73360190185</v>
      </c>
      <c r="E122" s="743"/>
      <c r="F122" s="743">
        <v>31135.7278001585</v>
      </c>
      <c r="G122" s="743">
        <f t="shared" si="42"/>
        <v>124542.91120063396</v>
      </c>
      <c r="H122" s="743">
        <f t="shared" si="43"/>
        <v>124542.91120063396</v>
      </c>
      <c r="I122" s="45">
        <f t="shared" si="1"/>
        <v>0</v>
      </c>
      <c r="J122" s="125" t="str">
        <f t="shared" si="2"/>
        <v/>
      </c>
      <c r="K122" s="745">
        <f t="shared" si="44"/>
        <v>373628.73360190185</v>
      </c>
    </row>
    <row r="123" spans="1:11" ht="12.75" customHeight="1" x14ac:dyDescent="0.2">
      <c r="A123" s="583" t="s">
        <v>1345</v>
      </c>
      <c r="B123" s="170"/>
      <c r="C123" s="758"/>
      <c r="D123" s="763">
        <v>967694.53477712267</v>
      </c>
      <c r="E123" s="743"/>
      <c r="F123" s="743">
        <v>80641.211231426903</v>
      </c>
      <c r="G123" s="743">
        <f>H123</f>
        <v>322564.84492570756</v>
      </c>
      <c r="H123" s="743">
        <f t="shared" si="43"/>
        <v>322564.84492570756</v>
      </c>
      <c r="I123" s="45">
        <f t="shared" si="1"/>
        <v>0</v>
      </c>
      <c r="J123" s="125" t="str">
        <f t="shared" si="2"/>
        <v/>
      </c>
      <c r="K123" s="745">
        <f t="shared" si="44"/>
        <v>967694.53477712267</v>
      </c>
    </row>
    <row r="124" spans="1:11" ht="12.75" customHeight="1" x14ac:dyDescent="0.2">
      <c r="A124" s="583" t="s">
        <v>1346</v>
      </c>
      <c r="B124" s="170"/>
      <c r="C124" s="758"/>
      <c r="D124" s="763"/>
      <c r="E124" s="743"/>
      <c r="F124" s="743">
        <v>0</v>
      </c>
      <c r="G124" s="743">
        <v>0</v>
      </c>
      <c r="H124" s="743">
        <f t="shared" si="43"/>
        <v>0</v>
      </c>
      <c r="I124" s="45">
        <f t="shared" si="1"/>
        <v>0</v>
      </c>
      <c r="J124" s="125" t="str">
        <f t="shared" si="2"/>
        <v/>
      </c>
      <c r="K124" s="745">
        <f t="shared" si="44"/>
        <v>0</v>
      </c>
    </row>
    <row r="125" spans="1:11" ht="12.75" customHeight="1" x14ac:dyDescent="0.2">
      <c r="A125" s="583" t="s">
        <v>1347</v>
      </c>
      <c r="B125" s="170"/>
      <c r="C125" s="758"/>
      <c r="D125" s="763"/>
      <c r="E125" s="743"/>
      <c r="F125" s="743">
        <v>0</v>
      </c>
      <c r="G125" s="743">
        <v>0</v>
      </c>
      <c r="H125" s="743">
        <f t="shared" si="43"/>
        <v>0</v>
      </c>
      <c r="I125" s="45">
        <f t="shared" si="1"/>
        <v>0</v>
      </c>
      <c r="J125" s="125" t="str">
        <f t="shared" si="2"/>
        <v/>
      </c>
      <c r="K125" s="745">
        <f t="shared" si="44"/>
        <v>0</v>
      </c>
    </row>
    <row r="126" spans="1:11" ht="12.75" customHeight="1" x14ac:dyDescent="0.2">
      <c r="A126" s="583" t="s">
        <v>1348</v>
      </c>
      <c r="B126" s="170"/>
      <c r="C126" s="758"/>
      <c r="D126" s="763"/>
      <c r="E126" s="743"/>
      <c r="F126" s="743">
        <v>0</v>
      </c>
      <c r="G126" s="743">
        <v>0</v>
      </c>
      <c r="H126" s="743">
        <f t="shared" si="43"/>
        <v>0</v>
      </c>
      <c r="I126" s="45">
        <f t="shared" si="1"/>
        <v>0</v>
      </c>
      <c r="J126" s="125" t="str">
        <f t="shared" si="2"/>
        <v/>
      </c>
      <c r="K126" s="745">
        <f t="shared" si="44"/>
        <v>0</v>
      </c>
    </row>
    <row r="127" spans="1:11" ht="12.75" customHeight="1" x14ac:dyDescent="0.2">
      <c r="A127" s="583" t="s">
        <v>1349</v>
      </c>
      <c r="B127" s="170"/>
      <c r="C127" s="758"/>
      <c r="D127" s="763"/>
      <c r="E127" s="743"/>
      <c r="F127" s="743">
        <v>0</v>
      </c>
      <c r="G127" s="743">
        <v>0</v>
      </c>
      <c r="H127" s="743">
        <f t="shared" si="43"/>
        <v>0</v>
      </c>
      <c r="I127" s="45">
        <f t="shared" si="1"/>
        <v>0</v>
      </c>
      <c r="J127" s="125" t="str">
        <f t="shared" si="2"/>
        <v/>
      </c>
      <c r="K127" s="745">
        <f t="shared" si="44"/>
        <v>0</v>
      </c>
    </row>
    <row r="128" spans="1:11" ht="12.75" customHeight="1" x14ac:dyDescent="0.2">
      <c r="A128" s="583" t="s">
        <v>1350</v>
      </c>
      <c r="B128" s="170"/>
      <c r="C128" s="758">
        <v>37679826.388000011</v>
      </c>
      <c r="D128" s="763"/>
      <c r="E128" s="743"/>
      <c r="F128" s="743">
        <v>0</v>
      </c>
      <c r="G128" s="743">
        <v>0</v>
      </c>
      <c r="H128" s="743">
        <f t="shared" si="43"/>
        <v>0</v>
      </c>
      <c r="I128" s="45">
        <f t="shared" si="1"/>
        <v>0</v>
      </c>
      <c r="J128" s="125" t="str">
        <f t="shared" si="2"/>
        <v/>
      </c>
      <c r="K128" s="745">
        <f t="shared" si="44"/>
        <v>0</v>
      </c>
    </row>
    <row r="129" spans="1:11" ht="12.75" customHeight="1" x14ac:dyDescent="0.2">
      <c r="A129" s="583" t="s">
        <v>1261</v>
      </c>
      <c r="B129" s="170"/>
      <c r="C129" s="758"/>
      <c r="D129" s="763"/>
      <c r="E129" s="743"/>
      <c r="F129" s="743">
        <v>0</v>
      </c>
      <c r="G129" s="743">
        <v>0</v>
      </c>
      <c r="H129" s="743">
        <f t="shared" si="43"/>
        <v>0</v>
      </c>
      <c r="I129" s="45">
        <f t="shared" si="1"/>
        <v>0</v>
      </c>
      <c r="J129" s="125" t="str">
        <f t="shared" si="2"/>
        <v/>
      </c>
      <c r="K129" s="745">
        <f t="shared" si="44"/>
        <v>0</v>
      </c>
    </row>
    <row r="130" spans="1:11" ht="12.75" customHeight="1" x14ac:dyDescent="0.2">
      <c r="A130" s="521" t="s">
        <v>734</v>
      </c>
      <c r="B130" s="170"/>
      <c r="C130" s="657">
        <f t="shared" ref="C130:H130" si="45">SUM(C131:C133)</f>
        <v>0</v>
      </c>
      <c r="D130" s="658">
        <f t="shared" si="45"/>
        <v>209243.02027906966</v>
      </c>
      <c r="E130" s="411">
        <f t="shared" si="45"/>
        <v>0</v>
      </c>
      <c r="F130" s="411">
        <f t="shared" si="45"/>
        <v>17436.918356589169</v>
      </c>
      <c r="G130" s="411">
        <f t="shared" si="45"/>
        <v>69747.67342635656</v>
      </c>
      <c r="H130" s="411">
        <f t="shared" si="45"/>
        <v>69747.67342635656</v>
      </c>
      <c r="I130" s="259">
        <f t="shared" si="1"/>
        <v>0</v>
      </c>
      <c r="J130" s="584" t="str">
        <f t="shared" si="2"/>
        <v/>
      </c>
      <c r="K130" s="651">
        <f>SUM(K131:K133)</f>
        <v>209243.02027906966</v>
      </c>
    </row>
    <row r="131" spans="1:11" ht="12.75" customHeight="1" x14ac:dyDescent="0.2">
      <c r="A131" s="583" t="s">
        <v>1351</v>
      </c>
      <c r="B131" s="170"/>
      <c r="C131" s="758"/>
      <c r="D131" s="763">
        <v>131923.03225254445</v>
      </c>
      <c r="E131" s="743"/>
      <c r="F131" s="743">
        <v>10993.586021045399</v>
      </c>
      <c r="G131" s="743">
        <f>H131</f>
        <v>43974.344084181481</v>
      </c>
      <c r="H131" s="743">
        <f>D131/12*4</f>
        <v>43974.344084181481</v>
      </c>
      <c r="I131" s="45">
        <f t="shared" si="1"/>
        <v>0</v>
      </c>
      <c r="J131" s="125" t="str">
        <f t="shared" si="2"/>
        <v/>
      </c>
      <c r="K131" s="745">
        <f>D131</f>
        <v>131923.03225254445</v>
      </c>
    </row>
    <row r="132" spans="1:11" ht="12.75" customHeight="1" x14ac:dyDescent="0.2">
      <c r="A132" s="583" t="s">
        <v>1352</v>
      </c>
      <c r="B132" s="170"/>
      <c r="C132" s="758"/>
      <c r="D132" s="763">
        <v>77319.988026525229</v>
      </c>
      <c r="E132" s="743"/>
      <c r="F132" s="743">
        <v>6443.3323355437697</v>
      </c>
      <c r="G132" s="743">
        <f>H132</f>
        <v>25773.329342175075</v>
      </c>
      <c r="H132" s="743">
        <f>D132/12*4</f>
        <v>25773.329342175075</v>
      </c>
      <c r="I132" s="45">
        <f t="shared" si="1"/>
        <v>0</v>
      </c>
      <c r="J132" s="125" t="str">
        <f t="shared" si="2"/>
        <v/>
      </c>
      <c r="K132" s="745">
        <f t="shared" ref="K132:K133" si="46">D132</f>
        <v>77319.988026525229</v>
      </c>
    </row>
    <row r="133" spans="1:11" ht="12.75" customHeight="1" x14ac:dyDescent="0.2">
      <c r="A133" s="583" t="s">
        <v>1261</v>
      </c>
      <c r="B133" s="170"/>
      <c r="C133" s="758"/>
      <c r="D133" s="763"/>
      <c r="E133" s="743"/>
      <c r="F133" s="743">
        <v>0</v>
      </c>
      <c r="G133" s="743">
        <v>0</v>
      </c>
      <c r="H133" s="743">
        <f>D133/12*4</f>
        <v>0</v>
      </c>
      <c r="I133" s="45">
        <f t="shared" si="1"/>
        <v>0</v>
      </c>
      <c r="J133" s="125" t="str">
        <f t="shared" si="2"/>
        <v/>
      </c>
      <c r="K133" s="745">
        <f t="shared" si="46"/>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47">SUM(C136:C136)</f>
        <v>0</v>
      </c>
      <c r="D135" s="586">
        <f t="shared" si="47"/>
        <v>0</v>
      </c>
      <c r="E135" s="587">
        <f t="shared" si="47"/>
        <v>0</v>
      </c>
      <c r="F135" s="587">
        <f t="shared" si="47"/>
        <v>0</v>
      </c>
      <c r="G135" s="587">
        <f t="shared" si="47"/>
        <v>0</v>
      </c>
      <c r="H135" s="587">
        <f t="shared" si="47"/>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8">IF(I137=0,"",I137/H137)</f>
        <v/>
      </c>
      <c r="K137" s="145"/>
    </row>
    <row r="138" spans="1:11" s="101" customFormat="1" ht="12.75" customHeight="1" x14ac:dyDescent="0.2">
      <c r="A138" s="553" t="s">
        <v>1354</v>
      </c>
      <c r="B138" s="172"/>
      <c r="C138" s="952">
        <f t="shared" ref="C138:H138" si="49">SUM(C139:C140)</f>
        <v>0</v>
      </c>
      <c r="D138" s="953">
        <f t="shared" si="49"/>
        <v>0</v>
      </c>
      <c r="E138" s="954">
        <f t="shared" si="49"/>
        <v>0</v>
      </c>
      <c r="F138" s="954">
        <f t="shared" si="49"/>
        <v>0</v>
      </c>
      <c r="G138" s="954">
        <f t="shared" si="49"/>
        <v>0</v>
      </c>
      <c r="H138" s="954">
        <f t="shared" si="49"/>
        <v>0</v>
      </c>
      <c r="I138" s="954">
        <f t="shared" ref="I138:I146" si="50">H138-G138</f>
        <v>0</v>
      </c>
      <c r="J138" s="327" t="str">
        <f t="shared" si="48"/>
        <v/>
      </c>
      <c r="K138" s="955">
        <f>SUM(K139:K140)</f>
        <v>0</v>
      </c>
    </row>
    <row r="139" spans="1:11" ht="12.75" customHeight="1" x14ac:dyDescent="0.2">
      <c r="A139" s="520" t="s">
        <v>1355</v>
      </c>
      <c r="B139" s="170"/>
      <c r="C139" s="758"/>
      <c r="D139" s="763"/>
      <c r="E139" s="743"/>
      <c r="F139" s="743"/>
      <c r="G139" s="743"/>
      <c r="H139" s="743"/>
      <c r="I139" s="45">
        <f t="shared" si="50"/>
        <v>0</v>
      </c>
      <c r="J139" s="125" t="str">
        <f t="shared" si="48"/>
        <v/>
      </c>
      <c r="K139" s="745"/>
    </row>
    <row r="140" spans="1:11" ht="12.75" customHeight="1" x14ac:dyDescent="0.2">
      <c r="A140" s="520" t="s">
        <v>1356</v>
      </c>
      <c r="B140" s="170"/>
      <c r="C140" s="657">
        <f t="shared" ref="C140:H140" si="51">SUM(C141:C146)</f>
        <v>0</v>
      </c>
      <c r="D140" s="658">
        <f t="shared" si="51"/>
        <v>0</v>
      </c>
      <c r="E140" s="411">
        <f t="shared" si="51"/>
        <v>0</v>
      </c>
      <c r="F140" s="411">
        <f t="shared" si="51"/>
        <v>0</v>
      </c>
      <c r="G140" s="411">
        <f t="shared" si="51"/>
        <v>0</v>
      </c>
      <c r="H140" s="411">
        <f t="shared" si="51"/>
        <v>0</v>
      </c>
      <c r="I140" s="259">
        <f t="shared" si="50"/>
        <v>0</v>
      </c>
      <c r="J140" s="584" t="str">
        <f t="shared" si="48"/>
        <v/>
      </c>
      <c r="K140" s="651">
        <f>SUM(K141:K146)</f>
        <v>0</v>
      </c>
    </row>
    <row r="141" spans="1:11" ht="12.75" customHeight="1" x14ac:dyDescent="0.2">
      <c r="A141" s="583" t="s">
        <v>1357</v>
      </c>
      <c r="B141" s="170"/>
      <c r="C141" s="758"/>
      <c r="D141" s="763"/>
      <c r="E141" s="743"/>
      <c r="F141" s="743"/>
      <c r="G141" s="743"/>
      <c r="H141" s="743"/>
      <c r="I141" s="45">
        <f t="shared" si="50"/>
        <v>0</v>
      </c>
      <c r="J141" s="125" t="str">
        <f t="shared" si="48"/>
        <v/>
      </c>
      <c r="K141" s="745"/>
    </row>
    <row r="142" spans="1:11" ht="12.75" customHeight="1" x14ac:dyDescent="0.2">
      <c r="A142" s="583" t="s">
        <v>1358</v>
      </c>
      <c r="B142" s="170"/>
      <c r="C142" s="758"/>
      <c r="D142" s="763"/>
      <c r="E142" s="743"/>
      <c r="F142" s="743"/>
      <c r="G142" s="743"/>
      <c r="H142" s="743"/>
      <c r="I142" s="45">
        <f t="shared" si="50"/>
        <v>0</v>
      </c>
      <c r="J142" s="125" t="str">
        <f t="shared" si="48"/>
        <v/>
      </c>
      <c r="K142" s="745"/>
    </row>
    <row r="143" spans="1:11" ht="12.75" customHeight="1" x14ac:dyDescent="0.2">
      <c r="A143" s="583" t="s">
        <v>1359</v>
      </c>
      <c r="B143" s="170"/>
      <c r="C143" s="758"/>
      <c r="D143" s="763"/>
      <c r="E143" s="743"/>
      <c r="F143" s="743"/>
      <c r="G143" s="743"/>
      <c r="H143" s="743"/>
      <c r="I143" s="45">
        <f t="shared" si="50"/>
        <v>0</v>
      </c>
      <c r="J143" s="125" t="str">
        <f t="shared" si="48"/>
        <v/>
      </c>
      <c r="K143" s="745"/>
    </row>
    <row r="144" spans="1:11" ht="12.75" customHeight="1" x14ac:dyDescent="0.2">
      <c r="A144" s="583" t="s">
        <v>1360</v>
      </c>
      <c r="B144" s="170"/>
      <c r="C144" s="758"/>
      <c r="D144" s="763"/>
      <c r="E144" s="743"/>
      <c r="F144" s="743"/>
      <c r="G144" s="743"/>
      <c r="H144" s="743"/>
      <c r="I144" s="45">
        <f t="shared" si="50"/>
        <v>0</v>
      </c>
      <c r="J144" s="125" t="str">
        <f t="shared" si="48"/>
        <v/>
      </c>
      <c r="K144" s="745"/>
    </row>
    <row r="145" spans="1:12" ht="12.75" customHeight="1" x14ac:dyDescent="0.2">
      <c r="A145" s="583" t="s">
        <v>1361</v>
      </c>
      <c r="B145" s="170"/>
      <c r="C145" s="758"/>
      <c r="D145" s="763"/>
      <c r="E145" s="743"/>
      <c r="F145" s="743"/>
      <c r="G145" s="743"/>
      <c r="H145" s="743"/>
      <c r="I145" s="45">
        <f t="shared" si="50"/>
        <v>0</v>
      </c>
      <c r="J145" s="125" t="str">
        <f t="shared" si="48"/>
        <v/>
      </c>
      <c r="K145" s="745"/>
    </row>
    <row r="146" spans="1:12" ht="12.75" customHeight="1" x14ac:dyDescent="0.2">
      <c r="A146" s="583" t="s">
        <v>1362</v>
      </c>
      <c r="B146" s="170"/>
      <c r="C146" s="758"/>
      <c r="D146" s="763"/>
      <c r="E146" s="743"/>
      <c r="F146" s="743"/>
      <c r="G146" s="743"/>
      <c r="H146" s="743"/>
      <c r="I146" s="45">
        <f t="shared" si="50"/>
        <v>0</v>
      </c>
      <c r="J146" s="125" t="str">
        <f t="shared" si="48"/>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2">SUM(C149:C149)</f>
        <v>0</v>
      </c>
      <c r="D148" s="586">
        <f t="shared" si="52"/>
        <v>1895609.0353719697</v>
      </c>
      <c r="E148" s="587">
        <f t="shared" si="52"/>
        <v>0</v>
      </c>
      <c r="F148" s="587">
        <f t="shared" si="52"/>
        <v>157967.41961433101</v>
      </c>
      <c r="G148" s="587">
        <f t="shared" si="52"/>
        <v>631869.67845732323</v>
      </c>
      <c r="H148" s="587">
        <f t="shared" si="52"/>
        <v>631869.67845732323</v>
      </c>
      <c r="I148" s="587">
        <f>H148-G148</f>
        <v>0</v>
      </c>
      <c r="J148" s="327" t="str">
        <f>IF(I148=0,"",I148/H148)</f>
        <v/>
      </c>
      <c r="K148" s="589">
        <f>SUM(K149)</f>
        <v>1895609.0353719697</v>
      </c>
    </row>
    <row r="149" spans="1:12" ht="12.75" customHeight="1" x14ac:dyDescent="0.2">
      <c r="A149" s="521" t="s">
        <v>1363</v>
      </c>
      <c r="B149" s="170"/>
      <c r="C149" s="758"/>
      <c r="D149" s="763">
        <v>1895609.0353719697</v>
      </c>
      <c r="E149" s="743"/>
      <c r="F149" s="743">
        <v>157967.41961433101</v>
      </c>
      <c r="G149" s="743">
        <f>H149</f>
        <v>631869.67845732323</v>
      </c>
      <c r="H149" s="743">
        <f>D149/12*4</f>
        <v>631869.67845732323</v>
      </c>
      <c r="I149" s="45">
        <f>H149-G149</f>
        <v>0</v>
      </c>
      <c r="J149" s="125" t="str">
        <f>IF(I149=0,"",I149/H149)</f>
        <v/>
      </c>
      <c r="K149" s="745">
        <f>D149</f>
        <v>1895609.0353719697</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3">SUM(C152:C152)</f>
        <v>0</v>
      </c>
      <c r="D151" s="586">
        <f t="shared" si="53"/>
        <v>5728879.2470829552</v>
      </c>
      <c r="E151" s="587">
        <f t="shared" si="53"/>
        <v>0</v>
      </c>
      <c r="F151" s="587">
        <f t="shared" si="53"/>
        <v>477406.60392358003</v>
      </c>
      <c r="G151" s="587">
        <f t="shared" si="53"/>
        <v>1909626.4156943185</v>
      </c>
      <c r="H151" s="587">
        <f t="shared" si="53"/>
        <v>1909626.4156943185</v>
      </c>
      <c r="I151" s="587">
        <f>H151-G151</f>
        <v>0</v>
      </c>
      <c r="J151" s="327" t="str">
        <f>IF(I151=0,"",I151/H151)</f>
        <v/>
      </c>
      <c r="K151" s="589">
        <f>SUM(K152)</f>
        <v>5728879.2470829552</v>
      </c>
    </row>
    <row r="152" spans="1:12" ht="12.75" customHeight="1" x14ac:dyDescent="0.2">
      <c r="A152" s="521" t="s">
        <v>1364</v>
      </c>
      <c r="B152" s="170"/>
      <c r="C152" s="758"/>
      <c r="D152" s="763">
        <v>5728879.2470829552</v>
      </c>
      <c r="E152" s="743"/>
      <c r="F152" s="743">
        <v>477406.60392358003</v>
      </c>
      <c r="G152" s="743">
        <f>H152</f>
        <v>1909626.4156943185</v>
      </c>
      <c r="H152" s="743">
        <f>D152/12*4</f>
        <v>1909626.4156943185</v>
      </c>
      <c r="I152" s="45">
        <f>H152-G152</f>
        <v>0</v>
      </c>
      <c r="J152" s="125" t="str">
        <f>IF(I152=0,"",I152/H152)</f>
        <v/>
      </c>
      <c r="K152" s="745">
        <f>D152</f>
        <v>5728879.2470829552</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4">SUM(C155:C155)</f>
        <v>0</v>
      </c>
      <c r="D154" s="586">
        <f t="shared" si="54"/>
        <v>2883898.297753829</v>
      </c>
      <c r="E154" s="587">
        <f t="shared" si="54"/>
        <v>0</v>
      </c>
      <c r="F154" s="587">
        <f t="shared" si="54"/>
        <v>240324.85814615199</v>
      </c>
      <c r="G154" s="587">
        <f t="shared" si="54"/>
        <v>961299.43258460972</v>
      </c>
      <c r="H154" s="587">
        <f t="shared" si="54"/>
        <v>961299.43258460972</v>
      </c>
      <c r="I154" s="587">
        <f>H154-G154</f>
        <v>0</v>
      </c>
      <c r="J154" s="327" t="str">
        <f>IF(I154=0,"",I154/H154)</f>
        <v/>
      </c>
      <c r="K154" s="589">
        <f>SUM(K155)</f>
        <v>2883898.297753829</v>
      </c>
    </row>
    <row r="155" spans="1:12" ht="12.75" customHeight="1" x14ac:dyDescent="0.2">
      <c r="A155" s="521" t="s">
        <v>1365</v>
      </c>
      <c r="B155" s="170"/>
      <c r="C155" s="758"/>
      <c r="D155" s="763">
        <v>2883898.297753829</v>
      </c>
      <c r="E155" s="743"/>
      <c r="F155" s="743">
        <v>240324.85814615199</v>
      </c>
      <c r="G155" s="743">
        <f>H155</f>
        <v>961299.43258460972</v>
      </c>
      <c r="H155" s="743">
        <f>D155/12*4</f>
        <v>961299.43258460972</v>
      </c>
      <c r="I155" s="45">
        <f>H155-G155</f>
        <v>0</v>
      </c>
      <c r="J155" s="125" t="str">
        <f>IF(I155=0,"",I155/H155)</f>
        <v/>
      </c>
      <c r="K155" s="745">
        <f>D155</f>
        <v>2883898.297753829</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5">SUM(C158:C158)</f>
        <v>0</v>
      </c>
      <c r="D157" s="586">
        <f t="shared" si="55"/>
        <v>19789208.987791453</v>
      </c>
      <c r="E157" s="587">
        <f t="shared" si="55"/>
        <v>0</v>
      </c>
      <c r="F157" s="587">
        <f t="shared" si="55"/>
        <v>1649100.74898262</v>
      </c>
      <c r="G157" s="587">
        <f t="shared" si="55"/>
        <v>6596402.9959304845</v>
      </c>
      <c r="H157" s="587">
        <f t="shared" si="55"/>
        <v>6596402.9959304845</v>
      </c>
      <c r="I157" s="587">
        <f>H157-G157</f>
        <v>0</v>
      </c>
      <c r="J157" s="327" t="str">
        <f>IF(I157=0,"",I157/H157)</f>
        <v/>
      </c>
      <c r="K157" s="589">
        <f>SUM(K158)</f>
        <v>19789208.987791453</v>
      </c>
    </row>
    <row r="158" spans="1:12" ht="12.75" customHeight="1" x14ac:dyDescent="0.2">
      <c r="A158" s="521" t="s">
        <v>1366</v>
      </c>
      <c r="B158" s="170"/>
      <c r="C158" s="758"/>
      <c r="D158" s="763">
        <v>19789208.987791453</v>
      </c>
      <c r="E158" s="743"/>
      <c r="F158" s="743">
        <v>1649100.74898262</v>
      </c>
      <c r="G158" s="743">
        <f>H158</f>
        <v>6596402.9959304845</v>
      </c>
      <c r="H158" s="743">
        <f>D158/12*4</f>
        <v>6596402.9959304845</v>
      </c>
      <c r="I158" s="45">
        <f>H158-G158</f>
        <v>0</v>
      </c>
      <c r="J158" s="125" t="str">
        <f>IF(I158=0,"",I158/H158)</f>
        <v/>
      </c>
      <c r="K158" s="745">
        <f>D158</f>
        <v>19789208.987791453</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6">SUM(C161:C161)</f>
        <v>0</v>
      </c>
      <c r="D160" s="586">
        <f t="shared" si="56"/>
        <v>0</v>
      </c>
      <c r="E160" s="587">
        <f t="shared" si="56"/>
        <v>0</v>
      </c>
      <c r="F160" s="587">
        <f t="shared" si="56"/>
        <v>0</v>
      </c>
      <c r="G160" s="587">
        <f t="shared" si="56"/>
        <v>0</v>
      </c>
      <c r="H160" s="587">
        <f t="shared" si="56"/>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7">SUM(C164:C164)</f>
        <v>0</v>
      </c>
      <c r="D163" s="586">
        <f t="shared" si="57"/>
        <v>0</v>
      </c>
      <c r="E163" s="587">
        <f t="shared" si="57"/>
        <v>0</v>
      </c>
      <c r="F163" s="587">
        <f t="shared" si="57"/>
        <v>0</v>
      </c>
      <c r="G163" s="587">
        <f t="shared" si="57"/>
        <v>0</v>
      </c>
      <c r="H163" s="587">
        <f t="shared" si="57"/>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1099</v>
      </c>
      <c r="B166" s="237">
        <v>1</v>
      </c>
      <c r="C166" s="113">
        <f t="shared" ref="C166:H166" si="58">C7+C75+C103+C110+C117+C135+C138+C148+C151+C154+C157+C160+C163</f>
        <v>180000000</v>
      </c>
      <c r="D166" s="272">
        <f t="shared" si="58"/>
        <v>184999999.99999997</v>
      </c>
      <c r="E166" s="56">
        <f t="shared" si="58"/>
        <v>0</v>
      </c>
      <c r="F166" s="56">
        <f t="shared" si="58"/>
        <v>15416666.666666662</v>
      </c>
      <c r="G166" s="56">
        <f t="shared" si="58"/>
        <v>61666666.666666664</v>
      </c>
      <c r="H166" s="56">
        <f t="shared" si="58"/>
        <v>61666666.666666664</v>
      </c>
      <c r="I166" s="56">
        <f t="shared" si="1"/>
        <v>0</v>
      </c>
      <c r="J166" s="293" t="str">
        <f t="shared" si="2"/>
        <v/>
      </c>
      <c r="K166" s="236">
        <f>K7+K75+K103+K110+K117+K135+K138+K148+K151+K154+K157+K160+K163</f>
        <v>184999999.99999997</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1" activePane="bottomRight" state="frozen"/>
      <selection pane="topRight"/>
      <selection pane="bottomLeft"/>
      <selection pane="bottomRight" activeCell="G160" sqref="G160"/>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"&amp;S71Se&amp; " - "&amp;Head57</f>
        <v>LIM354 Polokwane - Supporting Table SC13e Monthly Budget Statement - capital expenditure on upgrading of existing assets by asset class - M04 October</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1369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0</v>
      </c>
      <c r="D7" s="611">
        <f t="shared" si="0"/>
        <v>44886120</v>
      </c>
      <c r="E7" s="103">
        <f t="shared" si="0"/>
        <v>0</v>
      </c>
      <c r="F7" s="103">
        <f t="shared" si="0"/>
        <v>6024122.4629999986</v>
      </c>
      <c r="G7" s="103">
        <f t="shared" si="0"/>
        <v>17937057.425999999</v>
      </c>
      <c r="H7" s="103">
        <f t="shared" si="0"/>
        <v>14962040</v>
      </c>
      <c r="I7" s="102">
        <f t="shared" ref="I7:I133" si="1">H7-G7</f>
        <v>-2975017.425999999</v>
      </c>
      <c r="J7" s="588">
        <f t="shared" ref="J7:J136" si="2">IF(I7=0,"",I7/H7)</f>
        <v>-0.1988376869731667</v>
      </c>
      <c r="K7" s="612">
        <f>K8+K13+K17+K27+K38+K45+K53+K63+K69</f>
        <v>44886120</v>
      </c>
    </row>
    <row r="8" spans="1:11" ht="12.75" customHeight="1" x14ac:dyDescent="0.2">
      <c r="A8" s="521" t="s">
        <v>1258</v>
      </c>
      <c r="B8" s="170"/>
      <c r="C8" s="686">
        <f t="shared" ref="C8:H8" si="3">SUM(C9:C12)</f>
        <v>0</v>
      </c>
      <c r="D8" s="618">
        <f t="shared" si="3"/>
        <v>32386120</v>
      </c>
      <c r="E8" s="617">
        <f t="shared" si="3"/>
        <v>0</v>
      </c>
      <c r="F8" s="617">
        <f t="shared" si="3"/>
        <v>5830334.695199999</v>
      </c>
      <c r="G8" s="617">
        <f t="shared" si="3"/>
        <v>16220132.974799998</v>
      </c>
      <c r="H8" s="617">
        <f t="shared" si="3"/>
        <v>10795373.333333334</v>
      </c>
      <c r="I8" s="259">
        <f t="shared" si="1"/>
        <v>-5424759.6414666642</v>
      </c>
      <c r="J8" s="584">
        <f t="shared" si="2"/>
        <v>-0.50250783126845677</v>
      </c>
      <c r="K8" s="619">
        <f>SUM(K9:K12)</f>
        <v>32386120</v>
      </c>
    </row>
    <row r="9" spans="1:11" ht="12.75" customHeight="1" x14ac:dyDescent="0.2">
      <c r="A9" s="583" t="s">
        <v>176</v>
      </c>
      <c r="B9" s="170"/>
      <c r="C9" s="758"/>
      <c r="D9" s="755">
        <v>32386120</v>
      </c>
      <c r="E9" s="743"/>
      <c r="F9" s="743">
        <v>5830334.695199999</v>
      </c>
      <c r="G9" s="743">
        <f>F9+10389798.2796</f>
        <v>16220132.974799998</v>
      </c>
      <c r="H9" s="743">
        <f>D9/12*4</f>
        <v>10795373.333333334</v>
      </c>
      <c r="I9" s="259">
        <f t="shared" si="1"/>
        <v>-5424759.6414666642</v>
      </c>
      <c r="J9" s="584">
        <f t="shared" si="2"/>
        <v>-0.50250783126845677</v>
      </c>
      <c r="K9" s="745">
        <f>D9</f>
        <v>32386120</v>
      </c>
    </row>
    <row r="10" spans="1:11" ht="12.75" customHeight="1" x14ac:dyDescent="0.2">
      <c r="A10" s="583" t="s">
        <v>1259</v>
      </c>
      <c r="B10" s="170"/>
      <c r="C10" s="758"/>
      <c r="D10" s="755"/>
      <c r="E10" s="743"/>
      <c r="F10" s="743"/>
      <c r="G10" s="743"/>
      <c r="H10" s="743">
        <f>D10/12*4</f>
        <v>0</v>
      </c>
      <c r="I10" s="259">
        <f t="shared" si="1"/>
        <v>0</v>
      </c>
      <c r="J10" s="584" t="str">
        <f t="shared" si="2"/>
        <v/>
      </c>
      <c r="K10" s="745"/>
    </row>
    <row r="11" spans="1:11" ht="12.75" customHeight="1" x14ac:dyDescent="0.2">
      <c r="A11" s="583" t="s">
        <v>1260</v>
      </c>
      <c r="B11" s="170"/>
      <c r="C11" s="758"/>
      <c r="D11" s="755"/>
      <c r="E11" s="743"/>
      <c r="F11" s="743"/>
      <c r="G11" s="743"/>
      <c r="H11" s="743">
        <f>D11/12*4</f>
        <v>0</v>
      </c>
      <c r="I11" s="259">
        <f t="shared" si="1"/>
        <v>0</v>
      </c>
      <c r="J11" s="584" t="str">
        <f t="shared" si="2"/>
        <v/>
      </c>
      <c r="K11" s="745"/>
    </row>
    <row r="12" spans="1:11" ht="12.75" customHeight="1" x14ac:dyDescent="0.2">
      <c r="A12" s="583" t="s">
        <v>1261</v>
      </c>
      <c r="B12" s="170"/>
      <c r="C12" s="758"/>
      <c r="D12" s="755"/>
      <c r="E12" s="743"/>
      <c r="F12" s="743"/>
      <c r="G12" s="743"/>
      <c r="H12" s="743">
        <f>D12/12*4</f>
        <v>0</v>
      </c>
      <c r="I12" s="259">
        <f t="shared" si="1"/>
        <v>0</v>
      </c>
      <c r="J12" s="584" t="str">
        <f t="shared" si="2"/>
        <v/>
      </c>
      <c r="K12" s="745"/>
    </row>
    <row r="13" spans="1:11" ht="12.75" customHeight="1" x14ac:dyDescent="0.2">
      <c r="A13" s="521" t="s">
        <v>1262</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1263</v>
      </c>
      <c r="B14" s="170"/>
      <c r="C14" s="758"/>
      <c r="D14" s="755"/>
      <c r="E14" s="743"/>
      <c r="F14" s="743"/>
      <c r="G14" s="743"/>
      <c r="H14" s="743"/>
      <c r="I14" s="259">
        <f t="shared" si="1"/>
        <v>0</v>
      </c>
      <c r="J14" s="584" t="str">
        <f t="shared" si="2"/>
        <v/>
      </c>
      <c r="K14" s="745"/>
    </row>
    <row r="15" spans="1:11" ht="12.75" customHeight="1" x14ac:dyDescent="0.2">
      <c r="A15" s="583" t="s">
        <v>1264</v>
      </c>
      <c r="B15" s="170"/>
      <c r="C15" s="758"/>
      <c r="D15" s="755"/>
      <c r="E15" s="743"/>
      <c r="F15" s="743"/>
      <c r="G15" s="743"/>
      <c r="H15" s="743"/>
      <c r="I15" s="259">
        <f t="shared" si="1"/>
        <v>0</v>
      </c>
      <c r="J15" s="584" t="str">
        <f t="shared" si="2"/>
        <v/>
      </c>
      <c r="K15" s="745"/>
    </row>
    <row r="16" spans="1:11" ht="12.75" customHeight="1" x14ac:dyDescent="0.2">
      <c r="A16" s="583" t="s">
        <v>1265</v>
      </c>
      <c r="B16" s="170"/>
      <c r="C16" s="758"/>
      <c r="D16" s="755"/>
      <c r="E16" s="743"/>
      <c r="F16" s="743"/>
      <c r="G16" s="743"/>
      <c r="H16" s="743"/>
      <c r="I16" s="259">
        <f t="shared" si="1"/>
        <v>0</v>
      </c>
      <c r="J16" s="584" t="str">
        <f t="shared" si="2"/>
        <v/>
      </c>
      <c r="K16" s="745"/>
    </row>
    <row r="17" spans="1:11" ht="12.75" customHeight="1" x14ac:dyDescent="0.2">
      <c r="A17" s="521" t="s">
        <v>1266</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
      <c r="A18" s="583" t="s">
        <v>1267</v>
      </c>
      <c r="B18" s="170"/>
      <c r="C18" s="758"/>
      <c r="D18" s="755"/>
      <c r="E18" s="743"/>
      <c r="F18" s="743"/>
      <c r="G18" s="743"/>
      <c r="H18" s="743"/>
      <c r="I18" s="259">
        <f t="shared" si="1"/>
        <v>0</v>
      </c>
      <c r="J18" s="584" t="str">
        <f t="shared" si="2"/>
        <v/>
      </c>
      <c r="K18" s="745"/>
    </row>
    <row r="19" spans="1:11" ht="12.75" customHeight="1" x14ac:dyDescent="0.2">
      <c r="A19" s="583" t="s">
        <v>1268</v>
      </c>
      <c r="B19" s="170"/>
      <c r="C19" s="758"/>
      <c r="D19" s="755"/>
      <c r="E19" s="743"/>
      <c r="F19" s="743"/>
      <c r="G19" s="743"/>
      <c r="H19" s="743"/>
      <c r="I19" s="259">
        <f t="shared" si="1"/>
        <v>0</v>
      </c>
      <c r="J19" s="584" t="str">
        <f t="shared" si="2"/>
        <v/>
      </c>
      <c r="K19" s="745"/>
    </row>
    <row r="20" spans="1:11" ht="12.75" customHeight="1" x14ac:dyDescent="0.2">
      <c r="A20" s="583" t="s">
        <v>1269</v>
      </c>
      <c r="B20" s="170"/>
      <c r="C20" s="758"/>
      <c r="D20" s="755"/>
      <c r="E20" s="743"/>
      <c r="F20" s="743"/>
      <c r="G20" s="743"/>
      <c r="H20" s="743"/>
      <c r="I20" s="259">
        <f t="shared" si="1"/>
        <v>0</v>
      </c>
      <c r="J20" s="584" t="str">
        <f t="shared" si="2"/>
        <v/>
      </c>
      <c r="K20" s="745"/>
    </row>
    <row r="21" spans="1:11" ht="12.75" customHeight="1" x14ac:dyDescent="0.2">
      <c r="A21" s="583" t="s">
        <v>1270</v>
      </c>
      <c r="B21" s="170"/>
      <c r="C21" s="758"/>
      <c r="D21" s="755"/>
      <c r="E21" s="743"/>
      <c r="F21" s="743"/>
      <c r="G21" s="743"/>
      <c r="H21" s="743"/>
      <c r="I21" s="259">
        <f t="shared" si="1"/>
        <v>0</v>
      </c>
      <c r="J21" s="584" t="str">
        <f t="shared" si="2"/>
        <v/>
      </c>
      <c r="K21" s="745"/>
    </row>
    <row r="22" spans="1:11" ht="12.75" customHeight="1" x14ac:dyDescent="0.2">
      <c r="A22" s="583" t="s">
        <v>1271</v>
      </c>
      <c r="B22" s="170"/>
      <c r="C22" s="758"/>
      <c r="D22" s="755"/>
      <c r="E22" s="743"/>
      <c r="F22" s="743"/>
      <c r="G22" s="743"/>
      <c r="H22" s="743"/>
      <c r="I22" s="259">
        <f t="shared" si="1"/>
        <v>0</v>
      </c>
      <c r="J22" s="584" t="str">
        <f t="shared" si="2"/>
        <v/>
      </c>
      <c r="K22" s="745"/>
    </row>
    <row r="23" spans="1:11" ht="12.75" customHeight="1" x14ac:dyDescent="0.2">
      <c r="A23" s="583" t="s">
        <v>1272</v>
      </c>
      <c r="B23" s="170"/>
      <c r="C23" s="758"/>
      <c r="D23" s="755"/>
      <c r="E23" s="743"/>
      <c r="F23" s="743"/>
      <c r="G23" s="743"/>
      <c r="H23" s="743"/>
      <c r="I23" s="259">
        <f t="shared" si="1"/>
        <v>0</v>
      </c>
      <c r="J23" s="584" t="str">
        <f t="shared" si="2"/>
        <v/>
      </c>
      <c r="K23" s="745"/>
    </row>
    <row r="24" spans="1:11" ht="12.75" customHeight="1" x14ac:dyDescent="0.2">
      <c r="A24" s="583" t="s">
        <v>1273</v>
      </c>
      <c r="B24" s="170"/>
      <c r="C24" s="758"/>
      <c r="D24" s="755"/>
      <c r="E24" s="743"/>
      <c r="F24" s="743"/>
      <c r="G24" s="743"/>
      <c r="H24" s="743"/>
      <c r="I24" s="259">
        <f t="shared" si="1"/>
        <v>0</v>
      </c>
      <c r="J24" s="584" t="str">
        <f t="shared" si="2"/>
        <v/>
      </c>
      <c r="K24" s="745"/>
    </row>
    <row r="25" spans="1:11" ht="12.75" customHeight="1" x14ac:dyDescent="0.2">
      <c r="A25" s="583" t="s">
        <v>1274</v>
      </c>
      <c r="B25" s="170"/>
      <c r="C25" s="758"/>
      <c r="D25" s="755"/>
      <c r="E25" s="743"/>
      <c r="F25" s="743"/>
      <c r="G25" s="743"/>
      <c r="H25" s="743"/>
      <c r="I25" s="259">
        <f t="shared" si="1"/>
        <v>0</v>
      </c>
      <c r="J25" s="584" t="str">
        <f t="shared" si="2"/>
        <v/>
      </c>
      <c r="K25" s="745"/>
    </row>
    <row r="26" spans="1:11" ht="12.75" customHeight="1" x14ac:dyDescent="0.2">
      <c r="A26" s="583" t="s">
        <v>1261</v>
      </c>
      <c r="B26" s="170"/>
      <c r="C26" s="758"/>
      <c r="D26" s="755"/>
      <c r="E26" s="743"/>
      <c r="F26" s="743"/>
      <c r="G26" s="743"/>
      <c r="H26" s="743"/>
      <c r="I26" s="259">
        <f t="shared" si="1"/>
        <v>0</v>
      </c>
      <c r="J26" s="584" t="str">
        <f t="shared" si="2"/>
        <v/>
      </c>
      <c r="K26" s="745"/>
    </row>
    <row r="27" spans="1:11" ht="12.75" customHeight="1" x14ac:dyDescent="0.2">
      <c r="A27" s="520" t="s">
        <v>1275</v>
      </c>
      <c r="B27" s="170"/>
      <c r="C27" s="657">
        <f t="shared" ref="C27:H27" si="6">SUM(C28:C37)</f>
        <v>0</v>
      </c>
      <c r="D27" s="658">
        <f t="shared" si="6"/>
        <v>12500000</v>
      </c>
      <c r="E27" s="411">
        <f t="shared" si="6"/>
        <v>0</v>
      </c>
      <c r="F27" s="411">
        <f t="shared" si="6"/>
        <v>193787.76779999997</v>
      </c>
      <c r="G27" s="411">
        <f t="shared" si="6"/>
        <v>1716924.4512</v>
      </c>
      <c r="H27" s="411">
        <f t="shared" si="6"/>
        <v>4166666.6666666665</v>
      </c>
      <c r="I27" s="259">
        <f t="shared" si="1"/>
        <v>2449742.2154666665</v>
      </c>
      <c r="J27" s="584">
        <f t="shared" si="2"/>
        <v>0.58793813171199993</v>
      </c>
      <c r="K27" s="651">
        <f>SUM(K28:K37)</f>
        <v>12500000</v>
      </c>
    </row>
    <row r="28" spans="1:11" ht="12.75" customHeight="1" x14ac:dyDescent="0.2">
      <c r="A28" s="583" t="s">
        <v>1276</v>
      </c>
      <c r="B28" s="170"/>
      <c r="C28" s="758"/>
      <c r="D28" s="755"/>
      <c r="E28" s="743"/>
      <c r="F28" s="743"/>
      <c r="G28" s="743"/>
      <c r="H28" s="743"/>
      <c r="I28" s="259">
        <f t="shared" si="1"/>
        <v>0</v>
      </c>
      <c r="J28" s="584" t="str">
        <f t="shared" si="2"/>
        <v/>
      </c>
      <c r="K28" s="745"/>
    </row>
    <row r="29" spans="1:11" ht="12.75" customHeight="1" x14ac:dyDescent="0.2">
      <c r="A29" s="583" t="s">
        <v>1277</v>
      </c>
      <c r="B29" s="170"/>
      <c r="C29" s="758"/>
      <c r="D29" s="755"/>
      <c r="E29" s="743"/>
      <c r="F29" s="743"/>
      <c r="G29" s="743"/>
      <c r="H29" s="743"/>
      <c r="I29" s="259">
        <f t="shared" si="1"/>
        <v>0</v>
      </c>
      <c r="J29" s="584" t="str">
        <f t="shared" si="2"/>
        <v/>
      </c>
      <c r="K29" s="745"/>
    </row>
    <row r="30" spans="1:11" ht="12.75" customHeight="1" x14ac:dyDescent="0.2">
      <c r="A30" s="583" t="s">
        <v>1278</v>
      </c>
      <c r="B30" s="170"/>
      <c r="C30" s="758"/>
      <c r="D30" s="755"/>
      <c r="E30" s="743"/>
      <c r="F30" s="743"/>
      <c r="G30" s="743"/>
      <c r="H30" s="743"/>
      <c r="I30" s="259">
        <f t="shared" si="1"/>
        <v>0</v>
      </c>
      <c r="J30" s="584" t="str">
        <f t="shared" si="2"/>
        <v/>
      </c>
      <c r="K30" s="745"/>
    </row>
    <row r="31" spans="1:11" ht="12.75" customHeight="1" x14ac:dyDescent="0.2">
      <c r="A31" s="583" t="s">
        <v>1279</v>
      </c>
      <c r="B31" s="170"/>
      <c r="C31" s="758"/>
      <c r="D31" s="755"/>
      <c r="E31" s="743"/>
      <c r="F31" s="743"/>
      <c r="G31" s="743"/>
      <c r="H31" s="743"/>
      <c r="I31" s="259">
        <f t="shared" si="1"/>
        <v>0</v>
      </c>
      <c r="J31" s="584" t="str">
        <f t="shared" si="2"/>
        <v/>
      </c>
      <c r="K31" s="745"/>
    </row>
    <row r="32" spans="1:11" ht="12.75" customHeight="1" x14ac:dyDescent="0.2">
      <c r="A32" s="583" t="s">
        <v>1280</v>
      </c>
      <c r="B32" s="170"/>
      <c r="C32" s="758"/>
      <c r="D32" s="755"/>
      <c r="E32" s="743"/>
      <c r="F32" s="743"/>
      <c r="G32" s="743"/>
      <c r="H32" s="743"/>
      <c r="I32" s="259">
        <f t="shared" si="1"/>
        <v>0</v>
      </c>
      <c r="J32" s="584" t="str">
        <f t="shared" si="2"/>
        <v/>
      </c>
      <c r="K32" s="745"/>
    </row>
    <row r="33" spans="1:11" ht="12.75" customHeight="1" x14ac:dyDescent="0.2">
      <c r="A33" s="583" t="s">
        <v>1281</v>
      </c>
      <c r="B33" s="170"/>
      <c r="C33" s="758"/>
      <c r="D33" s="755"/>
      <c r="E33" s="743"/>
      <c r="F33" s="743"/>
      <c r="G33" s="743"/>
      <c r="H33" s="743"/>
      <c r="I33" s="259">
        <f t="shared" si="1"/>
        <v>0</v>
      </c>
      <c r="J33" s="584" t="str">
        <f t="shared" si="2"/>
        <v/>
      </c>
      <c r="K33" s="745"/>
    </row>
    <row r="34" spans="1:11" ht="12.75" customHeight="1" x14ac:dyDescent="0.2">
      <c r="A34" s="583" t="s">
        <v>1282</v>
      </c>
      <c r="B34" s="170"/>
      <c r="C34" s="758"/>
      <c r="D34" s="755"/>
      <c r="E34" s="743"/>
      <c r="F34" s="743"/>
      <c r="G34" s="743"/>
      <c r="H34" s="743"/>
      <c r="I34" s="259">
        <f t="shared" si="1"/>
        <v>0</v>
      </c>
      <c r="J34" s="584" t="str">
        <f t="shared" si="2"/>
        <v/>
      </c>
      <c r="K34" s="745"/>
    </row>
    <row r="35" spans="1:11" ht="12.75" customHeight="1" x14ac:dyDescent="0.2">
      <c r="A35" s="583" t="s">
        <v>1283</v>
      </c>
      <c r="B35" s="170"/>
      <c r="C35" s="758"/>
      <c r="D35" s="755">
        <v>12500000</v>
      </c>
      <c r="E35" s="743"/>
      <c r="F35" s="743">
        <v>193787.76779999997</v>
      </c>
      <c r="G35" s="743">
        <f>F35+1523136.6834</f>
        <v>1716924.4512</v>
      </c>
      <c r="H35" s="743">
        <f>D35/12*4</f>
        <v>4166666.6666666665</v>
      </c>
      <c r="I35" s="259">
        <f t="shared" si="1"/>
        <v>2449742.2154666665</v>
      </c>
      <c r="J35" s="584">
        <f t="shared" si="2"/>
        <v>0.58793813171199993</v>
      </c>
      <c r="K35" s="745">
        <f>D35</f>
        <v>12500000</v>
      </c>
    </row>
    <row r="36" spans="1:11" ht="12.75" customHeight="1" x14ac:dyDescent="0.2">
      <c r="A36" s="583" t="s">
        <v>1284</v>
      </c>
      <c r="B36" s="170"/>
      <c r="C36" s="758"/>
      <c r="D36" s="755"/>
      <c r="E36" s="743"/>
      <c r="F36" s="743"/>
      <c r="G36" s="743"/>
      <c r="H36" s="743"/>
      <c r="I36" s="259">
        <f t="shared" si="1"/>
        <v>0</v>
      </c>
      <c r="J36" s="584" t="str">
        <f t="shared" si="2"/>
        <v/>
      </c>
      <c r="K36" s="745"/>
    </row>
    <row r="37" spans="1:11" ht="12.75" customHeight="1" x14ac:dyDescent="0.2">
      <c r="A37" s="583" t="s">
        <v>1261</v>
      </c>
      <c r="B37" s="170"/>
      <c r="C37" s="758"/>
      <c r="D37" s="755"/>
      <c r="E37" s="743"/>
      <c r="F37" s="743"/>
      <c r="G37" s="743"/>
      <c r="H37" s="743"/>
      <c r="I37" s="259">
        <f t="shared" si="1"/>
        <v>0</v>
      </c>
      <c r="J37" s="584" t="str">
        <f t="shared" si="2"/>
        <v/>
      </c>
      <c r="K37" s="745"/>
    </row>
    <row r="38" spans="1:11" ht="12.75" customHeight="1" x14ac:dyDescent="0.2">
      <c r="A38" s="520" t="s">
        <v>1285</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
      <c r="A39" s="583" t="s">
        <v>1286</v>
      </c>
      <c r="B39" s="170"/>
      <c r="C39" s="758"/>
      <c r="D39" s="755"/>
      <c r="E39" s="743"/>
      <c r="F39" s="743"/>
      <c r="G39" s="743"/>
      <c r="H39" s="743"/>
      <c r="I39" s="259">
        <f t="shared" si="1"/>
        <v>0</v>
      </c>
      <c r="J39" s="584" t="str">
        <f t="shared" si="2"/>
        <v/>
      </c>
      <c r="K39" s="745"/>
    </row>
    <row r="40" spans="1:11" ht="12.75" customHeight="1" x14ac:dyDescent="0.2">
      <c r="A40" s="583" t="s">
        <v>142</v>
      </c>
      <c r="B40" s="170"/>
      <c r="C40" s="758"/>
      <c r="D40" s="755"/>
      <c r="E40" s="743"/>
      <c r="F40" s="743"/>
      <c r="G40" s="743"/>
      <c r="H40" s="743"/>
      <c r="I40" s="259">
        <f t="shared" si="1"/>
        <v>0</v>
      </c>
      <c r="J40" s="584" t="str">
        <f t="shared" si="2"/>
        <v/>
      </c>
      <c r="K40" s="745"/>
    </row>
    <row r="41" spans="1:11" ht="12.75" customHeight="1" x14ac:dyDescent="0.2">
      <c r="A41" s="583" t="s">
        <v>1287</v>
      </c>
      <c r="B41" s="170"/>
      <c r="C41" s="758"/>
      <c r="D41" s="755"/>
      <c r="E41" s="743"/>
      <c r="F41" s="743"/>
      <c r="G41" s="743"/>
      <c r="H41" s="743"/>
      <c r="I41" s="259">
        <f t="shared" si="1"/>
        <v>0</v>
      </c>
      <c r="J41" s="584" t="str">
        <f t="shared" si="2"/>
        <v/>
      </c>
      <c r="K41" s="745"/>
    </row>
    <row r="42" spans="1:11" ht="12.75" customHeight="1" x14ac:dyDescent="0.2">
      <c r="A42" s="583" t="s">
        <v>1288</v>
      </c>
      <c r="B42" s="170"/>
      <c r="C42" s="758"/>
      <c r="D42" s="755"/>
      <c r="E42" s="743"/>
      <c r="F42" s="743"/>
      <c r="G42" s="743"/>
      <c r="H42" s="743"/>
      <c r="I42" s="259">
        <f t="shared" si="1"/>
        <v>0</v>
      </c>
      <c r="J42" s="584" t="str">
        <f t="shared" si="2"/>
        <v/>
      </c>
      <c r="K42" s="745"/>
    </row>
    <row r="43" spans="1:11" ht="12.75" customHeight="1" x14ac:dyDescent="0.2">
      <c r="A43" s="583" t="s">
        <v>1289</v>
      </c>
      <c r="B43" s="170"/>
      <c r="C43" s="758"/>
      <c r="D43" s="755"/>
      <c r="E43" s="743"/>
      <c r="F43" s="743"/>
      <c r="G43" s="743"/>
      <c r="H43" s="743"/>
      <c r="I43" s="259">
        <f t="shared" si="1"/>
        <v>0</v>
      </c>
      <c r="J43" s="584" t="str">
        <f t="shared" si="2"/>
        <v/>
      </c>
      <c r="K43" s="745"/>
    </row>
    <row r="44" spans="1:11" ht="12.75" customHeight="1" x14ac:dyDescent="0.2">
      <c r="A44" s="583" t="s">
        <v>1261</v>
      </c>
      <c r="B44" s="170"/>
      <c r="C44" s="758"/>
      <c r="D44" s="755"/>
      <c r="E44" s="743"/>
      <c r="F44" s="743"/>
      <c r="G44" s="743"/>
      <c r="H44" s="743"/>
      <c r="I44" s="259">
        <f t="shared" si="1"/>
        <v>0</v>
      </c>
      <c r="J44" s="584" t="str">
        <f t="shared" si="2"/>
        <v/>
      </c>
      <c r="K44" s="745"/>
    </row>
    <row r="45" spans="1:11" ht="12.75" customHeight="1" x14ac:dyDescent="0.2">
      <c r="A45" s="520" t="s">
        <v>1290</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
      <c r="A46" s="583" t="s">
        <v>1291</v>
      </c>
      <c r="B46" s="170"/>
      <c r="C46" s="758"/>
      <c r="D46" s="755"/>
      <c r="E46" s="743"/>
      <c r="F46" s="743"/>
      <c r="G46" s="743"/>
      <c r="H46" s="743"/>
      <c r="I46" s="259">
        <f t="shared" si="1"/>
        <v>0</v>
      </c>
      <c r="J46" s="584" t="str">
        <f t="shared" si="2"/>
        <v/>
      </c>
      <c r="K46" s="745"/>
    </row>
    <row r="47" spans="1:11" ht="12.75" customHeight="1" x14ac:dyDescent="0.2">
      <c r="A47" s="583" t="s">
        <v>1292</v>
      </c>
      <c r="B47" s="170"/>
      <c r="C47" s="758"/>
      <c r="D47" s="755"/>
      <c r="E47" s="743"/>
      <c r="F47" s="743"/>
      <c r="G47" s="743"/>
      <c r="H47" s="743"/>
      <c r="I47" s="259">
        <f t="shared" si="1"/>
        <v>0</v>
      </c>
      <c r="J47" s="584" t="str">
        <f t="shared" si="2"/>
        <v/>
      </c>
      <c r="K47" s="745"/>
    </row>
    <row r="48" spans="1:11" ht="12.75" customHeight="1" x14ac:dyDescent="0.2">
      <c r="A48" s="583" t="s">
        <v>1293</v>
      </c>
      <c r="B48" s="170"/>
      <c r="C48" s="758"/>
      <c r="D48" s="755"/>
      <c r="E48" s="743"/>
      <c r="F48" s="743"/>
      <c r="G48" s="743"/>
      <c r="H48" s="743"/>
      <c r="I48" s="259">
        <f t="shared" si="1"/>
        <v>0</v>
      </c>
      <c r="J48" s="584" t="str">
        <f t="shared" si="2"/>
        <v/>
      </c>
      <c r="K48" s="745"/>
    </row>
    <row r="49" spans="1:11" ht="12.75" customHeight="1" x14ac:dyDescent="0.2">
      <c r="A49" s="583" t="s">
        <v>1294</v>
      </c>
      <c r="B49" s="170"/>
      <c r="C49" s="758"/>
      <c r="D49" s="755"/>
      <c r="E49" s="743"/>
      <c r="F49" s="743"/>
      <c r="G49" s="743"/>
      <c r="H49" s="743"/>
      <c r="I49" s="259">
        <f t="shared" si="1"/>
        <v>0</v>
      </c>
      <c r="J49" s="584" t="str">
        <f t="shared" si="2"/>
        <v/>
      </c>
      <c r="K49" s="745"/>
    </row>
    <row r="50" spans="1:11" ht="12.75" customHeight="1" x14ac:dyDescent="0.2">
      <c r="A50" s="583" t="s">
        <v>1295</v>
      </c>
      <c r="B50" s="170"/>
      <c r="C50" s="758"/>
      <c r="D50" s="755"/>
      <c r="E50" s="743"/>
      <c r="F50" s="743"/>
      <c r="G50" s="743"/>
      <c r="H50" s="743"/>
      <c r="I50" s="259">
        <f t="shared" si="1"/>
        <v>0</v>
      </c>
      <c r="J50" s="584" t="str">
        <f t="shared" si="2"/>
        <v/>
      </c>
      <c r="K50" s="745"/>
    </row>
    <row r="51" spans="1:11" ht="12.75" customHeight="1" x14ac:dyDescent="0.2">
      <c r="A51" s="583" t="s">
        <v>1296</v>
      </c>
      <c r="B51" s="170"/>
      <c r="C51" s="758"/>
      <c r="D51" s="755"/>
      <c r="E51" s="743"/>
      <c r="F51" s="743"/>
      <c r="G51" s="743"/>
      <c r="H51" s="743"/>
      <c r="I51" s="259">
        <f t="shared" si="1"/>
        <v>0</v>
      </c>
      <c r="J51" s="584" t="str">
        <f t="shared" si="2"/>
        <v/>
      </c>
      <c r="K51" s="745"/>
    </row>
    <row r="52" spans="1:11" ht="12.75" customHeight="1" x14ac:dyDescent="0.2">
      <c r="A52" s="583" t="s">
        <v>1261</v>
      </c>
      <c r="B52" s="170"/>
      <c r="C52" s="758"/>
      <c r="D52" s="755"/>
      <c r="E52" s="743"/>
      <c r="F52" s="743"/>
      <c r="G52" s="743"/>
      <c r="H52" s="743"/>
      <c r="I52" s="259">
        <f t="shared" si="1"/>
        <v>0</v>
      </c>
      <c r="J52" s="584" t="str">
        <f t="shared" si="2"/>
        <v/>
      </c>
      <c r="K52" s="745"/>
    </row>
    <row r="53" spans="1:11" ht="12.75" customHeight="1" x14ac:dyDescent="0.2">
      <c r="A53" s="521" t="s">
        <v>1297</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2">+C76+C99</f>
        <v>0</v>
      </c>
      <c r="D75" s="586">
        <f t="shared" si="12"/>
        <v>16450000</v>
      </c>
      <c r="E75" s="587">
        <f t="shared" si="12"/>
        <v>0</v>
      </c>
      <c r="F75" s="587">
        <f t="shared" si="12"/>
        <v>649312.84379999992</v>
      </c>
      <c r="G75" s="587">
        <f t="shared" si="12"/>
        <v>2845566.6066000001</v>
      </c>
      <c r="H75" s="587">
        <f t="shared" si="12"/>
        <v>5483333.333333334</v>
      </c>
      <c r="I75" s="587">
        <f t="shared" si="1"/>
        <v>2637766.7267333339</v>
      </c>
      <c r="J75" s="588">
        <f t="shared" si="2"/>
        <v>0.48105168268693016</v>
      </c>
      <c r="K75" s="589">
        <f>+K76+K99</f>
        <v>16450000</v>
      </c>
    </row>
    <row r="76" spans="1:11" ht="12.75" customHeight="1" x14ac:dyDescent="0.2">
      <c r="A76" s="521" t="s">
        <v>1310</v>
      </c>
      <c r="B76" s="170"/>
      <c r="C76" s="657">
        <f t="shared" ref="C76:H76" si="13">SUM(C77:C98)</f>
        <v>0</v>
      </c>
      <c r="D76" s="658">
        <f t="shared" si="13"/>
        <v>6450000</v>
      </c>
      <c r="E76" s="411">
        <f t="shared" si="13"/>
        <v>0</v>
      </c>
      <c r="F76" s="411">
        <f t="shared" si="13"/>
        <v>393101.62859999994</v>
      </c>
      <c r="G76" s="411">
        <f t="shared" si="13"/>
        <v>474926.84819999995</v>
      </c>
      <c r="H76" s="411">
        <f t="shared" si="13"/>
        <v>2150000</v>
      </c>
      <c r="I76" s="259">
        <f t="shared" si="1"/>
        <v>1675073.1518000001</v>
      </c>
      <c r="J76" s="584">
        <f t="shared" si="2"/>
        <v>0.77910379153488374</v>
      </c>
      <c r="K76" s="651">
        <f>SUM(K77:K98)</f>
        <v>6450000</v>
      </c>
    </row>
    <row r="77" spans="1:11" ht="12.75" customHeight="1" x14ac:dyDescent="0.2">
      <c r="A77" s="583" t="s">
        <v>1311</v>
      </c>
      <c r="B77" s="170"/>
      <c r="C77" s="758"/>
      <c r="D77" s="763">
        <v>1500000</v>
      </c>
      <c r="E77" s="743"/>
      <c r="F77" s="743"/>
      <c r="G77" s="743"/>
      <c r="H77" s="743">
        <f>D77/12*4</f>
        <v>500000</v>
      </c>
      <c r="I77" s="45">
        <f t="shared" si="1"/>
        <v>500000</v>
      </c>
      <c r="J77" s="125">
        <f t="shared" si="2"/>
        <v>1</v>
      </c>
      <c r="K77" s="745">
        <f>D77</f>
        <v>1500000</v>
      </c>
    </row>
    <row r="78" spans="1:11" ht="12.75" customHeight="1" x14ac:dyDescent="0.2">
      <c r="A78" s="583" t="s">
        <v>1312</v>
      </c>
      <c r="B78" s="170"/>
      <c r="C78" s="758"/>
      <c r="D78" s="763"/>
      <c r="E78" s="743"/>
      <c r="F78" s="743"/>
      <c r="G78" s="743"/>
      <c r="H78" s="743">
        <f t="shared" ref="H78:H98" si="14">D78/12*3</f>
        <v>0</v>
      </c>
      <c r="I78" s="45">
        <f t="shared" si="1"/>
        <v>0</v>
      </c>
      <c r="J78" s="125" t="str">
        <f t="shared" si="2"/>
        <v/>
      </c>
      <c r="K78" s="745">
        <f t="shared" ref="K78:K98" si="15">D78</f>
        <v>0</v>
      </c>
    </row>
    <row r="79" spans="1:11" ht="12.75" customHeight="1" x14ac:dyDescent="0.2">
      <c r="A79" s="583" t="s">
        <v>1313</v>
      </c>
      <c r="B79" s="170"/>
      <c r="C79" s="758"/>
      <c r="D79" s="763"/>
      <c r="E79" s="743"/>
      <c r="F79" s="743"/>
      <c r="G79" s="743"/>
      <c r="H79" s="743">
        <f t="shared" si="14"/>
        <v>0</v>
      </c>
      <c r="I79" s="45">
        <f t="shared" si="1"/>
        <v>0</v>
      </c>
      <c r="J79" s="125" t="str">
        <f t="shared" si="2"/>
        <v/>
      </c>
      <c r="K79" s="745">
        <f t="shared" si="15"/>
        <v>0</v>
      </c>
    </row>
    <row r="80" spans="1:11" ht="12.75" customHeight="1" x14ac:dyDescent="0.2">
      <c r="A80" s="583" t="s">
        <v>1314</v>
      </c>
      <c r="B80" s="170"/>
      <c r="C80" s="758"/>
      <c r="D80" s="763"/>
      <c r="E80" s="743"/>
      <c r="F80" s="743"/>
      <c r="G80" s="743"/>
      <c r="H80" s="743">
        <f t="shared" si="14"/>
        <v>0</v>
      </c>
      <c r="I80" s="45">
        <f t="shared" si="1"/>
        <v>0</v>
      </c>
      <c r="J80" s="125" t="str">
        <f t="shared" si="2"/>
        <v/>
      </c>
      <c r="K80" s="745">
        <f t="shared" si="15"/>
        <v>0</v>
      </c>
    </row>
    <row r="81" spans="1:11" ht="12.75" customHeight="1" x14ac:dyDescent="0.2">
      <c r="A81" s="583" t="s">
        <v>1315</v>
      </c>
      <c r="B81" s="170"/>
      <c r="C81" s="758"/>
      <c r="D81" s="763"/>
      <c r="E81" s="743"/>
      <c r="F81" s="743"/>
      <c r="G81" s="743"/>
      <c r="H81" s="743">
        <f t="shared" si="14"/>
        <v>0</v>
      </c>
      <c r="I81" s="45">
        <f t="shared" si="1"/>
        <v>0</v>
      </c>
      <c r="J81" s="125" t="str">
        <f t="shared" si="2"/>
        <v/>
      </c>
      <c r="K81" s="745">
        <f t="shared" si="15"/>
        <v>0</v>
      </c>
    </row>
    <row r="82" spans="1:11" ht="12.75" customHeight="1" x14ac:dyDescent="0.2">
      <c r="A82" s="583" t="s">
        <v>1316</v>
      </c>
      <c r="B82" s="170"/>
      <c r="C82" s="758"/>
      <c r="D82" s="763"/>
      <c r="E82" s="743"/>
      <c r="F82" s="743"/>
      <c r="G82" s="743"/>
      <c r="H82" s="743">
        <f t="shared" si="14"/>
        <v>0</v>
      </c>
      <c r="I82" s="45">
        <f t="shared" si="1"/>
        <v>0</v>
      </c>
      <c r="J82" s="125" t="str">
        <f t="shared" si="2"/>
        <v/>
      </c>
      <c r="K82" s="745">
        <f t="shared" si="15"/>
        <v>0</v>
      </c>
    </row>
    <row r="83" spans="1:11" ht="12.75" customHeight="1" x14ac:dyDescent="0.2">
      <c r="A83" s="583" t="s">
        <v>1317</v>
      </c>
      <c r="B83" s="170"/>
      <c r="C83" s="758"/>
      <c r="D83" s="763"/>
      <c r="E83" s="743"/>
      <c r="F83" s="743"/>
      <c r="G83" s="743"/>
      <c r="H83" s="743">
        <f t="shared" si="14"/>
        <v>0</v>
      </c>
      <c r="I83" s="45">
        <f t="shared" si="1"/>
        <v>0</v>
      </c>
      <c r="J83" s="125" t="str">
        <f t="shared" si="2"/>
        <v/>
      </c>
      <c r="K83" s="745">
        <f t="shared" si="15"/>
        <v>0</v>
      </c>
    </row>
    <row r="84" spans="1:11" ht="12.75" customHeight="1" x14ac:dyDescent="0.2">
      <c r="A84" s="583" t="s">
        <v>1318</v>
      </c>
      <c r="B84" s="170"/>
      <c r="C84" s="758"/>
      <c r="D84" s="763"/>
      <c r="E84" s="743"/>
      <c r="F84" s="743"/>
      <c r="G84" s="743"/>
      <c r="H84" s="743">
        <f t="shared" si="14"/>
        <v>0</v>
      </c>
      <c r="I84" s="45">
        <f t="shared" si="1"/>
        <v>0</v>
      </c>
      <c r="J84" s="125" t="str">
        <f t="shared" si="2"/>
        <v/>
      </c>
      <c r="K84" s="745">
        <f t="shared" si="15"/>
        <v>0</v>
      </c>
    </row>
    <row r="85" spans="1:11" ht="12.75" customHeight="1" x14ac:dyDescent="0.2">
      <c r="A85" s="583" t="s">
        <v>1194</v>
      </c>
      <c r="B85" s="170"/>
      <c r="C85" s="758"/>
      <c r="D85" s="763"/>
      <c r="E85" s="743"/>
      <c r="F85" s="743"/>
      <c r="G85" s="743"/>
      <c r="H85" s="743">
        <f t="shared" si="14"/>
        <v>0</v>
      </c>
      <c r="I85" s="45">
        <f t="shared" si="1"/>
        <v>0</v>
      </c>
      <c r="J85" s="125" t="str">
        <f t="shared" si="2"/>
        <v/>
      </c>
      <c r="K85" s="745">
        <f t="shared" si="15"/>
        <v>0</v>
      </c>
    </row>
    <row r="86" spans="1:11" ht="12.75" customHeight="1" x14ac:dyDescent="0.2">
      <c r="A86" s="583" t="s">
        <v>573</v>
      </c>
      <c r="B86" s="170"/>
      <c r="C86" s="758"/>
      <c r="D86" s="763"/>
      <c r="E86" s="743"/>
      <c r="F86" s="743"/>
      <c r="G86" s="743"/>
      <c r="H86" s="743">
        <f t="shared" si="14"/>
        <v>0</v>
      </c>
      <c r="I86" s="45">
        <f t="shared" si="1"/>
        <v>0</v>
      </c>
      <c r="J86" s="125" t="str">
        <f t="shared" si="2"/>
        <v/>
      </c>
      <c r="K86" s="745">
        <f t="shared" si="15"/>
        <v>0</v>
      </c>
    </row>
    <row r="87" spans="1:11" ht="12.75" customHeight="1" x14ac:dyDescent="0.2">
      <c r="A87" s="583" t="s">
        <v>1319</v>
      </c>
      <c r="B87" s="170"/>
      <c r="C87" s="758"/>
      <c r="D87" s="763"/>
      <c r="E87" s="743"/>
      <c r="F87" s="743"/>
      <c r="G87" s="743"/>
      <c r="H87" s="743">
        <f t="shared" si="14"/>
        <v>0</v>
      </c>
      <c r="I87" s="45">
        <f t="shared" si="1"/>
        <v>0</v>
      </c>
      <c r="J87" s="125" t="str">
        <f t="shared" si="2"/>
        <v/>
      </c>
      <c r="K87" s="745">
        <f t="shared" si="15"/>
        <v>0</v>
      </c>
    </row>
    <row r="88" spans="1:11" ht="12.75" customHeight="1" x14ac:dyDescent="0.2">
      <c r="A88" s="583" t="s">
        <v>174</v>
      </c>
      <c r="B88" s="170"/>
      <c r="C88" s="758"/>
      <c r="D88" s="763"/>
      <c r="E88" s="743"/>
      <c r="F88" s="743"/>
      <c r="G88" s="743"/>
      <c r="H88" s="743">
        <f t="shared" si="14"/>
        <v>0</v>
      </c>
      <c r="I88" s="45">
        <f t="shared" si="1"/>
        <v>0</v>
      </c>
      <c r="J88" s="125" t="str">
        <f t="shared" si="2"/>
        <v/>
      </c>
      <c r="K88" s="745">
        <f t="shared" si="15"/>
        <v>0</v>
      </c>
    </row>
    <row r="89" spans="1:11" ht="12.75" customHeight="1" x14ac:dyDescent="0.2">
      <c r="A89" s="583" t="s">
        <v>1320</v>
      </c>
      <c r="B89" s="170"/>
      <c r="C89" s="758"/>
      <c r="D89" s="763"/>
      <c r="E89" s="743"/>
      <c r="F89" s="743"/>
      <c r="G89" s="743"/>
      <c r="H89" s="743">
        <f t="shared" si="14"/>
        <v>0</v>
      </c>
      <c r="I89" s="45">
        <f t="shared" si="1"/>
        <v>0</v>
      </c>
      <c r="J89" s="125" t="str">
        <f t="shared" si="2"/>
        <v/>
      </c>
      <c r="K89" s="745">
        <f t="shared" si="15"/>
        <v>0</v>
      </c>
    </row>
    <row r="90" spans="1:11" ht="12.75" customHeight="1" x14ac:dyDescent="0.2">
      <c r="A90" s="583" t="s">
        <v>1321</v>
      </c>
      <c r="B90" s="170"/>
      <c r="C90" s="758"/>
      <c r="D90" s="763">
        <v>4950000</v>
      </c>
      <c r="E90" s="743"/>
      <c r="F90" s="965">
        <v>393101.62859999994</v>
      </c>
      <c r="G90" s="743">
        <f>F90+81825.2196</f>
        <v>474926.84819999995</v>
      </c>
      <c r="H90" s="743">
        <f>D90/12*4</f>
        <v>1650000</v>
      </c>
      <c r="I90" s="45">
        <f t="shared" si="1"/>
        <v>1175073.1518000001</v>
      </c>
      <c r="J90" s="125">
        <f t="shared" si="2"/>
        <v>0.71216554654545461</v>
      </c>
      <c r="K90" s="745">
        <f t="shared" si="15"/>
        <v>4950000</v>
      </c>
    </row>
    <row r="91" spans="1:11" ht="12.75" customHeight="1" x14ac:dyDescent="0.2">
      <c r="A91" s="583" t="s">
        <v>1322</v>
      </c>
      <c r="B91" s="170"/>
      <c r="C91" s="758"/>
      <c r="D91" s="763"/>
      <c r="E91" s="743"/>
      <c r="F91" s="743"/>
      <c r="G91" s="743"/>
      <c r="H91" s="743">
        <f t="shared" si="14"/>
        <v>0</v>
      </c>
      <c r="I91" s="45">
        <f t="shared" si="1"/>
        <v>0</v>
      </c>
      <c r="J91" s="125" t="str">
        <f t="shared" si="2"/>
        <v/>
      </c>
      <c r="K91" s="745">
        <f t="shared" si="15"/>
        <v>0</v>
      </c>
    </row>
    <row r="92" spans="1:11" ht="12.75" customHeight="1" x14ac:dyDescent="0.2">
      <c r="A92" s="583" t="s">
        <v>1323</v>
      </c>
      <c r="B92" s="170"/>
      <c r="C92" s="758"/>
      <c r="D92" s="763"/>
      <c r="E92" s="743"/>
      <c r="F92" s="743"/>
      <c r="G92" s="743"/>
      <c r="H92" s="743">
        <f t="shared" si="14"/>
        <v>0</v>
      </c>
      <c r="I92" s="45">
        <f t="shared" si="1"/>
        <v>0</v>
      </c>
      <c r="J92" s="125" t="str">
        <f t="shared" si="2"/>
        <v/>
      </c>
      <c r="K92" s="745">
        <f t="shared" si="15"/>
        <v>0</v>
      </c>
    </row>
    <row r="93" spans="1:11" ht="12.75" customHeight="1" x14ac:dyDescent="0.2">
      <c r="A93" s="583" t="s">
        <v>452</v>
      </c>
      <c r="B93" s="170"/>
      <c r="C93" s="758"/>
      <c r="D93" s="763"/>
      <c r="E93" s="743"/>
      <c r="F93" s="743"/>
      <c r="G93" s="743"/>
      <c r="H93" s="743">
        <f t="shared" si="14"/>
        <v>0</v>
      </c>
      <c r="I93" s="45">
        <f t="shared" si="1"/>
        <v>0</v>
      </c>
      <c r="J93" s="125" t="str">
        <f t="shared" si="2"/>
        <v/>
      </c>
      <c r="K93" s="745">
        <f t="shared" si="15"/>
        <v>0</v>
      </c>
    </row>
    <row r="94" spans="1:11" ht="12.75" customHeight="1" x14ac:dyDescent="0.2">
      <c r="A94" s="583" t="s">
        <v>1324</v>
      </c>
      <c r="B94" s="170"/>
      <c r="C94" s="758"/>
      <c r="D94" s="763"/>
      <c r="E94" s="743"/>
      <c r="F94" s="743"/>
      <c r="G94" s="743"/>
      <c r="H94" s="743">
        <f t="shared" si="14"/>
        <v>0</v>
      </c>
      <c r="I94" s="45">
        <f t="shared" si="1"/>
        <v>0</v>
      </c>
      <c r="J94" s="125" t="str">
        <f t="shared" si="2"/>
        <v/>
      </c>
      <c r="K94" s="745">
        <f t="shared" si="15"/>
        <v>0</v>
      </c>
    </row>
    <row r="95" spans="1:11" ht="12.75" customHeight="1" x14ac:dyDescent="0.2">
      <c r="A95" s="583" t="s">
        <v>451</v>
      </c>
      <c r="B95" s="170"/>
      <c r="C95" s="758"/>
      <c r="D95" s="763"/>
      <c r="E95" s="743"/>
      <c r="F95" s="743"/>
      <c r="G95" s="743"/>
      <c r="H95" s="743">
        <f t="shared" si="14"/>
        <v>0</v>
      </c>
      <c r="I95" s="45">
        <f t="shared" si="1"/>
        <v>0</v>
      </c>
      <c r="J95" s="125" t="str">
        <f t="shared" si="2"/>
        <v/>
      </c>
      <c r="K95" s="745">
        <f t="shared" si="15"/>
        <v>0</v>
      </c>
    </row>
    <row r="96" spans="1:11" ht="12.75" customHeight="1" x14ac:dyDescent="0.2">
      <c r="A96" s="583" t="s">
        <v>1325</v>
      </c>
      <c r="B96" s="170"/>
      <c r="C96" s="758"/>
      <c r="D96" s="763"/>
      <c r="E96" s="743"/>
      <c r="F96" s="743"/>
      <c r="G96" s="743"/>
      <c r="H96" s="743">
        <f t="shared" si="14"/>
        <v>0</v>
      </c>
      <c r="I96" s="45">
        <f t="shared" si="1"/>
        <v>0</v>
      </c>
      <c r="J96" s="125" t="str">
        <f t="shared" si="2"/>
        <v/>
      </c>
      <c r="K96" s="745">
        <f t="shared" si="15"/>
        <v>0</v>
      </c>
    </row>
    <row r="97" spans="1:11" ht="12.75" customHeight="1" x14ac:dyDescent="0.2">
      <c r="A97" s="583" t="s">
        <v>1326</v>
      </c>
      <c r="B97" s="170"/>
      <c r="C97" s="758"/>
      <c r="D97" s="763"/>
      <c r="E97" s="743"/>
      <c r="F97" s="743"/>
      <c r="G97" s="743"/>
      <c r="H97" s="743">
        <f t="shared" si="14"/>
        <v>0</v>
      </c>
      <c r="I97" s="45">
        <f t="shared" si="1"/>
        <v>0</v>
      </c>
      <c r="J97" s="125" t="str">
        <f t="shared" si="2"/>
        <v/>
      </c>
      <c r="K97" s="745">
        <f t="shared" si="15"/>
        <v>0</v>
      </c>
    </row>
    <row r="98" spans="1:11" ht="12.75" customHeight="1" x14ac:dyDescent="0.2">
      <c r="A98" s="583" t="s">
        <v>1261</v>
      </c>
      <c r="B98" s="170"/>
      <c r="C98" s="758"/>
      <c r="D98" s="763"/>
      <c r="E98" s="743"/>
      <c r="F98" s="743"/>
      <c r="G98" s="743"/>
      <c r="H98" s="743">
        <f t="shared" si="14"/>
        <v>0</v>
      </c>
      <c r="I98" s="45">
        <f t="shared" si="1"/>
        <v>0</v>
      </c>
      <c r="J98" s="125" t="str">
        <f t="shared" si="2"/>
        <v/>
      </c>
      <c r="K98" s="745">
        <f t="shared" si="15"/>
        <v>0</v>
      </c>
    </row>
    <row r="99" spans="1:11" ht="12.75" customHeight="1" x14ac:dyDescent="0.2">
      <c r="A99" s="521" t="s">
        <v>1327</v>
      </c>
      <c r="B99" s="170"/>
      <c r="C99" s="657">
        <f t="shared" ref="C99:H99" si="16">SUM(C100:C102)</f>
        <v>0</v>
      </c>
      <c r="D99" s="658">
        <f t="shared" si="16"/>
        <v>10000000</v>
      </c>
      <c r="E99" s="411">
        <f t="shared" si="16"/>
        <v>0</v>
      </c>
      <c r="F99" s="411">
        <f t="shared" si="16"/>
        <v>256211.21519999992</v>
      </c>
      <c r="G99" s="411">
        <f t="shared" si="16"/>
        <v>2370639.7584000002</v>
      </c>
      <c r="H99" s="411">
        <f t="shared" si="16"/>
        <v>3333333.3333333335</v>
      </c>
      <c r="I99" s="259">
        <f t="shared" si="1"/>
        <v>962693.57493333332</v>
      </c>
      <c r="J99" s="584">
        <f t="shared" si="2"/>
        <v>0.28880807248000001</v>
      </c>
      <c r="K99" s="651">
        <f>SUM(K100:K102)</f>
        <v>10000000</v>
      </c>
    </row>
    <row r="100" spans="1:11" ht="12.75" customHeight="1" x14ac:dyDescent="0.2">
      <c r="A100" s="583" t="s">
        <v>1328</v>
      </c>
      <c r="B100" s="170"/>
      <c r="C100" s="758"/>
      <c r="D100" s="763">
        <v>10000000</v>
      </c>
      <c r="E100" s="743"/>
      <c r="F100" s="743">
        <v>256211.21519999992</v>
      </c>
      <c r="G100" s="743">
        <f>F100+2114428.5432</f>
        <v>2370639.7584000002</v>
      </c>
      <c r="H100" s="743">
        <f>D100/12*4</f>
        <v>3333333.3333333335</v>
      </c>
      <c r="I100" s="45">
        <f t="shared" si="1"/>
        <v>962693.57493333332</v>
      </c>
      <c r="J100" s="125">
        <f t="shared" si="2"/>
        <v>0.28880807248000001</v>
      </c>
      <c r="K100" s="745">
        <f>D100</f>
        <v>10000000</v>
      </c>
    </row>
    <row r="101" spans="1:11" ht="12.75" customHeight="1" x14ac:dyDescent="0.2">
      <c r="A101" s="583" t="s">
        <v>1329</v>
      </c>
      <c r="B101" s="170"/>
      <c r="C101" s="758"/>
      <c r="D101" s="763"/>
      <c r="E101" s="743"/>
      <c r="F101" s="743"/>
      <c r="G101" s="743"/>
      <c r="H101" s="743"/>
      <c r="I101" s="45">
        <f>H101-G101</f>
        <v>0</v>
      </c>
      <c r="J101" s="125" t="str">
        <f>IF(I101=0,"",I101/H101)</f>
        <v/>
      </c>
      <c r="K101" s="745">
        <f t="shared" ref="K101:K102" si="17">D101</f>
        <v>0</v>
      </c>
    </row>
    <row r="102" spans="1:11" ht="12.75" customHeight="1" x14ac:dyDescent="0.2">
      <c r="A102" s="583" t="s">
        <v>1261</v>
      </c>
      <c r="B102" s="170"/>
      <c r="C102" s="758"/>
      <c r="D102" s="763"/>
      <c r="E102" s="743"/>
      <c r="F102" s="743"/>
      <c r="G102" s="743"/>
      <c r="H102" s="743"/>
      <c r="I102" s="45">
        <f t="shared" si="1"/>
        <v>0</v>
      </c>
      <c r="J102" s="125" t="str">
        <f t="shared" si="2"/>
        <v/>
      </c>
      <c r="K102" s="745">
        <f t="shared" si="17"/>
        <v>0</v>
      </c>
    </row>
    <row r="103" spans="1:11" ht="12.75" customHeight="1" x14ac:dyDescent="0.2">
      <c r="A103" s="553" t="s">
        <v>691</v>
      </c>
      <c r="B103" s="170"/>
      <c r="C103" s="250">
        <f t="shared" ref="C103:H103" si="18">SUM(C104:C108)</f>
        <v>0</v>
      </c>
      <c r="D103" s="265">
        <f t="shared" si="18"/>
        <v>0</v>
      </c>
      <c r="E103" s="100">
        <f t="shared" si="18"/>
        <v>0</v>
      </c>
      <c r="F103" s="100">
        <f t="shared" si="18"/>
        <v>0</v>
      </c>
      <c r="G103" s="100">
        <f t="shared" si="18"/>
        <v>0</v>
      </c>
      <c r="H103" s="100">
        <f t="shared" si="18"/>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19">+C111+C114</f>
        <v>0</v>
      </c>
      <c r="D110" s="586">
        <f t="shared" si="19"/>
        <v>0</v>
      </c>
      <c r="E110" s="587">
        <f t="shared" si="19"/>
        <v>0</v>
      </c>
      <c r="F110" s="587">
        <f t="shared" si="19"/>
        <v>0</v>
      </c>
      <c r="G110" s="587">
        <f t="shared" si="19"/>
        <v>0</v>
      </c>
      <c r="H110" s="587">
        <f t="shared" si="19"/>
        <v>0</v>
      </c>
      <c r="I110" s="100">
        <f t="shared" si="1"/>
        <v>0</v>
      </c>
      <c r="J110" s="327" t="str">
        <f t="shared" si="2"/>
        <v/>
      </c>
      <c r="K110" s="589">
        <f>+K111+K114</f>
        <v>0</v>
      </c>
    </row>
    <row r="111" spans="1:11" ht="12.75" customHeight="1" x14ac:dyDescent="0.2">
      <c r="A111" s="521" t="s">
        <v>1336</v>
      </c>
      <c r="B111" s="170"/>
      <c r="C111" s="657">
        <f t="shared" ref="C111:H111" si="20">SUM(C112:C113)</f>
        <v>0</v>
      </c>
      <c r="D111" s="658">
        <f t="shared" si="20"/>
        <v>0</v>
      </c>
      <c r="E111" s="411">
        <f t="shared" si="20"/>
        <v>0</v>
      </c>
      <c r="F111" s="411">
        <f t="shared" si="20"/>
        <v>0</v>
      </c>
      <c r="G111" s="411">
        <f t="shared" si="20"/>
        <v>0</v>
      </c>
      <c r="H111" s="411">
        <f t="shared" si="20"/>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1">SUM(C115:C116)</f>
        <v>0</v>
      </c>
      <c r="D114" s="658">
        <f t="shared" si="21"/>
        <v>0</v>
      </c>
      <c r="E114" s="411">
        <f t="shared" si="21"/>
        <v>0</v>
      </c>
      <c r="F114" s="411">
        <f t="shared" si="21"/>
        <v>0</v>
      </c>
      <c r="G114" s="411">
        <f t="shared" si="21"/>
        <v>0</v>
      </c>
      <c r="H114" s="411">
        <f t="shared" si="21"/>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22">+C118+C130</f>
        <v>0</v>
      </c>
      <c r="D117" s="586">
        <f t="shared" si="22"/>
        <v>5000000</v>
      </c>
      <c r="E117" s="587">
        <f t="shared" si="22"/>
        <v>0</v>
      </c>
      <c r="F117" s="587">
        <f t="shared" si="22"/>
        <v>0</v>
      </c>
      <c r="G117" s="587">
        <f t="shared" si="22"/>
        <v>2098998.8869850002</v>
      </c>
      <c r="H117" s="587">
        <f t="shared" si="22"/>
        <v>1666666.6666666667</v>
      </c>
      <c r="I117" s="587">
        <f t="shared" si="1"/>
        <v>-432332.22031833348</v>
      </c>
      <c r="J117" s="588">
        <f t="shared" si="2"/>
        <v>-0.25939933219100009</v>
      </c>
      <c r="K117" s="589">
        <f>+K118+K130</f>
        <v>5000000</v>
      </c>
    </row>
    <row r="118" spans="1:11" ht="12.75" customHeight="1" x14ac:dyDescent="0.2">
      <c r="A118" s="521" t="s">
        <v>1340</v>
      </c>
      <c r="B118" s="170"/>
      <c r="C118" s="657">
        <f t="shared" ref="C118:H118" si="23">SUM(C119:C129)</f>
        <v>0</v>
      </c>
      <c r="D118" s="658">
        <f t="shared" si="23"/>
        <v>5000000</v>
      </c>
      <c r="E118" s="411">
        <f t="shared" si="23"/>
        <v>0</v>
      </c>
      <c r="F118" s="411">
        <f t="shared" si="23"/>
        <v>0</v>
      </c>
      <c r="G118" s="411">
        <f t="shared" si="23"/>
        <v>2098998.8869850002</v>
      </c>
      <c r="H118" s="411">
        <f t="shared" si="23"/>
        <v>1666666.6666666667</v>
      </c>
      <c r="I118" s="259">
        <f t="shared" si="1"/>
        <v>-432332.22031833348</v>
      </c>
      <c r="J118" s="584">
        <f t="shared" si="2"/>
        <v>-0.25939933219100009</v>
      </c>
      <c r="K118" s="651">
        <f>SUM(K119:K129)</f>
        <v>5000000</v>
      </c>
    </row>
    <row r="119" spans="1:11" ht="12.75" customHeight="1" x14ac:dyDescent="0.2">
      <c r="A119" s="583" t="s">
        <v>1341</v>
      </c>
      <c r="B119" s="170"/>
      <c r="C119" s="758"/>
      <c r="D119" s="763">
        <v>5000000</v>
      </c>
      <c r="E119" s="743"/>
      <c r="F119" s="743">
        <v>0</v>
      </c>
      <c r="G119" s="743">
        <v>2098998.8869850002</v>
      </c>
      <c r="H119" s="743">
        <f>D119/12*4</f>
        <v>1666666.6666666667</v>
      </c>
      <c r="I119" s="45">
        <f t="shared" si="1"/>
        <v>-432332.22031833348</v>
      </c>
      <c r="J119" s="125">
        <f t="shared" si="2"/>
        <v>-0.25939933219100009</v>
      </c>
      <c r="K119" s="745">
        <f>D119</f>
        <v>5000000</v>
      </c>
    </row>
    <row r="120" spans="1:11" ht="12.75" customHeight="1" x14ac:dyDescent="0.2">
      <c r="A120" s="583" t="s">
        <v>1342</v>
      </c>
      <c r="B120" s="170"/>
      <c r="C120" s="758"/>
      <c r="D120" s="763"/>
      <c r="E120" s="743"/>
      <c r="F120" s="743"/>
      <c r="G120" s="743"/>
      <c r="H120" s="743"/>
      <c r="I120" s="45">
        <f t="shared" si="1"/>
        <v>0</v>
      </c>
      <c r="J120" s="125" t="str">
        <f t="shared" si="2"/>
        <v/>
      </c>
      <c r="K120" s="745"/>
    </row>
    <row r="121" spans="1:11" ht="12.75" customHeight="1" x14ac:dyDescent="0.2">
      <c r="A121" s="583" t="s">
        <v>1343</v>
      </c>
      <c r="B121" s="170"/>
      <c r="C121" s="758"/>
      <c r="D121" s="763"/>
      <c r="E121" s="743"/>
      <c r="F121" s="743"/>
      <c r="G121" s="743"/>
      <c r="H121" s="743"/>
      <c r="I121" s="45">
        <f t="shared" si="1"/>
        <v>0</v>
      </c>
      <c r="J121" s="125" t="str">
        <f t="shared" si="2"/>
        <v/>
      </c>
      <c r="K121" s="745"/>
    </row>
    <row r="122" spans="1:11" ht="12.75" customHeight="1" x14ac:dyDescent="0.2">
      <c r="A122" s="583" t="s">
        <v>1344</v>
      </c>
      <c r="B122" s="170"/>
      <c r="C122" s="758"/>
      <c r="D122" s="763"/>
      <c r="E122" s="743"/>
      <c r="F122" s="743"/>
      <c r="G122" s="743"/>
      <c r="H122" s="743"/>
      <c r="I122" s="45">
        <f t="shared" si="1"/>
        <v>0</v>
      </c>
      <c r="J122" s="125" t="str">
        <f t="shared" si="2"/>
        <v/>
      </c>
      <c r="K122" s="745"/>
    </row>
    <row r="123" spans="1:11" ht="12.75" customHeight="1" x14ac:dyDescent="0.2">
      <c r="A123" s="583" t="s">
        <v>1345</v>
      </c>
      <c r="B123" s="170"/>
      <c r="C123" s="758"/>
      <c r="D123" s="763"/>
      <c r="E123" s="743"/>
      <c r="F123" s="743"/>
      <c r="G123" s="743"/>
      <c r="H123" s="743"/>
      <c r="I123" s="45">
        <f t="shared" si="1"/>
        <v>0</v>
      </c>
      <c r="J123" s="125" t="str">
        <f t="shared" si="2"/>
        <v/>
      </c>
      <c r="K123" s="745"/>
    </row>
    <row r="124" spans="1:11" ht="12.75" customHeight="1" x14ac:dyDescent="0.2">
      <c r="A124" s="583" t="s">
        <v>1346</v>
      </c>
      <c r="B124" s="170"/>
      <c r="C124" s="758"/>
      <c r="D124" s="763"/>
      <c r="E124" s="743"/>
      <c r="F124" s="743"/>
      <c r="G124" s="743"/>
      <c r="H124" s="743"/>
      <c r="I124" s="45">
        <f t="shared" si="1"/>
        <v>0</v>
      </c>
      <c r="J124" s="125" t="str">
        <f t="shared" si="2"/>
        <v/>
      </c>
      <c r="K124" s="745"/>
    </row>
    <row r="125" spans="1:11" ht="12.75" customHeight="1" x14ac:dyDescent="0.2">
      <c r="A125" s="583" t="s">
        <v>1347</v>
      </c>
      <c r="B125" s="170"/>
      <c r="C125" s="758"/>
      <c r="D125" s="763"/>
      <c r="E125" s="743"/>
      <c r="F125" s="743"/>
      <c r="G125" s="743"/>
      <c r="H125" s="743"/>
      <c r="I125" s="45">
        <f t="shared" si="1"/>
        <v>0</v>
      </c>
      <c r="J125" s="125" t="str">
        <f t="shared" si="2"/>
        <v/>
      </c>
      <c r="K125" s="745"/>
    </row>
    <row r="126" spans="1:11" ht="12.75" customHeight="1" x14ac:dyDescent="0.2">
      <c r="A126" s="583" t="s">
        <v>1348</v>
      </c>
      <c r="B126" s="170"/>
      <c r="C126" s="758"/>
      <c r="D126" s="763"/>
      <c r="E126" s="743"/>
      <c r="F126" s="743"/>
      <c r="G126" s="743"/>
      <c r="H126" s="743"/>
      <c r="I126" s="45">
        <f t="shared" si="1"/>
        <v>0</v>
      </c>
      <c r="J126" s="125" t="str">
        <f t="shared" si="2"/>
        <v/>
      </c>
      <c r="K126" s="745"/>
    </row>
    <row r="127" spans="1:11" ht="12.75" customHeight="1" x14ac:dyDescent="0.2">
      <c r="A127" s="583" t="s">
        <v>1349</v>
      </c>
      <c r="B127" s="170"/>
      <c r="C127" s="758"/>
      <c r="D127" s="763"/>
      <c r="E127" s="743"/>
      <c r="F127" s="743"/>
      <c r="G127" s="743"/>
      <c r="H127" s="743"/>
      <c r="I127" s="45">
        <f t="shared" si="1"/>
        <v>0</v>
      </c>
      <c r="J127" s="125" t="str">
        <f t="shared" si="2"/>
        <v/>
      </c>
      <c r="K127" s="745"/>
    </row>
    <row r="128" spans="1:11" ht="12.75" customHeight="1" x14ac:dyDescent="0.2">
      <c r="A128" s="583" t="s">
        <v>1350</v>
      </c>
      <c r="B128" s="170"/>
      <c r="C128" s="758"/>
      <c r="D128" s="763"/>
      <c r="E128" s="743"/>
      <c r="F128" s="743"/>
      <c r="G128" s="743"/>
      <c r="H128" s="743"/>
      <c r="I128" s="45">
        <f t="shared" si="1"/>
        <v>0</v>
      </c>
      <c r="J128" s="125" t="str">
        <f t="shared" si="2"/>
        <v/>
      </c>
      <c r="K128" s="745"/>
    </row>
    <row r="129" spans="1:11" ht="12.75" customHeight="1" x14ac:dyDescent="0.2">
      <c r="A129" s="583" t="s">
        <v>1261</v>
      </c>
      <c r="B129" s="170"/>
      <c r="C129" s="758"/>
      <c r="D129" s="763"/>
      <c r="E129" s="743"/>
      <c r="F129" s="743"/>
      <c r="G129" s="743"/>
      <c r="H129" s="743"/>
      <c r="I129" s="45">
        <f t="shared" si="1"/>
        <v>0</v>
      </c>
      <c r="J129" s="125" t="str">
        <f t="shared" si="2"/>
        <v/>
      </c>
      <c r="K129" s="745"/>
    </row>
    <row r="130" spans="1:11" ht="12.75" customHeight="1" x14ac:dyDescent="0.2">
      <c r="A130" s="521" t="s">
        <v>734</v>
      </c>
      <c r="B130" s="170"/>
      <c r="C130" s="657">
        <f t="shared" ref="C130:H130" si="24">SUM(C131:C133)</f>
        <v>0</v>
      </c>
      <c r="D130" s="658">
        <f t="shared" si="24"/>
        <v>0</v>
      </c>
      <c r="E130" s="411">
        <f t="shared" si="24"/>
        <v>0</v>
      </c>
      <c r="F130" s="411">
        <f t="shared" si="24"/>
        <v>0</v>
      </c>
      <c r="G130" s="411">
        <f t="shared" si="24"/>
        <v>0</v>
      </c>
      <c r="H130" s="411">
        <f t="shared" si="24"/>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25">SUM(C136:C136)</f>
        <v>0</v>
      </c>
      <c r="D135" s="586">
        <f t="shared" si="25"/>
        <v>0</v>
      </c>
      <c r="E135" s="587">
        <f t="shared" si="25"/>
        <v>0</v>
      </c>
      <c r="F135" s="587">
        <f t="shared" si="25"/>
        <v>0</v>
      </c>
      <c r="G135" s="587">
        <f t="shared" si="25"/>
        <v>0</v>
      </c>
      <c r="H135" s="587">
        <f t="shared" si="25"/>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26">IF(I137=0,"",I137/H137)</f>
        <v/>
      </c>
      <c r="K137" s="145"/>
    </row>
    <row r="138" spans="1:11" s="101" customFormat="1" ht="12.75" customHeight="1" x14ac:dyDescent="0.2">
      <c r="A138" s="553" t="s">
        <v>1354</v>
      </c>
      <c r="B138" s="172"/>
      <c r="C138" s="952">
        <f t="shared" ref="C138:H138" si="27">SUM(C139:C140)</f>
        <v>0</v>
      </c>
      <c r="D138" s="953">
        <f t="shared" si="27"/>
        <v>3000000</v>
      </c>
      <c r="E138" s="954">
        <f t="shared" si="27"/>
        <v>0</v>
      </c>
      <c r="F138" s="954">
        <f t="shared" si="27"/>
        <v>0</v>
      </c>
      <c r="G138" s="954">
        <f t="shared" si="27"/>
        <v>0</v>
      </c>
      <c r="H138" s="954">
        <f t="shared" si="27"/>
        <v>1000000</v>
      </c>
      <c r="I138" s="954">
        <f t="shared" ref="I138:I146" si="28">H138-G138</f>
        <v>1000000</v>
      </c>
      <c r="J138" s="327">
        <f t="shared" si="26"/>
        <v>1</v>
      </c>
      <c r="K138" s="955">
        <f>SUM(K139:K140)</f>
        <v>3000000</v>
      </c>
    </row>
    <row r="139" spans="1:11" ht="12.75" customHeight="1" x14ac:dyDescent="0.2">
      <c r="A139" s="520" t="s">
        <v>1355</v>
      </c>
      <c r="B139" s="170"/>
      <c r="C139" s="758"/>
      <c r="D139" s="763"/>
      <c r="E139" s="743"/>
      <c r="F139" s="743"/>
      <c r="G139" s="743"/>
      <c r="H139" s="743"/>
      <c r="I139" s="45">
        <f t="shared" si="28"/>
        <v>0</v>
      </c>
      <c r="J139" s="125" t="str">
        <f t="shared" si="26"/>
        <v/>
      </c>
      <c r="K139" s="745"/>
    </row>
    <row r="140" spans="1:11" ht="12.75" customHeight="1" x14ac:dyDescent="0.2">
      <c r="A140" s="520" t="s">
        <v>1356</v>
      </c>
      <c r="B140" s="170"/>
      <c r="C140" s="657">
        <f t="shared" ref="C140:H140" si="29">SUM(C141:C146)</f>
        <v>0</v>
      </c>
      <c r="D140" s="658">
        <f t="shared" si="29"/>
        <v>3000000</v>
      </c>
      <c r="E140" s="411">
        <f t="shared" si="29"/>
        <v>0</v>
      </c>
      <c r="F140" s="411">
        <f t="shared" si="29"/>
        <v>0</v>
      </c>
      <c r="G140" s="411">
        <f t="shared" si="29"/>
        <v>0</v>
      </c>
      <c r="H140" s="411">
        <f t="shared" si="29"/>
        <v>1000000</v>
      </c>
      <c r="I140" s="259">
        <f t="shared" si="28"/>
        <v>1000000</v>
      </c>
      <c r="J140" s="584">
        <f t="shared" si="26"/>
        <v>1</v>
      </c>
      <c r="K140" s="651">
        <f>SUM(K141:K146)</f>
        <v>3000000</v>
      </c>
    </row>
    <row r="141" spans="1:11" ht="12.75" customHeight="1" x14ac:dyDescent="0.2">
      <c r="A141" s="583" t="s">
        <v>1357</v>
      </c>
      <c r="B141" s="170"/>
      <c r="C141" s="758"/>
      <c r="D141" s="763"/>
      <c r="E141" s="743"/>
      <c r="F141" s="743"/>
      <c r="G141" s="743"/>
      <c r="H141" s="743"/>
      <c r="I141" s="45">
        <f t="shared" si="28"/>
        <v>0</v>
      </c>
      <c r="J141" s="125" t="str">
        <f t="shared" si="26"/>
        <v/>
      </c>
      <c r="K141" s="745"/>
    </row>
    <row r="142" spans="1:11" ht="12.75" customHeight="1" x14ac:dyDescent="0.2">
      <c r="A142" s="583" t="s">
        <v>1358</v>
      </c>
      <c r="B142" s="170"/>
      <c r="C142" s="758"/>
      <c r="D142" s="763"/>
      <c r="E142" s="743"/>
      <c r="F142" s="743"/>
      <c r="G142" s="743"/>
      <c r="H142" s="743"/>
      <c r="I142" s="45">
        <f t="shared" si="28"/>
        <v>0</v>
      </c>
      <c r="J142" s="125" t="str">
        <f t="shared" si="26"/>
        <v/>
      </c>
      <c r="K142" s="745"/>
    </row>
    <row r="143" spans="1:11" ht="12.75" customHeight="1" x14ac:dyDescent="0.2">
      <c r="A143" s="583" t="s">
        <v>1359</v>
      </c>
      <c r="B143" s="170"/>
      <c r="C143" s="758"/>
      <c r="D143" s="763"/>
      <c r="E143" s="743"/>
      <c r="F143" s="743"/>
      <c r="G143" s="743"/>
      <c r="H143" s="743"/>
      <c r="I143" s="45">
        <f t="shared" si="28"/>
        <v>0</v>
      </c>
      <c r="J143" s="125" t="str">
        <f t="shared" si="26"/>
        <v/>
      </c>
      <c r="K143" s="745"/>
    </row>
    <row r="144" spans="1:11" ht="12.75" customHeight="1" x14ac:dyDescent="0.2">
      <c r="A144" s="583" t="s">
        <v>1360</v>
      </c>
      <c r="B144" s="170"/>
      <c r="C144" s="758"/>
      <c r="D144" s="763">
        <v>3000000</v>
      </c>
      <c r="E144" s="743"/>
      <c r="F144" s="743"/>
      <c r="G144" s="743"/>
      <c r="H144" s="743">
        <f>D144/12*4</f>
        <v>1000000</v>
      </c>
      <c r="I144" s="45">
        <f t="shared" si="28"/>
        <v>1000000</v>
      </c>
      <c r="J144" s="125">
        <f t="shared" si="26"/>
        <v>1</v>
      </c>
      <c r="K144" s="745">
        <f>D144</f>
        <v>3000000</v>
      </c>
    </row>
    <row r="145" spans="1:12" ht="12.75" customHeight="1" x14ac:dyDescent="0.2">
      <c r="A145" s="583" t="s">
        <v>1361</v>
      </c>
      <c r="B145" s="170"/>
      <c r="C145" s="758"/>
      <c r="D145" s="763"/>
      <c r="E145" s="743"/>
      <c r="F145" s="743"/>
      <c r="G145" s="743"/>
      <c r="H145" s="743"/>
      <c r="I145" s="45">
        <f t="shared" si="28"/>
        <v>0</v>
      </c>
      <c r="J145" s="125" t="str">
        <f t="shared" si="26"/>
        <v/>
      </c>
      <c r="K145" s="745"/>
    </row>
    <row r="146" spans="1:12" ht="12.75" customHeight="1" x14ac:dyDescent="0.2">
      <c r="A146" s="583" t="s">
        <v>1362</v>
      </c>
      <c r="B146" s="170"/>
      <c r="C146" s="758"/>
      <c r="D146" s="763"/>
      <c r="E146" s="743"/>
      <c r="F146" s="743"/>
      <c r="G146" s="743"/>
      <c r="H146" s="743"/>
      <c r="I146" s="45">
        <f t="shared" si="28"/>
        <v>0</v>
      </c>
      <c r="J146" s="125" t="str">
        <f t="shared" si="26"/>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30">SUM(C149:C149)</f>
        <v>0</v>
      </c>
      <c r="D148" s="586">
        <f t="shared" si="30"/>
        <v>3000000</v>
      </c>
      <c r="E148" s="587">
        <f t="shared" si="30"/>
        <v>0</v>
      </c>
      <c r="F148" s="587">
        <f t="shared" si="30"/>
        <v>0</v>
      </c>
      <c r="G148" s="587">
        <f t="shared" si="30"/>
        <v>0</v>
      </c>
      <c r="H148" s="587">
        <f t="shared" si="30"/>
        <v>1000000</v>
      </c>
      <c r="I148" s="587">
        <f>H148-G148</f>
        <v>1000000</v>
      </c>
      <c r="J148" s="327">
        <f>IF(I148=0,"",I148/H148)</f>
        <v>1</v>
      </c>
      <c r="K148" s="589">
        <f>SUM(K149)</f>
        <v>3000000</v>
      </c>
    </row>
    <row r="149" spans="1:12" ht="12.75" customHeight="1" x14ac:dyDescent="0.2">
      <c r="A149" s="521" t="s">
        <v>1363</v>
      </c>
      <c r="B149" s="170"/>
      <c r="C149" s="758"/>
      <c r="D149" s="763">
        <v>3000000</v>
      </c>
      <c r="E149" s="743"/>
      <c r="F149" s="743"/>
      <c r="G149" s="743"/>
      <c r="H149" s="743">
        <f>D149/12*4</f>
        <v>1000000</v>
      </c>
      <c r="I149" s="45">
        <f>H149-G149</f>
        <v>1000000</v>
      </c>
      <c r="J149" s="125">
        <f>IF(I149=0,"",I149/H149)</f>
        <v>1</v>
      </c>
      <c r="K149" s="745">
        <f>D149</f>
        <v>3000000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31">SUM(C152:C152)</f>
        <v>0</v>
      </c>
      <c r="D151" s="586">
        <f t="shared" si="31"/>
        <v>0</v>
      </c>
      <c r="E151" s="587">
        <f t="shared" si="31"/>
        <v>0</v>
      </c>
      <c r="F151" s="587">
        <f t="shared" si="31"/>
        <v>0</v>
      </c>
      <c r="G151" s="587">
        <f t="shared" si="31"/>
        <v>0</v>
      </c>
      <c r="H151" s="587">
        <f t="shared" si="31"/>
        <v>0</v>
      </c>
      <c r="I151" s="587">
        <f>H151-G151</f>
        <v>0</v>
      </c>
      <c r="J151" s="327" t="str">
        <f>IF(I151=0,"",I151/H151)</f>
        <v/>
      </c>
      <c r="K151" s="589">
        <f>SUM(K152)</f>
        <v>0</v>
      </c>
    </row>
    <row r="152" spans="1:12" ht="12.75" customHeight="1" x14ac:dyDescent="0.2">
      <c r="A152" s="521" t="s">
        <v>1364</v>
      </c>
      <c r="B152" s="170"/>
      <c r="C152" s="758"/>
      <c r="D152" s="763"/>
      <c r="E152" s="743"/>
      <c r="F152" s="743"/>
      <c r="G152" s="743"/>
      <c r="H152" s="743"/>
      <c r="I152" s="45">
        <f>H152-G152</f>
        <v>0</v>
      </c>
      <c r="J152" s="125" t="str">
        <f>IF(I152=0,"",I152/H152)</f>
        <v/>
      </c>
      <c r="K152" s="745"/>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32">SUM(C155:C155)</f>
        <v>0</v>
      </c>
      <c r="D154" s="586">
        <f t="shared" si="32"/>
        <v>0</v>
      </c>
      <c r="E154" s="587">
        <f t="shared" si="32"/>
        <v>0</v>
      </c>
      <c r="F154" s="587">
        <f t="shared" si="32"/>
        <v>0</v>
      </c>
      <c r="G154" s="587">
        <f t="shared" si="32"/>
        <v>0</v>
      </c>
      <c r="H154" s="587">
        <f t="shared" si="32"/>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33">SUM(C158:C158)</f>
        <v>0</v>
      </c>
      <c r="D157" s="586">
        <f t="shared" si="33"/>
        <v>0</v>
      </c>
      <c r="E157" s="587">
        <f t="shared" si="33"/>
        <v>0</v>
      </c>
      <c r="F157" s="587">
        <f t="shared" si="33"/>
        <v>0</v>
      </c>
      <c r="G157" s="587">
        <f t="shared" si="33"/>
        <v>0</v>
      </c>
      <c r="H157" s="587">
        <f t="shared" si="33"/>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34">SUM(C161:C161)</f>
        <v>0</v>
      </c>
      <c r="D160" s="586">
        <f t="shared" si="34"/>
        <v>750000</v>
      </c>
      <c r="E160" s="587">
        <f t="shared" si="34"/>
        <v>0</v>
      </c>
      <c r="F160" s="587">
        <f t="shared" si="34"/>
        <v>0</v>
      </c>
      <c r="G160" s="587">
        <f t="shared" si="34"/>
        <v>0</v>
      </c>
      <c r="H160" s="587">
        <f t="shared" si="34"/>
        <v>250000</v>
      </c>
      <c r="I160" s="587">
        <f>H160-G160</f>
        <v>250000</v>
      </c>
      <c r="J160" s="327">
        <f>IF(I160=0,"",I160/H160)</f>
        <v>1</v>
      </c>
      <c r="K160" s="589">
        <f>SUM(K161)</f>
        <v>750000</v>
      </c>
    </row>
    <row r="161" spans="1:11" ht="12.75" customHeight="1" x14ac:dyDescent="0.2">
      <c r="A161" s="521" t="s">
        <v>573</v>
      </c>
      <c r="B161" s="170"/>
      <c r="C161" s="758"/>
      <c r="D161" s="763">
        <v>750000</v>
      </c>
      <c r="E161" s="743"/>
      <c r="F161" s="743"/>
      <c r="G161" s="743"/>
      <c r="H161" s="743">
        <f>D161/12*4</f>
        <v>250000</v>
      </c>
      <c r="I161" s="45">
        <f>H161-G161</f>
        <v>250000</v>
      </c>
      <c r="J161" s="125">
        <f>IF(I161=0,"",I161/H161)</f>
        <v>1</v>
      </c>
      <c r="K161" s="745">
        <f>D161</f>
        <v>750000</v>
      </c>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35">SUM(C164:C164)</f>
        <v>0</v>
      </c>
      <c r="D163" s="586">
        <f t="shared" si="35"/>
        <v>0</v>
      </c>
      <c r="E163" s="587">
        <f t="shared" si="35"/>
        <v>0</v>
      </c>
      <c r="F163" s="587">
        <f t="shared" si="35"/>
        <v>0</v>
      </c>
      <c r="G163" s="587">
        <f t="shared" si="35"/>
        <v>0</v>
      </c>
      <c r="H163" s="587">
        <f t="shared" si="35"/>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1370</v>
      </c>
      <c r="B166" s="237">
        <v>1</v>
      </c>
      <c r="C166" s="113">
        <f t="shared" ref="C166:H166" si="36">C7+C75+C103+C110+C117+C135+C138+C148+C151+C154+C157+C160+C163</f>
        <v>0</v>
      </c>
      <c r="D166" s="272">
        <f t="shared" si="36"/>
        <v>73086120</v>
      </c>
      <c r="E166" s="56">
        <f t="shared" si="36"/>
        <v>0</v>
      </c>
      <c r="F166" s="56">
        <f t="shared" si="36"/>
        <v>6673435.3067999985</v>
      </c>
      <c r="G166" s="56">
        <f t="shared" si="36"/>
        <v>22881622.919585001</v>
      </c>
      <c r="H166" s="56">
        <f t="shared" si="36"/>
        <v>24362040.000000004</v>
      </c>
      <c r="I166" s="56">
        <f>H166-G166</f>
        <v>1480417.080415003</v>
      </c>
      <c r="J166" s="293">
        <f>IF(I166=0,"",I166/H166)</f>
        <v>6.0767369252123497E-2</v>
      </c>
      <c r="K166" s="236">
        <f>K7+K75+K103+K110+K117+K135+K138+K148+K151+K154+K157+K160+K163</f>
        <v>73086120</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C166+SC13a!C166+SC13b!C166-'C5-Capex'!C40</f>
        <v>1.8000602722167969E-3</v>
      </c>
      <c r="D171" s="136">
        <f>D166+SC13a!D166+SC13b!D166-'C5-Capex'!D40</f>
        <v>0</v>
      </c>
      <c r="E171" s="136">
        <f>E166+SC13a!E166+SC13b!E166-'C5-Capex'!E40</f>
        <v>0</v>
      </c>
      <c r="F171" s="136">
        <f>F166+SC13a!F166+SC13b!F166-'C5-Capex'!F40</f>
        <v>0</v>
      </c>
      <c r="G171" s="136">
        <f>G166+SC13a!G166+SC13b!G166-'C5-Capex'!G40</f>
        <v>0.15759998559951782</v>
      </c>
      <c r="H171" s="136">
        <f>H166+SC13a!H166+SC13b!H166-'C5-Capex'!H40</f>
        <v>0</v>
      </c>
      <c r="I171" s="136"/>
      <c r="J171" s="136"/>
      <c r="K171" s="136">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D97" workbookViewId="0">
      <selection activeCell="J37" sqref="J37"/>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2017/18 Capital Expenditure Monthly Trend: actual v target</v>
      </c>
      <c r="B1" s="339"/>
      <c r="C1" s="339"/>
      <c r="D1" s="339"/>
      <c r="E1" s="342"/>
      <c r="F1" s="68"/>
      <c r="G1" s="68"/>
      <c r="H1" s="68"/>
      <c r="I1" s="68"/>
    </row>
    <row r="2" spans="1:11" x14ac:dyDescent="0.2">
      <c r="A2" s="316" t="s">
        <v>913</v>
      </c>
      <c r="B2" s="361" t="str">
        <f>'SC12'!B2</f>
        <v>2016/17</v>
      </c>
      <c r="C2" s="361" t="str">
        <f>'SC12'!C3</f>
        <v>Original Budget</v>
      </c>
      <c r="D2" s="361" t="str">
        <f>'SC12'!D3</f>
        <v>Adjusted Budget</v>
      </c>
      <c r="E2" s="362" t="str">
        <f>'SC12'!E3</f>
        <v>Monthly actual</v>
      </c>
      <c r="F2" s="62"/>
      <c r="G2" s="62"/>
      <c r="H2" s="62"/>
      <c r="I2" s="62"/>
    </row>
    <row r="3" spans="1:11" x14ac:dyDescent="0.2">
      <c r="A3" s="43" t="str">
        <f>LEFT('SC12'!A6,3)</f>
        <v>Jul</v>
      </c>
      <c r="B3" s="44">
        <f>'SC12'!B6</f>
        <v>3958013.3213999998</v>
      </c>
      <c r="C3" s="44">
        <f>'SC12'!C6</f>
        <v>15888227.1208799</v>
      </c>
      <c r="D3" s="44">
        <f>'SC12'!D6</f>
        <v>0</v>
      </c>
      <c r="E3" s="46">
        <f>'SC12'!E6</f>
        <v>42514077.957599998</v>
      </c>
      <c r="F3" s="44"/>
      <c r="G3" s="44"/>
      <c r="H3" s="44"/>
      <c r="I3" s="44"/>
      <c r="J3" s="44"/>
      <c r="K3" s="44"/>
    </row>
    <row r="4" spans="1:11" x14ac:dyDescent="0.2">
      <c r="A4" s="43" t="str">
        <f>LEFT('SC12'!A7,3)</f>
        <v>Aug</v>
      </c>
      <c r="B4" s="44">
        <f>'SC12'!B7</f>
        <v>19539878.957399998</v>
      </c>
      <c r="C4" s="44">
        <f>'SC12'!C7</f>
        <v>26147045.201466568</v>
      </c>
      <c r="D4" s="44">
        <f>'SC12'!D7</f>
        <v>0</v>
      </c>
      <c r="E4" s="46">
        <f>'SC12'!E7</f>
        <v>67305084.526200011</v>
      </c>
      <c r="F4" s="44"/>
      <c r="G4" s="44"/>
      <c r="H4" s="44"/>
      <c r="I4" s="44"/>
      <c r="J4" s="44"/>
      <c r="K4" s="44"/>
    </row>
    <row r="5" spans="1:11" x14ac:dyDescent="0.2">
      <c r="A5" s="43" t="str">
        <f>LEFT('SC12'!A8,3)</f>
        <v>Sep</v>
      </c>
      <c r="B5" s="44">
        <f>'SC12'!B8</f>
        <v>52133213.881799996</v>
      </c>
      <c r="C5" s="44">
        <f>'SC12'!C8</f>
        <v>20000000</v>
      </c>
      <c r="D5" s="44">
        <f>'SC12'!D8</f>
        <v>0</v>
      </c>
      <c r="E5" s="46">
        <f>'SC12'!E8</f>
        <v>96927101.019184977</v>
      </c>
      <c r="F5" s="44"/>
      <c r="G5" s="44"/>
      <c r="H5" s="44"/>
      <c r="I5" s="44"/>
      <c r="J5" s="44"/>
      <c r="K5" s="44"/>
    </row>
    <row r="6" spans="1:11" x14ac:dyDescent="0.2">
      <c r="A6" s="43" t="str">
        <f>LEFT('SC12'!A9,3)</f>
        <v>Oct</v>
      </c>
      <c r="B6" s="44">
        <f>'SC12'!B9</f>
        <v>33094013.347800002</v>
      </c>
      <c r="C6" s="44">
        <f>'SC12'!C9</f>
        <v>61424090.402933098</v>
      </c>
      <c r="D6" s="44">
        <f>'SC12'!D9</f>
        <v>0</v>
      </c>
      <c r="E6" s="46">
        <f>'SC12'!E9</f>
        <v>69191121.855599999</v>
      </c>
      <c r="F6" s="44"/>
      <c r="G6" s="44"/>
      <c r="H6" s="44"/>
      <c r="I6" s="44"/>
      <c r="J6" s="44"/>
      <c r="K6" s="44"/>
    </row>
    <row r="7" spans="1:11" x14ac:dyDescent="0.2">
      <c r="A7" s="43" t="str">
        <f>LEFT('SC12'!A10,3)</f>
        <v>Nov</v>
      </c>
      <c r="B7" s="44">
        <f>'SC12'!B10</f>
        <v>53156380.639799997</v>
      </c>
      <c r="C7" s="44">
        <f>'SC12'!C10</f>
        <v>72300520.141415864</v>
      </c>
      <c r="D7" s="44">
        <f>'SC12'!D10</f>
        <v>0</v>
      </c>
      <c r="E7" s="46">
        <f>'SC12'!E10</f>
        <v>0</v>
      </c>
      <c r="F7" s="44"/>
      <c r="G7" s="44"/>
      <c r="H7" s="44"/>
      <c r="I7" s="44"/>
      <c r="J7" s="44"/>
      <c r="K7" s="44"/>
    </row>
    <row r="8" spans="1:11" x14ac:dyDescent="0.2">
      <c r="A8" s="43" t="str">
        <f>LEFT('SC12'!A11,3)</f>
        <v>Dec</v>
      </c>
      <c r="B8" s="44">
        <f>'SC12'!B11</f>
        <v>40635932.118599996</v>
      </c>
      <c r="C8" s="44">
        <f>'SC12'!C11</f>
        <v>80450520.141415894</v>
      </c>
      <c r="D8" s="44">
        <f>'SC12'!D11</f>
        <v>0</v>
      </c>
      <c r="E8" s="46">
        <f>'SC12'!E11</f>
        <v>0</v>
      </c>
      <c r="F8" s="44"/>
      <c r="G8" s="44"/>
      <c r="H8" s="44"/>
      <c r="I8" s="44"/>
      <c r="J8" s="44"/>
      <c r="K8" s="44"/>
    </row>
    <row r="9" spans="1:11" x14ac:dyDescent="0.2">
      <c r="A9" s="43" t="str">
        <f>LEFT('SC12'!A12,3)</f>
        <v>Jan</v>
      </c>
      <c r="B9" s="44">
        <f>'SC12'!B12</f>
        <v>18105087.999600001</v>
      </c>
      <c r="C9" s="44">
        <f>'SC12'!C12</f>
        <v>94117062.520455703</v>
      </c>
      <c r="D9" s="44">
        <f>'SC12'!D12</f>
        <v>0</v>
      </c>
      <c r="E9" s="46">
        <f>'SC12'!E12</f>
        <v>0</v>
      </c>
      <c r="F9" s="44"/>
      <c r="G9" s="44"/>
      <c r="H9" s="44"/>
      <c r="I9" s="44"/>
      <c r="J9" s="44"/>
      <c r="K9" s="44"/>
    </row>
    <row r="10" spans="1:11" x14ac:dyDescent="0.2">
      <c r="A10" s="43" t="str">
        <f>LEFT('SC12'!A13,3)</f>
        <v>Feb</v>
      </c>
      <c r="B10" s="44">
        <f>'SC12'!B13</f>
        <v>39318754.661799997</v>
      </c>
      <c r="C10" s="44">
        <f>'SC12'!C13</f>
        <v>147118047.53675699</v>
      </c>
      <c r="D10" s="44">
        <f>'SC12'!D13</f>
        <v>0</v>
      </c>
      <c r="E10" s="46">
        <f>'SC12'!E13</f>
        <v>0</v>
      </c>
      <c r="F10" s="44"/>
      <c r="G10" s="44"/>
      <c r="H10" s="44"/>
      <c r="I10" s="44"/>
      <c r="J10" s="44"/>
      <c r="K10" s="44"/>
    </row>
    <row r="11" spans="1:11" x14ac:dyDescent="0.2">
      <c r="A11" s="43" t="str">
        <f>LEFT('SC12'!A14,3)</f>
        <v>Mar</v>
      </c>
      <c r="B11" s="44">
        <f>'SC12'!B14</f>
        <v>118947063.67240001</v>
      </c>
      <c r="C11" s="44">
        <f>'SC12'!C14</f>
        <v>184167062.520455</v>
      </c>
      <c r="D11" s="44">
        <f>'SC12'!D14</f>
        <v>0</v>
      </c>
      <c r="E11" s="46">
        <f>'SC12'!E14</f>
        <v>0</v>
      </c>
      <c r="F11" s="44"/>
      <c r="G11" s="44"/>
      <c r="H11" s="44"/>
      <c r="I11" s="44"/>
      <c r="J11" s="44"/>
      <c r="K11" s="44"/>
    </row>
    <row r="12" spans="1:11" x14ac:dyDescent="0.2">
      <c r="A12" s="43" t="str">
        <f>LEFT('SC12'!A15,3)</f>
        <v>Apr</v>
      </c>
      <c r="B12" s="44">
        <f>'SC12'!B15</f>
        <v>314968044.50240004</v>
      </c>
      <c r="C12" s="44">
        <f>'SC12'!C15</f>
        <v>180519809.35686401</v>
      </c>
      <c r="D12" s="44">
        <f>'SC12'!D15</f>
        <v>0</v>
      </c>
      <c r="E12" s="46">
        <f>'SC12'!E15</f>
        <v>0</v>
      </c>
      <c r="F12" s="44"/>
      <c r="G12" s="44"/>
      <c r="H12" s="44"/>
      <c r="I12" s="44"/>
      <c r="J12" s="44"/>
      <c r="K12" s="44"/>
    </row>
    <row r="13" spans="1:11" x14ac:dyDescent="0.2">
      <c r="A13" s="43" t="str">
        <f>LEFT('SC12'!A16,3)</f>
        <v>May</v>
      </c>
      <c r="B13" s="44">
        <f>'SC12'!B16</f>
        <v>102136886.68000001</v>
      </c>
      <c r="C13" s="44">
        <f>'SC12'!C16</f>
        <v>153826239.0953469</v>
      </c>
      <c r="D13" s="44">
        <f>'SC12'!D16</f>
        <v>0</v>
      </c>
      <c r="E13" s="46">
        <f>'SC12'!E16</f>
        <v>0</v>
      </c>
      <c r="F13" s="44"/>
      <c r="G13" s="44"/>
      <c r="H13" s="44"/>
      <c r="I13" s="44"/>
      <c r="J13" s="44"/>
      <c r="K13" s="44"/>
    </row>
    <row r="14" spans="1:11" x14ac:dyDescent="0.2">
      <c r="A14" s="92" t="str">
        <f>LEFT('SC12'!A17,3)</f>
        <v>Jun</v>
      </c>
      <c r="B14" s="359">
        <f>'SC12'!B17</f>
        <v>267506089.87429994</v>
      </c>
      <c r="C14" s="359">
        <f>'SC12'!C17</f>
        <v>194159375.96155402</v>
      </c>
      <c r="D14" s="359">
        <f>'SC12'!D17</f>
        <v>0</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2017/18 Capital Expenditure: YTD actual v YTD target</v>
      </c>
      <c r="B26" s="366"/>
      <c r="C26" s="366"/>
      <c r="D26" s="367"/>
      <c r="E26" s="62"/>
      <c r="F26" s="62"/>
      <c r="G26" s="62"/>
      <c r="H26" s="62"/>
      <c r="I26" s="62"/>
    </row>
    <row r="27" spans="1:10" x14ac:dyDescent="0.2">
      <c r="A27" s="316" t="s">
        <v>913</v>
      </c>
      <c r="B27" s="361" t="str">
        <f>'SC12'!F3</f>
        <v>YearTD actual</v>
      </c>
      <c r="C27" s="361" t="str">
        <f>'SC12'!G3</f>
        <v>YearTD budget</v>
      </c>
      <c r="D27" s="273"/>
      <c r="E27" s="62"/>
      <c r="F27" s="62"/>
      <c r="G27" s="62"/>
      <c r="H27" s="62"/>
      <c r="I27" s="62"/>
      <c r="J27" s="68"/>
    </row>
    <row r="28" spans="1:10" x14ac:dyDescent="0.2">
      <c r="A28" s="363" t="str">
        <f>LEFT('SC12'!A6,3)</f>
        <v>Jul</v>
      </c>
      <c r="B28" s="364">
        <f>'SC12'!F6</f>
        <v>42514077.957599998</v>
      </c>
      <c r="C28" s="365">
        <f>'SC12'!G6</f>
        <v>15888227.1208799</v>
      </c>
      <c r="D28" s="44"/>
      <c r="E28" s="44"/>
      <c r="F28" s="44"/>
      <c r="G28" s="44"/>
      <c r="H28" s="44"/>
      <c r="I28" s="44"/>
    </row>
    <row r="29" spans="1:10" x14ac:dyDescent="0.2">
      <c r="A29" s="43" t="str">
        <f>LEFT('SC12'!A7,3)</f>
        <v>Aug</v>
      </c>
      <c r="B29" s="44">
        <f>'SC12'!F7</f>
        <v>109819162.48380001</v>
      </c>
      <c r="C29" s="46">
        <f>'SC12'!G7</f>
        <v>42035272.322346464</v>
      </c>
      <c r="D29" s="44"/>
      <c r="E29" s="44"/>
      <c r="F29" s="44"/>
      <c r="G29" s="44"/>
      <c r="H29" s="44"/>
      <c r="I29" s="44"/>
    </row>
    <row r="30" spans="1:10" x14ac:dyDescent="0.2">
      <c r="A30" s="43" t="str">
        <f>LEFT('SC12'!A8,3)</f>
        <v>Sep</v>
      </c>
      <c r="B30" s="44">
        <f>'SC12'!F8</f>
        <v>206746263.502985</v>
      </c>
      <c r="C30" s="46">
        <f>'SC12'!G8</f>
        <v>62035272.322346464</v>
      </c>
      <c r="D30" s="44"/>
      <c r="E30" s="44"/>
      <c r="F30" s="44"/>
      <c r="G30" s="44"/>
      <c r="H30" s="44"/>
      <c r="I30" s="44"/>
    </row>
    <row r="31" spans="1:10" x14ac:dyDescent="0.2">
      <c r="A31" s="43" t="str">
        <f>LEFT('SC12'!A9,3)</f>
        <v>Oct</v>
      </c>
      <c r="B31" s="44">
        <f>'SC12'!F9</f>
        <v>275937385.358585</v>
      </c>
      <c r="C31" s="46">
        <f>'SC12'!G9</f>
        <v>123459362.72527957</v>
      </c>
      <c r="D31" s="44"/>
      <c r="E31" s="44"/>
      <c r="F31" s="44"/>
      <c r="G31" s="44"/>
      <c r="H31" s="44"/>
      <c r="I31" s="44"/>
    </row>
    <row r="32" spans="1:10" x14ac:dyDescent="0.2">
      <c r="A32" s="43" t="str">
        <f>LEFT('SC12'!A10,3)</f>
        <v>Nov</v>
      </c>
      <c r="B32" s="44" t="str">
        <f>'SC12'!F10</f>
        <v/>
      </c>
      <c r="C32" s="46">
        <f>'SC12'!G10</f>
        <v>195759882.86669543</v>
      </c>
      <c r="D32" s="44"/>
      <c r="E32" s="44"/>
      <c r="F32" s="44"/>
      <c r="G32" s="44"/>
      <c r="H32" s="44"/>
      <c r="I32" s="44"/>
    </row>
    <row r="33" spans="1:9" x14ac:dyDescent="0.2">
      <c r="A33" s="43" t="str">
        <f>LEFT('SC12'!A11,3)</f>
        <v>Dec</v>
      </c>
      <c r="B33" s="44" t="str">
        <f>'SC12'!F11</f>
        <v/>
      </c>
      <c r="C33" s="46">
        <f>'SC12'!G11</f>
        <v>276210403.00811136</v>
      </c>
      <c r="D33" s="44"/>
      <c r="E33" s="44"/>
      <c r="F33" s="44"/>
      <c r="G33" s="44"/>
      <c r="H33" s="44"/>
      <c r="I33" s="44"/>
    </row>
    <row r="34" spans="1:9" x14ac:dyDescent="0.2">
      <c r="A34" s="43" t="str">
        <f>LEFT('SC12'!A12,3)</f>
        <v>Jan</v>
      </c>
      <c r="B34" s="44" t="str">
        <f>'SC12'!F12</f>
        <v/>
      </c>
      <c r="C34" s="46">
        <f>'SC12'!G12</f>
        <v>370327465.52856708</v>
      </c>
      <c r="D34" s="44"/>
      <c r="E34" s="44"/>
      <c r="F34" s="44"/>
      <c r="G34" s="44"/>
      <c r="H34" s="44"/>
      <c r="I34" s="44"/>
    </row>
    <row r="35" spans="1:9" x14ac:dyDescent="0.2">
      <c r="A35" s="43" t="str">
        <f>LEFT('SC12'!A13,3)</f>
        <v>Feb</v>
      </c>
      <c r="B35" s="44" t="str">
        <f>'SC12'!F13</f>
        <v/>
      </c>
      <c r="C35" s="46">
        <f>'SC12'!G13</f>
        <v>517445513.06532407</v>
      </c>
      <c r="D35" s="44"/>
      <c r="E35" s="44"/>
      <c r="F35" s="44"/>
      <c r="G35" s="44"/>
      <c r="H35" s="44"/>
      <c r="I35" s="44"/>
    </row>
    <row r="36" spans="1:9" x14ac:dyDescent="0.2">
      <c r="A36" s="43" t="str">
        <f>LEFT('SC12'!A14,3)</f>
        <v>Mar</v>
      </c>
      <c r="B36" s="44" t="str">
        <f>'SC12'!F14</f>
        <v/>
      </c>
      <c r="C36" s="46">
        <f>'SC12'!G14</f>
        <v>701612575.58577907</v>
      </c>
      <c r="D36" s="44"/>
      <c r="E36" s="44"/>
      <c r="F36" s="44"/>
      <c r="G36" s="44"/>
      <c r="H36" s="44"/>
      <c r="I36" s="44"/>
    </row>
    <row r="37" spans="1:9" x14ac:dyDescent="0.2">
      <c r="A37" s="43" t="str">
        <f>LEFT('SC12'!A15,3)</f>
        <v>Apr</v>
      </c>
      <c r="B37" s="44" t="str">
        <f>'SC12'!F15</f>
        <v/>
      </c>
      <c r="C37" s="46">
        <f>'SC12'!G15</f>
        <v>882132384.94264305</v>
      </c>
      <c r="D37" s="44"/>
      <c r="E37" s="44"/>
      <c r="F37" s="44"/>
      <c r="G37" s="44"/>
      <c r="H37" s="44"/>
      <c r="I37" s="44"/>
    </row>
    <row r="38" spans="1:9" x14ac:dyDescent="0.2">
      <c r="A38" s="43" t="str">
        <f>LEFT('SC12'!A16,3)</f>
        <v>May</v>
      </c>
      <c r="B38" s="44" t="str">
        <f>'SC12'!F16</f>
        <v/>
      </c>
      <c r="C38" s="46">
        <f>'SC12'!G16</f>
        <v>1035958624.03799</v>
      </c>
      <c r="D38" s="44"/>
      <c r="E38" s="44"/>
      <c r="F38" s="44"/>
      <c r="G38" s="44"/>
      <c r="H38" s="44"/>
      <c r="I38" s="44"/>
    </row>
    <row r="39" spans="1:9" x14ac:dyDescent="0.2">
      <c r="A39" s="92" t="str">
        <f>LEFT('SC12'!A17,3)</f>
        <v>Jun</v>
      </c>
      <c r="B39" s="359" t="str">
        <f>'SC12'!F17</f>
        <v/>
      </c>
      <c r="C39" s="360">
        <f>'SC12'!G17</f>
        <v>1230117999.9995439</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2017/18</v>
      </c>
      <c r="B53" s="44">
        <f>'SC3'!C14</f>
        <v>8486102.75</v>
      </c>
      <c r="C53" s="44">
        <f>'SC3'!D14</f>
        <v>44066377.43</v>
      </c>
      <c r="D53" s="44">
        <f>'SC3'!E14</f>
        <v>27887899.230000004</v>
      </c>
      <c r="E53" s="44">
        <f>'SC3'!F14</f>
        <v>26023182.029999994</v>
      </c>
      <c r="F53" s="44">
        <f>'SC3'!G14</f>
        <v>24614292.260000002</v>
      </c>
      <c r="G53" s="44">
        <f>'SC3'!H14</f>
        <v>16055422.440000001</v>
      </c>
      <c r="H53" s="44">
        <f>'SC3'!I14</f>
        <v>91947904.500000015</v>
      </c>
      <c r="I53" s="44">
        <f>'SC3'!J14</f>
        <v>600953921.09000003</v>
      </c>
    </row>
    <row r="54" spans="1:9" x14ac:dyDescent="0.2">
      <c r="A54" s="62" t="str">
        <f>Head1</f>
        <v>2016/17</v>
      </c>
      <c r="B54" s="44">
        <f>'SC3'!C15</f>
        <v>7416746.7899999991</v>
      </c>
      <c r="C54" s="44">
        <f>'SC3'!D15</f>
        <v>44006302.449999996</v>
      </c>
      <c r="D54" s="44">
        <f>'SC3'!E15</f>
        <v>28672547.730000004</v>
      </c>
      <c r="E54" s="44">
        <f>'SC3'!F15</f>
        <v>34171803.939999998</v>
      </c>
      <c r="F54" s="44">
        <f>'SC3'!G15</f>
        <v>25685660.059999999</v>
      </c>
      <c r="G54" s="44">
        <f>'SC3'!H15</f>
        <v>19983288.320000004</v>
      </c>
      <c r="H54" s="44">
        <f>'SC3'!I15</f>
        <v>95054171.460000008</v>
      </c>
      <c r="I54" s="44">
        <f>'SC3'!J15</f>
        <v>462920657.23999995</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2016/17</v>
      </c>
      <c r="C77" s="62" t="str">
        <f>Head2</f>
        <v>Budget Year 2017/18</v>
      </c>
      <c r="D77" s="62"/>
      <c r="E77" s="62"/>
      <c r="F77" s="62"/>
      <c r="G77" s="62"/>
      <c r="H77" s="62"/>
      <c r="I77" s="62"/>
      <c r="J77" s="62"/>
    </row>
    <row r="78" spans="1:10" x14ac:dyDescent="0.2">
      <c r="A78" s="62" t="str">
        <f>'SC3'!A17</f>
        <v>Organs of State</v>
      </c>
      <c r="B78" s="44">
        <f>C78*0.97</f>
        <v>37718318.07029999</v>
      </c>
      <c r="C78" s="44">
        <f>'SC3'!K17</f>
        <v>38884863.989999995</v>
      </c>
      <c r="D78" s="44"/>
      <c r="E78" s="44"/>
      <c r="F78" s="44"/>
      <c r="G78" s="44"/>
      <c r="H78" s="44"/>
      <c r="I78" s="44"/>
      <c r="J78" s="44"/>
    </row>
    <row r="79" spans="1:10" x14ac:dyDescent="0.2">
      <c r="A79" s="62" t="str">
        <f>'SC3'!A18</f>
        <v>Commercial</v>
      </c>
      <c r="B79" s="44">
        <f>C79*0.97</f>
        <v>111629339.8987</v>
      </c>
      <c r="C79" s="44">
        <f>'SC3'!K18</f>
        <v>115081793.71000001</v>
      </c>
      <c r="D79" s="44"/>
      <c r="E79" s="44"/>
      <c r="F79" s="44"/>
      <c r="G79" s="44"/>
      <c r="H79" s="44"/>
      <c r="I79" s="44"/>
      <c r="J79" s="44"/>
    </row>
    <row r="80" spans="1:10" x14ac:dyDescent="0.2">
      <c r="A80" s="62" t="str">
        <f>'SC3'!A19</f>
        <v>Households</v>
      </c>
      <c r="B80" s="44">
        <f>C80*0.97</f>
        <v>663312630.81650007</v>
      </c>
      <c r="C80" s="44">
        <f>'SC3'!K19</f>
        <v>683827454.45000005</v>
      </c>
    </row>
    <row r="81" spans="1:3" x14ac:dyDescent="0.2">
      <c r="A81" s="62" t="str">
        <f>'SC3'!A20</f>
        <v>Other</v>
      </c>
      <c r="B81" s="44">
        <f>C81*0.97</f>
        <v>2173759.8925999999</v>
      </c>
      <c r="C81" s="44">
        <f>'SC3'!K20</f>
        <v>2240989.58</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2016/17</v>
      </c>
      <c r="B103" s="408">
        <f>'SC4'!L6</f>
        <v>51140332.869999997</v>
      </c>
      <c r="C103" s="408">
        <f>'SC4'!L7</f>
        <v>12500000</v>
      </c>
      <c r="D103" s="408">
        <f>'SC4'!L8</f>
        <v>0</v>
      </c>
      <c r="E103" s="408">
        <f>'SC4'!L9</f>
        <v>0</v>
      </c>
      <c r="F103" s="408">
        <f>'SC4'!L10</f>
        <v>0</v>
      </c>
      <c r="G103" s="408">
        <f>'SC4'!L11</f>
        <v>0</v>
      </c>
      <c r="H103" s="408">
        <f>'SC4'!L12</f>
        <v>0</v>
      </c>
      <c r="I103" s="408">
        <f>'SC4'!L13</f>
        <v>0</v>
      </c>
      <c r="J103" s="408">
        <f>'SC4'!L14</f>
        <v>0</v>
      </c>
    </row>
    <row r="104" spans="1:10" x14ac:dyDescent="0.2">
      <c r="A104" s="62" t="str">
        <f>A53</f>
        <v>Budget Year 2017/18</v>
      </c>
      <c r="B104" s="44">
        <f>'SC4'!K6</f>
        <v>50992056.960000001</v>
      </c>
      <c r="C104" s="44">
        <f>'SC4'!K7</f>
        <v>18796974.120000001</v>
      </c>
      <c r="D104" s="44">
        <f>'SC4'!K8</f>
        <v>0</v>
      </c>
      <c r="E104" s="44">
        <f>'SC4'!K9</f>
        <v>0</v>
      </c>
      <c r="F104" s="44">
        <f>'SC4'!K10</f>
        <v>0</v>
      </c>
      <c r="G104" s="44">
        <f>'SC4'!K11</f>
        <v>0</v>
      </c>
      <c r="H104" s="44">
        <f>'SC4'!K12</f>
        <v>0</v>
      </c>
      <c r="I104" s="44">
        <f>'SC4'!K13</f>
        <v>0</v>
      </c>
      <c r="J104" s="44">
        <f>'SC4'!K14</f>
        <v>0</v>
      </c>
    </row>
    <row r="106" spans="1:10" ht="12" customHeight="1" x14ac:dyDescent="0.2">
      <c r="A106" s="62"/>
      <c r="B106" s="44"/>
      <c r="C106" s="44"/>
    </row>
  </sheetData>
  <sheetProtection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FB5407-905C-4A55-86D9-F8F24F173B67}">
  <ds:schemaRefs>
    <ds:schemaRef ds:uri="http://www.w3.org/XML/1998/namespace"/>
    <ds:schemaRef ds:uri="http://schemas.microsoft.com/sharepoint/v3"/>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Phuti Mailula</cp:lastModifiedBy>
  <cp:lastPrinted>2016-12-13T05:59:10Z</cp:lastPrinted>
  <dcterms:created xsi:type="dcterms:W3CDTF">2004-04-07T16:19:08Z</dcterms:created>
  <dcterms:modified xsi:type="dcterms:W3CDTF">2023-07-21T11:41:26Z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