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15600" windowHeight="9720" tabRatio="839" firstSheet="2" activeTab="2"/>
  </bookViews>
  <sheets>
    <sheet name="Cover 1" sheetId="74" state="hidden" r:id="rId1"/>
    <sheet name="Cover" sheetId="56" r:id="rId2"/>
    <sheet name="Index" sheetId="57" r:id="rId3"/>
    <sheet name="App" sheetId="62" r:id="rId4"/>
    <sheet name="Statement of Financial Position" sheetId="4" state="hidden" r:id="rId5"/>
    <sheet name="General Info" sheetId="75" r:id="rId6"/>
    <sheet name="Statement of Fin Pos" sheetId="77" r:id="rId7"/>
    <sheet name="Statement of Financial Performa" sheetId="5" r:id="rId8"/>
    <sheet name="Changes in Net assets" sheetId="6" r:id="rId9"/>
    <sheet name="TB4 (New) (2)" sheetId="88" state="hidden" r:id="rId10"/>
    <sheet name="Cash Flow Statement" sheetId="7" r:id="rId11"/>
    <sheet name="Statement com budget and actual" sheetId="82" r:id="rId12"/>
    <sheet name="Acc Policy " sheetId="78" r:id="rId13"/>
    <sheet name="Notes 2 - 7" sheetId="9" r:id="rId14"/>
    <sheet name="Note 8 Assets" sheetId="10" r:id="rId15"/>
    <sheet name="Note 8.2 Assets" sheetId="76" r:id="rId16"/>
    <sheet name="Note 9-33" sheetId="11" r:id="rId17"/>
    <sheet name="Note 34-48" sheetId="63" r:id="rId18"/>
    <sheet name="Appendix A" sheetId="30" r:id="rId19"/>
    <sheet name="Appendix B" sheetId="89" r:id="rId20"/>
    <sheet name="Appendix C" sheetId="90" r:id="rId21"/>
    <sheet name="Appendix D" sheetId="33" r:id="rId22"/>
    <sheet name="Appendix E(1)" sheetId="34" r:id="rId23"/>
    <sheet name="Appendix E(2)" sheetId="35" r:id="rId24"/>
    <sheet name="Appendix F" sheetId="58" r:id="rId25"/>
    <sheet name="Annexure G" sheetId="71" r:id="rId26"/>
    <sheet name="TB1" sheetId="64" state="hidden" r:id="rId27"/>
    <sheet name="TB2" sheetId="59" state="hidden" r:id="rId28"/>
    <sheet name="Annexure H" sheetId="84" r:id="rId29"/>
    <sheet name="Sheet5" sheetId="81" state="hidden" r:id="rId30"/>
    <sheet name="Annexure I" sheetId="85" r:id="rId31"/>
    <sheet name="TB3" sheetId="69" r:id="rId32"/>
    <sheet name="TB4" sheetId="70" r:id="rId33"/>
    <sheet name="Cash flow recon" sheetId="79" r:id="rId34"/>
  </sheets>
  <externalReferences>
    <externalReference r:id="rId35"/>
    <externalReference r:id="rId36"/>
    <externalReference r:id="rId37"/>
    <externalReference r:id="rId38"/>
  </externalReferences>
  <definedNames>
    <definedName name="_xlnm._FilterDatabase" localSheetId="32" hidden="1">'TB4'!$A$3:$R$279</definedName>
    <definedName name="_xlnm._FilterDatabase" localSheetId="9" hidden="1">'TB4 (New) (2)'!$A$3:$BA$263</definedName>
    <definedName name="date">[1]Instructions!$X$11</definedName>
    <definedName name="desc">'[1]Template names'!$B$27</definedName>
    <definedName name="Head1">'[1]Template names'!$B$2</definedName>
    <definedName name="Head2">'[1]Template names'!$B$3</definedName>
    <definedName name="head27">'[1]Template names'!$B$30</definedName>
    <definedName name="head27a">'[1]Template names'!$B$31</definedName>
    <definedName name="Head38">'[1]Template names'!$B$42</definedName>
    <definedName name="Head39">'[1]Template names'!$B$43</definedName>
    <definedName name="Head40">'[1]Template names'!$B$44</definedName>
    <definedName name="Head41">'[1]Template names'!$B$45</definedName>
    <definedName name="Head5">'[1]Template names'!$B$6</definedName>
    <definedName name="Head6">'[1]Template names'!$B$9</definedName>
    <definedName name="Head7">'[1]Template names'!$B$10</definedName>
    <definedName name="Head8">'[1]Template names'!$B$11</definedName>
    <definedName name="IEMAY." localSheetId="31">'TB3'!$A$3:$D$623</definedName>
    <definedName name="muni">'[1]Template names'!$B$73</definedName>
    <definedName name="New_Accounting_Policy_1" localSheetId="12">'Acc Policy '!$C$1:$D$1942</definedName>
    <definedName name="New_Accounting_Policy_2" localSheetId="12">'Acc Policy '!$C$1:$D$1942</definedName>
    <definedName name="New_Accounting_Policy_3" localSheetId="12">'Acc Policy '!$B$1:$C$1721</definedName>
    <definedName name="New_Accounting_Policy_4" localSheetId="12">'Acc Policy '!$B$1:$C$1721</definedName>
    <definedName name="New_Accounting_Policy_5" localSheetId="12">'Acc Policy '!$C$1:$D$1942</definedName>
    <definedName name="New_Accounting_Policy_6" localSheetId="12">'Acc Policy '!$C$1:$D$1942</definedName>
    <definedName name="New_Accounting_Policy_7" localSheetId="12">'Acc Policy '!$B$1:$C$1721</definedName>
    <definedName name="New_Accounting_Policy_8" localSheetId="12">'Acc Policy '!$B$1:$C$1721</definedName>
    <definedName name="OLE_LINK1" localSheetId="25">'Annexure G'!#REF!</definedName>
    <definedName name="_xlnm.Print_Area" localSheetId="12">'Acc Policy '!$A$1:$B$1747</definedName>
    <definedName name="_xlnm.Print_Area" localSheetId="30">'Annexure I'!#REF!</definedName>
    <definedName name="_xlnm.Print_Area" localSheetId="3">App!$B$1:$K$43</definedName>
    <definedName name="_xlnm.Print_Area" localSheetId="21">'Appendix D'!$A$1:$H$49</definedName>
    <definedName name="_xlnm.Print_Area" localSheetId="23">'Appendix E(2)'!$A$1:$H$65</definedName>
    <definedName name="_xlnm.Print_Area" localSheetId="24">'Appendix F'!$A$1:$R$25</definedName>
    <definedName name="_xlnm.Print_Area" localSheetId="10">'Cash Flow Statement'!$A$1:$G$43</definedName>
    <definedName name="_xlnm.Print_Area" localSheetId="8">'Changes in Net assets'!$B$2:$K$121</definedName>
    <definedName name="_xlnm.Print_Area" localSheetId="1">Cover!$A$1:$F$34</definedName>
    <definedName name="_xlnm.Print_Area" localSheetId="5">'General Info'!$B$1:$C$127</definedName>
    <definedName name="_xlnm.Print_Area" localSheetId="2">Index!$A$1:$E$45</definedName>
    <definedName name="_xlnm.Print_Area" localSheetId="17">'Note 34-48'!$A$1:$F$596</definedName>
    <definedName name="_xlnm.Print_Area" localSheetId="14">'Note 8 Assets'!$A$1:$I$146</definedName>
    <definedName name="_xlnm.Print_Area" localSheetId="15">'Note 8.2 Assets'!$A$1:$F$96</definedName>
    <definedName name="_xlnm.Print_Area" localSheetId="16">'Note 9-33'!$B$1:$K$1002</definedName>
    <definedName name="_xlnm.Print_Area" localSheetId="13">'Notes 2 - 7'!$A$1:$K$104</definedName>
    <definedName name="_xlnm.Print_Area" localSheetId="11">'Statement com budget and actual'!$A$1:$L$59</definedName>
    <definedName name="_xlnm.Print_Area" localSheetId="6">'Statement of Fin Pos'!$B$1:$G$55</definedName>
    <definedName name="_xlnm.Print_Area" localSheetId="7">'Statement of Financial Performa'!$A$2:$K$43</definedName>
    <definedName name="_xlnm.Print_Area" localSheetId="4">'Statement of Financial Position'!$A$1:$M$60</definedName>
    <definedName name="_xlnm.Print_Area" localSheetId="26">'TB1'!$A$1:$M$525</definedName>
    <definedName name="_xlnm.Print_Area" localSheetId="27">'TB2'!$A$1:$P$156</definedName>
    <definedName name="_xlnm.Print_Area" localSheetId="31">'TB3'!$A$1:$AD$623</definedName>
    <definedName name="_xlnm.Print_Area" localSheetId="32">'TB4'!$A$2:$Z$280</definedName>
    <definedName name="_xlnm.Print_Area" localSheetId="9">'TB4 (New) (2)'!$A$2:$AY$264</definedName>
    <definedName name="_xlnm.Print_Titles" localSheetId="21">'Appendix D'!$1:$7</definedName>
    <definedName name="_xlnm.Print_Titles" localSheetId="16">'Note 9-33'!$1:$3</definedName>
    <definedName name="_xlnm.Print_Titles" localSheetId="13">'Notes 2 - 7'!$1:$3</definedName>
    <definedName name="_xlnm.Print_Titles" localSheetId="26">'TB1'!$4:$5</definedName>
    <definedName name="Province">'Cover 1'!$E$10</definedName>
    <definedName name="S71A">'[1]Template names'!$B$79</definedName>
    <definedName name="tm_268446625">'Statement com budget and actual'!$A$42</definedName>
    <definedName name="tm_738206261">'Note 34-48'!$I$347</definedName>
    <definedName name="tm_738206361">'Notes 2 - 7'!#REF!</definedName>
    <definedName name="tm_738206362">'Notes 2 - 7'!#REF!</definedName>
    <definedName name="tm_738206382">'Notes 2 - 7'!$E$76</definedName>
    <definedName name="tm_738206383">'Notes 2 - 7'!$E$76</definedName>
    <definedName name="tm_738206392">'Notes 2 - 7'!$E$77</definedName>
    <definedName name="tm_738206393">'Notes 2 - 7'!$E$77</definedName>
    <definedName name="tm_738206401">'Notes 2 - 7'!$E$78</definedName>
    <definedName name="tm_738206402">'Notes 2 - 7'!$E$78</definedName>
    <definedName name="tm_738206425" localSheetId="9">'Note 8 Assets'!#REF!</definedName>
    <definedName name="tm_738206425">'Note 8 Assets'!#REF!</definedName>
    <definedName name="tm_738206450" localSheetId="9">'Note 8 Assets'!#REF!</definedName>
    <definedName name="tm_738206450">'Note 8 Assets'!#REF!</definedName>
    <definedName name="tm_738206451" localSheetId="9">'Note 8 Assets'!#REF!</definedName>
    <definedName name="tm_738206451">'Note 8 Assets'!#REF!</definedName>
    <definedName name="tm_738206459" localSheetId="9">'Note 8 Assets'!#REF!</definedName>
    <definedName name="tm_738206459">'Note 8 Assets'!#REF!</definedName>
    <definedName name="tm_738206460" localSheetId="9">'Note 8 Assets'!#REF!</definedName>
    <definedName name="tm_738206460">'Note 8 Assets'!#REF!</definedName>
    <definedName name="tm_738206474">'Statement of Financial Position'!$G$39</definedName>
    <definedName name="tm_738206503">'Statement of Financial Position'!$G$50</definedName>
    <definedName name="tm_738206504">'Statement of Financial Position'!$G$50</definedName>
    <definedName name="tm_738206505">'Statement of Financial Position'!$G$50</definedName>
    <definedName name="tm_738206512">'Statement of Financial Position'!$G$51</definedName>
    <definedName name="tm_738206518">'Statement of Financial Position'!$G$43</definedName>
    <definedName name="tm_738206523">'Note 9-33'!$L$29</definedName>
    <definedName name="tm_738206528">'Note 9-33'!$F$30</definedName>
    <definedName name="tm_738206538">'Note 9-33'!$F$32</definedName>
    <definedName name="tm_738206546">'Note 9-33'!$F$31</definedName>
    <definedName name="tm_738206549">'Note 9-33'!$F$31</definedName>
    <definedName name="tm_738206557">'Statement of Financial Position'!$G$55</definedName>
    <definedName name="tm_738206560">'Statement of Financial Position'!$G$55</definedName>
    <definedName name="tm_738206591">'Statement of Financial Position'!$G$21</definedName>
    <definedName name="tm_738206592">'Statement of Financial Position'!$G$21</definedName>
    <definedName name="tm_738206593">'Statement of Financial Position'!$G$21</definedName>
    <definedName name="tm_738206600">'Statement of Financial Position'!$G$20</definedName>
    <definedName name="tm_738206601">'Statement of Financial Position'!$G$20</definedName>
    <definedName name="tm_738206602">'Statement of Financial Position'!$G$20</definedName>
    <definedName name="tm_738206615">'Statement of Financial Position'!$G$20</definedName>
    <definedName name="tm_738206616">'Statement of Financial Position'!$G$20</definedName>
    <definedName name="tm_738206617">'Statement of Financial Position'!$G$29</definedName>
    <definedName name="tm_738206622">'Statement of Financial Position'!$G$20</definedName>
    <definedName name="tm_738206637">'Statement of Financial Position'!$G$25</definedName>
    <definedName name="tm_738206638">'Statement of Financial Position'!$G$25</definedName>
    <definedName name="tm_738206677">'Statement of Financial Position'!$H$13</definedName>
    <definedName name="tm_738206682">'Statement of Financial Position'!$H$14</definedName>
    <definedName name="tm_738206690">'Statement of Financial Performa'!$H$17</definedName>
    <definedName name="tm_738206700">'Statement of Financial Performa'!$H$18</definedName>
    <definedName name="tm_738206710">'Statement of Financial Performa'!$H$19</definedName>
    <definedName name="tm_738206722">'Statement of Financial Performa'!$H$10</definedName>
    <definedName name="tm_738206723">'Statement of Financial Performa'!$H$10</definedName>
    <definedName name="tm_738206744">'Statement of Financial Performa'!$H$12</definedName>
    <definedName name="tm_738206745">'Statement of Financial Performa'!$H$12</definedName>
    <definedName name="tm_738206769">'Statement of Financial Performa'!$H$20</definedName>
    <definedName name="tm_738206770">'Statement of Financial Performa'!$H$20</definedName>
    <definedName name="tm_738206794">'Statement of Financial Performa'!$H$31</definedName>
    <definedName name="tm_738206804">'Statement of Financial Performa'!$H$34</definedName>
    <definedName name="tm_738206805">'Statement of Financial Performa'!$H$34</definedName>
    <definedName name="tm_738206814">'Statement of Financial Performa'!$H$34</definedName>
    <definedName name="tm_738206821">'Statement of Financial Performa'!$H$35</definedName>
    <definedName name="tm_738206822">'Statement of Financial Performa'!$H$35</definedName>
    <definedName name="tm_738206853" localSheetId="9">'Note 34-48'!#REF!</definedName>
    <definedName name="tm_738206853">'Note 34-48'!#REF!</definedName>
    <definedName name="tm_738206895">'Statement of Financial Performa'!$H$27</definedName>
    <definedName name="tm_738206896">'Statement of Financial Performa'!$H$27</definedName>
    <definedName name="tm_738206936">'Statement of Financial Performa'!$H$27</definedName>
    <definedName name="tm_738206941">'Statement of Financial Performa'!$H$28</definedName>
  </definedNames>
  <calcPr calcId="152511"/>
</workbook>
</file>

<file path=xl/calcChain.xml><?xml version="1.0" encoding="utf-8"?>
<calcChain xmlns="http://schemas.openxmlformats.org/spreadsheetml/2006/main">
  <c r="AB565" i="69" l="1"/>
  <c r="AB619" i="69"/>
  <c r="G40" i="5" s="1"/>
  <c r="G42" i="5"/>
  <c r="V127" i="70" l="1"/>
  <c r="V123" i="70"/>
  <c r="AB334" i="69"/>
  <c r="V129" i="70"/>
  <c r="U55" i="90" l="1"/>
  <c r="S55" i="90"/>
  <c r="Q55" i="90"/>
  <c r="P55" i="90"/>
  <c r="O55" i="90"/>
  <c r="M55" i="90"/>
  <c r="L55" i="90"/>
  <c r="K55" i="90"/>
  <c r="J55" i="90"/>
  <c r="H55" i="90"/>
  <c r="G55" i="90"/>
  <c r="F55" i="90"/>
  <c r="E55" i="90"/>
  <c r="D55" i="90"/>
  <c r="C55" i="90"/>
  <c r="B55" i="90"/>
  <c r="C52" i="90"/>
  <c r="H52" i="90" s="1"/>
  <c r="U51" i="90"/>
  <c r="T51" i="90"/>
  <c r="R51" i="90"/>
  <c r="Q51" i="90"/>
  <c r="P51" i="90"/>
  <c r="O51" i="90"/>
  <c r="N51" i="90"/>
  <c r="M51" i="90"/>
  <c r="L51" i="90"/>
  <c r="K51" i="90"/>
  <c r="J51" i="90"/>
  <c r="I51" i="90"/>
  <c r="G51" i="90"/>
  <c r="E51" i="90"/>
  <c r="D51" i="90"/>
  <c r="B51" i="90"/>
  <c r="M50" i="90"/>
  <c r="H50" i="90"/>
  <c r="S50" i="90" s="1"/>
  <c r="M49" i="90"/>
  <c r="H49" i="90"/>
  <c r="S49" i="90" s="1"/>
  <c r="M48" i="90"/>
  <c r="H48" i="90"/>
  <c r="S48" i="90" s="1"/>
  <c r="M47" i="90"/>
  <c r="H47" i="90"/>
  <c r="S47" i="90" s="1"/>
  <c r="U46" i="90"/>
  <c r="T46" i="90"/>
  <c r="R46" i="90"/>
  <c r="Q46" i="90"/>
  <c r="P46" i="90"/>
  <c r="O46" i="90"/>
  <c r="N46" i="90"/>
  <c r="L46" i="90"/>
  <c r="K46" i="90"/>
  <c r="J46" i="90"/>
  <c r="I46" i="90"/>
  <c r="G46" i="90"/>
  <c r="E46" i="90"/>
  <c r="D46" i="90"/>
  <c r="C46" i="90"/>
  <c r="B46" i="90"/>
  <c r="M45" i="90"/>
  <c r="M44" i="90" s="1"/>
  <c r="H45" i="90"/>
  <c r="S45" i="90" s="1"/>
  <c r="S44" i="90" s="1"/>
  <c r="U44" i="90"/>
  <c r="T44" i="90"/>
  <c r="R44" i="90"/>
  <c r="Q44" i="90"/>
  <c r="P44" i="90"/>
  <c r="O44" i="90"/>
  <c r="N44" i="90"/>
  <c r="L44" i="90"/>
  <c r="K44" i="90"/>
  <c r="J44" i="90"/>
  <c r="I44" i="90"/>
  <c r="H44" i="90"/>
  <c r="G44" i="90"/>
  <c r="E44" i="90"/>
  <c r="D44" i="90"/>
  <c r="C44" i="90"/>
  <c r="B44" i="90"/>
  <c r="M43" i="90"/>
  <c r="H43" i="90"/>
  <c r="M42" i="90"/>
  <c r="H42" i="90"/>
  <c r="M41" i="90"/>
  <c r="H41" i="90"/>
  <c r="S41" i="90" s="1"/>
  <c r="U40" i="90"/>
  <c r="T40" i="90"/>
  <c r="R40" i="90"/>
  <c r="Q40" i="90"/>
  <c r="P40" i="90"/>
  <c r="O40" i="90"/>
  <c r="N40" i="90"/>
  <c r="M40" i="90"/>
  <c r="L40" i="90"/>
  <c r="K40" i="90"/>
  <c r="J40" i="90"/>
  <c r="I40" i="90"/>
  <c r="G40" i="90"/>
  <c r="E40" i="90"/>
  <c r="D40" i="90"/>
  <c r="C40" i="90"/>
  <c r="B40" i="90"/>
  <c r="M39" i="90"/>
  <c r="H39" i="90"/>
  <c r="M38" i="90"/>
  <c r="H38" i="90"/>
  <c r="M37" i="90"/>
  <c r="H37" i="90"/>
  <c r="S37" i="90" s="1"/>
  <c r="M36" i="90"/>
  <c r="H36" i="90"/>
  <c r="S36" i="90" s="1"/>
  <c r="M35" i="90"/>
  <c r="M34" i="90" s="1"/>
  <c r="H35" i="90"/>
  <c r="U34" i="90"/>
  <c r="T34" i="90"/>
  <c r="R34" i="90"/>
  <c r="Q34" i="90"/>
  <c r="P34" i="90"/>
  <c r="O34" i="90"/>
  <c r="N34" i="90"/>
  <c r="L34" i="90"/>
  <c r="K34" i="90"/>
  <c r="J34" i="90"/>
  <c r="I34" i="90"/>
  <c r="G34" i="90"/>
  <c r="F34" i="90"/>
  <c r="E34" i="90"/>
  <c r="D34" i="90"/>
  <c r="C34" i="90"/>
  <c r="B34" i="90"/>
  <c r="M33" i="90"/>
  <c r="H33" i="90"/>
  <c r="S33" i="90" s="1"/>
  <c r="M32" i="90"/>
  <c r="H32" i="90"/>
  <c r="S32" i="90" s="1"/>
  <c r="M31" i="90"/>
  <c r="H31" i="90"/>
  <c r="S31" i="90" s="1"/>
  <c r="M30" i="90"/>
  <c r="H30" i="90"/>
  <c r="S30" i="90" s="1"/>
  <c r="M29" i="90"/>
  <c r="H29" i="90"/>
  <c r="S29" i="90" s="1"/>
  <c r="U28" i="90"/>
  <c r="T28" i="90"/>
  <c r="R28" i="90"/>
  <c r="Q28" i="90"/>
  <c r="P28" i="90"/>
  <c r="O28" i="90"/>
  <c r="N28" i="90"/>
  <c r="L28" i="90"/>
  <c r="K28" i="90"/>
  <c r="J28" i="90"/>
  <c r="I28" i="90"/>
  <c r="G28" i="90"/>
  <c r="E28" i="90"/>
  <c r="D28" i="90"/>
  <c r="C28" i="90"/>
  <c r="B28" i="90"/>
  <c r="M27" i="90"/>
  <c r="H27" i="90"/>
  <c r="S27" i="90" s="1"/>
  <c r="M26" i="90"/>
  <c r="H26" i="90"/>
  <c r="M25" i="90"/>
  <c r="H25" i="90"/>
  <c r="M24" i="90"/>
  <c r="H24" i="90"/>
  <c r="H22" i="90" s="1"/>
  <c r="M23" i="90"/>
  <c r="M22" i="90" s="1"/>
  <c r="H23" i="90"/>
  <c r="S23" i="90" s="1"/>
  <c r="U22" i="90"/>
  <c r="T22" i="90"/>
  <c r="R22" i="90"/>
  <c r="Q22" i="90"/>
  <c r="P22" i="90"/>
  <c r="O22" i="90"/>
  <c r="N22" i="90"/>
  <c r="L22" i="90"/>
  <c r="K22" i="90"/>
  <c r="J22" i="90"/>
  <c r="I22" i="90"/>
  <c r="G22" i="90"/>
  <c r="E22" i="90"/>
  <c r="D22" i="90"/>
  <c r="C22" i="90"/>
  <c r="B22" i="90"/>
  <c r="M21" i="90"/>
  <c r="H21" i="90"/>
  <c r="S21" i="90" s="1"/>
  <c r="M20" i="90"/>
  <c r="H20" i="90"/>
  <c r="S20" i="90" s="1"/>
  <c r="M19" i="90"/>
  <c r="H19" i="90"/>
  <c r="S19" i="90" s="1"/>
  <c r="M18" i="90"/>
  <c r="H18" i="90"/>
  <c r="S18" i="90" s="1"/>
  <c r="M17" i="90"/>
  <c r="H17" i="90"/>
  <c r="S17" i="90" s="1"/>
  <c r="M16" i="90"/>
  <c r="H16" i="90"/>
  <c r="S16" i="90" s="1"/>
  <c r="M15" i="90"/>
  <c r="H15" i="90"/>
  <c r="S15" i="90" s="1"/>
  <c r="U14" i="90"/>
  <c r="T14" i="90"/>
  <c r="R14" i="90"/>
  <c r="Q14" i="90"/>
  <c r="P14" i="90"/>
  <c r="O14" i="90"/>
  <c r="N14" i="90"/>
  <c r="L14" i="90"/>
  <c r="K14" i="90"/>
  <c r="J14" i="90"/>
  <c r="I14" i="90"/>
  <c r="H14" i="90"/>
  <c r="G14" i="90"/>
  <c r="E14" i="90"/>
  <c r="D14" i="90"/>
  <c r="C14" i="90"/>
  <c r="B14" i="90"/>
  <c r="M13" i="90"/>
  <c r="H13" i="90"/>
  <c r="M12" i="90"/>
  <c r="H12" i="90"/>
  <c r="S12" i="90" s="1"/>
  <c r="M11" i="90"/>
  <c r="H11" i="90"/>
  <c r="S11" i="90" s="1"/>
  <c r="M10" i="90"/>
  <c r="M9" i="90" s="1"/>
  <c r="H10" i="90"/>
  <c r="U9" i="90"/>
  <c r="T9" i="90"/>
  <c r="R9" i="90"/>
  <c r="Q9" i="90"/>
  <c r="P9" i="90"/>
  <c r="O9" i="90"/>
  <c r="N9" i="90"/>
  <c r="L9" i="90"/>
  <c r="K9" i="90"/>
  <c r="J9" i="90"/>
  <c r="I9" i="90"/>
  <c r="G9" i="90"/>
  <c r="E9" i="90"/>
  <c r="D9" i="90"/>
  <c r="C9" i="90"/>
  <c r="B9" i="90"/>
  <c r="M8" i="90"/>
  <c r="H8" i="90"/>
  <c r="S8" i="90" s="1"/>
  <c r="M7" i="90"/>
  <c r="H7" i="90"/>
  <c r="S7" i="90" s="1"/>
  <c r="M6" i="90"/>
  <c r="M5" i="90" s="1"/>
  <c r="H6" i="90"/>
  <c r="U5" i="90"/>
  <c r="T5" i="90"/>
  <c r="R5" i="90"/>
  <c r="Q5" i="90"/>
  <c r="P5" i="90"/>
  <c r="O5" i="90"/>
  <c r="N5" i="90"/>
  <c r="L5" i="90"/>
  <c r="K5" i="90"/>
  <c r="J5" i="90"/>
  <c r="I5" i="90"/>
  <c r="G5" i="90"/>
  <c r="E5" i="90"/>
  <c r="D5" i="90"/>
  <c r="C5" i="90"/>
  <c r="B5" i="90"/>
  <c r="M4" i="90"/>
  <c r="H4" i="90"/>
  <c r="H3" i="90" s="1"/>
  <c r="U3" i="90"/>
  <c r="T3" i="90"/>
  <c r="R3" i="90"/>
  <c r="Q3" i="90"/>
  <c r="Q53" i="90" s="1"/>
  <c r="P3" i="90"/>
  <c r="O3" i="90"/>
  <c r="N3" i="90"/>
  <c r="M3" i="90"/>
  <c r="L3" i="90"/>
  <c r="K3" i="90"/>
  <c r="K53" i="90" s="1"/>
  <c r="J3" i="90"/>
  <c r="I3" i="90"/>
  <c r="G3" i="90"/>
  <c r="G53" i="90" s="1"/>
  <c r="F3" i="90"/>
  <c r="E3" i="90"/>
  <c r="E53" i="90" s="1"/>
  <c r="D3" i="90"/>
  <c r="C3" i="90"/>
  <c r="B3" i="90"/>
  <c r="N42" i="89"/>
  <c r="I42" i="89"/>
  <c r="T42" i="89" s="1"/>
  <c r="T41" i="89" s="1"/>
  <c r="N41" i="89"/>
  <c r="L41" i="89"/>
  <c r="K41" i="89"/>
  <c r="J41" i="89"/>
  <c r="I41" i="89"/>
  <c r="D41" i="89"/>
  <c r="B41" i="89"/>
  <c r="I40" i="89"/>
  <c r="I39" i="89" s="1"/>
  <c r="B39" i="89"/>
  <c r="T38" i="89"/>
  <c r="T37" i="89" s="1"/>
  <c r="I38" i="89"/>
  <c r="I37" i="89"/>
  <c r="H37" i="89"/>
  <c r="F37" i="89"/>
  <c r="E37" i="89"/>
  <c r="D37" i="89"/>
  <c r="B37" i="89"/>
  <c r="N36" i="89"/>
  <c r="N35" i="89" s="1"/>
  <c r="I36" i="89"/>
  <c r="M35" i="89"/>
  <c r="L35" i="89"/>
  <c r="K35" i="89"/>
  <c r="H35" i="89"/>
  <c r="D35" i="89"/>
  <c r="B35" i="89"/>
  <c r="I34" i="89"/>
  <c r="T34" i="89" s="1"/>
  <c r="T33" i="89" s="1"/>
  <c r="H33" i="89"/>
  <c r="F33" i="89"/>
  <c r="D33" i="89"/>
  <c r="B33" i="89"/>
  <c r="N32" i="89"/>
  <c r="I32" i="89"/>
  <c r="N31" i="89"/>
  <c r="I31" i="89"/>
  <c r="T31" i="89" s="1"/>
  <c r="N30" i="89"/>
  <c r="I30" i="89"/>
  <c r="T30" i="89" s="1"/>
  <c r="N29" i="89"/>
  <c r="I29" i="89"/>
  <c r="N28" i="89"/>
  <c r="I28" i="89"/>
  <c r="N27" i="89"/>
  <c r="I27" i="89"/>
  <c r="T27" i="89" s="1"/>
  <c r="N26" i="89"/>
  <c r="I26" i="89"/>
  <c r="T26" i="89" s="1"/>
  <c r="V25" i="89"/>
  <c r="R25" i="89"/>
  <c r="Q25" i="89"/>
  <c r="P25" i="89"/>
  <c r="N25" i="89"/>
  <c r="M25" i="89"/>
  <c r="L25" i="89"/>
  <c r="K25" i="89"/>
  <c r="H25" i="89"/>
  <c r="G25" i="89"/>
  <c r="F25" i="89"/>
  <c r="E25" i="89"/>
  <c r="D25" i="89"/>
  <c r="C25" i="89"/>
  <c r="B25" i="89"/>
  <c r="T24" i="89"/>
  <c r="T23" i="89" s="1"/>
  <c r="I24" i="89"/>
  <c r="I23" i="89" s="1"/>
  <c r="V23" i="89"/>
  <c r="N23" i="89"/>
  <c r="G23" i="89"/>
  <c r="E23" i="89"/>
  <c r="D23" i="89"/>
  <c r="B23" i="89"/>
  <c r="V19" i="89"/>
  <c r="T19" i="89"/>
  <c r="S19" i="89"/>
  <c r="R19" i="89"/>
  <c r="Q19" i="89"/>
  <c r="P19" i="89"/>
  <c r="N19" i="89"/>
  <c r="M19" i="89"/>
  <c r="L19" i="89"/>
  <c r="L7" i="89" s="1"/>
  <c r="K19" i="89"/>
  <c r="J19" i="89"/>
  <c r="I19" i="89"/>
  <c r="H19" i="89"/>
  <c r="G19" i="89"/>
  <c r="F19" i="89"/>
  <c r="E19" i="89"/>
  <c r="D19" i="89"/>
  <c r="C19" i="89"/>
  <c r="B19" i="89"/>
  <c r="I18" i="89"/>
  <c r="T18" i="89" s="1"/>
  <c r="N17" i="89"/>
  <c r="I17" i="89"/>
  <c r="T17" i="89" s="1"/>
  <c r="N16" i="89"/>
  <c r="I16" i="89"/>
  <c r="T16" i="89" s="1"/>
  <c r="T15" i="89" s="1"/>
  <c r="V15" i="89"/>
  <c r="U15" i="89"/>
  <c r="S15" i="89"/>
  <c r="R15" i="89"/>
  <c r="Q15" i="89"/>
  <c r="P15" i="89"/>
  <c r="P7" i="89" s="1"/>
  <c r="O15" i="89"/>
  <c r="M15" i="89"/>
  <c r="L15" i="89"/>
  <c r="K15" i="89"/>
  <c r="K7" i="89" s="1"/>
  <c r="J15" i="89"/>
  <c r="H15" i="89"/>
  <c r="H7" i="89" s="1"/>
  <c r="G15" i="89"/>
  <c r="F15" i="89"/>
  <c r="E15" i="89"/>
  <c r="D15" i="89"/>
  <c r="D7" i="89" s="1"/>
  <c r="C15" i="89"/>
  <c r="B15" i="89"/>
  <c r="I14" i="89"/>
  <c r="T14" i="89" s="1"/>
  <c r="R13" i="89"/>
  <c r="N13" i="89"/>
  <c r="T13" i="89" s="1"/>
  <c r="I13" i="89"/>
  <c r="R12" i="89"/>
  <c r="N12" i="89"/>
  <c r="T12" i="89" s="1"/>
  <c r="I12" i="89"/>
  <c r="R11" i="89"/>
  <c r="N11" i="89"/>
  <c r="T11" i="89" s="1"/>
  <c r="I11" i="89"/>
  <c r="R10" i="89"/>
  <c r="N10" i="89"/>
  <c r="T10" i="89" s="1"/>
  <c r="I10" i="89"/>
  <c r="R9" i="89"/>
  <c r="N9" i="89"/>
  <c r="N8" i="89" s="1"/>
  <c r="I9" i="89"/>
  <c r="V8" i="89"/>
  <c r="V7" i="89" s="1"/>
  <c r="U8" i="89"/>
  <c r="S8" i="89"/>
  <c r="S7" i="89" s="1"/>
  <c r="S43" i="89" s="1"/>
  <c r="R8" i="89"/>
  <c r="Q8" i="89"/>
  <c r="Q7" i="89" s="1"/>
  <c r="P8" i="89"/>
  <c r="O8" i="89"/>
  <c r="M8" i="89"/>
  <c r="L8" i="89"/>
  <c r="K8" i="89"/>
  <c r="J8" i="89"/>
  <c r="I8" i="89"/>
  <c r="H8" i="89"/>
  <c r="G8" i="89"/>
  <c r="F8" i="89"/>
  <c r="E8" i="89"/>
  <c r="E7" i="89" s="1"/>
  <c r="D8" i="89"/>
  <c r="C8" i="89"/>
  <c r="B8" i="89"/>
  <c r="O7" i="89"/>
  <c r="O43" i="89" s="1"/>
  <c r="G7" i="89"/>
  <c r="C7" i="89"/>
  <c r="I6" i="89"/>
  <c r="T6" i="89" s="1"/>
  <c r="R5" i="89"/>
  <c r="N5" i="89"/>
  <c r="T5" i="89" s="1"/>
  <c r="I5" i="89"/>
  <c r="R4" i="89"/>
  <c r="R3" i="89" s="1"/>
  <c r="N4" i="89"/>
  <c r="T4" i="89" s="1"/>
  <c r="I4" i="89"/>
  <c r="V3" i="89"/>
  <c r="U3" i="89"/>
  <c r="Q3" i="89"/>
  <c r="P3" i="89"/>
  <c r="N3" i="89"/>
  <c r="M3" i="89"/>
  <c r="L3" i="89"/>
  <c r="L43" i="89" s="1"/>
  <c r="K3" i="89"/>
  <c r="I3" i="89"/>
  <c r="H3" i="89"/>
  <c r="G3" i="89"/>
  <c r="F3" i="89"/>
  <c r="E3" i="89"/>
  <c r="D3" i="89"/>
  <c r="C3" i="89"/>
  <c r="C43" i="89" s="1"/>
  <c r="B3" i="89"/>
  <c r="T9" i="89" l="1"/>
  <c r="T8" i="89" s="1"/>
  <c r="T7" i="89" s="1"/>
  <c r="H51" i="90"/>
  <c r="S52" i="90"/>
  <c r="S51" i="90" s="1"/>
  <c r="G43" i="89"/>
  <c r="Q43" i="89"/>
  <c r="E43" i="89"/>
  <c r="M7" i="89"/>
  <c r="M43" i="89" s="1"/>
  <c r="I25" i="89"/>
  <c r="S4" i="90"/>
  <c r="S3" i="90" s="1"/>
  <c r="S24" i="90"/>
  <c r="J53" i="90"/>
  <c r="S28" i="90"/>
  <c r="S46" i="90"/>
  <c r="E57" i="90"/>
  <c r="J57" i="90"/>
  <c r="U57" i="90"/>
  <c r="D43" i="89"/>
  <c r="H43" i="89"/>
  <c r="K43" i="89"/>
  <c r="P43" i="89"/>
  <c r="B7" i="89"/>
  <c r="B43" i="89" s="1"/>
  <c r="F7" i="89"/>
  <c r="F43" i="89" s="1"/>
  <c r="J7" i="89"/>
  <c r="J43" i="89" s="1"/>
  <c r="R7" i="89"/>
  <c r="R43" i="89" s="1"/>
  <c r="U7" i="89"/>
  <c r="U43" i="89" s="1"/>
  <c r="N15" i="89"/>
  <c r="T28" i="89"/>
  <c r="T25" i="89" s="1"/>
  <c r="T29" i="89"/>
  <c r="T32" i="89"/>
  <c r="I33" i="89"/>
  <c r="T36" i="89"/>
  <c r="T35" i="89" s="1"/>
  <c r="T40" i="89"/>
  <c r="T39" i="89" s="1"/>
  <c r="B53" i="90"/>
  <c r="B57" i="90" s="1"/>
  <c r="D53" i="90"/>
  <c r="F53" i="90"/>
  <c r="L53" i="90"/>
  <c r="P53" i="90"/>
  <c r="U53" i="90"/>
  <c r="O53" i="90"/>
  <c r="O57" i="90" s="1"/>
  <c r="S6" i="90"/>
  <c r="S5" i="90" s="1"/>
  <c r="S10" i="90"/>
  <c r="S9" i="90" s="1"/>
  <c r="S13" i="90"/>
  <c r="M14" i="90"/>
  <c r="M53" i="90" s="1"/>
  <c r="M57" i="90" s="1"/>
  <c r="S25" i="90"/>
  <c r="S26" i="90"/>
  <c r="S22" i="90" s="1"/>
  <c r="M28" i="90"/>
  <c r="S35" i="90"/>
  <c r="S38" i="90"/>
  <c r="S39" i="90"/>
  <c r="H40" i="90"/>
  <c r="S43" i="90"/>
  <c r="M46" i="90"/>
  <c r="C51" i="90"/>
  <c r="C53" i="90" s="1"/>
  <c r="C57" i="90" s="1"/>
  <c r="D57" i="90"/>
  <c r="V43" i="89"/>
  <c r="T3" i="89"/>
  <c r="S14" i="90"/>
  <c r="G57" i="90"/>
  <c r="L57" i="90"/>
  <c r="Q57" i="90"/>
  <c r="N7" i="89"/>
  <c r="N43" i="89" s="1"/>
  <c r="S34" i="90"/>
  <c r="F57" i="90"/>
  <c r="K57" i="90"/>
  <c r="P57" i="90"/>
  <c r="I15" i="89"/>
  <c r="I7" i="89" s="1"/>
  <c r="I35" i="89"/>
  <c r="H28" i="90"/>
  <c r="S42" i="90"/>
  <c r="S40" i="90" s="1"/>
  <c r="H5" i="90"/>
  <c r="H9" i="90"/>
  <c r="H34" i="90"/>
  <c r="H46" i="90"/>
  <c r="I72" i="10"/>
  <c r="I68" i="10"/>
  <c r="S53" i="90" l="1"/>
  <c r="S57" i="90" s="1"/>
  <c r="T43" i="89"/>
  <c r="H53" i="90"/>
  <c r="H57" i="90" s="1"/>
  <c r="I43" i="89"/>
  <c r="C48" i="33"/>
  <c r="C30" i="33"/>
  <c r="C28" i="33"/>
  <c r="C25" i="33"/>
  <c r="C7" i="33"/>
  <c r="C5" i="33"/>
  <c r="AB438" i="69"/>
  <c r="X52" i="70"/>
  <c r="AB443" i="69" l="1"/>
  <c r="H166" i="11"/>
  <c r="AB325" i="69"/>
  <c r="H154" i="11"/>
  <c r="H147" i="11"/>
  <c r="H140" i="11"/>
  <c r="H124" i="11"/>
  <c r="H117" i="11"/>
  <c r="H111" i="11" l="1"/>
  <c r="H101" i="11"/>
  <c r="V215" i="70"/>
  <c r="X212" i="70"/>
  <c r="H863" i="11"/>
  <c r="D23" i="7"/>
  <c r="H854" i="11"/>
  <c r="E29" i="63" l="1"/>
  <c r="F36" i="63"/>
  <c r="AB381" i="69"/>
  <c r="V53" i="70"/>
  <c r="F8" i="63"/>
  <c r="N15" i="79"/>
  <c r="D22" i="7" l="1"/>
  <c r="V13" i="70" l="1"/>
  <c r="H115" i="6"/>
  <c r="H77" i="10"/>
  <c r="V133" i="70"/>
  <c r="D127" i="10"/>
  <c r="J68" i="11"/>
  <c r="J70" i="11"/>
  <c r="AB101" i="69"/>
  <c r="V247" i="70"/>
  <c r="V246" i="70"/>
  <c r="V136" i="70"/>
  <c r="H68" i="11"/>
  <c r="V176" i="70"/>
  <c r="V224" i="70"/>
  <c r="K833" i="11" l="1"/>
  <c r="H64" i="11" l="1"/>
  <c r="K819" i="11" l="1"/>
  <c r="K822" i="11" s="1"/>
  <c r="J42" i="5" l="1"/>
  <c r="F58" i="63" l="1"/>
  <c r="G118" i="6" l="1"/>
  <c r="H118" i="6" s="1"/>
  <c r="I118" i="6" s="1"/>
  <c r="N16" i="79"/>
  <c r="AB179" i="69"/>
  <c r="V261" i="70"/>
  <c r="AB566" i="69" l="1"/>
  <c r="AB567" i="69"/>
  <c r="D18" i="79"/>
  <c r="AD619" i="69" l="1"/>
  <c r="AB121" i="69"/>
  <c r="V267" i="70"/>
  <c r="F70" i="63" l="1"/>
  <c r="E62" i="63" s="1"/>
  <c r="E70" i="63" s="1"/>
  <c r="F11" i="63"/>
  <c r="E7" i="63" s="1"/>
  <c r="E11" i="63" s="1"/>
  <c r="X198" i="70"/>
  <c r="B48" i="35"/>
  <c r="V128" i="70" l="1"/>
  <c r="V137" i="70"/>
  <c r="V126" i="70"/>
  <c r="V122" i="70"/>
  <c r="O48" i="79"/>
  <c r="I19" i="9" l="1"/>
  <c r="G16" i="9" s="1"/>
  <c r="H551" i="11"/>
  <c r="V79" i="70"/>
  <c r="N14" i="79"/>
  <c r="K762" i="11"/>
  <c r="J762" i="11"/>
  <c r="I113" i="6"/>
  <c r="I82" i="6"/>
  <c r="T8" i="70"/>
  <c r="E60" i="10" l="1"/>
  <c r="F43" i="10"/>
  <c r="G43" i="10"/>
  <c r="E43" i="10"/>
  <c r="H51" i="10" l="1"/>
  <c r="G51" i="10"/>
  <c r="E56" i="10"/>
  <c r="E51" i="10"/>
  <c r="E62" i="10" s="1"/>
  <c r="D51" i="10"/>
  <c r="J667" i="11" l="1"/>
  <c r="J285" i="11"/>
  <c r="I55" i="10"/>
  <c r="K97" i="6"/>
  <c r="AB27" i="69"/>
  <c r="AD178" i="69"/>
  <c r="V5" i="70"/>
  <c r="H288" i="11"/>
  <c r="H285" i="11"/>
  <c r="AB43" i="69"/>
  <c r="AB49" i="69"/>
  <c r="AB14" i="69"/>
  <c r="AB29" i="69"/>
  <c r="AB5" i="69"/>
  <c r="H392" i="11" l="1"/>
  <c r="H518" i="11"/>
  <c r="H421" i="11"/>
  <c r="AB164" i="69"/>
  <c r="AB163" i="69"/>
  <c r="AB159" i="69"/>
  <c r="G60" i="10"/>
  <c r="G76" i="10" s="1"/>
  <c r="I64" i="10"/>
  <c r="F77" i="10"/>
  <c r="G77" i="10"/>
  <c r="F76" i="10"/>
  <c r="I65" i="10"/>
  <c r="I66" i="10"/>
  <c r="H46" i="10"/>
  <c r="H44" i="10"/>
  <c r="H43" i="10" l="1"/>
  <c r="C128" i="10"/>
  <c r="C127" i="10"/>
  <c r="V8" i="70" l="1"/>
  <c r="V140" i="70" l="1"/>
  <c r="X140" i="70" s="1"/>
  <c r="V143" i="70"/>
  <c r="X122" i="70"/>
  <c r="X84" i="70"/>
  <c r="I112" i="6" l="1"/>
  <c r="I111" i="6"/>
  <c r="V61" i="70" l="1"/>
  <c r="X61" i="70" s="1"/>
  <c r="AB415" i="69" l="1"/>
  <c r="I101" i="6"/>
  <c r="I110" i="6" l="1"/>
  <c r="I109" i="6"/>
  <c r="N11" i="79" l="1"/>
  <c r="X261" i="70"/>
  <c r="I106" i="6"/>
  <c r="I107" i="6"/>
  <c r="I108" i="6"/>
  <c r="B37" i="34" l="1"/>
  <c r="V28" i="70"/>
  <c r="V27" i="70"/>
  <c r="V26" i="70"/>
  <c r="V213" i="70"/>
  <c r="V40" i="70"/>
  <c r="V211" i="70"/>
  <c r="V207" i="70"/>
  <c r="V196" i="70"/>
  <c r="V194" i="70"/>
  <c r="V191" i="70"/>
  <c r="V189" i="70"/>
  <c r="V187" i="70"/>
  <c r="V184" i="70"/>
  <c r="V183" i="70"/>
  <c r="F36" i="35" l="1"/>
  <c r="C31" i="35"/>
  <c r="D31" i="35"/>
  <c r="E31" i="35"/>
  <c r="B31" i="35"/>
  <c r="M12" i="58"/>
  <c r="M13" i="58"/>
  <c r="M14" i="58"/>
  <c r="M15" i="58"/>
  <c r="M16" i="58"/>
  <c r="M17" i="58"/>
  <c r="M18" i="58"/>
  <c r="M19" i="58"/>
  <c r="M20" i="58"/>
  <c r="M21" i="58"/>
  <c r="M22" i="58"/>
  <c r="M11" i="58"/>
  <c r="J47" i="82" l="1"/>
  <c r="J48" i="82"/>
  <c r="E56" i="82"/>
  <c r="F56" i="82"/>
  <c r="K47" i="82" l="1"/>
  <c r="K48" i="82"/>
  <c r="H997" i="11"/>
  <c r="H655" i="11" l="1"/>
  <c r="F30" i="7" l="1"/>
  <c r="I69" i="10"/>
  <c r="G74" i="9" l="1"/>
  <c r="AD442" i="69"/>
  <c r="C7" i="84" s="1"/>
  <c r="X442" i="69"/>
  <c r="W214" i="70"/>
  <c r="W221" i="70" s="1"/>
  <c r="X54" i="70"/>
  <c r="E427" i="63"/>
  <c r="H348" i="11"/>
  <c r="H342" i="11"/>
  <c r="AD161" i="69"/>
  <c r="X245" i="70"/>
  <c r="H196" i="11" s="1"/>
  <c r="U245" i="70"/>
  <c r="J196" i="11" s="1"/>
  <c r="R245" i="70"/>
  <c r="X246" i="70"/>
  <c r="S246" i="70"/>
  <c r="U246" i="70" s="1"/>
  <c r="R246" i="70"/>
  <c r="H215" i="11"/>
  <c r="F54" i="4" s="1"/>
  <c r="H213" i="11"/>
  <c r="H212" i="11"/>
  <c r="U254" i="70"/>
  <c r="J213" i="11" s="1"/>
  <c r="P254" i="70"/>
  <c r="R254" i="70" s="1"/>
  <c r="O254" i="70"/>
  <c r="O262" i="70" s="1"/>
  <c r="T261" i="70"/>
  <c r="S261" i="70"/>
  <c r="S262" i="70" s="1"/>
  <c r="Q261" i="70"/>
  <c r="P261" i="70"/>
  <c r="O261" i="70"/>
  <c r="J261" i="70"/>
  <c r="X94" i="70"/>
  <c r="V268" i="70"/>
  <c r="V276" i="70" s="1"/>
  <c r="X79" i="70"/>
  <c r="X103" i="70"/>
  <c r="G100" i="9" s="1"/>
  <c r="Q100" i="9" s="1"/>
  <c r="X51" i="70"/>
  <c r="V22" i="70"/>
  <c r="E492" i="63"/>
  <c r="E493" i="63" s="1"/>
  <c r="J203" i="11"/>
  <c r="H200" i="11" s="1"/>
  <c r="H203" i="11" s="1"/>
  <c r="X273" i="70"/>
  <c r="H238" i="11" s="1"/>
  <c r="H236" i="11" s="1"/>
  <c r="AA159" i="69"/>
  <c r="AA173" i="69" s="1"/>
  <c r="C18" i="34" s="1"/>
  <c r="AD602" i="69"/>
  <c r="AD326" i="69"/>
  <c r="Z327" i="69"/>
  <c r="AA327" i="69"/>
  <c r="AB327" i="69"/>
  <c r="AC327" i="69"/>
  <c r="Y327" i="69"/>
  <c r="C25" i="82" s="1"/>
  <c r="AA242" i="69"/>
  <c r="C20" i="34" s="1"/>
  <c r="Z159" i="69"/>
  <c r="Z173" i="69" s="1"/>
  <c r="AD467" i="69"/>
  <c r="AA134" i="69"/>
  <c r="AA51" i="69"/>
  <c r="E12" i="82" s="1"/>
  <c r="F12" i="82" s="1"/>
  <c r="Z51" i="69"/>
  <c r="E34" i="77"/>
  <c r="H90" i="85"/>
  <c r="G90" i="85"/>
  <c r="F90" i="85"/>
  <c r="E90" i="85"/>
  <c r="D90" i="85"/>
  <c r="I89" i="85"/>
  <c r="I88" i="85"/>
  <c r="I87" i="85"/>
  <c r="I86" i="85"/>
  <c r="I85" i="85"/>
  <c r="I84" i="85"/>
  <c r="I83" i="85"/>
  <c r="I82" i="85"/>
  <c r="I81" i="85"/>
  <c r="I80" i="85"/>
  <c r="I79" i="85"/>
  <c r="I78" i="85"/>
  <c r="I77" i="85"/>
  <c r="I76" i="85"/>
  <c r="I75" i="85"/>
  <c r="I74" i="85"/>
  <c r="I73" i="85"/>
  <c r="I72" i="85"/>
  <c r="I71" i="85"/>
  <c r="I70" i="85"/>
  <c r="I69" i="85"/>
  <c r="I68" i="85"/>
  <c r="I67" i="85"/>
  <c r="I66" i="85"/>
  <c r="I65" i="85"/>
  <c r="I64" i="85"/>
  <c r="I63" i="85"/>
  <c r="I62" i="85"/>
  <c r="I61" i="85"/>
  <c r="I60" i="85"/>
  <c r="I59" i="85"/>
  <c r="I58" i="85"/>
  <c r="I57" i="85"/>
  <c r="I56" i="85"/>
  <c r="I55" i="85"/>
  <c r="I54" i="85"/>
  <c r="I53" i="85"/>
  <c r="I52" i="85"/>
  <c r="I51" i="85"/>
  <c r="I50" i="85"/>
  <c r="I49" i="85"/>
  <c r="I48" i="85"/>
  <c r="I47" i="85"/>
  <c r="I46" i="85"/>
  <c r="I45" i="85"/>
  <c r="I44" i="85"/>
  <c r="I43" i="85"/>
  <c r="I42" i="85"/>
  <c r="I41" i="85"/>
  <c r="I40" i="85"/>
  <c r="I39" i="85"/>
  <c r="I38" i="85"/>
  <c r="I37" i="85"/>
  <c r="I36" i="85"/>
  <c r="I35" i="85"/>
  <c r="I34" i="85"/>
  <c r="I33" i="85"/>
  <c r="I32" i="85"/>
  <c r="I31" i="85"/>
  <c r="I30" i="85"/>
  <c r="I29" i="85"/>
  <c r="I28" i="85"/>
  <c r="I27" i="85"/>
  <c r="I26" i="85"/>
  <c r="I25" i="85"/>
  <c r="I24" i="85"/>
  <c r="H22" i="85"/>
  <c r="G22" i="85"/>
  <c r="G91" i="85" s="1"/>
  <c r="F22" i="85"/>
  <c r="E22" i="85"/>
  <c r="E91" i="85" s="1"/>
  <c r="D22" i="85"/>
  <c r="I21" i="85"/>
  <c r="I20" i="85"/>
  <c r="I19" i="85"/>
  <c r="I18" i="85"/>
  <c r="I17" i="85"/>
  <c r="I16" i="85"/>
  <c r="I15" i="85"/>
  <c r="I14" i="85"/>
  <c r="I13" i="85"/>
  <c r="I12" i="85"/>
  <c r="I11" i="85"/>
  <c r="I10" i="85"/>
  <c r="I8" i="85"/>
  <c r="I6" i="85"/>
  <c r="I4" i="85"/>
  <c r="H656" i="11"/>
  <c r="G27" i="5" s="1"/>
  <c r="G24" i="82" s="1"/>
  <c r="J590" i="11"/>
  <c r="H590" i="11"/>
  <c r="J642" i="11"/>
  <c r="H642" i="11"/>
  <c r="J619" i="11"/>
  <c r="H619" i="11"/>
  <c r="E95" i="10"/>
  <c r="E94" i="10"/>
  <c r="Z134" i="69"/>
  <c r="E25" i="82"/>
  <c r="F25" i="82" s="1"/>
  <c r="Z149" i="69"/>
  <c r="AD432" i="69"/>
  <c r="AD426" i="69"/>
  <c r="AD427" i="69"/>
  <c r="AD422" i="69"/>
  <c r="AD418" i="69"/>
  <c r="AD416" i="69"/>
  <c r="AD394" i="69"/>
  <c r="AD395" i="69"/>
  <c r="AD111" i="69"/>
  <c r="I26" i="30"/>
  <c r="F27" i="30"/>
  <c r="F29" i="30"/>
  <c r="G27" i="30"/>
  <c r="H27" i="30"/>
  <c r="E27" i="30"/>
  <c r="I876" i="11"/>
  <c r="I880" i="11" s="1"/>
  <c r="J867" i="11"/>
  <c r="J967" i="11"/>
  <c r="J965" i="11" s="1"/>
  <c r="G96" i="6"/>
  <c r="I96" i="6" s="1"/>
  <c r="G97" i="6"/>
  <c r="I97" i="6" s="1"/>
  <c r="G98" i="6"/>
  <c r="I98" i="6" s="1"/>
  <c r="G99" i="6"/>
  <c r="I99" i="6" s="1"/>
  <c r="G100" i="6"/>
  <c r="I100" i="6" s="1"/>
  <c r="G103" i="6"/>
  <c r="I103" i="6" s="1"/>
  <c r="G104" i="6"/>
  <c r="I104" i="6" s="1"/>
  <c r="G105" i="6"/>
  <c r="I105" i="6" s="1"/>
  <c r="G117" i="6"/>
  <c r="I117" i="6" s="1"/>
  <c r="G119" i="6"/>
  <c r="I119" i="6" s="1"/>
  <c r="G120" i="6"/>
  <c r="G95" i="6"/>
  <c r="J462" i="11"/>
  <c r="J465" i="11" s="1"/>
  <c r="H462" i="11" s="1"/>
  <c r="H465" i="11" s="1"/>
  <c r="J454" i="11"/>
  <c r="J457" i="11" s="1"/>
  <c r="H454" i="11" s="1"/>
  <c r="H457" i="11" s="1"/>
  <c r="J414" i="11"/>
  <c r="H410" i="11" s="1"/>
  <c r="H414" i="11" s="1"/>
  <c r="J394" i="11"/>
  <c r="J367" i="11"/>
  <c r="J370" i="11" s="1"/>
  <c r="J530" i="11"/>
  <c r="H142" i="10"/>
  <c r="C134" i="10" s="1"/>
  <c r="H143" i="10"/>
  <c r="I74" i="10"/>
  <c r="I73" i="10"/>
  <c r="H866" i="11"/>
  <c r="K71" i="10"/>
  <c r="I71" i="10"/>
  <c r="I70" i="10"/>
  <c r="K69" i="10"/>
  <c r="I67" i="10"/>
  <c r="I63" i="10"/>
  <c r="F538" i="63"/>
  <c r="F537" i="63"/>
  <c r="F536" i="63"/>
  <c r="F39" i="77"/>
  <c r="F255" i="63"/>
  <c r="F251" i="63"/>
  <c r="F248" i="63"/>
  <c r="F247" i="63"/>
  <c r="F199" i="63"/>
  <c r="F195" i="63"/>
  <c r="F192" i="63"/>
  <c r="F191" i="63"/>
  <c r="F136" i="63"/>
  <c r="F132" i="63"/>
  <c r="F129" i="63"/>
  <c r="F128" i="63"/>
  <c r="I27" i="9"/>
  <c r="G28" i="9" s="1"/>
  <c r="J67" i="11"/>
  <c r="J169" i="11"/>
  <c r="H165" i="11" s="1"/>
  <c r="I124" i="11"/>
  <c r="J124" i="11"/>
  <c r="J129" i="11" s="1"/>
  <c r="I117" i="11"/>
  <c r="J117" i="11"/>
  <c r="J122" i="11" s="1"/>
  <c r="I111" i="11"/>
  <c r="J111" i="11"/>
  <c r="I101" i="11"/>
  <c r="J101" i="11"/>
  <c r="J107" i="11" s="1"/>
  <c r="X270" i="70"/>
  <c r="H263" i="11" s="1"/>
  <c r="H264" i="11" s="1"/>
  <c r="U270" i="70"/>
  <c r="J263" i="11" s="1"/>
  <c r="J264" i="11" s="1"/>
  <c r="H23" i="58"/>
  <c r="H24" i="58"/>
  <c r="AD19" i="69"/>
  <c r="AD17" i="69"/>
  <c r="AD15" i="69"/>
  <c r="AD13" i="69"/>
  <c r="AD11" i="69"/>
  <c r="AD620" i="69"/>
  <c r="AD618" i="69"/>
  <c r="AD617" i="69"/>
  <c r="AD616" i="69"/>
  <c r="AD615" i="69"/>
  <c r="AD614" i="69"/>
  <c r="G39" i="5" s="1"/>
  <c r="AD613" i="69"/>
  <c r="AD612" i="69"/>
  <c r="AD611" i="69"/>
  <c r="AD610" i="69"/>
  <c r="AD604" i="69"/>
  <c r="AD603" i="69"/>
  <c r="C149" i="84" s="1"/>
  <c r="AD601" i="69"/>
  <c r="AD600" i="69"/>
  <c r="AD599" i="69"/>
  <c r="AD598" i="69"/>
  <c r="C147" i="84" s="1"/>
  <c r="AD597" i="69"/>
  <c r="C146" i="84" s="1"/>
  <c r="AD596" i="69"/>
  <c r="C145" i="84" s="1"/>
  <c r="AD595" i="69"/>
  <c r="C144" i="84" s="1"/>
  <c r="AD594" i="69"/>
  <c r="C143" i="84" s="1"/>
  <c r="AD593" i="69"/>
  <c r="C142" i="84" s="1"/>
  <c r="AD592" i="69"/>
  <c r="C141" i="84" s="1"/>
  <c r="AD591" i="69"/>
  <c r="AD590" i="69"/>
  <c r="C140" i="84" s="1"/>
  <c r="AD589" i="69"/>
  <c r="C139" i="84" s="1"/>
  <c r="AD588" i="69"/>
  <c r="C138" i="84" s="1"/>
  <c r="AD587" i="69"/>
  <c r="C137" i="84" s="1"/>
  <c r="AD586" i="69"/>
  <c r="C136" i="84" s="1"/>
  <c r="AD585" i="69"/>
  <c r="C135" i="84" s="1"/>
  <c r="AD584" i="69"/>
  <c r="C134" i="84" s="1"/>
  <c r="AD583" i="69"/>
  <c r="C133" i="84" s="1"/>
  <c r="AD582" i="69"/>
  <c r="C132" i="84" s="1"/>
  <c r="AD581" i="69"/>
  <c r="C131" i="84" s="1"/>
  <c r="AD580" i="69"/>
  <c r="AD579" i="69"/>
  <c r="C130" i="84" s="1"/>
  <c r="AD578" i="69"/>
  <c r="AD577" i="69"/>
  <c r="C129" i="84" s="1"/>
  <c r="AD576" i="69"/>
  <c r="C128" i="84" s="1"/>
  <c r="AD575" i="69"/>
  <c r="AD574" i="69"/>
  <c r="C127" i="84" s="1"/>
  <c r="AD573" i="69"/>
  <c r="C126" i="84" s="1"/>
  <c r="AD572" i="69"/>
  <c r="C125" i="84" s="1"/>
  <c r="AD571" i="69"/>
  <c r="AD570" i="69"/>
  <c r="AD569" i="69"/>
  <c r="AD568" i="69"/>
  <c r="AD567" i="69"/>
  <c r="AD566" i="69"/>
  <c r="AD565" i="69"/>
  <c r="C123" i="84" s="1"/>
  <c r="AD564" i="69"/>
  <c r="AD563" i="69"/>
  <c r="C122" i="84" s="1"/>
  <c r="AD562" i="69"/>
  <c r="C121" i="84" s="1"/>
  <c r="AD561" i="69"/>
  <c r="AD560" i="69"/>
  <c r="C120" i="84" s="1"/>
  <c r="AD559" i="69"/>
  <c r="C119" i="84" s="1"/>
  <c r="AD558" i="69"/>
  <c r="C118" i="84" s="1"/>
  <c r="AD557" i="69"/>
  <c r="AD556" i="69"/>
  <c r="C117" i="84" s="1"/>
  <c r="AD555" i="69"/>
  <c r="C116" i="84" s="1"/>
  <c r="AD554" i="69"/>
  <c r="AD553" i="69"/>
  <c r="C115" i="84" s="1"/>
  <c r="AD552" i="69"/>
  <c r="C114" i="84" s="1"/>
  <c r="AD551" i="69"/>
  <c r="C113" i="84" s="1"/>
  <c r="AD550" i="69"/>
  <c r="C112" i="84" s="1"/>
  <c r="AD549" i="69"/>
  <c r="C111" i="84" s="1"/>
  <c r="AD548" i="69"/>
  <c r="C110" i="84" s="1"/>
  <c r="AD547" i="69"/>
  <c r="C109" i="84" s="1"/>
  <c r="AD546" i="69"/>
  <c r="C108" i="84" s="1"/>
  <c r="AD545" i="69"/>
  <c r="AD544" i="69"/>
  <c r="C107" i="84" s="1"/>
  <c r="AD543" i="69"/>
  <c r="C106" i="84" s="1"/>
  <c r="AD542" i="69"/>
  <c r="C105" i="84" s="1"/>
  <c r="AD541" i="69"/>
  <c r="C104" i="84" s="1"/>
  <c r="AD540" i="69"/>
  <c r="C103" i="84" s="1"/>
  <c r="AD539" i="69"/>
  <c r="C102" i="84" s="1"/>
  <c r="AD538" i="69"/>
  <c r="C101" i="84" s="1"/>
  <c r="AD537" i="69"/>
  <c r="C100" i="84" s="1"/>
  <c r="AD536" i="69"/>
  <c r="AD535" i="69"/>
  <c r="C99" i="84" s="1"/>
  <c r="AD534" i="69"/>
  <c r="AD533" i="69"/>
  <c r="C98" i="84" s="1"/>
  <c r="AD532" i="69"/>
  <c r="C97" i="84" s="1"/>
  <c r="AD531" i="69"/>
  <c r="C96" i="84" s="1"/>
  <c r="AD530" i="69"/>
  <c r="C95" i="84" s="1"/>
  <c r="AD529" i="69"/>
  <c r="AD528" i="69"/>
  <c r="C94" i="84" s="1"/>
  <c r="AD527" i="69"/>
  <c r="C93" i="84" s="1"/>
  <c r="AD526" i="69"/>
  <c r="AD525" i="69"/>
  <c r="AD524" i="69"/>
  <c r="C92" i="84" s="1"/>
  <c r="AD523" i="69"/>
  <c r="C91" i="84" s="1"/>
  <c r="AD522" i="69"/>
  <c r="C90" i="84" s="1"/>
  <c r="AD521" i="69"/>
  <c r="C89" i="84" s="1"/>
  <c r="AD520" i="69"/>
  <c r="C88" i="84" s="1"/>
  <c r="AD519" i="69"/>
  <c r="C87" i="84" s="1"/>
  <c r="AD518" i="69"/>
  <c r="C86" i="84" s="1"/>
  <c r="AD517" i="69"/>
  <c r="C85" i="84" s="1"/>
  <c r="AD516" i="69"/>
  <c r="C84" i="84" s="1"/>
  <c r="AD515" i="69"/>
  <c r="AD514" i="69"/>
  <c r="C83" i="84" s="1"/>
  <c r="AD513" i="69"/>
  <c r="AD512" i="69"/>
  <c r="C82" i="84" s="1"/>
  <c r="AD511" i="69"/>
  <c r="C81" i="84" s="1"/>
  <c r="AD510" i="69"/>
  <c r="C80" i="84" s="1"/>
  <c r="AD509" i="69"/>
  <c r="AD508" i="69"/>
  <c r="C79" i="84" s="1"/>
  <c r="AD507" i="69"/>
  <c r="C78" i="84" s="1"/>
  <c r="AD506" i="69"/>
  <c r="AD505" i="69"/>
  <c r="C77" i="84" s="1"/>
  <c r="AD504" i="69"/>
  <c r="C76" i="84" s="1"/>
  <c r="AD503" i="69"/>
  <c r="C75" i="84" s="1"/>
  <c r="AD502" i="69"/>
  <c r="C74" i="84" s="1"/>
  <c r="AD501" i="69"/>
  <c r="AD500" i="69"/>
  <c r="C73" i="84" s="1"/>
  <c r="AD499" i="69"/>
  <c r="C72" i="84" s="1"/>
  <c r="AD498" i="69"/>
  <c r="C71" i="84" s="1"/>
  <c r="AD497" i="69"/>
  <c r="AD496" i="69"/>
  <c r="C70" i="84" s="1"/>
  <c r="AD495" i="69"/>
  <c r="C69" i="84" s="1"/>
  <c r="AD494" i="69"/>
  <c r="AD493" i="69"/>
  <c r="C68" i="84" s="1"/>
  <c r="AD492" i="69"/>
  <c r="AD491" i="69"/>
  <c r="AD490" i="69"/>
  <c r="C67" i="84" s="1"/>
  <c r="AD489" i="69"/>
  <c r="C66" i="84" s="1"/>
  <c r="AD488" i="69"/>
  <c r="C65" i="84" s="1"/>
  <c r="AD487" i="69"/>
  <c r="C64" i="84" s="1"/>
  <c r="AD486" i="69"/>
  <c r="C63" i="84" s="1"/>
  <c r="AD485" i="69"/>
  <c r="C62" i="84" s="1"/>
  <c r="AD484" i="69"/>
  <c r="C61" i="84" s="1"/>
  <c r="AD483" i="69"/>
  <c r="C60" i="84" s="1"/>
  <c r="AD482" i="69"/>
  <c r="C59" i="84" s="1"/>
  <c r="AD481" i="69"/>
  <c r="AD480" i="69"/>
  <c r="C58" i="84" s="1"/>
  <c r="AD479" i="69"/>
  <c r="C57" i="84" s="1"/>
  <c r="AD478" i="69"/>
  <c r="C56" i="84" s="1"/>
  <c r="AD477" i="69"/>
  <c r="C55" i="84" s="1"/>
  <c r="AD476" i="69"/>
  <c r="C54" i="84" s="1"/>
  <c r="AD475" i="69"/>
  <c r="C53" i="84" s="1"/>
  <c r="AD474" i="69"/>
  <c r="C52" i="84" s="1"/>
  <c r="AD473" i="69"/>
  <c r="C51" i="84" s="1"/>
  <c r="AD472" i="69"/>
  <c r="C50" i="84" s="1"/>
  <c r="AD471" i="69"/>
  <c r="C49" i="84" s="1"/>
  <c r="AD470" i="69"/>
  <c r="AD469" i="69"/>
  <c r="C47" i="84" s="1"/>
  <c r="AD468" i="69"/>
  <c r="C46" i="84" s="1"/>
  <c r="AD466" i="69"/>
  <c r="AD465" i="69"/>
  <c r="C44" i="84" s="1"/>
  <c r="AD464" i="69"/>
  <c r="C43" i="84" s="1"/>
  <c r="AD463" i="69"/>
  <c r="C42" i="84" s="1"/>
  <c r="AD462" i="69"/>
  <c r="C41" i="84" s="1"/>
  <c r="AD461" i="69"/>
  <c r="C40" i="84" s="1"/>
  <c r="AD460" i="69"/>
  <c r="C39" i="84" s="1"/>
  <c r="AD459" i="69"/>
  <c r="AD458" i="69"/>
  <c r="C38" i="84" s="1"/>
  <c r="AD457" i="69"/>
  <c r="C37" i="84"/>
  <c r="AD456" i="69"/>
  <c r="C36" i="84" s="1"/>
  <c r="AD455" i="69"/>
  <c r="C35" i="84" s="1"/>
  <c r="AD454" i="69"/>
  <c r="C34" i="84" s="1"/>
  <c r="AD453" i="69"/>
  <c r="C33" i="84" s="1"/>
  <c r="AD452" i="69"/>
  <c r="C32" i="84" s="1"/>
  <c r="AD451" i="69"/>
  <c r="C31" i="84" s="1"/>
  <c r="AD450" i="69"/>
  <c r="C30" i="84" s="1"/>
  <c r="AD449" i="69"/>
  <c r="C29" i="84" s="1"/>
  <c r="AD448" i="69"/>
  <c r="C28" i="84" s="1"/>
  <c r="AD447" i="69"/>
  <c r="C27" i="84" s="1"/>
  <c r="AD446" i="69"/>
  <c r="AD445" i="69"/>
  <c r="AD444" i="69"/>
  <c r="C26" i="84" s="1"/>
  <c r="AD443" i="69"/>
  <c r="C8" i="84" s="1"/>
  <c r="AD441" i="69"/>
  <c r="C6" i="84" s="1"/>
  <c r="AD440" i="69"/>
  <c r="AD439" i="69"/>
  <c r="C5" i="84" s="1"/>
  <c r="AD438" i="69"/>
  <c r="AD433" i="69"/>
  <c r="C48" i="84" s="1"/>
  <c r="AD431" i="69"/>
  <c r="C24" i="84" s="1"/>
  <c r="AD430" i="69"/>
  <c r="C23" i="84" s="1"/>
  <c r="AD429" i="69"/>
  <c r="C22" i="84" s="1"/>
  <c r="AD428" i="69"/>
  <c r="C21" i="84" s="1"/>
  <c r="AD425" i="69"/>
  <c r="C18" i="84" s="1"/>
  <c r="AD424" i="69"/>
  <c r="C17" i="84" s="1"/>
  <c r="AD423" i="69"/>
  <c r="C16" i="84" s="1"/>
  <c r="AD421" i="69"/>
  <c r="C14" i="84" s="1"/>
  <c r="AD420" i="69"/>
  <c r="C13" i="84" s="1"/>
  <c r="AD419" i="69"/>
  <c r="AD417" i="69"/>
  <c r="C11" i="84" s="1"/>
  <c r="AD415" i="69"/>
  <c r="C9" i="84" s="1"/>
  <c r="AD414" i="69"/>
  <c r="AD409" i="69"/>
  <c r="AD408" i="69"/>
  <c r="H679" i="11" s="1"/>
  <c r="AD403" i="69"/>
  <c r="AD402" i="69"/>
  <c r="AD401" i="69"/>
  <c r="AD400" i="69"/>
  <c r="AD399" i="69"/>
  <c r="AD398" i="69"/>
  <c r="AD397" i="69"/>
  <c r="AD396" i="69"/>
  <c r="AD393" i="69"/>
  <c r="AD392" i="69"/>
  <c r="AD391" i="69"/>
  <c r="AD390" i="69"/>
  <c r="AD389" i="69"/>
  <c r="AD388" i="69"/>
  <c r="AD387" i="69"/>
  <c r="AD386" i="69"/>
  <c r="AD385" i="69"/>
  <c r="AD384" i="69"/>
  <c r="AD383" i="69"/>
  <c r="AD382" i="69"/>
  <c r="AD381" i="69"/>
  <c r="AD380" i="69"/>
  <c r="AD379" i="69"/>
  <c r="AD378" i="69"/>
  <c r="AD377" i="69"/>
  <c r="AD376" i="69"/>
  <c r="AD375" i="69"/>
  <c r="AD374" i="69"/>
  <c r="AD373" i="69"/>
  <c r="AD372" i="69"/>
  <c r="AD371" i="69"/>
  <c r="AD370" i="69"/>
  <c r="AD369" i="69"/>
  <c r="AD368" i="69"/>
  <c r="AD367" i="69"/>
  <c r="AD366" i="69"/>
  <c r="AD365" i="69"/>
  <c r="AD364" i="69"/>
  <c r="AD363" i="69"/>
  <c r="AD362" i="69"/>
  <c r="AD361" i="69"/>
  <c r="AD360" i="69"/>
  <c r="AD359" i="69"/>
  <c r="AD358" i="69"/>
  <c r="AD357" i="69"/>
  <c r="AD356" i="69"/>
  <c r="AD355" i="69"/>
  <c r="AD354" i="69"/>
  <c r="AD353" i="69"/>
  <c r="AD352" i="69"/>
  <c r="AD347" i="69"/>
  <c r="AD346" i="69"/>
  <c r="AD345" i="69"/>
  <c r="H673" i="11" s="1"/>
  <c r="AD340" i="69"/>
  <c r="AD339" i="69"/>
  <c r="AD334" i="69"/>
  <c r="AD325" i="69"/>
  <c r="AD327" i="69" s="1"/>
  <c r="G28" i="5" s="1"/>
  <c r="G25" i="82" s="1"/>
  <c r="AD320" i="69"/>
  <c r="AD319" i="69"/>
  <c r="AD318" i="69"/>
  <c r="AD317" i="69"/>
  <c r="AD316" i="69"/>
  <c r="AD315" i="69"/>
  <c r="AD314" i="69"/>
  <c r="AD313" i="69"/>
  <c r="AD312" i="69"/>
  <c r="AD311" i="69"/>
  <c r="AD310" i="69"/>
  <c r="AD309" i="69"/>
  <c r="AD308" i="69"/>
  <c r="AD307" i="69"/>
  <c r="AD306" i="69"/>
  <c r="AD305" i="69"/>
  <c r="AD304" i="69"/>
  <c r="AD303" i="69"/>
  <c r="AD302" i="69"/>
  <c r="AD301" i="69"/>
  <c r="AD300" i="69"/>
  <c r="AD299" i="69"/>
  <c r="AD298" i="69"/>
  <c r="AD293" i="69"/>
  <c r="H565" i="11" s="1"/>
  <c r="AD292" i="69"/>
  <c r="AD291" i="69"/>
  <c r="H567" i="11" s="1"/>
  <c r="AD287" i="69"/>
  <c r="AD286" i="69"/>
  <c r="AD285" i="69"/>
  <c r="AD284" i="69"/>
  <c r="AD283" i="69"/>
  <c r="AD282" i="69"/>
  <c r="AD281" i="69"/>
  <c r="AD280" i="69"/>
  <c r="AD275" i="69"/>
  <c r="AD274" i="69"/>
  <c r="AD273" i="69"/>
  <c r="AD272" i="69"/>
  <c r="AD271" i="69"/>
  <c r="AD270" i="69"/>
  <c r="AD266" i="69"/>
  <c r="AD265" i="69"/>
  <c r="AD258" i="69"/>
  <c r="AD257" i="69"/>
  <c r="AD256" i="69"/>
  <c r="AD255" i="69"/>
  <c r="AD254" i="69"/>
  <c r="AD253" i="69"/>
  <c r="AD252" i="69"/>
  <c r="AD251" i="69"/>
  <c r="AD241" i="69"/>
  <c r="AD240" i="69"/>
  <c r="AD239" i="69"/>
  <c r="AD238" i="69"/>
  <c r="AD237" i="69"/>
  <c r="AD236" i="69"/>
  <c r="AD235" i="69"/>
  <c r="AD234" i="69"/>
  <c r="AD233" i="69"/>
  <c r="AD232" i="69"/>
  <c r="AD231" i="69"/>
  <c r="AD230" i="69"/>
  <c r="H540" i="11" s="1"/>
  <c r="AD229" i="69"/>
  <c r="AD228" i="69"/>
  <c r="AD227" i="69"/>
  <c r="H554" i="11" s="1"/>
  <c r="AD226" i="69"/>
  <c r="H545" i="11" s="1"/>
  <c r="AD225" i="69"/>
  <c r="AD224" i="69"/>
  <c r="AD223" i="69"/>
  <c r="H548" i="11" s="1"/>
  <c r="AD222" i="69"/>
  <c r="AD221" i="69"/>
  <c r="AD220" i="69"/>
  <c r="AD219" i="69"/>
  <c r="H550" i="11" s="1"/>
  <c r="AD218" i="69"/>
  <c r="AD217" i="69"/>
  <c r="AD216" i="69"/>
  <c r="AD215" i="69"/>
  <c r="H542" i="11" s="1"/>
  <c r="AD214" i="69"/>
  <c r="AD213" i="69"/>
  <c r="AD212" i="69"/>
  <c r="AD211" i="69"/>
  <c r="AD210" i="69"/>
  <c r="AD209" i="69"/>
  <c r="AD208" i="69"/>
  <c r="AD207" i="69"/>
  <c r="AD206" i="69"/>
  <c r="AD205" i="69"/>
  <c r="AD204" i="69"/>
  <c r="H547" i="11" s="1"/>
  <c r="AD203" i="69"/>
  <c r="AD202" i="69"/>
  <c r="AD201" i="69"/>
  <c r="AD200" i="69"/>
  <c r="AD199" i="69"/>
  <c r="AD198" i="69"/>
  <c r="AD197" i="69"/>
  <c r="AD196" i="69"/>
  <c r="AD195" i="69"/>
  <c r="AD194" i="69"/>
  <c r="AD193" i="69"/>
  <c r="H539" i="11" s="1"/>
  <c r="AD192" i="69"/>
  <c r="H538" i="11" s="1"/>
  <c r="AD191" i="69"/>
  <c r="AD190" i="69"/>
  <c r="AD189" i="69"/>
  <c r="AD188" i="69"/>
  <c r="AD187" i="69"/>
  <c r="AD186" i="69"/>
  <c r="AD185" i="69"/>
  <c r="AD184" i="69"/>
  <c r="AD183" i="69"/>
  <c r="AD182" i="69"/>
  <c r="AD181" i="69"/>
  <c r="AD180" i="69"/>
  <c r="AD179" i="69"/>
  <c r="AD177" i="69"/>
  <c r="AD172" i="69"/>
  <c r="AD171" i="69"/>
  <c r="AD170" i="69"/>
  <c r="AD169" i="69"/>
  <c r="H353" i="11" s="1"/>
  <c r="AD168" i="69"/>
  <c r="AD167" i="69"/>
  <c r="AD166" i="69"/>
  <c r="H346" i="11" s="1"/>
  <c r="AD165" i="69"/>
  <c r="AD164" i="69"/>
  <c r="H354" i="11" s="1"/>
  <c r="AD163" i="69"/>
  <c r="H345" i="11" s="1"/>
  <c r="AD162" i="69"/>
  <c r="H347" i="11" s="1"/>
  <c r="AD160" i="69"/>
  <c r="AD159" i="69"/>
  <c r="H341" i="11" s="1"/>
  <c r="AD158" i="69"/>
  <c r="AD157" i="69"/>
  <c r="AD156" i="69"/>
  <c r="AD155" i="69"/>
  <c r="AD154" i="69"/>
  <c r="H344" i="11" s="1"/>
  <c r="AD153" i="69"/>
  <c r="H350" i="11" s="1"/>
  <c r="AD148" i="69"/>
  <c r="H336" i="11" s="1"/>
  <c r="AD147" i="69"/>
  <c r="H326" i="11" s="1"/>
  <c r="AD146" i="69"/>
  <c r="H325" i="11" s="1"/>
  <c r="AD145" i="69"/>
  <c r="H324" i="11" s="1"/>
  <c r="AD144" i="69"/>
  <c r="AD143" i="69"/>
  <c r="AD142" i="69"/>
  <c r="AD141" i="69"/>
  <c r="H337" i="11" s="1"/>
  <c r="AD140" i="69"/>
  <c r="AD139" i="69"/>
  <c r="AD138" i="69"/>
  <c r="AD137" i="69"/>
  <c r="H334" i="11" s="1"/>
  <c r="AD136" i="69"/>
  <c r="AD135" i="69"/>
  <c r="H323" i="11" s="1"/>
  <c r="AD134" i="69"/>
  <c r="H329" i="11" s="1"/>
  <c r="AD133" i="69"/>
  <c r="AD132" i="69"/>
  <c r="H328" i="11" s="1"/>
  <c r="AD131" i="69"/>
  <c r="H330" i="11" s="1"/>
  <c r="AD130" i="69"/>
  <c r="AD129" i="69"/>
  <c r="H332" i="11" s="1"/>
  <c r="AD128" i="69"/>
  <c r="AD127" i="69"/>
  <c r="AD126" i="69"/>
  <c r="AD121" i="69"/>
  <c r="AD122" i="69" s="1"/>
  <c r="G16" i="5" s="1"/>
  <c r="AD116" i="69"/>
  <c r="AD115" i="69"/>
  <c r="AD114" i="69"/>
  <c r="AD113" i="69"/>
  <c r="AD112" i="69"/>
  <c r="AD110" i="69"/>
  <c r="AD109" i="69"/>
  <c r="AD108" i="69"/>
  <c r="AD107" i="69"/>
  <c r="AD106" i="69"/>
  <c r="AD101" i="69"/>
  <c r="AD102" i="69" s="1"/>
  <c r="G14" i="5" s="1"/>
  <c r="AD96" i="69"/>
  <c r="AD95" i="69"/>
  <c r="AD94" i="69"/>
  <c r="AD89" i="69"/>
  <c r="AD90" i="69" s="1"/>
  <c r="AD84" i="69"/>
  <c r="AD83" i="69"/>
  <c r="AD82" i="69"/>
  <c r="AD81" i="69"/>
  <c r="AD80" i="69"/>
  <c r="AD79" i="69"/>
  <c r="AD78" i="69"/>
  <c r="AD77" i="69"/>
  <c r="AD76" i="69"/>
  <c r="AD75" i="69"/>
  <c r="AD74" i="69"/>
  <c r="AD73" i="69"/>
  <c r="AD72" i="69"/>
  <c r="AD71" i="69"/>
  <c r="AD70" i="69"/>
  <c r="AD69" i="69"/>
  <c r="AD68" i="69"/>
  <c r="AD67" i="69"/>
  <c r="AD66" i="69"/>
  <c r="AD65" i="69"/>
  <c r="AD64" i="69"/>
  <c r="AD63" i="69"/>
  <c r="AD62" i="69"/>
  <c r="AD61" i="69"/>
  <c r="AD60" i="69"/>
  <c r="AD59" i="69"/>
  <c r="AD58" i="69"/>
  <c r="AD50" i="69"/>
  <c r="AD49" i="69"/>
  <c r="AD48" i="69"/>
  <c r="AD47" i="69"/>
  <c r="AD43" i="69"/>
  <c r="AD42" i="69"/>
  <c r="AD41" i="69"/>
  <c r="AD40" i="69"/>
  <c r="AD39" i="69"/>
  <c r="AD38" i="69"/>
  <c r="AD37" i="69"/>
  <c r="AD36" i="69"/>
  <c r="AD32" i="69"/>
  <c r="AD31" i="69"/>
  <c r="AD30" i="69"/>
  <c r="AD29" i="69"/>
  <c r="AD28" i="69"/>
  <c r="AD27" i="69"/>
  <c r="AD26" i="69"/>
  <c r="AD25" i="69"/>
  <c r="AD24" i="69"/>
  <c r="AD23" i="69"/>
  <c r="AD18" i="69"/>
  <c r="AD16" i="69"/>
  <c r="AD14" i="69"/>
  <c r="AD12" i="69"/>
  <c r="AD5" i="69"/>
  <c r="AD6" i="69" s="1"/>
  <c r="AB6" i="69"/>
  <c r="AD262" i="69"/>
  <c r="H564" i="11" s="1"/>
  <c r="Y605" i="69"/>
  <c r="Z605" i="69"/>
  <c r="AA605" i="69"/>
  <c r="AB605" i="69"/>
  <c r="AC605" i="69"/>
  <c r="Y434" i="69"/>
  <c r="Z434" i="69"/>
  <c r="AA434" i="69"/>
  <c r="AB434" i="69"/>
  <c r="AC434" i="69"/>
  <c r="Y410" i="69"/>
  <c r="C30" i="82" s="1"/>
  <c r="Z410" i="69"/>
  <c r="AA410" i="69"/>
  <c r="AB410" i="69"/>
  <c r="AC410" i="69"/>
  <c r="Y404" i="69"/>
  <c r="C29" i="82" s="1"/>
  <c r="Z404" i="69"/>
  <c r="AA404" i="69"/>
  <c r="AB404" i="69"/>
  <c r="AC404" i="69"/>
  <c r="Y348" i="69"/>
  <c r="C28" i="82" s="1"/>
  <c r="Z348" i="69"/>
  <c r="AA348" i="69"/>
  <c r="AB348" i="69"/>
  <c r="AC348" i="69"/>
  <c r="Y341" i="69"/>
  <c r="C27" i="82" s="1"/>
  <c r="Z341" i="69"/>
  <c r="AA341" i="69"/>
  <c r="AB341" i="69"/>
  <c r="AC341" i="69"/>
  <c r="Y335" i="69"/>
  <c r="C26" i="82" s="1"/>
  <c r="Z335" i="69"/>
  <c r="AA335" i="69"/>
  <c r="C30" i="34" s="1"/>
  <c r="AB335" i="69"/>
  <c r="AC335" i="69"/>
  <c r="Y321" i="69"/>
  <c r="C24" i="82" s="1"/>
  <c r="Z321" i="69"/>
  <c r="AA321" i="69"/>
  <c r="AB321" i="69"/>
  <c r="AC321" i="69"/>
  <c r="Y294" i="69"/>
  <c r="Z294" i="69"/>
  <c r="AA294" i="69"/>
  <c r="AB294" i="69"/>
  <c r="AC294" i="69"/>
  <c r="Y288" i="69"/>
  <c r="Z288" i="69"/>
  <c r="AA288" i="69"/>
  <c r="AB288" i="69"/>
  <c r="AC288" i="69"/>
  <c r="Y276" i="69"/>
  <c r="Z276" i="69"/>
  <c r="AA276" i="69"/>
  <c r="AB276" i="69"/>
  <c r="AC276" i="69"/>
  <c r="Y267" i="69"/>
  <c r="Z267" i="69"/>
  <c r="AA267" i="69"/>
  <c r="AB267" i="69"/>
  <c r="AC267" i="69"/>
  <c r="Y259" i="69"/>
  <c r="Z259" i="69"/>
  <c r="AA259" i="69"/>
  <c r="AB259" i="69"/>
  <c r="AC259" i="69"/>
  <c r="Y242" i="69"/>
  <c r="C20" i="82" s="1"/>
  <c r="Z242" i="69"/>
  <c r="D20" i="82" s="1"/>
  <c r="E20" i="82"/>
  <c r="F20" i="82" s="1"/>
  <c r="AB242" i="69"/>
  <c r="AC242" i="69"/>
  <c r="Y173" i="69"/>
  <c r="C45" i="82" s="1"/>
  <c r="C49" i="82" s="1"/>
  <c r="AB173" i="69"/>
  <c r="AC173" i="69"/>
  <c r="Y149" i="69"/>
  <c r="C19" i="82" s="1"/>
  <c r="AA149" i="69"/>
  <c r="AB149" i="69"/>
  <c r="AC149" i="69"/>
  <c r="Y122" i="69"/>
  <c r="C18" i="82" s="1"/>
  <c r="Z122" i="69"/>
  <c r="D18" i="82" s="1"/>
  <c r="AA122" i="69"/>
  <c r="AB122" i="69"/>
  <c r="AC122" i="69"/>
  <c r="Y117" i="69"/>
  <c r="C17" i="82" s="1"/>
  <c r="Z117" i="69"/>
  <c r="D17" i="82" s="1"/>
  <c r="AA117" i="69"/>
  <c r="C15" i="34" s="1"/>
  <c r="AB117" i="69"/>
  <c r="AC117" i="69"/>
  <c r="Y102" i="69"/>
  <c r="C16" i="82" s="1"/>
  <c r="Z102" i="69"/>
  <c r="D16" i="82" s="1"/>
  <c r="AA102" i="69"/>
  <c r="AB102" i="69"/>
  <c r="AC102" i="69"/>
  <c r="Y97" i="69"/>
  <c r="C15" i="82" s="1"/>
  <c r="Z97" i="69"/>
  <c r="D15" i="82" s="1"/>
  <c r="AA97" i="69"/>
  <c r="AB97" i="69"/>
  <c r="AC97" i="69"/>
  <c r="Y90" i="69"/>
  <c r="C14" i="82" s="1"/>
  <c r="Z90" i="69"/>
  <c r="D14" i="82" s="1"/>
  <c r="AA90" i="69"/>
  <c r="AB90" i="69"/>
  <c r="AC90" i="69"/>
  <c r="Y85" i="69"/>
  <c r="C13" i="82" s="1"/>
  <c r="Z85" i="69"/>
  <c r="D13" i="82" s="1"/>
  <c r="AA85" i="69"/>
  <c r="AB85" i="69"/>
  <c r="AC85" i="69"/>
  <c r="Y51" i="69"/>
  <c r="C12" i="82" s="1"/>
  <c r="AB51" i="69"/>
  <c r="AC51" i="69"/>
  <c r="Y44" i="69"/>
  <c r="C11" i="82" s="1"/>
  <c r="Z44" i="69"/>
  <c r="D11" i="82" s="1"/>
  <c r="AA44" i="69"/>
  <c r="E11" i="82" s="1"/>
  <c r="F11" i="82" s="1"/>
  <c r="AB44" i="69"/>
  <c r="AC44" i="69"/>
  <c r="Y33" i="69"/>
  <c r="C10" i="82" s="1"/>
  <c r="Z33" i="69"/>
  <c r="D10" i="82" s="1"/>
  <c r="AA33" i="69"/>
  <c r="E10" i="82" s="1"/>
  <c r="F10" i="82" s="1"/>
  <c r="AB33" i="69"/>
  <c r="AC33" i="69"/>
  <c r="Y20" i="69"/>
  <c r="C9" i="82" s="1"/>
  <c r="Z20" i="69"/>
  <c r="D9" i="82" s="1"/>
  <c r="AA20" i="69"/>
  <c r="E9" i="82" s="1"/>
  <c r="F9" i="82" s="1"/>
  <c r="AB20" i="69"/>
  <c r="AC20" i="69"/>
  <c r="Y6" i="69"/>
  <c r="C8" i="82" s="1"/>
  <c r="Z6" i="69"/>
  <c r="D8" i="82" s="1"/>
  <c r="AA6" i="69"/>
  <c r="AC6" i="69"/>
  <c r="X269" i="70"/>
  <c r="X275" i="70"/>
  <c r="H267" i="11" s="1"/>
  <c r="X266" i="70"/>
  <c r="X251" i="70"/>
  <c r="X257" i="70"/>
  <c r="X215" i="70"/>
  <c r="X217" i="70"/>
  <c r="H98" i="11" s="1"/>
  <c r="X219" i="70"/>
  <c r="X183" i="70"/>
  <c r="X184" i="70"/>
  <c r="X187" i="70"/>
  <c r="X188" i="70"/>
  <c r="X191" i="70"/>
  <c r="X192" i="70"/>
  <c r="X195" i="70"/>
  <c r="X196" i="70"/>
  <c r="X200" i="70"/>
  <c r="X201" i="70"/>
  <c r="X204" i="70"/>
  <c r="X205" i="70"/>
  <c r="X208" i="70"/>
  <c r="X213" i="70"/>
  <c r="X176" i="70"/>
  <c r="X178" i="70"/>
  <c r="X164" i="70"/>
  <c r="H30" i="11" s="1"/>
  <c r="X166" i="70"/>
  <c r="X169" i="70"/>
  <c r="X152" i="70"/>
  <c r="X156" i="70"/>
  <c r="X160" i="70"/>
  <c r="X143" i="70"/>
  <c r="X101" i="70"/>
  <c r="X105" i="70"/>
  <c r="X107" i="70"/>
  <c r="X109" i="70"/>
  <c r="G87" i="9" s="1"/>
  <c r="X111" i="70"/>
  <c r="G88" i="9" s="1"/>
  <c r="Q88" i="9" s="1"/>
  <c r="X113" i="70"/>
  <c r="X115" i="70"/>
  <c r="G96" i="9" s="1"/>
  <c r="Q96" i="9" s="1"/>
  <c r="X274" i="70"/>
  <c r="H248" i="11" s="1"/>
  <c r="H241" i="11" s="1"/>
  <c r="X272" i="70"/>
  <c r="H258" i="11" s="1"/>
  <c r="H251" i="11" s="1"/>
  <c r="X271" i="70"/>
  <c r="X267" i="70"/>
  <c r="X265" i="70"/>
  <c r="X260" i="70"/>
  <c r="X259" i="70"/>
  <c r="X258" i="70"/>
  <c r="X256" i="70"/>
  <c r="X255" i="70"/>
  <c r="X254" i="70"/>
  <c r="X244" i="70"/>
  <c r="X243" i="70"/>
  <c r="X242" i="70"/>
  <c r="X241" i="70"/>
  <c r="X240" i="70"/>
  <c r="X239" i="70"/>
  <c r="X238" i="70"/>
  <c r="X237" i="70"/>
  <c r="X235" i="70"/>
  <c r="X234" i="70"/>
  <c r="X233" i="70"/>
  <c r="H197" i="11" s="1"/>
  <c r="X232" i="70"/>
  <c r="X231" i="70"/>
  <c r="X230" i="70"/>
  <c r="X229" i="70"/>
  <c r="H193" i="11" s="1"/>
  <c r="X228" i="70"/>
  <c r="X227" i="70"/>
  <c r="X226" i="70"/>
  <c r="H194" i="11" s="1"/>
  <c r="X225" i="70"/>
  <c r="X224" i="70"/>
  <c r="H191" i="11" s="1"/>
  <c r="X218" i="70"/>
  <c r="X216" i="70"/>
  <c r="X211" i="70"/>
  <c r="X210" i="70"/>
  <c r="X207" i="70"/>
  <c r="X206" i="70"/>
  <c r="X203" i="70"/>
  <c r="X202" i="70"/>
  <c r="X199" i="70"/>
  <c r="X197" i="70"/>
  <c r="X194" i="70"/>
  <c r="X193" i="70"/>
  <c r="X190" i="70"/>
  <c r="X189" i="70"/>
  <c r="X177" i="70"/>
  <c r="X168" i="70"/>
  <c r="X170" i="70" s="1"/>
  <c r="H31" i="11" s="1"/>
  <c r="X167" i="70"/>
  <c r="X161" i="70"/>
  <c r="X159" i="70"/>
  <c r="X158" i="70"/>
  <c r="X157" i="70"/>
  <c r="X155" i="70"/>
  <c r="X154" i="70"/>
  <c r="X153" i="70"/>
  <c r="X147" i="70"/>
  <c r="H9" i="11" s="1"/>
  <c r="F43" i="4" s="1"/>
  <c r="X146" i="70"/>
  <c r="H7" i="11" s="1"/>
  <c r="E300" i="63" s="1"/>
  <c r="X137" i="70"/>
  <c r="X136" i="70"/>
  <c r="X116" i="70"/>
  <c r="G99" i="9" s="1"/>
  <c r="Q99" i="9" s="1"/>
  <c r="X114" i="70"/>
  <c r="X112" i="70"/>
  <c r="G92" i="9" s="1"/>
  <c r="Q92" i="9" s="1"/>
  <c r="X110" i="70"/>
  <c r="G93" i="9" s="1"/>
  <c r="Q93" i="9" s="1"/>
  <c r="X106" i="70"/>
  <c r="G90" i="9" s="1"/>
  <c r="Q90" i="9" s="1"/>
  <c r="X104" i="70"/>
  <c r="G98" i="9" s="1"/>
  <c r="Q98" i="9" s="1"/>
  <c r="X102" i="70"/>
  <c r="X96" i="70"/>
  <c r="E220" i="63" s="1"/>
  <c r="E221" i="63" s="1"/>
  <c r="E225" i="63" s="1"/>
  <c r="X95" i="70"/>
  <c r="E167" i="63" s="1"/>
  <c r="E168" i="63" s="1"/>
  <c r="E172" i="63" s="1"/>
  <c r="X93" i="70"/>
  <c r="E79" i="63" s="1"/>
  <c r="X92" i="70"/>
  <c r="X88" i="70"/>
  <c r="V86" i="70" s="1"/>
  <c r="X87" i="70"/>
  <c r="G79" i="9" s="1"/>
  <c r="Q79" i="9" s="1"/>
  <c r="X86" i="70"/>
  <c r="G78" i="9" s="1"/>
  <c r="Q78" i="9" s="1"/>
  <c r="X83" i="70"/>
  <c r="X80" i="70"/>
  <c r="X78" i="70"/>
  <c r="X77" i="70"/>
  <c r="X76" i="70"/>
  <c r="X75" i="70"/>
  <c r="X74" i="70"/>
  <c r="X73" i="70"/>
  <c r="X72" i="70"/>
  <c r="X71" i="70"/>
  <c r="X70" i="70"/>
  <c r="X69" i="70"/>
  <c r="X68" i="70"/>
  <c r="X67" i="70"/>
  <c r="X66" i="70"/>
  <c r="X65" i="70"/>
  <c r="X64" i="70"/>
  <c r="X63" i="70"/>
  <c r="X62" i="70"/>
  <c r="X60" i="70"/>
  <c r="X59" i="70"/>
  <c r="X58" i="70"/>
  <c r="X57" i="70"/>
  <c r="X56" i="70"/>
  <c r="X55" i="70"/>
  <c r="X53" i="70"/>
  <c r="X50" i="70"/>
  <c r="X49" i="70"/>
  <c r="X48" i="70"/>
  <c r="X47" i="70"/>
  <c r="X46" i="70"/>
  <c r="X45" i="70"/>
  <c r="X44" i="70"/>
  <c r="X43" i="70"/>
  <c r="X81" i="70" s="1"/>
  <c r="X42" i="70"/>
  <c r="X37" i="70"/>
  <c r="X36" i="70"/>
  <c r="X35" i="70"/>
  <c r="X34" i="70"/>
  <c r="X33" i="70"/>
  <c r="X28" i="70"/>
  <c r="X27" i="70"/>
  <c r="X26" i="70"/>
  <c r="X19" i="70"/>
  <c r="G40" i="9" s="1"/>
  <c r="Q40" i="9" s="1"/>
  <c r="X18" i="70"/>
  <c r="G39" i="9" s="1"/>
  <c r="X13" i="70"/>
  <c r="X11" i="70"/>
  <c r="X5" i="70"/>
  <c r="G14" i="9" s="1"/>
  <c r="W268" i="70"/>
  <c r="W276" i="70" s="1"/>
  <c r="V262" i="70"/>
  <c r="W262" i="70"/>
  <c r="W248" i="70"/>
  <c r="W179" i="70"/>
  <c r="W170" i="70"/>
  <c r="W162" i="70"/>
  <c r="V148" i="70"/>
  <c r="W148" i="70"/>
  <c r="W141" i="70"/>
  <c r="W117" i="70"/>
  <c r="V97" i="70"/>
  <c r="W97" i="70"/>
  <c r="V81" i="70"/>
  <c r="W81" i="70"/>
  <c r="V38" i="70"/>
  <c r="W38" i="70"/>
  <c r="V29" i="70"/>
  <c r="W29" i="70"/>
  <c r="W22" i="70"/>
  <c r="W14" i="70"/>
  <c r="T13" i="70"/>
  <c r="T12" i="70"/>
  <c r="T127" i="70"/>
  <c r="T141" i="70" s="1"/>
  <c r="H55" i="6"/>
  <c r="I55" i="6" s="1"/>
  <c r="F136" i="10"/>
  <c r="T126" i="70"/>
  <c r="F67" i="6"/>
  <c r="G67" i="6" s="1"/>
  <c r="I67" i="6" s="1"/>
  <c r="I62" i="6"/>
  <c r="I90" i="6"/>
  <c r="E47" i="63"/>
  <c r="E49" i="63" s="1"/>
  <c r="E56" i="63" s="1"/>
  <c r="E58" i="63" s="1"/>
  <c r="F427" i="63"/>
  <c r="A417" i="63"/>
  <c r="I61" i="6"/>
  <c r="T238" i="70"/>
  <c r="G81" i="6"/>
  <c r="I81" i="6" s="1"/>
  <c r="T133" i="70"/>
  <c r="T81" i="70"/>
  <c r="U40" i="70"/>
  <c r="I73" i="9" s="1"/>
  <c r="W581" i="69"/>
  <c r="T234" i="70"/>
  <c r="F337" i="63"/>
  <c r="F336" i="63"/>
  <c r="F333" i="63"/>
  <c r="F328" i="63"/>
  <c r="F323" i="63"/>
  <c r="E333" i="63"/>
  <c r="E328" i="63"/>
  <c r="E323" i="63"/>
  <c r="E337" i="63"/>
  <c r="E336" i="63"/>
  <c r="W227" i="69"/>
  <c r="W242" i="69" s="1"/>
  <c r="H15" i="11"/>
  <c r="F51" i="4" s="1"/>
  <c r="E92" i="10"/>
  <c r="E91" i="10"/>
  <c r="D93" i="10"/>
  <c r="D96" i="10" s="1"/>
  <c r="C93" i="10"/>
  <c r="C96" i="10" s="1"/>
  <c r="E89" i="10"/>
  <c r="E88" i="10"/>
  <c r="E87" i="10"/>
  <c r="I69" i="6"/>
  <c r="S13" i="70"/>
  <c r="U13" i="70" s="1"/>
  <c r="H578" i="11"/>
  <c r="J578" i="11"/>
  <c r="N13" i="79"/>
  <c r="I66" i="6"/>
  <c r="V203" i="69"/>
  <c r="S35" i="70"/>
  <c r="H998" i="11"/>
  <c r="I83" i="6"/>
  <c r="I84" i="6"/>
  <c r="I85" i="6"/>
  <c r="K52" i="10"/>
  <c r="G54" i="6"/>
  <c r="H64" i="6"/>
  <c r="I64" i="6" s="1"/>
  <c r="E88" i="63"/>
  <c r="F22" i="7"/>
  <c r="V568" i="69"/>
  <c r="X568" i="69" s="1"/>
  <c r="D123" i="84" s="1"/>
  <c r="S124" i="70"/>
  <c r="S127" i="70"/>
  <c r="U127" i="70" s="1"/>
  <c r="S126" i="70"/>
  <c r="V620" i="69"/>
  <c r="X620" i="69" s="1"/>
  <c r="V617" i="69"/>
  <c r="X617" i="69" s="1"/>
  <c r="V325" i="69"/>
  <c r="S94" i="70"/>
  <c r="S215" i="70"/>
  <c r="U215" i="70" s="1"/>
  <c r="J95" i="11" s="1"/>
  <c r="S123" i="70"/>
  <c r="V334" i="69"/>
  <c r="X334" i="69" s="1"/>
  <c r="S129" i="70"/>
  <c r="S122" i="70"/>
  <c r="U122" i="70" s="1"/>
  <c r="D60" i="10"/>
  <c r="E76" i="10"/>
  <c r="D45" i="10"/>
  <c r="E61" i="10"/>
  <c r="D62" i="10"/>
  <c r="D78" i="10" s="1"/>
  <c r="E78" i="10"/>
  <c r="G62" i="10"/>
  <c r="G78" i="10" s="1"/>
  <c r="H62" i="10"/>
  <c r="D56" i="10"/>
  <c r="H965" i="11"/>
  <c r="S50" i="70"/>
  <c r="S247" i="70"/>
  <c r="V101" i="69"/>
  <c r="S87" i="70"/>
  <c r="U87" i="70" s="1"/>
  <c r="I79" i="9" s="1"/>
  <c r="U581" i="69"/>
  <c r="U565" i="69"/>
  <c r="U546" i="69"/>
  <c r="U495" i="69"/>
  <c r="U403" i="69"/>
  <c r="U433" i="69"/>
  <c r="U447" i="69"/>
  <c r="U425" i="69"/>
  <c r="U434" i="69" s="1"/>
  <c r="U392" i="69"/>
  <c r="U386" i="69"/>
  <c r="U385" i="69"/>
  <c r="U384" i="69"/>
  <c r="U381" i="69"/>
  <c r="U374" i="69"/>
  <c r="U375" i="69"/>
  <c r="U373" i="69"/>
  <c r="U370" i="69"/>
  <c r="U369" i="69"/>
  <c r="U361" i="69"/>
  <c r="U355" i="69"/>
  <c r="U404" i="69" s="1"/>
  <c r="U353" i="69"/>
  <c r="U345" i="69"/>
  <c r="U443" i="69"/>
  <c r="X611" i="69"/>
  <c r="X612" i="69"/>
  <c r="X613" i="69"/>
  <c r="X614" i="69"/>
  <c r="J39" i="5" s="1"/>
  <c r="X615" i="69"/>
  <c r="X616" i="69"/>
  <c r="X618" i="69"/>
  <c r="V241" i="69"/>
  <c r="X241" i="69" s="1"/>
  <c r="V239" i="69"/>
  <c r="E13" i="79"/>
  <c r="R603" i="69"/>
  <c r="G76" i="6"/>
  <c r="I76" i="6" s="1"/>
  <c r="G77" i="6"/>
  <c r="G78" i="6"/>
  <c r="I78" i="6" s="1"/>
  <c r="G79" i="6"/>
  <c r="I79" i="6" s="1"/>
  <c r="G80" i="6"/>
  <c r="I80" i="6" s="1"/>
  <c r="G92" i="6"/>
  <c r="I92" i="6" s="1"/>
  <c r="G93" i="6"/>
  <c r="G74" i="6"/>
  <c r="I74" i="6" s="1"/>
  <c r="G72" i="6"/>
  <c r="I72" i="6" s="1"/>
  <c r="G71" i="6"/>
  <c r="I71" i="6" s="1"/>
  <c r="N10" i="79" s="1"/>
  <c r="G70" i="6"/>
  <c r="I70" i="6" s="1"/>
  <c r="G68" i="6"/>
  <c r="I68" i="6" s="1"/>
  <c r="I65" i="6"/>
  <c r="O13" i="79"/>
  <c r="I63" i="6"/>
  <c r="E18" i="79"/>
  <c r="G60" i="6"/>
  <c r="I60" i="6" s="1"/>
  <c r="G59" i="6"/>
  <c r="I59" i="6" s="1"/>
  <c r="O47" i="79"/>
  <c r="G57" i="6"/>
  <c r="I57" i="6" s="1"/>
  <c r="H54" i="6"/>
  <c r="G53" i="6"/>
  <c r="I53" i="6" s="1"/>
  <c r="I77" i="6"/>
  <c r="E443" i="63"/>
  <c r="S137" i="70"/>
  <c r="S136" i="70"/>
  <c r="S234" i="70"/>
  <c r="V546" i="69"/>
  <c r="S143" i="70"/>
  <c r="V581" i="69"/>
  <c r="V370" i="69"/>
  <c r="X370" i="69" s="1"/>
  <c r="V381" i="69"/>
  <c r="V374" i="69"/>
  <c r="X374" i="69" s="1"/>
  <c r="V362" i="69"/>
  <c r="V355" i="69"/>
  <c r="S128" i="70"/>
  <c r="S138" i="70"/>
  <c r="U603" i="69"/>
  <c r="V493" i="69"/>
  <c r="V339" i="69"/>
  <c r="S93" i="70"/>
  <c r="D24" i="76"/>
  <c r="D61" i="76"/>
  <c r="C53" i="76" s="1"/>
  <c r="C61" i="76" s="1"/>
  <c r="E23" i="77" s="1"/>
  <c r="S133" i="70"/>
  <c r="U360" i="69"/>
  <c r="S132" i="70"/>
  <c r="U132" i="70" s="1"/>
  <c r="X132" i="70" s="1"/>
  <c r="S134" i="70"/>
  <c r="S140" i="70"/>
  <c r="U140" i="70" s="1"/>
  <c r="V227" i="69"/>
  <c r="V360" i="69"/>
  <c r="X360" i="69" s="1"/>
  <c r="V490" i="69"/>
  <c r="V346" i="69"/>
  <c r="V433" i="69"/>
  <c r="S226" i="70"/>
  <c r="F25" i="35"/>
  <c r="G25" i="35" s="1"/>
  <c r="C22" i="35"/>
  <c r="D22" i="35"/>
  <c r="E22" i="35"/>
  <c r="B22" i="35"/>
  <c r="C18" i="35"/>
  <c r="D18" i="35"/>
  <c r="E18" i="35"/>
  <c r="F20" i="35"/>
  <c r="G20" i="35" s="1"/>
  <c r="B18" i="35"/>
  <c r="C29" i="34"/>
  <c r="E538" i="63"/>
  <c r="E537" i="63"/>
  <c r="E536" i="63"/>
  <c r="E255" i="63"/>
  <c r="E251" i="63"/>
  <c r="E248" i="63"/>
  <c r="E247" i="63"/>
  <c r="E195" i="63"/>
  <c r="E192" i="63"/>
  <c r="E191" i="63"/>
  <c r="E132" i="63"/>
  <c r="E511" i="63" s="1"/>
  <c r="E129" i="63"/>
  <c r="E508" i="63" s="1"/>
  <c r="E128" i="63"/>
  <c r="E507" i="63" s="1"/>
  <c r="S96" i="70"/>
  <c r="S95" i="70"/>
  <c r="U95" i="70" s="1"/>
  <c r="F167" i="63" s="1"/>
  <c r="F168" i="63" s="1"/>
  <c r="F172" i="63" s="1"/>
  <c r="S92" i="70"/>
  <c r="V471" i="69"/>
  <c r="V291" i="69"/>
  <c r="H956" i="11"/>
  <c r="H963" i="11" s="1"/>
  <c r="V443" i="69"/>
  <c r="V505" i="69"/>
  <c r="V29" i="69"/>
  <c r="V15" i="69"/>
  <c r="S51" i="70"/>
  <c r="V14" i="69"/>
  <c r="V579" i="69"/>
  <c r="V368" i="69"/>
  <c r="X368" i="69" s="1"/>
  <c r="V495" i="69"/>
  <c r="V392" i="69"/>
  <c r="X392" i="69" s="1"/>
  <c r="V89" i="69"/>
  <c r="G939" i="11"/>
  <c r="J939" i="11"/>
  <c r="H939" i="11"/>
  <c r="U224" i="70"/>
  <c r="J191" i="11" s="1"/>
  <c r="I241" i="11"/>
  <c r="U274" i="70"/>
  <c r="J248" i="11" s="1"/>
  <c r="U228" i="70"/>
  <c r="I521" i="11"/>
  <c r="J521" i="11"/>
  <c r="O44" i="79"/>
  <c r="E42" i="79"/>
  <c r="E26" i="79"/>
  <c r="E24" i="79"/>
  <c r="T248" i="70"/>
  <c r="U225" i="70"/>
  <c r="U203" i="70"/>
  <c r="U42" i="70"/>
  <c r="U43" i="70"/>
  <c r="U44" i="70"/>
  <c r="U45" i="70"/>
  <c r="U46" i="70"/>
  <c r="U47" i="70"/>
  <c r="U48" i="70"/>
  <c r="U49" i="70"/>
  <c r="U51" i="70"/>
  <c r="I75" i="9" s="1"/>
  <c r="U53" i="70"/>
  <c r="U55" i="70"/>
  <c r="U56" i="70"/>
  <c r="U57" i="70"/>
  <c r="U58" i="70"/>
  <c r="U59" i="70"/>
  <c r="U60" i="70"/>
  <c r="U61" i="70"/>
  <c r="U62" i="70"/>
  <c r="U63" i="70"/>
  <c r="U64" i="70"/>
  <c r="U65" i="70"/>
  <c r="U66" i="70"/>
  <c r="U67" i="70"/>
  <c r="U68" i="70"/>
  <c r="U69" i="70"/>
  <c r="U70" i="70"/>
  <c r="U71" i="70"/>
  <c r="U72" i="70"/>
  <c r="U73" i="70"/>
  <c r="U74" i="70"/>
  <c r="U75" i="70"/>
  <c r="U76" i="70"/>
  <c r="U77" i="70"/>
  <c r="X239" i="69"/>
  <c r="W335" i="69"/>
  <c r="X300" i="69"/>
  <c r="E32" i="82"/>
  <c r="S140" i="69"/>
  <c r="S149" i="69" s="1"/>
  <c r="S157" i="69"/>
  <c r="U552" i="69"/>
  <c r="U553" i="69"/>
  <c r="U508" i="69"/>
  <c r="U409" i="69"/>
  <c r="U334" i="69"/>
  <c r="U335" i="69" s="1"/>
  <c r="U239" i="69"/>
  <c r="U227" i="69"/>
  <c r="U242" i="69" s="1"/>
  <c r="U154" i="69"/>
  <c r="U157" i="69"/>
  <c r="U159" i="69"/>
  <c r="U162" i="69"/>
  <c r="U163" i="69"/>
  <c r="U140" i="69"/>
  <c r="U142" i="69"/>
  <c r="U134" i="69"/>
  <c r="U49" i="69"/>
  <c r="U43" i="69"/>
  <c r="U14" i="69"/>
  <c r="T140" i="69"/>
  <c r="T157" i="69"/>
  <c r="T49" i="69"/>
  <c r="T51" i="69" s="1"/>
  <c r="T43" i="69"/>
  <c r="T44" i="69"/>
  <c r="T28" i="69"/>
  <c r="T33" i="69" s="1"/>
  <c r="T14" i="69"/>
  <c r="T20" i="69" s="1"/>
  <c r="T239" i="69"/>
  <c r="T227" i="69"/>
  <c r="T242" i="69" s="1"/>
  <c r="T154" i="69"/>
  <c r="T163" i="69"/>
  <c r="T162" i="69"/>
  <c r="T159" i="69"/>
  <c r="T134" i="69"/>
  <c r="T142" i="69"/>
  <c r="T447" i="69"/>
  <c r="T505" i="69"/>
  <c r="T373" i="69"/>
  <c r="T404" i="69" s="1"/>
  <c r="T425" i="69"/>
  <c r="T434" i="69" s="1"/>
  <c r="T508" i="69"/>
  <c r="T334" i="69"/>
  <c r="T335" i="69" s="1"/>
  <c r="T409" i="69"/>
  <c r="T410" i="69" s="1"/>
  <c r="T553" i="69"/>
  <c r="T552" i="69"/>
  <c r="S335" i="69"/>
  <c r="S94" i="6"/>
  <c r="S121" i="6" s="1"/>
  <c r="R94" i="6"/>
  <c r="R121" i="6" s="1"/>
  <c r="G38" i="6"/>
  <c r="I38" i="6" s="1"/>
  <c r="G39" i="6"/>
  <c r="I39" i="6" s="1"/>
  <c r="G40" i="6"/>
  <c r="I40" i="6" s="1"/>
  <c r="G42" i="6"/>
  <c r="I42" i="6" s="1"/>
  <c r="I44" i="6"/>
  <c r="I45" i="6"/>
  <c r="I46" i="6"/>
  <c r="I47" i="6"/>
  <c r="I58" i="10"/>
  <c r="I57" i="10"/>
  <c r="K54" i="10"/>
  <c r="I54" i="10"/>
  <c r="G30" i="9" s="1"/>
  <c r="Q30" i="9" s="1"/>
  <c r="I53" i="10"/>
  <c r="J38" i="5" s="1"/>
  <c r="I50" i="10"/>
  <c r="I49" i="10"/>
  <c r="I48" i="10"/>
  <c r="I47" i="10"/>
  <c r="S605" i="69"/>
  <c r="S434" i="69"/>
  <c r="S607" i="69" s="1"/>
  <c r="V434" i="69"/>
  <c r="W434" i="69"/>
  <c r="S410" i="69"/>
  <c r="U410" i="69"/>
  <c r="V410" i="69"/>
  <c r="W410" i="69"/>
  <c r="S404" i="69"/>
  <c r="V404" i="69"/>
  <c r="W404" i="69"/>
  <c r="S348" i="69"/>
  <c r="T348" i="69"/>
  <c r="U348" i="69"/>
  <c r="W348" i="69"/>
  <c r="S341" i="69"/>
  <c r="T341" i="69"/>
  <c r="U341" i="69"/>
  <c r="V341" i="69"/>
  <c r="W341" i="69"/>
  <c r="S327" i="69"/>
  <c r="T327" i="69"/>
  <c r="U327" i="69"/>
  <c r="W327" i="69"/>
  <c r="S321" i="69"/>
  <c r="T321" i="69"/>
  <c r="U321" i="69"/>
  <c r="V321" i="69"/>
  <c r="W321" i="69"/>
  <c r="S294" i="69"/>
  <c r="T294" i="69"/>
  <c r="U294" i="69"/>
  <c r="V294" i="69"/>
  <c r="W294" i="69"/>
  <c r="S288" i="69"/>
  <c r="T288" i="69"/>
  <c r="U288" i="69"/>
  <c r="V288" i="69"/>
  <c r="W288" i="69"/>
  <c r="S276" i="69"/>
  <c r="T276" i="69"/>
  <c r="U276" i="69"/>
  <c r="V276" i="69"/>
  <c r="W276" i="69"/>
  <c r="S267" i="69"/>
  <c r="T267" i="69"/>
  <c r="U267" i="69"/>
  <c r="V267" i="69"/>
  <c r="W267" i="69"/>
  <c r="S259" i="69"/>
  <c r="S296" i="69" s="1"/>
  <c r="T259" i="69"/>
  <c r="U259" i="69"/>
  <c r="V259" i="69"/>
  <c r="W259" i="69"/>
  <c r="V242" i="69"/>
  <c r="S173" i="69"/>
  <c r="V173" i="69"/>
  <c r="W173" i="69"/>
  <c r="U149" i="69"/>
  <c r="V149" i="69"/>
  <c r="W149" i="69"/>
  <c r="S122" i="69"/>
  <c r="T122" i="69"/>
  <c r="U122" i="69"/>
  <c r="V122" i="69"/>
  <c r="W122" i="69"/>
  <c r="S117" i="69"/>
  <c r="T117" i="69"/>
  <c r="U117" i="69"/>
  <c r="V117" i="69"/>
  <c r="W117" i="69"/>
  <c r="S102" i="69"/>
  <c r="T102" i="69"/>
  <c r="U102" i="69"/>
  <c r="V102" i="69"/>
  <c r="W102" i="69"/>
  <c r="S97" i="69"/>
  <c r="T97" i="69"/>
  <c r="U97" i="69"/>
  <c r="V97" i="69"/>
  <c r="W97" i="69"/>
  <c r="S90" i="69"/>
  <c r="T90" i="69"/>
  <c r="U90" i="69"/>
  <c r="V90" i="69"/>
  <c r="W90" i="69"/>
  <c r="S85" i="69"/>
  <c r="T85" i="69"/>
  <c r="U85" i="69"/>
  <c r="V85" i="69"/>
  <c r="W85" i="69"/>
  <c r="S51" i="69"/>
  <c r="U51" i="69"/>
  <c r="V51" i="69"/>
  <c r="W51" i="69"/>
  <c r="S44" i="69"/>
  <c r="U44" i="69"/>
  <c r="V44" i="69"/>
  <c r="W44" i="69"/>
  <c r="S33" i="69"/>
  <c r="U33" i="69"/>
  <c r="V33" i="69"/>
  <c r="W33" i="69"/>
  <c r="S20" i="69"/>
  <c r="U20" i="69"/>
  <c r="U53" i="69" s="1"/>
  <c r="W20" i="69"/>
  <c r="W53" i="69" s="1"/>
  <c r="S6" i="69"/>
  <c r="T6" i="69"/>
  <c r="U6" i="69"/>
  <c r="V6" i="69"/>
  <c r="W6" i="69"/>
  <c r="X11" i="69"/>
  <c r="X12" i="69"/>
  <c r="X13" i="69"/>
  <c r="X15" i="69"/>
  <c r="X16" i="69"/>
  <c r="X17" i="69"/>
  <c r="X18" i="69"/>
  <c r="X19" i="69"/>
  <c r="X23" i="69"/>
  <c r="X24" i="69"/>
  <c r="X25" i="69"/>
  <c r="X26" i="69"/>
  <c r="X27" i="69"/>
  <c r="X28" i="69"/>
  <c r="X29" i="69"/>
  <c r="X30" i="69"/>
  <c r="X31" i="69"/>
  <c r="X32" i="69"/>
  <c r="X36" i="69"/>
  <c r="X37" i="69"/>
  <c r="X38" i="69"/>
  <c r="X39" i="69"/>
  <c r="X40" i="69"/>
  <c r="X41" i="69"/>
  <c r="X42" i="69"/>
  <c r="X43" i="69"/>
  <c r="X47" i="69"/>
  <c r="X48" i="69"/>
  <c r="X49" i="69"/>
  <c r="X50" i="69"/>
  <c r="X58" i="69"/>
  <c r="X59" i="69"/>
  <c r="X60" i="69"/>
  <c r="X61" i="69"/>
  <c r="X62" i="69"/>
  <c r="X63" i="69"/>
  <c r="X64" i="69"/>
  <c r="X65" i="69"/>
  <c r="X66" i="69"/>
  <c r="X67" i="69"/>
  <c r="X68" i="69"/>
  <c r="X69" i="69"/>
  <c r="X70" i="69"/>
  <c r="X71" i="69"/>
  <c r="X72" i="69"/>
  <c r="X73" i="69"/>
  <c r="X74" i="69"/>
  <c r="X75" i="69"/>
  <c r="X76" i="69"/>
  <c r="X77" i="69"/>
  <c r="X78" i="69"/>
  <c r="X79" i="69"/>
  <c r="X80" i="69"/>
  <c r="X81" i="69"/>
  <c r="X82" i="69"/>
  <c r="X83" i="69"/>
  <c r="X84" i="69"/>
  <c r="X89" i="69"/>
  <c r="J534" i="11" s="1"/>
  <c r="J12" i="5" s="1"/>
  <c r="F14" i="7" s="1"/>
  <c r="X94" i="69"/>
  <c r="X95" i="69"/>
  <c r="X97" i="69" s="1"/>
  <c r="J13" i="5" s="1"/>
  <c r="E15" i="79" s="1"/>
  <c r="X96" i="69"/>
  <c r="X101" i="69"/>
  <c r="X102" i="69" s="1"/>
  <c r="J14" i="5" s="1"/>
  <c r="E8" i="79" s="1"/>
  <c r="X106" i="69"/>
  <c r="X107" i="69"/>
  <c r="X108" i="69"/>
  <c r="X109" i="69"/>
  <c r="X110" i="69"/>
  <c r="X112" i="69"/>
  <c r="X113" i="69"/>
  <c r="X114" i="69"/>
  <c r="X115" i="69"/>
  <c r="X116" i="69"/>
  <c r="X121" i="69"/>
  <c r="X122" i="69" s="1"/>
  <c r="J16" i="5" s="1"/>
  <c r="E10" i="79" s="1"/>
  <c r="X126" i="69"/>
  <c r="X127" i="69"/>
  <c r="H331" i="11" s="1"/>
  <c r="X128" i="69"/>
  <c r="X129" i="69"/>
  <c r="J332" i="11" s="1"/>
  <c r="X130" i="69"/>
  <c r="J322" i="11" s="1"/>
  <c r="X131" i="69"/>
  <c r="J330" i="11" s="1"/>
  <c r="X132" i="69"/>
  <c r="J328" i="11" s="1"/>
  <c r="X133" i="69"/>
  <c r="X134" i="69"/>
  <c r="J329" i="11" s="1"/>
  <c r="X135" i="69"/>
  <c r="J323" i="11" s="1"/>
  <c r="X136" i="69"/>
  <c r="X137" i="69"/>
  <c r="J334" i="11" s="1"/>
  <c r="X138" i="69"/>
  <c r="X139" i="69"/>
  <c r="X140" i="69"/>
  <c r="H333" i="11" s="1"/>
  <c r="X141" i="69"/>
  <c r="J337" i="11" s="1"/>
  <c r="X142" i="69"/>
  <c r="H327" i="11" s="1"/>
  <c r="X143" i="69"/>
  <c r="X144" i="69"/>
  <c r="X145" i="69"/>
  <c r="J324" i="11" s="1"/>
  <c r="X146" i="69"/>
  <c r="J325" i="11" s="1"/>
  <c r="X147" i="69"/>
  <c r="J326" i="11" s="1"/>
  <c r="X148" i="69"/>
  <c r="J336" i="11" s="1"/>
  <c r="X153" i="69"/>
  <c r="X154" i="69"/>
  <c r="J344" i="11" s="1"/>
  <c r="X155" i="69"/>
  <c r="X156" i="69"/>
  <c r="X157" i="69"/>
  <c r="H343" i="11" s="1"/>
  <c r="X158" i="69"/>
  <c r="X159" i="69"/>
  <c r="J341" i="11" s="1"/>
  <c r="X160" i="69"/>
  <c r="X162" i="69"/>
  <c r="J347" i="11" s="1"/>
  <c r="X163" i="69"/>
  <c r="J345" i="11" s="1"/>
  <c r="X164" i="69"/>
  <c r="J354" i="11" s="1"/>
  <c r="X165" i="69"/>
  <c r="X166" i="69"/>
  <c r="J346" i="11" s="1"/>
  <c r="X167" i="69"/>
  <c r="H349" i="11" s="1"/>
  <c r="X168" i="69"/>
  <c r="X169" i="69"/>
  <c r="J353" i="11" s="1"/>
  <c r="X170" i="69"/>
  <c r="X171" i="69"/>
  <c r="X172" i="69"/>
  <c r="X177" i="69"/>
  <c r="X179" i="69"/>
  <c r="J541" i="11" s="1"/>
  <c r="X180" i="69"/>
  <c r="X181" i="69"/>
  <c r="X182" i="69"/>
  <c r="X183" i="69"/>
  <c r="X184" i="69"/>
  <c r="X185" i="69"/>
  <c r="X186" i="69"/>
  <c r="X187" i="69"/>
  <c r="X188" i="69"/>
  <c r="X189" i="69"/>
  <c r="X190" i="69"/>
  <c r="X191" i="69"/>
  <c r="X192" i="69"/>
  <c r="J538" i="11" s="1"/>
  <c r="X193" i="69"/>
  <c r="J539" i="11" s="1"/>
  <c r="X194" i="69"/>
  <c r="X195" i="69"/>
  <c r="X196" i="69"/>
  <c r="X197" i="69"/>
  <c r="X198" i="69"/>
  <c r="X199" i="69"/>
  <c r="X200" i="69"/>
  <c r="X201" i="69"/>
  <c r="X202" i="69"/>
  <c r="X203" i="69"/>
  <c r="X204" i="69"/>
  <c r="J547" i="11" s="1"/>
  <c r="X205" i="69"/>
  <c r="X206" i="69"/>
  <c r="X207" i="69"/>
  <c r="X208" i="69"/>
  <c r="J553" i="11" s="1"/>
  <c r="X209" i="69"/>
  <c r="X210" i="69"/>
  <c r="X211" i="69"/>
  <c r="X212" i="69"/>
  <c r="X213" i="69"/>
  <c r="X214" i="69"/>
  <c r="X215" i="69"/>
  <c r="J542" i="11" s="1"/>
  <c r="X216" i="69"/>
  <c r="X217" i="69"/>
  <c r="X218" i="69"/>
  <c r="X219" i="69"/>
  <c r="J550" i="11" s="1"/>
  <c r="X220" i="69"/>
  <c r="X221" i="69"/>
  <c r="X222" i="69"/>
  <c r="X223" i="69"/>
  <c r="J548" i="11" s="1"/>
  <c r="X224" i="69"/>
  <c r="X225" i="69"/>
  <c r="X226" i="69"/>
  <c r="J545" i="11" s="1"/>
  <c r="X227" i="69"/>
  <c r="J554" i="11" s="1"/>
  <c r="X228" i="69"/>
  <c r="X229" i="69"/>
  <c r="X230" i="69"/>
  <c r="J540" i="11" s="1"/>
  <c r="X231" i="69"/>
  <c r="X232" i="69"/>
  <c r="X233" i="69"/>
  <c r="X234" i="69"/>
  <c r="X235" i="69"/>
  <c r="X236" i="69"/>
  <c r="X237" i="69"/>
  <c r="X238" i="69"/>
  <c r="X240" i="69"/>
  <c r="X251" i="69"/>
  <c r="X252" i="69"/>
  <c r="X253" i="69"/>
  <c r="X254" i="69"/>
  <c r="X255" i="69"/>
  <c r="X256" i="69"/>
  <c r="X257" i="69"/>
  <c r="X258" i="69"/>
  <c r="X262" i="69"/>
  <c r="J564" i="11" s="1"/>
  <c r="X265" i="69"/>
  <c r="X266" i="69"/>
  <c r="X267" i="69" s="1"/>
  <c r="J562" i="11" s="1"/>
  <c r="X270" i="69"/>
  <c r="X271" i="69"/>
  <c r="X272" i="69"/>
  <c r="X273" i="69"/>
  <c r="X274" i="69"/>
  <c r="X275" i="69"/>
  <c r="X280" i="69"/>
  <c r="X281" i="69"/>
  <c r="X282" i="69"/>
  <c r="X283" i="69"/>
  <c r="X284" i="69"/>
  <c r="X285" i="69"/>
  <c r="X286" i="69"/>
  <c r="X287" i="69"/>
  <c r="X291" i="69"/>
  <c r="J567" i="11" s="1"/>
  <c r="X292" i="69"/>
  <c r="X293" i="69"/>
  <c r="J565" i="11" s="1"/>
  <c r="X297" i="69"/>
  <c r="X298" i="69"/>
  <c r="X299" i="69"/>
  <c r="X301" i="69"/>
  <c r="X302" i="69"/>
  <c r="X303" i="69"/>
  <c r="X304" i="69"/>
  <c r="X305" i="69"/>
  <c r="X306" i="69"/>
  <c r="X307" i="69"/>
  <c r="X308" i="69"/>
  <c r="X309" i="69"/>
  <c r="X310" i="69"/>
  <c r="X311" i="69"/>
  <c r="X312" i="69"/>
  <c r="X313" i="69"/>
  <c r="X314" i="69"/>
  <c r="X315" i="69"/>
  <c r="X316" i="69"/>
  <c r="X317" i="69"/>
  <c r="X318" i="69"/>
  <c r="X319" i="69"/>
  <c r="X320" i="69"/>
  <c r="X329" i="69"/>
  <c r="X330" i="69"/>
  <c r="X339" i="69"/>
  <c r="X341" i="69" s="1"/>
  <c r="J669" i="11" s="1"/>
  <c r="J32" i="5" s="1"/>
  <c r="J872" i="11" s="1"/>
  <c r="X340" i="69"/>
  <c r="X345" i="69"/>
  <c r="X347" i="69"/>
  <c r="X352" i="69"/>
  <c r="X353" i="69"/>
  <c r="X354" i="69"/>
  <c r="X355" i="69"/>
  <c r="X356" i="69"/>
  <c r="X357" i="69"/>
  <c r="X358" i="69"/>
  <c r="X359" i="69"/>
  <c r="X361" i="69"/>
  <c r="X404" i="69" s="1"/>
  <c r="J31" i="5" s="1"/>
  <c r="E37" i="79" s="1"/>
  <c r="X362" i="69"/>
  <c r="X363" i="69"/>
  <c r="X364" i="69"/>
  <c r="X365" i="69"/>
  <c r="X366" i="69"/>
  <c r="X367" i="69"/>
  <c r="X369" i="69"/>
  <c r="X371" i="69"/>
  <c r="X372" i="69"/>
  <c r="X373" i="69"/>
  <c r="X375" i="69"/>
  <c r="X376" i="69"/>
  <c r="X377" i="69"/>
  <c r="X378" i="69"/>
  <c r="X379" i="69"/>
  <c r="X380" i="69"/>
  <c r="X381" i="69"/>
  <c r="X382" i="69"/>
  <c r="X383" i="69"/>
  <c r="X384" i="69"/>
  <c r="X385" i="69"/>
  <c r="X386" i="69"/>
  <c r="X387" i="69"/>
  <c r="X388" i="69"/>
  <c r="X389" i="69"/>
  <c r="X390" i="69"/>
  <c r="X391" i="69"/>
  <c r="X393" i="69"/>
  <c r="X403" i="69"/>
  <c r="X408" i="69"/>
  <c r="X409" i="69"/>
  <c r="J680" i="11" s="1"/>
  <c r="X414" i="69"/>
  <c r="X434" i="69" s="1"/>
  <c r="X415" i="69"/>
  <c r="D9" i="84" s="1"/>
  <c r="X396" i="69"/>
  <c r="X417" i="69"/>
  <c r="D11" i="84" s="1"/>
  <c r="X397" i="69"/>
  <c r="X419" i="69"/>
  <c r="X420" i="69"/>
  <c r="D13" i="84" s="1"/>
  <c r="X421" i="69"/>
  <c r="D14" i="84" s="1"/>
  <c r="X398" i="69"/>
  <c r="X423" i="69"/>
  <c r="D16" i="84" s="1"/>
  <c r="X424" i="69"/>
  <c r="D17" i="84" s="1"/>
  <c r="X425" i="69"/>
  <c r="D18" i="84" s="1"/>
  <c r="X399" i="69"/>
  <c r="X400" i="69"/>
  <c r="X428" i="69"/>
  <c r="D21" i="84" s="1"/>
  <c r="X429" i="69"/>
  <c r="D22" i="84" s="1"/>
  <c r="X430" i="69"/>
  <c r="D23" i="84" s="1"/>
  <c r="X431" i="69"/>
  <c r="D24" i="84" s="1"/>
  <c r="X401" i="69"/>
  <c r="X433" i="69"/>
  <c r="D48" i="84" s="1"/>
  <c r="X438" i="69"/>
  <c r="D4" i="84" s="1"/>
  <c r="X439" i="69"/>
  <c r="D5" i="84" s="1"/>
  <c r="X440" i="69"/>
  <c r="X441" i="69"/>
  <c r="D6" i="84" s="1"/>
  <c r="X443" i="69"/>
  <c r="D8" i="84" s="1"/>
  <c r="X444" i="69"/>
  <c r="D26" i="84" s="1"/>
  <c r="X445" i="69"/>
  <c r="X446" i="69"/>
  <c r="X447" i="69"/>
  <c r="D27" i="84" s="1"/>
  <c r="X448" i="69"/>
  <c r="D28" i="84" s="1"/>
  <c r="X449" i="69"/>
  <c r="D29" i="84" s="1"/>
  <c r="X450" i="69"/>
  <c r="D30" i="84" s="1"/>
  <c r="X451" i="69"/>
  <c r="D31" i="84" s="1"/>
  <c r="X452" i="69"/>
  <c r="D32" i="84" s="1"/>
  <c r="X453" i="69"/>
  <c r="D33" i="84" s="1"/>
  <c r="X454" i="69"/>
  <c r="D34" i="84" s="1"/>
  <c r="X455" i="69"/>
  <c r="D35" i="84" s="1"/>
  <c r="X456" i="69"/>
  <c r="D36" i="84" s="1"/>
  <c r="X457" i="69"/>
  <c r="D37" i="84" s="1"/>
  <c r="X458" i="69"/>
  <c r="D38" i="84" s="1"/>
  <c r="X459" i="69"/>
  <c r="X460" i="69"/>
  <c r="D39" i="84" s="1"/>
  <c r="X461" i="69"/>
  <c r="D40" i="84" s="1"/>
  <c r="X462" i="69"/>
  <c r="D41" i="84" s="1"/>
  <c r="X463" i="69"/>
  <c r="D42" i="84" s="1"/>
  <c r="X464" i="69"/>
  <c r="D43" i="84" s="1"/>
  <c r="X465" i="69"/>
  <c r="D44" i="84" s="1"/>
  <c r="X466" i="69"/>
  <c r="X402" i="69"/>
  <c r="X468" i="69"/>
  <c r="D46" i="84" s="1"/>
  <c r="X469" i="69"/>
  <c r="D47" i="84" s="1"/>
  <c r="X470" i="69"/>
  <c r="X471" i="69"/>
  <c r="D49" i="84" s="1"/>
  <c r="X472" i="69"/>
  <c r="D50" i="84" s="1"/>
  <c r="X473" i="69"/>
  <c r="D51" i="84" s="1"/>
  <c r="X474" i="69"/>
  <c r="D52" i="84" s="1"/>
  <c r="X475" i="69"/>
  <c r="D53" i="84" s="1"/>
  <c r="X476" i="69"/>
  <c r="D54" i="84" s="1"/>
  <c r="X477" i="69"/>
  <c r="D55" i="84" s="1"/>
  <c r="X478" i="69"/>
  <c r="D56" i="84" s="1"/>
  <c r="X479" i="69"/>
  <c r="D57" i="84" s="1"/>
  <c r="X480" i="69"/>
  <c r="D58" i="84" s="1"/>
  <c r="X481" i="69"/>
  <c r="X482" i="69"/>
  <c r="D59" i="84" s="1"/>
  <c r="X483" i="69"/>
  <c r="D60" i="84" s="1"/>
  <c r="X484" i="69"/>
  <c r="D61" i="84" s="1"/>
  <c r="X485" i="69"/>
  <c r="D62" i="84" s="1"/>
  <c r="X486" i="69"/>
  <c r="D63" i="84" s="1"/>
  <c r="X487" i="69"/>
  <c r="D64" i="84" s="1"/>
  <c r="X488" i="69"/>
  <c r="D65" i="84" s="1"/>
  <c r="X489" i="69"/>
  <c r="D66" i="84" s="1"/>
  <c r="X490" i="69"/>
  <c r="D67" i="84" s="1"/>
  <c r="X491" i="69"/>
  <c r="X492" i="69"/>
  <c r="X493" i="69"/>
  <c r="D68" i="84" s="1"/>
  <c r="X494" i="69"/>
  <c r="X495" i="69"/>
  <c r="D69" i="84" s="1"/>
  <c r="X496" i="69"/>
  <c r="D70" i="84" s="1"/>
  <c r="X497" i="69"/>
  <c r="X498" i="69"/>
  <c r="D71" i="84" s="1"/>
  <c r="X499" i="69"/>
  <c r="D72" i="84" s="1"/>
  <c r="X500" i="69"/>
  <c r="D73" i="84" s="1"/>
  <c r="X501" i="69"/>
  <c r="X502" i="69"/>
  <c r="D74" i="84" s="1"/>
  <c r="X503" i="69"/>
  <c r="D75" i="84" s="1"/>
  <c r="X504" i="69"/>
  <c r="D76" i="84" s="1"/>
  <c r="X505" i="69"/>
  <c r="D77" i="84" s="1"/>
  <c r="X506" i="69"/>
  <c r="X507" i="69"/>
  <c r="D78" i="84" s="1"/>
  <c r="X508" i="69"/>
  <c r="D79" i="84" s="1"/>
  <c r="X509" i="69"/>
  <c r="X510" i="69"/>
  <c r="D80" i="84" s="1"/>
  <c r="X511" i="69"/>
  <c r="D81" i="84" s="1"/>
  <c r="X512" i="69"/>
  <c r="D82" i="84" s="1"/>
  <c r="X513" i="69"/>
  <c r="X514" i="69"/>
  <c r="D83" i="84" s="1"/>
  <c r="X515" i="69"/>
  <c r="X516" i="69"/>
  <c r="D84" i="84" s="1"/>
  <c r="X517" i="69"/>
  <c r="X518" i="69"/>
  <c r="D86" i="84" s="1"/>
  <c r="X519" i="69"/>
  <c r="D87" i="84" s="1"/>
  <c r="X520" i="69"/>
  <c r="D88" i="84" s="1"/>
  <c r="X521" i="69"/>
  <c r="D89" i="84" s="1"/>
  <c r="X522" i="69"/>
  <c r="D90" i="84" s="1"/>
  <c r="X523" i="69"/>
  <c r="D91" i="84" s="1"/>
  <c r="X524" i="69"/>
  <c r="D92" i="84" s="1"/>
  <c r="X525" i="69"/>
  <c r="X526" i="69"/>
  <c r="X527" i="69"/>
  <c r="D93" i="84" s="1"/>
  <c r="X528" i="69"/>
  <c r="D94" i="84" s="1"/>
  <c r="X529" i="69"/>
  <c r="X530" i="69"/>
  <c r="D95" i="84" s="1"/>
  <c r="X531" i="69"/>
  <c r="D96" i="84" s="1"/>
  <c r="X532" i="69"/>
  <c r="D97" i="84" s="1"/>
  <c r="X533" i="69"/>
  <c r="D98" i="84" s="1"/>
  <c r="X534" i="69"/>
  <c r="X535" i="69"/>
  <c r="D99" i="84" s="1"/>
  <c r="X536" i="69"/>
  <c r="X537" i="69"/>
  <c r="D100" i="84" s="1"/>
  <c r="X538" i="69"/>
  <c r="D101" i="84" s="1"/>
  <c r="X539" i="69"/>
  <c r="D102" i="84" s="1"/>
  <c r="X540" i="69"/>
  <c r="D103" i="84" s="1"/>
  <c r="X541" i="69"/>
  <c r="D104" i="84" s="1"/>
  <c r="X542" i="69"/>
  <c r="D105" i="84" s="1"/>
  <c r="X543" i="69"/>
  <c r="D106" i="84" s="1"/>
  <c r="X544" i="69"/>
  <c r="D107" i="84" s="1"/>
  <c r="X545" i="69"/>
  <c r="X546" i="69"/>
  <c r="D108" i="84" s="1"/>
  <c r="X547" i="69"/>
  <c r="D109" i="84" s="1"/>
  <c r="X548" i="69"/>
  <c r="D110" i="84" s="1"/>
  <c r="X549" i="69"/>
  <c r="D111" i="84" s="1"/>
  <c r="X550" i="69"/>
  <c r="D112" i="84" s="1"/>
  <c r="X551" i="69"/>
  <c r="D113" i="84" s="1"/>
  <c r="X552" i="69"/>
  <c r="D114" i="84" s="1"/>
  <c r="X553" i="69"/>
  <c r="D115" i="84" s="1"/>
  <c r="X554" i="69"/>
  <c r="X555" i="69"/>
  <c r="D116" i="84" s="1"/>
  <c r="X556" i="69"/>
  <c r="D117" i="84" s="1"/>
  <c r="X557" i="69"/>
  <c r="X558" i="69"/>
  <c r="D118" i="84" s="1"/>
  <c r="X559" i="69"/>
  <c r="D119" i="84" s="1"/>
  <c r="X560" i="69"/>
  <c r="D120" i="84" s="1"/>
  <c r="X561" i="69"/>
  <c r="X562" i="69"/>
  <c r="D121" i="84" s="1"/>
  <c r="X563" i="69"/>
  <c r="D122" i="84" s="1"/>
  <c r="X564" i="69"/>
  <c r="X565" i="69"/>
  <c r="X566" i="69"/>
  <c r="X567" i="69"/>
  <c r="J875" i="11" s="1"/>
  <c r="X569" i="69"/>
  <c r="X570" i="69"/>
  <c r="X571" i="69"/>
  <c r="X572" i="69"/>
  <c r="D125" i="84" s="1"/>
  <c r="X573" i="69"/>
  <c r="D126" i="84" s="1"/>
  <c r="X574" i="69"/>
  <c r="D127" i="84" s="1"/>
  <c r="X575" i="69"/>
  <c r="X576" i="69"/>
  <c r="D128" i="84" s="1"/>
  <c r="X577" i="69"/>
  <c r="D129" i="84" s="1"/>
  <c r="X578" i="69"/>
  <c r="X579" i="69"/>
  <c r="D130" i="84" s="1"/>
  <c r="X580" i="69"/>
  <c r="X582" i="69"/>
  <c r="D132" i="84" s="1"/>
  <c r="X583" i="69"/>
  <c r="D133" i="84" s="1"/>
  <c r="X584" i="69"/>
  <c r="D134" i="84" s="1"/>
  <c r="X585" i="69"/>
  <c r="D135" i="84" s="1"/>
  <c r="X586" i="69"/>
  <c r="X587" i="69"/>
  <c r="D137" i="84" s="1"/>
  <c r="X588" i="69"/>
  <c r="D138" i="84" s="1"/>
  <c r="X589" i="69"/>
  <c r="D139" i="84" s="1"/>
  <c r="X590" i="69"/>
  <c r="D140" i="84" s="1"/>
  <c r="X591" i="69"/>
  <c r="X592" i="69"/>
  <c r="D141" i="84" s="1"/>
  <c r="X593" i="69"/>
  <c r="D142" i="84" s="1"/>
  <c r="X594" i="69"/>
  <c r="D143" i="84" s="1"/>
  <c r="X595" i="69"/>
  <c r="D144" i="84" s="1"/>
  <c r="X596" i="69"/>
  <c r="D145" i="84" s="1"/>
  <c r="X597" i="69"/>
  <c r="D146" i="84" s="1"/>
  <c r="X598" i="69"/>
  <c r="D147" i="84" s="1"/>
  <c r="X599" i="69"/>
  <c r="X600" i="69"/>
  <c r="X601" i="69"/>
  <c r="X603" i="69"/>
  <c r="D149" i="84" s="1"/>
  <c r="X604" i="69"/>
  <c r="X610" i="69"/>
  <c r="F461" i="63" s="1"/>
  <c r="X5" i="69"/>
  <c r="X6" i="69" s="1"/>
  <c r="S268" i="70"/>
  <c r="S276" i="70" s="1"/>
  <c r="T268" i="70"/>
  <c r="T276" i="70" s="1"/>
  <c r="T262" i="70"/>
  <c r="S220" i="70"/>
  <c r="T220" i="70"/>
  <c r="T221" i="70" s="1"/>
  <c r="T214" i="70"/>
  <c r="S179" i="70"/>
  <c r="T179" i="70"/>
  <c r="S170" i="70"/>
  <c r="T170" i="70"/>
  <c r="S162" i="70"/>
  <c r="T162" i="70"/>
  <c r="T173" i="70" s="1"/>
  <c r="S148" i="70"/>
  <c r="T148" i="70"/>
  <c r="S117" i="70"/>
  <c r="T117" i="70"/>
  <c r="T97" i="70"/>
  <c r="T38" i="70"/>
  <c r="S29" i="70"/>
  <c r="T29" i="70"/>
  <c r="S22" i="70"/>
  <c r="T22" i="70"/>
  <c r="U8" i="70"/>
  <c r="X8" i="70" s="1"/>
  <c r="U11" i="70"/>
  <c r="U18" i="70"/>
  <c r="U19" i="70"/>
  <c r="I40" i="9" s="1"/>
  <c r="U20" i="70"/>
  <c r="U26" i="70"/>
  <c r="U27" i="70"/>
  <c r="U28" i="70"/>
  <c r="U34" i="70"/>
  <c r="U78" i="70"/>
  <c r="U80" i="70"/>
  <c r="U83" i="70"/>
  <c r="I74" i="9" s="1"/>
  <c r="U84" i="70"/>
  <c r="I76" i="9" s="1"/>
  <c r="G76" i="9"/>
  <c r="Q76" i="9" s="1"/>
  <c r="U85" i="70"/>
  <c r="X85" i="70"/>
  <c r="G77" i="9" s="1"/>
  <c r="Q77" i="9" s="1"/>
  <c r="U86" i="70"/>
  <c r="I78" i="9" s="1"/>
  <c r="U92" i="70"/>
  <c r="F103" i="63" s="1"/>
  <c r="F104" i="63" s="1"/>
  <c r="U93" i="70"/>
  <c r="U96" i="70"/>
  <c r="F220" i="63" s="1"/>
  <c r="F221" i="63" s="1"/>
  <c r="F225" i="63" s="1"/>
  <c r="U101" i="70"/>
  <c r="G86" i="9" s="1"/>
  <c r="Q86" i="9" s="1"/>
  <c r="U102" i="70"/>
  <c r="G94" i="9" s="1"/>
  <c r="Q94" i="9" s="1"/>
  <c r="U103" i="70"/>
  <c r="I100" i="9" s="1"/>
  <c r="U104" i="70"/>
  <c r="I98" i="9" s="1"/>
  <c r="U105" i="70"/>
  <c r="G95" i="9" s="1"/>
  <c r="Q95" i="9" s="1"/>
  <c r="U106" i="70"/>
  <c r="I90" i="9" s="1"/>
  <c r="U107" i="70"/>
  <c r="G91" i="9" s="1"/>
  <c r="Q91" i="9" s="1"/>
  <c r="U108" i="70"/>
  <c r="U109" i="70"/>
  <c r="I87" i="9" s="1"/>
  <c r="U110" i="70"/>
  <c r="I93" i="9" s="1"/>
  <c r="U111" i="70"/>
  <c r="I88" i="9" s="1"/>
  <c r="U112" i="70"/>
  <c r="I92" i="9" s="1"/>
  <c r="U113" i="70"/>
  <c r="G97" i="9" s="1"/>
  <c r="Q97" i="9" s="1"/>
  <c r="U114" i="70"/>
  <c r="U115" i="70"/>
  <c r="I96" i="9" s="1"/>
  <c r="U116" i="70"/>
  <c r="I99" i="9" s="1"/>
  <c r="U123" i="70"/>
  <c r="U124" i="70"/>
  <c r="X124" i="70" s="1"/>
  <c r="U125" i="70"/>
  <c r="V125" i="70" s="1"/>
  <c r="X125" i="70" s="1"/>
  <c r="U126" i="70"/>
  <c r="X126" i="70" s="1"/>
  <c r="U128" i="70"/>
  <c r="X128" i="70" s="1"/>
  <c r="U129" i="70"/>
  <c r="X129" i="70" s="1"/>
  <c r="U130" i="70"/>
  <c r="V130" i="70" s="1"/>
  <c r="X130" i="70" s="1"/>
  <c r="U131" i="70"/>
  <c r="V131" i="70" s="1"/>
  <c r="X131" i="70" s="1"/>
  <c r="U133" i="70"/>
  <c r="X133" i="70" s="1"/>
  <c r="U134" i="70"/>
  <c r="X134" i="70" s="1"/>
  <c r="U135" i="70"/>
  <c r="V135" i="70" s="1"/>
  <c r="X135" i="70" s="1"/>
  <c r="U136" i="70"/>
  <c r="U137" i="70"/>
  <c r="U143" i="70"/>
  <c r="U146" i="70"/>
  <c r="J7" i="11" s="1"/>
  <c r="F300" i="63" s="1"/>
  <c r="U147" i="70"/>
  <c r="U152" i="70"/>
  <c r="U153" i="70"/>
  <c r="U154" i="70"/>
  <c r="U155" i="70"/>
  <c r="U156" i="70"/>
  <c r="U157" i="70"/>
  <c r="U158" i="70"/>
  <c r="U159" i="70"/>
  <c r="U160" i="70"/>
  <c r="U161" i="70"/>
  <c r="U164" i="70"/>
  <c r="J30" i="11" s="1"/>
  <c r="U166" i="70"/>
  <c r="U167" i="70"/>
  <c r="U168" i="70"/>
  <c r="U169" i="70"/>
  <c r="U171" i="70"/>
  <c r="V171" i="70" s="1"/>
  <c r="U172" i="70"/>
  <c r="H32" i="11" s="1"/>
  <c r="U176" i="70"/>
  <c r="U177" i="70"/>
  <c r="U178" i="70"/>
  <c r="U183" i="70"/>
  <c r="U184" i="70"/>
  <c r="U186" i="70"/>
  <c r="U187" i="70"/>
  <c r="U188" i="70"/>
  <c r="U189" i="70"/>
  <c r="U190" i="70"/>
  <c r="U191" i="70"/>
  <c r="U192" i="70"/>
  <c r="U193" i="70"/>
  <c r="U194" i="70"/>
  <c r="U195" i="70"/>
  <c r="U196" i="70"/>
  <c r="U197" i="70"/>
  <c r="U199" i="70"/>
  <c r="U200" i="70"/>
  <c r="U201" i="70"/>
  <c r="U202" i="70"/>
  <c r="U204" i="70"/>
  <c r="U205" i="70"/>
  <c r="U206" i="70"/>
  <c r="U207" i="70"/>
  <c r="U208" i="70"/>
  <c r="U209" i="70"/>
  <c r="V209" i="70" s="1"/>
  <c r="X209" i="70" s="1"/>
  <c r="U210" i="70"/>
  <c r="U211" i="70"/>
  <c r="U213" i="70"/>
  <c r="U216" i="70"/>
  <c r="H96" i="11" s="1"/>
  <c r="U217" i="70"/>
  <c r="J98" i="11" s="1"/>
  <c r="U218" i="70"/>
  <c r="U219" i="70"/>
  <c r="U227" i="70"/>
  <c r="U229" i="70"/>
  <c r="U230" i="70"/>
  <c r="U231" i="70"/>
  <c r="U232" i="70"/>
  <c r="U233" i="70"/>
  <c r="J197" i="11" s="1"/>
  <c r="U235" i="70"/>
  <c r="U236" i="70"/>
  <c r="V236" i="70" s="1"/>
  <c r="X236" i="70" s="1"/>
  <c r="U237" i="70"/>
  <c r="U238" i="70"/>
  <c r="U239" i="70"/>
  <c r="U240" i="70"/>
  <c r="U241" i="70"/>
  <c r="U242" i="70"/>
  <c r="U243" i="70"/>
  <c r="V248" i="70"/>
  <c r="U244" i="70"/>
  <c r="U255" i="70"/>
  <c r="U256" i="70"/>
  <c r="U257" i="70"/>
  <c r="U258" i="70"/>
  <c r="J215" i="11" s="1"/>
  <c r="K54" i="4" s="1"/>
  <c r="U259" i="70"/>
  <c r="U260" i="70"/>
  <c r="H214" i="11" s="1"/>
  <c r="U265" i="70"/>
  <c r="U266" i="70"/>
  <c r="U268" i="70" s="1"/>
  <c r="U267" i="70"/>
  <c r="U269" i="70"/>
  <c r="H266" i="11" s="1"/>
  <c r="U271" i="70"/>
  <c r="U272" i="70"/>
  <c r="J258" i="11" s="1"/>
  <c r="U275" i="70"/>
  <c r="J267" i="11" s="1"/>
  <c r="U5" i="70"/>
  <c r="I14" i="9" s="1"/>
  <c r="I6" i="9" s="1"/>
  <c r="Q334" i="69"/>
  <c r="Q493" i="69"/>
  <c r="Q605" i="69" s="1"/>
  <c r="Q12" i="70"/>
  <c r="Q13" i="70"/>
  <c r="U179" i="70"/>
  <c r="U29" i="70"/>
  <c r="I64" i="9" s="1"/>
  <c r="S173" i="70"/>
  <c r="T149" i="69"/>
  <c r="W296" i="69"/>
  <c r="X51" i="69"/>
  <c r="J305" i="11" s="1"/>
  <c r="T296" i="69"/>
  <c r="X321" i="69"/>
  <c r="J656" i="11" s="1"/>
  <c r="J27" i="5" s="1"/>
  <c r="E34" i="79" s="1"/>
  <c r="X276" i="69"/>
  <c r="J563" i="11" s="1"/>
  <c r="X242" i="69"/>
  <c r="J556" i="11" s="1"/>
  <c r="J20" i="5" s="1"/>
  <c r="E11" i="79" s="1"/>
  <c r="X117" i="69"/>
  <c r="J15" i="5" s="1"/>
  <c r="E9" i="79" s="1"/>
  <c r="V296" i="69"/>
  <c r="T173" i="69"/>
  <c r="U296" i="69"/>
  <c r="S53" i="69"/>
  <c r="I51" i="10"/>
  <c r="I22" i="10"/>
  <c r="I23" i="10"/>
  <c r="I24" i="10"/>
  <c r="I25" i="10"/>
  <c r="I26" i="10"/>
  <c r="I27" i="10"/>
  <c r="I28" i="10"/>
  <c r="I21" i="10"/>
  <c r="I20" i="10"/>
  <c r="D7" i="76"/>
  <c r="D126" i="10"/>
  <c r="F21" i="77" s="1"/>
  <c r="D117" i="10"/>
  <c r="Q215" i="70"/>
  <c r="Q127" i="70"/>
  <c r="I43" i="6"/>
  <c r="I30" i="10"/>
  <c r="I29" i="10"/>
  <c r="H19" i="10"/>
  <c r="E19" i="10"/>
  <c r="D19" i="10"/>
  <c r="Q126" i="70"/>
  <c r="C19" i="10"/>
  <c r="E370" i="63"/>
  <c r="F366" i="63"/>
  <c r="E366" i="63"/>
  <c r="F358" i="63"/>
  <c r="F360" i="63" s="1"/>
  <c r="E358" i="63"/>
  <c r="E360" i="63" s="1"/>
  <c r="Q20" i="70"/>
  <c r="G19" i="10"/>
  <c r="Q137" i="70"/>
  <c r="Q136" i="70"/>
  <c r="D146" i="10"/>
  <c r="E146" i="10"/>
  <c r="G146" i="10"/>
  <c r="Q143" i="70"/>
  <c r="Q140" i="70"/>
  <c r="D136" i="10"/>
  <c r="E136" i="10"/>
  <c r="G136" i="10"/>
  <c r="Q133" i="70"/>
  <c r="Q87" i="70"/>
  <c r="R87" i="70" s="1"/>
  <c r="Q40" i="70"/>
  <c r="J956" i="11"/>
  <c r="J963" i="11" s="1"/>
  <c r="H34" i="82"/>
  <c r="Q234" i="70"/>
  <c r="Q248" i="70" s="1"/>
  <c r="Q249" i="70" s="1"/>
  <c r="Q35" i="70"/>
  <c r="Q5" i="69"/>
  <c r="R5" i="69" s="1"/>
  <c r="R6" i="69" s="1"/>
  <c r="Q186" i="70"/>
  <c r="C24" i="76"/>
  <c r="E22" i="77" s="1"/>
  <c r="Q325" i="69"/>
  <c r="J159" i="11"/>
  <c r="J152" i="11"/>
  <c r="J145" i="11"/>
  <c r="J138" i="11"/>
  <c r="H159" i="11"/>
  <c r="H152" i="11"/>
  <c r="H145" i="11"/>
  <c r="H138" i="11"/>
  <c r="H129" i="11"/>
  <c r="H122" i="11"/>
  <c r="O502" i="69"/>
  <c r="O339" i="69"/>
  <c r="O341" i="69"/>
  <c r="P215" i="70"/>
  <c r="P13" i="70"/>
  <c r="R13" i="70" s="1"/>
  <c r="P8" i="70"/>
  <c r="R8" i="70" s="1"/>
  <c r="P177" i="70"/>
  <c r="P179" i="70" s="1"/>
  <c r="R613" i="69"/>
  <c r="R614" i="69"/>
  <c r="R615" i="69"/>
  <c r="R616" i="69"/>
  <c r="R617" i="69"/>
  <c r="R618" i="69"/>
  <c r="P493" i="69"/>
  <c r="R493" i="69"/>
  <c r="P20" i="70"/>
  <c r="P339" i="69"/>
  <c r="R339" i="69" s="1"/>
  <c r="P136" i="70"/>
  <c r="P137" i="70"/>
  <c r="R137" i="70" s="1"/>
  <c r="P334" i="69"/>
  <c r="R334" i="69" s="1"/>
  <c r="R335" i="69" s="1"/>
  <c r="I23" i="7"/>
  <c r="P132" i="70"/>
  <c r="R132" i="70" s="1"/>
  <c r="P123" i="70"/>
  <c r="R123" i="70" s="1"/>
  <c r="P127" i="70"/>
  <c r="R127" i="70" s="1"/>
  <c r="P126" i="70"/>
  <c r="K341" i="69"/>
  <c r="L493" i="69"/>
  <c r="Q135" i="9"/>
  <c r="Q134" i="9"/>
  <c r="Q133" i="9"/>
  <c r="Q132" i="9"/>
  <c r="Q131" i="9"/>
  <c r="Q130" i="9"/>
  <c r="Q129" i="9"/>
  <c r="Q128" i="9"/>
  <c r="Q127" i="9"/>
  <c r="Q126" i="9"/>
  <c r="Q125" i="9"/>
  <c r="Q124" i="9"/>
  <c r="Q123" i="9"/>
  <c r="Q122" i="9"/>
  <c r="Q121" i="9"/>
  <c r="Q120" i="9"/>
  <c r="Q119" i="9"/>
  <c r="Q118" i="9"/>
  <c r="Q117" i="9"/>
  <c r="Q116" i="9"/>
  <c r="Q115" i="9"/>
  <c r="Q114" i="9"/>
  <c r="Q113" i="9"/>
  <c r="Q112" i="9"/>
  <c r="Q111" i="9"/>
  <c r="Q110" i="9"/>
  <c r="Q109" i="9"/>
  <c r="Q108" i="9"/>
  <c r="Q107" i="9"/>
  <c r="Q106" i="9"/>
  <c r="Q105" i="9"/>
  <c r="Q104" i="9"/>
  <c r="Q103" i="9"/>
  <c r="Q101" i="9"/>
  <c r="Q85" i="9"/>
  <c r="Q84" i="9"/>
  <c r="Q83" i="9"/>
  <c r="Q82" i="9"/>
  <c r="Q71" i="9"/>
  <c r="Q70" i="9"/>
  <c r="Q69" i="9"/>
  <c r="Q68" i="9"/>
  <c r="Q67" i="9"/>
  <c r="Q66" i="9"/>
  <c r="Q65" i="9"/>
  <c r="Q63" i="9"/>
  <c r="Q62" i="9"/>
  <c r="Q61" i="9"/>
  <c r="Q58" i="9"/>
  <c r="Q56" i="9"/>
  <c r="Q55" i="9"/>
  <c r="Q54" i="9"/>
  <c r="Q53" i="9"/>
  <c r="Q52" i="9"/>
  <c r="Q51" i="9"/>
  <c r="Q50" i="9"/>
  <c r="Q49" i="9"/>
  <c r="Q48" i="9"/>
  <c r="Q47" i="9"/>
  <c r="Q45" i="9"/>
  <c r="Q44" i="9"/>
  <c r="Q42" i="9"/>
  <c r="Q33" i="9"/>
  <c r="Q32" i="9"/>
  <c r="Q31" i="9"/>
  <c r="Q26" i="9"/>
  <c r="Q13" i="9"/>
  <c r="Q10" i="9"/>
  <c r="Q9" i="9"/>
  <c r="Q8" i="9"/>
  <c r="Q7" i="9"/>
  <c r="AN8" i="88"/>
  <c r="AN1" i="88" s="1"/>
  <c r="AB10" i="88"/>
  <c r="AP10" i="88" s="1"/>
  <c r="AS10" i="88" s="1"/>
  <c r="V1" i="88"/>
  <c r="Y1" i="88"/>
  <c r="AB8" i="88"/>
  <c r="AB1" i="88" s="1"/>
  <c r="AB120" i="88"/>
  <c r="AP120" i="88" s="1"/>
  <c r="AS120" i="88" s="1"/>
  <c r="AB119" i="88"/>
  <c r="AP119" i="88" s="1"/>
  <c r="AS119" i="88" s="1"/>
  <c r="AB130" i="88"/>
  <c r="AB121" i="88"/>
  <c r="AP121" i="88" s="1"/>
  <c r="AS121" i="88" s="1"/>
  <c r="AO264" i="88"/>
  <c r="AN264" i="88"/>
  <c r="AB264" i="88"/>
  <c r="AP264" i="88" s="1"/>
  <c r="AY259" i="88"/>
  <c r="P259" i="88"/>
  <c r="J259" i="88"/>
  <c r="AY258" i="88"/>
  <c r="AY257" i="88"/>
  <c r="P257" i="88"/>
  <c r="J257" i="88"/>
  <c r="J260" i="88" s="1"/>
  <c r="AY256" i="88"/>
  <c r="P256" i="88"/>
  <c r="J256" i="88"/>
  <c r="AY255" i="88"/>
  <c r="P255" i="88"/>
  <c r="AX254" i="88"/>
  <c r="AX260" i="88" s="1"/>
  <c r="AW254" i="88"/>
  <c r="AW260" i="88" s="1"/>
  <c r="O254" i="88"/>
  <c r="O260" i="88" s="1"/>
  <c r="N254" i="88"/>
  <c r="N260" i="88"/>
  <c r="L254" i="88"/>
  <c r="L260" i="88" s="1"/>
  <c r="I254" i="88"/>
  <c r="I260" i="88" s="1"/>
  <c r="H254" i="88"/>
  <c r="H260" i="88" s="1"/>
  <c r="G254" i="88"/>
  <c r="G260" i="88"/>
  <c r="AY253" i="88"/>
  <c r="P253" i="88"/>
  <c r="J253" i="88"/>
  <c r="AY252" i="88"/>
  <c r="P252" i="88"/>
  <c r="J252" i="88"/>
  <c r="J254" i="88" s="1"/>
  <c r="AY251" i="88"/>
  <c r="P251" i="88"/>
  <c r="J251" i="88"/>
  <c r="AX248" i="88"/>
  <c r="AW248" i="88"/>
  <c r="O248" i="88"/>
  <c r="N248" i="88"/>
  <c r="L248" i="88"/>
  <c r="I248" i="88"/>
  <c r="H248" i="88"/>
  <c r="G248" i="88"/>
  <c r="AY247" i="88"/>
  <c r="P247" i="88"/>
  <c r="J247" i="88"/>
  <c r="AY246" i="88"/>
  <c r="P246" i="88"/>
  <c r="AY245" i="88"/>
  <c r="P245" i="88"/>
  <c r="J245" i="88"/>
  <c r="AY244" i="88"/>
  <c r="P244" i="88"/>
  <c r="J244" i="88"/>
  <c r="AY243" i="88"/>
  <c r="P243" i="88"/>
  <c r="J243" i="88"/>
  <c r="AY242" i="88"/>
  <c r="P242" i="88"/>
  <c r="J242" i="88"/>
  <c r="AY241" i="88"/>
  <c r="P241" i="88"/>
  <c r="J241" i="88"/>
  <c r="AY240" i="88"/>
  <c r="AY248" i="88" s="1"/>
  <c r="P240" i="88"/>
  <c r="J240" i="88"/>
  <c r="AY237" i="88"/>
  <c r="AX234" i="88"/>
  <c r="AX235" i="88" s="1"/>
  <c r="L234" i="88"/>
  <c r="L235" i="88" s="1"/>
  <c r="I234" i="88"/>
  <c r="I235" i="88" s="1"/>
  <c r="H234" i="88"/>
  <c r="H235" i="88" s="1"/>
  <c r="G234" i="88"/>
  <c r="G235" i="88" s="1"/>
  <c r="AY233" i="88"/>
  <c r="P233" i="88"/>
  <c r="J233" i="88"/>
  <c r="AW232" i="88"/>
  <c r="AY232" i="88" s="1"/>
  <c r="AY231" i="88"/>
  <c r="P231" i="88"/>
  <c r="J231" i="88"/>
  <c r="AY230" i="88"/>
  <c r="P230" i="88"/>
  <c r="J230" i="88"/>
  <c r="AY229" i="88"/>
  <c r="N229" i="88"/>
  <c r="J229" i="88"/>
  <c r="AY228" i="88"/>
  <c r="P228" i="88"/>
  <c r="J228" i="88"/>
  <c r="AY227" i="88"/>
  <c r="P227" i="88"/>
  <c r="J227" i="88"/>
  <c r="AY226" i="88"/>
  <c r="AY225" i="88"/>
  <c r="P225" i="88"/>
  <c r="J225" i="88"/>
  <c r="AW224" i="88"/>
  <c r="AY224" i="88" s="1"/>
  <c r="P224" i="88"/>
  <c r="J224" i="88"/>
  <c r="AY223" i="88"/>
  <c r="P223" i="88"/>
  <c r="J223" i="88"/>
  <c r="AW222" i="88"/>
  <c r="AY222" i="88"/>
  <c r="P222" i="88"/>
  <c r="J222" i="88"/>
  <c r="AY221" i="88"/>
  <c r="P221" i="88"/>
  <c r="J221" i="88"/>
  <c r="AY220" i="88"/>
  <c r="P220" i="88"/>
  <c r="AY219" i="88"/>
  <c r="P219" i="88"/>
  <c r="AW218" i="88"/>
  <c r="AY218" i="88" s="1"/>
  <c r="AY217" i="88"/>
  <c r="O217" i="88"/>
  <c r="O234" i="88" s="1"/>
  <c r="O235" i="88" s="1"/>
  <c r="AY216" i="88"/>
  <c r="P216" i="88"/>
  <c r="AY215" i="88"/>
  <c r="P215" i="88"/>
  <c r="AY214" i="88"/>
  <c r="P214" i="88"/>
  <c r="P234" i="88" s="1"/>
  <c r="P235" i="88" s="1"/>
  <c r="AX210" i="88"/>
  <c r="AW210" i="88"/>
  <c r="O210" i="88"/>
  <c r="N210" i="88"/>
  <c r="L210" i="88"/>
  <c r="I210" i="88"/>
  <c r="H210" i="88"/>
  <c r="G210" i="88"/>
  <c r="G211" i="88" s="1"/>
  <c r="G262" i="88" s="1"/>
  <c r="AY209" i="88"/>
  <c r="P209" i="88"/>
  <c r="J209" i="88"/>
  <c r="AY208" i="88"/>
  <c r="AY210" i="88" s="1"/>
  <c r="P208" i="88"/>
  <c r="J208" i="88"/>
  <c r="J210" i="88" s="1"/>
  <c r="AY207" i="88"/>
  <c r="P207" i="88"/>
  <c r="P210" i="88" s="1"/>
  <c r="AW206" i="88"/>
  <c r="AY206" i="88" s="1"/>
  <c r="P206" i="88"/>
  <c r="AW205" i="88"/>
  <c r="AY205" i="88" s="1"/>
  <c r="P205" i="88"/>
  <c r="J205" i="88"/>
  <c r="AX204" i="88"/>
  <c r="AX211" i="88" s="1"/>
  <c r="O204" i="88"/>
  <c r="O211" i="88" s="1"/>
  <c r="N204" i="88"/>
  <c r="N211" i="88" s="1"/>
  <c r="L204" i="88"/>
  <c r="I204" i="88"/>
  <c r="G204" i="88"/>
  <c r="AW203" i="88"/>
  <c r="AY203" i="88" s="1"/>
  <c r="P203" i="88"/>
  <c r="J203" i="88"/>
  <c r="AY202" i="88"/>
  <c r="AY201" i="88"/>
  <c r="P201" i="88"/>
  <c r="J201" i="88"/>
  <c r="AY200" i="88"/>
  <c r="AY199" i="88"/>
  <c r="AW198" i="88"/>
  <c r="AY198" i="88" s="1"/>
  <c r="P198" i="88"/>
  <c r="AY197" i="88"/>
  <c r="AW196" i="88"/>
  <c r="AY196" i="88" s="1"/>
  <c r="P196" i="88"/>
  <c r="J196" i="88"/>
  <c r="AW195" i="88"/>
  <c r="AY195" i="88" s="1"/>
  <c r="P195" i="88"/>
  <c r="J195" i="88"/>
  <c r="AY194" i="88"/>
  <c r="P194" i="88"/>
  <c r="J194" i="88"/>
  <c r="AW193" i="88"/>
  <c r="AY193" i="88" s="1"/>
  <c r="P193" i="88"/>
  <c r="J193" i="88"/>
  <c r="AY192" i="88"/>
  <c r="P192" i="88"/>
  <c r="J192" i="88"/>
  <c r="AY191" i="88"/>
  <c r="P191" i="88"/>
  <c r="J191" i="88"/>
  <c r="AY190" i="88"/>
  <c r="P190" i="88"/>
  <c r="J190" i="88"/>
  <c r="AW189" i="88"/>
  <c r="AY189" i="88" s="1"/>
  <c r="P189" i="88"/>
  <c r="J189" i="88"/>
  <c r="AY188" i="88"/>
  <c r="P188" i="88"/>
  <c r="J188" i="88"/>
  <c r="AW187" i="88"/>
  <c r="AY187" i="88" s="1"/>
  <c r="P187" i="88"/>
  <c r="J187" i="88"/>
  <c r="AY186" i="88"/>
  <c r="P186" i="88"/>
  <c r="J186" i="88"/>
  <c r="AY185" i="88"/>
  <c r="P185" i="88"/>
  <c r="J185" i="88"/>
  <c r="AW184" i="88"/>
  <c r="AY184" i="88" s="1"/>
  <c r="P184" i="88"/>
  <c r="J184" i="88"/>
  <c r="AY183" i="88"/>
  <c r="P183" i="88"/>
  <c r="J183" i="88"/>
  <c r="AW182" i="88"/>
  <c r="AY182" i="88" s="1"/>
  <c r="P182" i="88"/>
  <c r="J182" i="88"/>
  <c r="AY181" i="88"/>
  <c r="P181" i="88"/>
  <c r="J181" i="88"/>
  <c r="AW180" i="88"/>
  <c r="AY180" i="88" s="1"/>
  <c r="P180" i="88"/>
  <c r="J180" i="88"/>
  <c r="AW179" i="88"/>
  <c r="AY179" i="88" s="1"/>
  <c r="P179" i="88"/>
  <c r="J179" i="88"/>
  <c r="AY178" i="88"/>
  <c r="P178" i="88"/>
  <c r="H178" i="88"/>
  <c r="J178" i="88" s="1"/>
  <c r="J204" i="88" s="1"/>
  <c r="J211" i="88" s="1"/>
  <c r="AW177" i="88"/>
  <c r="AY177" i="88" s="1"/>
  <c r="P177" i="88"/>
  <c r="J177" i="88"/>
  <c r="AW176" i="88"/>
  <c r="P176" i="88"/>
  <c r="H176" i="88"/>
  <c r="AX173" i="88"/>
  <c r="AW173" i="88"/>
  <c r="O173" i="88"/>
  <c r="N173" i="88"/>
  <c r="L173" i="88"/>
  <c r="I173" i="88"/>
  <c r="G173" i="88"/>
  <c r="AY172" i="88"/>
  <c r="P172" i="88"/>
  <c r="J172" i="88"/>
  <c r="AY171" i="88"/>
  <c r="P171" i="88"/>
  <c r="J171" i="88"/>
  <c r="AY170" i="88"/>
  <c r="P170" i="88"/>
  <c r="H170" i="88"/>
  <c r="H173" i="88" s="1"/>
  <c r="AY166" i="88"/>
  <c r="P166" i="88"/>
  <c r="J166" i="88"/>
  <c r="AX164" i="88"/>
  <c r="AW164" i="88"/>
  <c r="O164" i="88"/>
  <c r="N164" i="88"/>
  <c r="L164" i="88"/>
  <c r="I164" i="88"/>
  <c r="H164" i="88"/>
  <c r="G164" i="88"/>
  <c r="G167" i="88" s="1"/>
  <c r="AY163" i="88"/>
  <c r="P163" i="88"/>
  <c r="J163" i="88"/>
  <c r="AY162" i="88"/>
  <c r="P162" i="88"/>
  <c r="J162" i="88"/>
  <c r="AY161" i="88"/>
  <c r="P161" i="88"/>
  <c r="P164" i="88" s="1"/>
  <c r="J161" i="88"/>
  <c r="AY160" i="88"/>
  <c r="P160" i="88"/>
  <c r="J160" i="88"/>
  <c r="AY158" i="88"/>
  <c r="P158" i="88"/>
  <c r="J158" i="88"/>
  <c r="AX157" i="88"/>
  <c r="AX167" i="88" s="1"/>
  <c r="AW157" i="88"/>
  <c r="O157" i="88"/>
  <c r="O167" i="88" s="1"/>
  <c r="N157" i="88"/>
  <c r="L157" i="88"/>
  <c r="I157" i="88"/>
  <c r="H157" i="88"/>
  <c r="G157" i="88"/>
  <c r="AY156" i="88"/>
  <c r="P156" i="88"/>
  <c r="J156" i="88"/>
  <c r="AY155" i="88"/>
  <c r="P155" i="88"/>
  <c r="J155" i="88"/>
  <c r="AY154" i="88"/>
  <c r="P154" i="88"/>
  <c r="J154" i="88"/>
  <c r="AY153" i="88"/>
  <c r="P153" i="88"/>
  <c r="J153" i="88"/>
  <c r="AY152" i="88"/>
  <c r="P152" i="88"/>
  <c r="J152" i="88"/>
  <c r="AY151" i="88"/>
  <c r="P151" i="88"/>
  <c r="J151" i="88"/>
  <c r="AY150" i="88"/>
  <c r="P150" i="88"/>
  <c r="J150" i="88"/>
  <c r="AY149" i="88"/>
  <c r="P149" i="88"/>
  <c r="J149" i="88"/>
  <c r="AY148" i="88"/>
  <c r="P148" i="88"/>
  <c r="J148" i="88"/>
  <c r="AY147" i="88"/>
  <c r="P147" i="88"/>
  <c r="J147" i="88"/>
  <c r="AX143" i="88"/>
  <c r="AW143" i="88"/>
  <c r="O143" i="88"/>
  <c r="N143" i="88"/>
  <c r="L143" i="88"/>
  <c r="I143" i="88"/>
  <c r="H143" i="88"/>
  <c r="G143" i="88"/>
  <c r="AY142" i="88"/>
  <c r="P142" i="88"/>
  <c r="J142" i="88"/>
  <c r="J143" i="88" s="1"/>
  <c r="AY141" i="88"/>
  <c r="P141" i="88"/>
  <c r="J141" i="88"/>
  <c r="AW138" i="88"/>
  <c r="AY138" i="88" s="1"/>
  <c r="BF138" i="88"/>
  <c r="AN138" i="88"/>
  <c r="AB138" i="88"/>
  <c r="AP138" i="88" s="1"/>
  <c r="AS138" i="88" s="1"/>
  <c r="N138" i="88"/>
  <c r="P138" i="88"/>
  <c r="H138" i="88"/>
  <c r="J138" i="88" s="1"/>
  <c r="BK137" i="88"/>
  <c r="BI137" i="88"/>
  <c r="BH137" i="88"/>
  <c r="BF137" i="88"/>
  <c r="BL136" i="88"/>
  <c r="BJ136" i="88"/>
  <c r="AX136" i="88"/>
  <c r="L136" i="88"/>
  <c r="I136" i="88"/>
  <c r="H136" i="88"/>
  <c r="G136" i="88"/>
  <c r="BL135" i="88"/>
  <c r="BJ135" i="88"/>
  <c r="AY135" i="88"/>
  <c r="BF135" i="88" s="1"/>
  <c r="AN135" i="88"/>
  <c r="AB135" i="88"/>
  <c r="AP135" i="88" s="1"/>
  <c r="N135" i="88"/>
  <c r="P135" i="88" s="1"/>
  <c r="BL134" i="88"/>
  <c r="BJ134" i="88"/>
  <c r="AW134" i="88"/>
  <c r="AY134" i="88" s="1"/>
  <c r="BE134" i="88" s="1"/>
  <c r="BF134" i="88" s="1"/>
  <c r="AB134" i="88"/>
  <c r="AP134" i="88" s="1"/>
  <c r="AS134" i="88" s="1"/>
  <c r="N134" i="88"/>
  <c r="P134" i="88" s="1"/>
  <c r="J134" i="88"/>
  <c r="BL133" i="88"/>
  <c r="BJ133" i="88"/>
  <c r="AW133" i="88"/>
  <c r="AY133" i="88"/>
  <c r="BE133" i="88" s="1"/>
  <c r="BF133" i="88" s="1"/>
  <c r="P133" i="88"/>
  <c r="AQ133" i="88" s="1"/>
  <c r="AU133" i="88" s="1"/>
  <c r="J133" i="88"/>
  <c r="BL132" i="88"/>
  <c r="BJ132" i="88"/>
  <c r="AY132" i="88"/>
  <c r="BF132" i="88" s="1"/>
  <c r="AN132" i="88"/>
  <c r="AB132" i="88"/>
  <c r="AP132" i="88" s="1"/>
  <c r="P132" i="88"/>
  <c r="J132" i="88"/>
  <c r="BL131" i="88"/>
  <c r="BJ131" i="88"/>
  <c r="AW131" i="88"/>
  <c r="AY131" i="88" s="1"/>
  <c r="BE131" i="88" s="1"/>
  <c r="BF131" i="88" s="1"/>
  <c r="AN131" i="88"/>
  <c r="AB131" i="88"/>
  <c r="P131" i="88"/>
  <c r="AQ131" i="88" s="1"/>
  <c r="AU131" i="88" s="1"/>
  <c r="J131" i="88"/>
  <c r="BL130" i="88"/>
  <c r="BJ130" i="88"/>
  <c r="AY130" i="88"/>
  <c r="BF130" i="88" s="1"/>
  <c r="AN130" i="88"/>
  <c r="O130" i="88"/>
  <c r="P130" i="88" s="1"/>
  <c r="J130" i="88"/>
  <c r="BL129" i="88"/>
  <c r="BJ129" i="88"/>
  <c r="AW129" i="88"/>
  <c r="AY129" i="88" s="1"/>
  <c r="BF129" i="88" s="1"/>
  <c r="AN129" i="88"/>
  <c r="AB129" i="88"/>
  <c r="AP129" i="88"/>
  <c r="AS129" i="88" s="1"/>
  <c r="O129" i="88"/>
  <c r="P129" i="88" s="1"/>
  <c r="J129" i="88"/>
  <c r="AN128" i="88"/>
  <c r="AQ128" i="88" s="1"/>
  <c r="AU128" i="88" s="1"/>
  <c r="AB128" i="88"/>
  <c r="AP128" i="88" s="1"/>
  <c r="AS128" i="88" s="1"/>
  <c r="AN127" i="88"/>
  <c r="AB127" i="88"/>
  <c r="AP127" i="88" s="1"/>
  <c r="BL126" i="88"/>
  <c r="BJ126" i="88"/>
  <c r="AW126" i="88"/>
  <c r="AY126" i="88" s="1"/>
  <c r="AN126" i="88"/>
  <c r="AB126" i="88"/>
  <c r="AQ126" i="88" s="1"/>
  <c r="AU126" i="88" s="1"/>
  <c r="P126" i="88"/>
  <c r="J126" i="88"/>
  <c r="BL125" i="88"/>
  <c r="BJ125" i="88"/>
  <c r="AW125" i="88"/>
  <c r="AN125" i="88"/>
  <c r="AB125" i="88"/>
  <c r="AP125" i="88" s="1"/>
  <c r="AS125" i="88" s="1"/>
  <c r="N125" i="88"/>
  <c r="P125" i="88" s="1"/>
  <c r="AQ125" i="88" s="1"/>
  <c r="AU125" i="88" s="1"/>
  <c r="J125" i="88"/>
  <c r="BL124" i="88"/>
  <c r="BJ124" i="88"/>
  <c r="BE124" i="88"/>
  <c r="BF124" i="88" s="1"/>
  <c r="AW124" i="88"/>
  <c r="AY124" i="88" s="1"/>
  <c r="AN124" i="88"/>
  <c r="AQ124" i="88" s="1"/>
  <c r="AU124" i="88" s="1"/>
  <c r="AB124" i="88"/>
  <c r="AP124" i="88"/>
  <c r="AS124" i="88" s="1"/>
  <c r="P124" i="88"/>
  <c r="J124" i="88"/>
  <c r="J136" i="88" s="1"/>
  <c r="BL123" i="88"/>
  <c r="BJ123" i="88"/>
  <c r="BE123" i="88"/>
  <c r="AW123" i="88"/>
  <c r="AY123" i="88" s="1"/>
  <c r="AN123" i="88"/>
  <c r="AB123" i="88"/>
  <c r="AP123" i="88" s="1"/>
  <c r="AS123" i="88" s="1"/>
  <c r="P123" i="88"/>
  <c r="J123" i="88"/>
  <c r="BL122" i="88"/>
  <c r="BJ122" i="88"/>
  <c r="AY122" i="88"/>
  <c r="BF122" i="88" s="1"/>
  <c r="AO122" i="88"/>
  <c r="AN122" i="88"/>
  <c r="AB122" i="88"/>
  <c r="AP122" i="88" s="1"/>
  <c r="AS122" i="88" s="1"/>
  <c r="N122" i="88"/>
  <c r="J122" i="88"/>
  <c r="BL121" i="88"/>
  <c r="BJ121" i="88"/>
  <c r="AW121" i="88"/>
  <c r="AY121" i="88" s="1"/>
  <c r="AO121" i="88"/>
  <c r="AN121" i="88"/>
  <c r="P121" i="88"/>
  <c r="J121" i="88"/>
  <c r="BL120" i="88"/>
  <c r="BJ120" i="88"/>
  <c r="AW120" i="88"/>
  <c r="AY120" i="88" s="1"/>
  <c r="AN120" i="88"/>
  <c r="P120" i="88"/>
  <c r="J120" i="88"/>
  <c r="AW119" i="88"/>
  <c r="AY119" i="88" s="1"/>
  <c r="BF119" i="88" s="1"/>
  <c r="AN119" i="88"/>
  <c r="O119" i="88"/>
  <c r="J119" i="88"/>
  <c r="AX114" i="88"/>
  <c r="AW114" i="88"/>
  <c r="O114" i="88"/>
  <c r="N114" i="88"/>
  <c r="L114" i="88"/>
  <c r="I114" i="88"/>
  <c r="H114" i="88"/>
  <c r="G114" i="88"/>
  <c r="AY113" i="88"/>
  <c r="P113" i="88"/>
  <c r="J113" i="88"/>
  <c r="AY112" i="88"/>
  <c r="P112" i="88"/>
  <c r="J112" i="88"/>
  <c r="AY111" i="88"/>
  <c r="P111" i="88"/>
  <c r="J111" i="88"/>
  <c r="AY110" i="88"/>
  <c r="P110" i="88"/>
  <c r="J110" i="88"/>
  <c r="AY109" i="88"/>
  <c r="P109" i="88"/>
  <c r="J109" i="88"/>
  <c r="AY108" i="88"/>
  <c r="P108" i="88"/>
  <c r="J108" i="88"/>
  <c r="AY107" i="88"/>
  <c r="P107" i="88"/>
  <c r="J107" i="88"/>
  <c r="AY106" i="88"/>
  <c r="P106" i="88"/>
  <c r="J106" i="88"/>
  <c r="AY105" i="88"/>
  <c r="P105" i="88"/>
  <c r="J105" i="88"/>
  <c r="AY104" i="88"/>
  <c r="P104" i="88"/>
  <c r="J104" i="88"/>
  <c r="AY103" i="88"/>
  <c r="P103" i="88"/>
  <c r="J103" i="88"/>
  <c r="AY102" i="88"/>
  <c r="P102" i="88"/>
  <c r="J102" i="88"/>
  <c r="AY101" i="88"/>
  <c r="P101" i="88"/>
  <c r="J101" i="88"/>
  <c r="AY100" i="88"/>
  <c r="P100" i="88"/>
  <c r="J100" i="88"/>
  <c r="AY99" i="88"/>
  <c r="P99" i="88"/>
  <c r="J99" i="88"/>
  <c r="AY98" i="88"/>
  <c r="P98" i="88"/>
  <c r="J98" i="88"/>
  <c r="AX94" i="88"/>
  <c r="O94" i="88"/>
  <c r="N94" i="88"/>
  <c r="L94" i="88"/>
  <c r="I94" i="88"/>
  <c r="H94" i="88"/>
  <c r="G94" i="88"/>
  <c r="AW93" i="88"/>
  <c r="AY93" i="88" s="1"/>
  <c r="P93" i="88"/>
  <c r="J93" i="88"/>
  <c r="AW92" i="88"/>
  <c r="AY92" i="88" s="1"/>
  <c r="P92" i="88"/>
  <c r="J92" i="88"/>
  <c r="AY91" i="88"/>
  <c r="AY90" i="88"/>
  <c r="P90" i="88"/>
  <c r="J90" i="88"/>
  <c r="J94" i="88" s="1"/>
  <c r="AW89" i="88"/>
  <c r="P89" i="88"/>
  <c r="P94" i="88" s="1"/>
  <c r="J89" i="88"/>
  <c r="AY88" i="88"/>
  <c r="P88" i="88"/>
  <c r="AW85" i="88"/>
  <c r="AY85" i="88" s="1"/>
  <c r="P85" i="88"/>
  <c r="AY84" i="88"/>
  <c r="O84" i="88"/>
  <c r="P84" i="88" s="1"/>
  <c r="AY83" i="88"/>
  <c r="P83" i="88"/>
  <c r="J83" i="88"/>
  <c r="AY82" i="88"/>
  <c r="P82" i="88"/>
  <c r="J82" i="88"/>
  <c r="AY81" i="88"/>
  <c r="P81" i="88"/>
  <c r="J81" i="88"/>
  <c r="AY80" i="88"/>
  <c r="P80" i="88"/>
  <c r="J80" i="88"/>
  <c r="AX78" i="88"/>
  <c r="O78" i="88"/>
  <c r="L78" i="88"/>
  <c r="I78" i="88"/>
  <c r="H78" i="88"/>
  <c r="G78" i="88"/>
  <c r="AY77" i="88"/>
  <c r="P77" i="88"/>
  <c r="J77" i="88"/>
  <c r="AY76" i="88"/>
  <c r="N76" i="88"/>
  <c r="N78" i="88" s="1"/>
  <c r="N86" i="88" s="1"/>
  <c r="AY75" i="88"/>
  <c r="P75" i="88"/>
  <c r="J75" i="88"/>
  <c r="AY74" i="88"/>
  <c r="AY73" i="88"/>
  <c r="P73" i="88"/>
  <c r="J73" i="88"/>
  <c r="AY72" i="88"/>
  <c r="P72" i="88"/>
  <c r="J72" i="88"/>
  <c r="AY71" i="88"/>
  <c r="P71" i="88"/>
  <c r="J71" i="88"/>
  <c r="AY70" i="88"/>
  <c r="P70" i="88"/>
  <c r="J70" i="88"/>
  <c r="AY69" i="88"/>
  <c r="P69" i="88"/>
  <c r="J69" i="88"/>
  <c r="AY68" i="88"/>
  <c r="P68" i="88"/>
  <c r="J68" i="88"/>
  <c r="AY67" i="88"/>
  <c r="P67" i="88"/>
  <c r="J67" i="88"/>
  <c r="AY66" i="88"/>
  <c r="P66" i="88"/>
  <c r="J66" i="88"/>
  <c r="AY65" i="88"/>
  <c r="P65" i="88"/>
  <c r="J65" i="88"/>
  <c r="AY64" i="88"/>
  <c r="P64" i="88"/>
  <c r="J64" i="88"/>
  <c r="AY63" i="88"/>
  <c r="P63" i="88"/>
  <c r="J63" i="88"/>
  <c r="AY62" i="88"/>
  <c r="P62" i="88"/>
  <c r="J62" i="88"/>
  <c r="AY61" i="88"/>
  <c r="P61" i="88"/>
  <c r="J61" i="88"/>
  <c r="AY60" i="88"/>
  <c r="P60" i="88"/>
  <c r="J60" i="88"/>
  <c r="AW59" i="88"/>
  <c r="AY59" i="88" s="1"/>
  <c r="P59" i="88"/>
  <c r="J59" i="88"/>
  <c r="AY58" i="88"/>
  <c r="P58" i="88"/>
  <c r="J58" i="88"/>
  <c r="AY57" i="88"/>
  <c r="AY56" i="88"/>
  <c r="P56" i="88"/>
  <c r="J56" i="88"/>
  <c r="AY55" i="88"/>
  <c r="P55" i="88"/>
  <c r="J55" i="88"/>
  <c r="AY54" i="88"/>
  <c r="P54" i="88"/>
  <c r="J54" i="88"/>
  <c r="AY53" i="88"/>
  <c r="P53" i="88"/>
  <c r="AY52" i="88"/>
  <c r="P52" i="88"/>
  <c r="J52" i="88"/>
  <c r="AY51" i="88"/>
  <c r="P51" i="88"/>
  <c r="J51" i="88"/>
  <c r="AY50" i="88"/>
  <c r="P50" i="88"/>
  <c r="J50" i="88"/>
  <c r="AY49" i="88"/>
  <c r="P49" i="88"/>
  <c r="J49" i="88"/>
  <c r="AY48" i="88"/>
  <c r="P48" i="88"/>
  <c r="J48" i="88"/>
  <c r="AY47" i="88"/>
  <c r="P47" i="88"/>
  <c r="J47" i="88"/>
  <c r="AY46" i="88"/>
  <c r="P46" i="88"/>
  <c r="J46" i="88"/>
  <c r="AY45" i="88"/>
  <c r="P45" i="88"/>
  <c r="J45" i="88"/>
  <c r="AY44" i="88"/>
  <c r="P44" i="88"/>
  <c r="AY43" i="88"/>
  <c r="P43" i="88"/>
  <c r="J43" i="88"/>
  <c r="AY42" i="88"/>
  <c r="P42" i="88"/>
  <c r="J42" i="88"/>
  <c r="AW40" i="88"/>
  <c r="AY40" i="88" s="1"/>
  <c r="P40" i="88"/>
  <c r="J40" i="88"/>
  <c r="AX38" i="88"/>
  <c r="O38" i="88"/>
  <c r="O86" i="88"/>
  <c r="N38" i="88"/>
  <c r="L38" i="88"/>
  <c r="I38" i="88"/>
  <c r="H38" i="88"/>
  <c r="G38" i="88"/>
  <c r="AY37" i="88"/>
  <c r="P37" i="88"/>
  <c r="J37" i="88"/>
  <c r="AY36" i="88"/>
  <c r="P36" i="88"/>
  <c r="J36" i="88"/>
  <c r="AW35" i="88"/>
  <c r="AW38" i="88" s="1"/>
  <c r="P35" i="88"/>
  <c r="AY34" i="88"/>
  <c r="P34" i="88"/>
  <c r="J34" i="88"/>
  <c r="J38" i="88" s="1"/>
  <c r="AY33" i="88"/>
  <c r="P33" i="88"/>
  <c r="J33" i="88"/>
  <c r="AX29" i="88"/>
  <c r="O29" i="88"/>
  <c r="N29" i="88"/>
  <c r="L29" i="88"/>
  <c r="I29" i="88"/>
  <c r="H29" i="88"/>
  <c r="G29" i="88"/>
  <c r="AW28" i="88"/>
  <c r="AY28" i="88" s="1"/>
  <c r="P28" i="88"/>
  <c r="J28" i="88"/>
  <c r="AW27" i="88"/>
  <c r="AY27" i="88" s="1"/>
  <c r="P27" i="88"/>
  <c r="J27" i="88"/>
  <c r="AW26" i="88"/>
  <c r="AY26" i="88" s="1"/>
  <c r="P26" i="88"/>
  <c r="J26" i="88"/>
  <c r="AW25" i="88"/>
  <c r="P25" i="88"/>
  <c r="J25" i="88"/>
  <c r="J29" i="88" s="1"/>
  <c r="AX22" i="88"/>
  <c r="N22" i="88"/>
  <c r="L22" i="88"/>
  <c r="I22" i="88"/>
  <c r="H22" i="88"/>
  <c r="G22" i="88"/>
  <c r="AN21" i="88"/>
  <c r="AB21" i="88"/>
  <c r="AP21" i="88" s="1"/>
  <c r="AS21" i="88" s="1"/>
  <c r="AW20" i="88"/>
  <c r="AY20" i="88" s="1"/>
  <c r="O20" i="88"/>
  <c r="J20" i="88"/>
  <c r="AY19" i="88"/>
  <c r="P19" i="88"/>
  <c r="J19" i="88"/>
  <c r="AY18" i="88"/>
  <c r="P18" i="88"/>
  <c r="J18" i="88"/>
  <c r="AX14" i="88"/>
  <c r="L14" i="88"/>
  <c r="I14" i="88"/>
  <c r="G14" i="88"/>
  <c r="BE13" i="88"/>
  <c r="AW13" i="88"/>
  <c r="AY13" i="88" s="1"/>
  <c r="J13" i="88"/>
  <c r="O12" i="88"/>
  <c r="P12" i="88"/>
  <c r="AY11" i="88"/>
  <c r="AO11" i="88"/>
  <c r="AN11" i="88"/>
  <c r="O11" i="88"/>
  <c r="N11" i="88"/>
  <c r="H11" i="88"/>
  <c r="BE8" i="88"/>
  <c r="AW8" i="88"/>
  <c r="AY8" i="88" s="1"/>
  <c r="P8" i="88"/>
  <c r="J8" i="88"/>
  <c r="AY5" i="88"/>
  <c r="P5" i="88"/>
  <c r="J5" i="88"/>
  <c r="AM1" i="88"/>
  <c r="AL1" i="88"/>
  <c r="AK1" i="88"/>
  <c r="AI1" i="88"/>
  <c r="AH1" i="88"/>
  <c r="AG1" i="88"/>
  <c r="AF1" i="88"/>
  <c r="AE1" i="88"/>
  <c r="AD1" i="88"/>
  <c r="AA1" i="88"/>
  <c r="Z1" i="88"/>
  <c r="W1" i="88"/>
  <c r="U1" i="88"/>
  <c r="T1" i="88"/>
  <c r="S1" i="88"/>
  <c r="R1" i="88"/>
  <c r="Q1" i="88"/>
  <c r="J170" i="88"/>
  <c r="J176" i="88"/>
  <c r="L167" i="88"/>
  <c r="AP131" i="88"/>
  <c r="AS131" i="88" s="1"/>
  <c r="AB11" i="88"/>
  <c r="AP11" i="88" s="1"/>
  <c r="AS11" i="88" s="1"/>
  <c r="AN133" i="88"/>
  <c r="AN20" i="88"/>
  <c r="X1" i="88"/>
  <c r="AB20" i="88"/>
  <c r="AP20" i="88" s="1"/>
  <c r="AS20" i="88" s="1"/>
  <c r="AB133" i="88"/>
  <c r="AN10" i="88"/>
  <c r="AQ10" i="88" s="1"/>
  <c r="AU10" i="88" s="1"/>
  <c r="AN134" i="88"/>
  <c r="AJ1" i="88"/>
  <c r="R73" i="6"/>
  <c r="F34" i="77"/>
  <c r="E39" i="77"/>
  <c r="S73" i="6"/>
  <c r="G49" i="6"/>
  <c r="I49" i="6" s="1"/>
  <c r="F22" i="77"/>
  <c r="AV138" i="88" s="1"/>
  <c r="J886" i="11"/>
  <c r="J887" i="11" s="1"/>
  <c r="L29" i="79" s="1"/>
  <c r="I888" i="11"/>
  <c r="H896" i="11"/>
  <c r="J896" i="11"/>
  <c r="H901" i="11"/>
  <c r="J901" i="11"/>
  <c r="H909" i="11"/>
  <c r="J909" i="11"/>
  <c r="H914" i="11"/>
  <c r="J914" i="11"/>
  <c r="H919" i="11"/>
  <c r="J919" i="11"/>
  <c r="H924" i="11"/>
  <c r="J924" i="11"/>
  <c r="I940" i="11"/>
  <c r="P503" i="69"/>
  <c r="R503" i="69" s="1"/>
  <c r="P61" i="70"/>
  <c r="P81" i="70" s="1"/>
  <c r="P216" i="70"/>
  <c r="R216" i="70" s="1"/>
  <c r="J96" i="11" s="1"/>
  <c r="N39" i="79"/>
  <c r="P143" i="70"/>
  <c r="R143" i="70" s="1"/>
  <c r="P129" i="70"/>
  <c r="R129" i="70" s="1"/>
  <c r="P128" i="70"/>
  <c r="R128" i="70" s="1"/>
  <c r="P124" i="70"/>
  <c r="R124" i="70" s="1"/>
  <c r="E448" i="63" s="1"/>
  <c r="E447" i="63" s="1"/>
  <c r="P122" i="70"/>
  <c r="R122" i="70" s="1"/>
  <c r="F63" i="35"/>
  <c r="G63" i="35" s="1"/>
  <c r="F60" i="35"/>
  <c r="F59" i="35" s="1"/>
  <c r="F57" i="35"/>
  <c r="G57" i="35"/>
  <c r="F54" i="35"/>
  <c r="G54" i="35" s="1"/>
  <c r="F51" i="35"/>
  <c r="G51" i="35" s="1"/>
  <c r="F48" i="35"/>
  <c r="F47" i="35" s="1"/>
  <c r="F45" i="35"/>
  <c r="F44" i="35"/>
  <c r="G44" i="35" s="1"/>
  <c r="F43" i="35"/>
  <c r="G43" i="35" s="1"/>
  <c r="F40" i="35"/>
  <c r="G40" i="35" s="1"/>
  <c r="F39" i="35"/>
  <c r="G39" i="35" s="1"/>
  <c r="F35" i="35"/>
  <c r="G35" i="35"/>
  <c r="F34" i="35"/>
  <c r="G34" i="35" s="1"/>
  <c r="F33" i="35"/>
  <c r="G33" i="35" s="1"/>
  <c r="F32" i="35"/>
  <c r="G32" i="35" s="1"/>
  <c r="F29" i="35"/>
  <c r="G29" i="35" s="1"/>
  <c r="F28" i="35"/>
  <c r="G28" i="35" s="1"/>
  <c r="F24" i="35"/>
  <c r="G24" i="35" s="1"/>
  <c r="F23" i="35"/>
  <c r="F19" i="35"/>
  <c r="F18" i="35" s="1"/>
  <c r="G18" i="35" s="1"/>
  <c r="F15" i="35"/>
  <c r="G15" i="35" s="1"/>
  <c r="F16" i="35"/>
  <c r="G16" i="35" s="1"/>
  <c r="F14" i="35"/>
  <c r="P49" i="69"/>
  <c r="R49" i="69" s="1"/>
  <c r="R51" i="69" s="1"/>
  <c r="P189" i="70"/>
  <c r="R189" i="70" s="1"/>
  <c r="P325" i="69"/>
  <c r="P327" i="69" s="1"/>
  <c r="O329" i="69"/>
  <c r="O330" i="69" s="1"/>
  <c r="P203" i="69"/>
  <c r="R203" i="69" s="1"/>
  <c r="P94" i="69"/>
  <c r="P97" i="69" s="1"/>
  <c r="P29" i="69"/>
  <c r="P179" i="69"/>
  <c r="R179" i="69" s="1"/>
  <c r="P71" i="69"/>
  <c r="P85" i="69" s="1"/>
  <c r="P230" i="70"/>
  <c r="R230" i="70" s="1"/>
  <c r="O401" i="69"/>
  <c r="O404" i="69" s="1"/>
  <c r="O434" i="69"/>
  <c r="P585" i="69"/>
  <c r="R585" i="69" s="1"/>
  <c r="P373" i="69"/>
  <c r="R373" i="69" s="1"/>
  <c r="P362" i="69"/>
  <c r="R362" i="69" s="1"/>
  <c r="P425" i="69"/>
  <c r="R425" i="69" s="1"/>
  <c r="P355" i="69"/>
  <c r="P381" i="69"/>
  <c r="R381" i="69" s="1"/>
  <c r="P401" i="69"/>
  <c r="R401" i="69" s="1"/>
  <c r="P134" i="70"/>
  <c r="R134" i="70" s="1"/>
  <c r="F90" i="63"/>
  <c r="E87" i="63" s="1"/>
  <c r="R238" i="69"/>
  <c r="R94" i="70"/>
  <c r="P101" i="69"/>
  <c r="P247" i="70"/>
  <c r="R247" i="70" s="1"/>
  <c r="R208" i="70"/>
  <c r="P194" i="70"/>
  <c r="R194" i="70" s="1"/>
  <c r="P207" i="70"/>
  <c r="R207" i="70"/>
  <c r="P205" i="70"/>
  <c r="R205" i="70" s="1"/>
  <c r="P191" i="70"/>
  <c r="R191" i="70" s="1"/>
  <c r="P184" i="70"/>
  <c r="R184" i="70" s="1"/>
  <c r="P183" i="70"/>
  <c r="P214" i="70" s="1"/>
  <c r="P221" i="70" s="1"/>
  <c r="P201" i="70"/>
  <c r="R201" i="70" s="1"/>
  <c r="P204" i="70"/>
  <c r="R204" i="70" s="1"/>
  <c r="P40" i="70"/>
  <c r="R40" i="70" s="1"/>
  <c r="P196" i="70"/>
  <c r="R196" i="70" s="1"/>
  <c r="P187" i="70"/>
  <c r="R187" i="70" s="1"/>
  <c r="P186" i="70"/>
  <c r="R186" i="70" s="1"/>
  <c r="P28" i="70"/>
  <c r="R28" i="70" s="1"/>
  <c r="P27" i="70"/>
  <c r="R27" i="70" s="1"/>
  <c r="P26" i="70"/>
  <c r="R26" i="70" s="1"/>
  <c r="P25" i="70"/>
  <c r="P29" i="70" s="1"/>
  <c r="P88" i="70"/>
  <c r="R88" i="70" s="1"/>
  <c r="P213" i="70"/>
  <c r="R213" i="70" s="1"/>
  <c r="P522" i="69"/>
  <c r="R522" i="69" s="1"/>
  <c r="P291" i="69"/>
  <c r="P471" i="69"/>
  <c r="R471" i="69" s="1"/>
  <c r="P96" i="70"/>
  <c r="R96" i="70" s="1"/>
  <c r="P95" i="70"/>
  <c r="R95" i="70" s="1"/>
  <c r="P92" i="70"/>
  <c r="R92" i="70" s="1"/>
  <c r="P502" i="69"/>
  <c r="R502" i="69" s="1"/>
  <c r="F38" i="82"/>
  <c r="L21" i="82"/>
  <c r="L48" i="82"/>
  <c r="I39" i="82"/>
  <c r="F21" i="82"/>
  <c r="K21" i="82" s="1"/>
  <c r="I966" i="11"/>
  <c r="F379" i="63"/>
  <c r="F378" i="63"/>
  <c r="O597" i="69"/>
  <c r="O574" i="69"/>
  <c r="P121" i="69"/>
  <c r="R121" i="69" s="1"/>
  <c r="R122" i="69" s="1"/>
  <c r="P236" i="70"/>
  <c r="R236" i="70" s="1"/>
  <c r="P564" i="69"/>
  <c r="R564" i="69" s="1"/>
  <c r="O505" i="69"/>
  <c r="N505" i="69"/>
  <c r="M505" i="69"/>
  <c r="M605" i="69" s="1"/>
  <c r="O552" i="69"/>
  <c r="O474" i="69"/>
  <c r="O409" i="69"/>
  <c r="O410" i="69" s="1"/>
  <c r="O390" i="69"/>
  <c r="O159" i="69"/>
  <c r="O173" i="69" s="1"/>
  <c r="N159" i="69"/>
  <c r="O134" i="69"/>
  <c r="N134" i="69"/>
  <c r="O141" i="69"/>
  <c r="O163" i="69"/>
  <c r="O131" i="69"/>
  <c r="P582" i="69"/>
  <c r="R582" i="69" s="1"/>
  <c r="P383" i="69"/>
  <c r="R383" i="69" s="1"/>
  <c r="P398" i="69"/>
  <c r="R398" i="69" s="1"/>
  <c r="P487" i="69"/>
  <c r="R487" i="69" s="1"/>
  <c r="P604" i="69"/>
  <c r="R604" i="69" s="1"/>
  <c r="P505" i="69"/>
  <c r="R505" i="69" s="1"/>
  <c r="R205" i="69"/>
  <c r="R206" i="69"/>
  <c r="R207" i="69"/>
  <c r="P35" i="70"/>
  <c r="P234" i="70"/>
  <c r="P423" i="69"/>
  <c r="R423" i="69" s="1"/>
  <c r="P408" i="69"/>
  <c r="R408" i="69" s="1"/>
  <c r="P553" i="69"/>
  <c r="R553" i="69" s="1"/>
  <c r="M294" i="69"/>
  <c r="O5" i="70"/>
  <c r="R443" i="69"/>
  <c r="O294" i="69"/>
  <c r="Q294" i="69"/>
  <c r="N294" i="69"/>
  <c r="R577" i="69"/>
  <c r="R236" i="69"/>
  <c r="R251" i="70"/>
  <c r="R274" i="70"/>
  <c r="R238" i="70"/>
  <c r="R76" i="70"/>
  <c r="R211" i="70"/>
  <c r="R209" i="70"/>
  <c r="R206" i="70"/>
  <c r="R59" i="70"/>
  <c r="R147" i="69"/>
  <c r="R146" i="69"/>
  <c r="R138" i="69"/>
  <c r="R134" i="69"/>
  <c r="I441" i="11"/>
  <c r="J441" i="11"/>
  <c r="H436" i="11" s="1"/>
  <c r="H441" i="11" s="1"/>
  <c r="H22" i="58"/>
  <c r="N553" i="69"/>
  <c r="N544" i="69"/>
  <c r="N384" i="69"/>
  <c r="N390" i="69"/>
  <c r="N381" i="69"/>
  <c r="N360" i="69"/>
  <c r="N409" i="69"/>
  <c r="N410" i="69" s="1"/>
  <c r="N355" i="69"/>
  <c r="N347" i="69"/>
  <c r="N346" i="69"/>
  <c r="N425" i="69"/>
  <c r="N471" i="69"/>
  <c r="N560" i="69"/>
  <c r="N462" i="69"/>
  <c r="R403" i="69"/>
  <c r="N403" i="69"/>
  <c r="M404" i="69"/>
  <c r="Q404" i="69"/>
  <c r="N552" i="69"/>
  <c r="N474" i="69"/>
  <c r="N528" i="69"/>
  <c r="N356" i="69"/>
  <c r="N373" i="69"/>
  <c r="N131" i="69"/>
  <c r="N141" i="69"/>
  <c r="N149" i="69" s="1"/>
  <c r="N398" i="69"/>
  <c r="N421" i="69"/>
  <c r="N163" i="69"/>
  <c r="N162" i="69"/>
  <c r="N341" i="69"/>
  <c r="N335" i="69"/>
  <c r="N330" i="69"/>
  <c r="N327" i="69"/>
  <c r="N321" i="69"/>
  <c r="N288" i="69"/>
  <c r="N276" i="69"/>
  <c r="N267" i="69"/>
  <c r="N259" i="69"/>
  <c r="N242" i="69"/>
  <c r="N122" i="69"/>
  <c r="N117" i="69"/>
  <c r="N102" i="69"/>
  <c r="N97" i="69"/>
  <c r="N90" i="69"/>
  <c r="N85" i="69"/>
  <c r="N51" i="69"/>
  <c r="N44" i="69"/>
  <c r="N33" i="69"/>
  <c r="N20" i="69"/>
  <c r="N6" i="69"/>
  <c r="R462" i="69"/>
  <c r="R460" i="69"/>
  <c r="R129" i="69"/>
  <c r="L130" i="69"/>
  <c r="O242" i="69"/>
  <c r="O122" i="69"/>
  <c r="O117" i="69"/>
  <c r="O102" i="69"/>
  <c r="O97" i="69"/>
  <c r="O90" i="69"/>
  <c r="O85" i="69"/>
  <c r="O51" i="69"/>
  <c r="O44" i="69"/>
  <c r="O33" i="69"/>
  <c r="O20" i="69"/>
  <c r="O6" i="69"/>
  <c r="O348" i="69"/>
  <c r="O335" i="69"/>
  <c r="O327" i="69"/>
  <c r="O321" i="69"/>
  <c r="O288" i="69"/>
  <c r="O276" i="69"/>
  <c r="O267" i="69"/>
  <c r="O259" i="69"/>
  <c r="E29" i="79"/>
  <c r="E25" i="79"/>
  <c r="F510" i="63"/>
  <c r="F513" i="63" s="1"/>
  <c r="E506" i="63" s="1"/>
  <c r="E380" i="63"/>
  <c r="D380" i="63"/>
  <c r="I99" i="11"/>
  <c r="J37" i="11"/>
  <c r="F12" i="77" s="1"/>
  <c r="M335" i="69"/>
  <c r="Q335" i="69"/>
  <c r="M434" i="69"/>
  <c r="M410" i="69"/>
  <c r="M348" i="69"/>
  <c r="P348" i="69"/>
  <c r="M341" i="69"/>
  <c r="M330" i="69"/>
  <c r="P330" i="69"/>
  <c r="M327" i="69"/>
  <c r="M321" i="69"/>
  <c r="P321" i="69"/>
  <c r="M288" i="69"/>
  <c r="P288" i="69"/>
  <c r="M276" i="69"/>
  <c r="P276" i="69"/>
  <c r="M267" i="69"/>
  <c r="P267" i="69"/>
  <c r="M259" i="69"/>
  <c r="M296" i="69" s="1"/>
  <c r="P259" i="69"/>
  <c r="M242" i="69"/>
  <c r="M173" i="69"/>
  <c r="P173" i="69"/>
  <c r="M149" i="69"/>
  <c r="P149" i="69"/>
  <c r="M122" i="69"/>
  <c r="M117" i="69"/>
  <c r="P117" i="69"/>
  <c r="M102" i="69"/>
  <c r="M97" i="69"/>
  <c r="M90" i="69"/>
  <c r="P90" i="69"/>
  <c r="M85" i="69"/>
  <c r="M51" i="69"/>
  <c r="M44" i="69"/>
  <c r="P44" i="69"/>
  <c r="M33" i="69"/>
  <c r="M53" i="69" s="1"/>
  <c r="M244" i="69" s="1"/>
  <c r="M20" i="69"/>
  <c r="P20" i="69"/>
  <c r="M6" i="69"/>
  <c r="P6" i="69"/>
  <c r="R275" i="70"/>
  <c r="R272" i="70"/>
  <c r="R271" i="70"/>
  <c r="R269" i="70"/>
  <c r="Q268" i="70"/>
  <c r="Q276" i="70" s="1"/>
  <c r="P268" i="70"/>
  <c r="P276" i="70" s="1"/>
  <c r="R267" i="70"/>
  <c r="R266" i="70"/>
  <c r="R268" i="70" s="1"/>
  <c r="R276" i="70" s="1"/>
  <c r="R265" i="70"/>
  <c r="Q262" i="70"/>
  <c r="R260" i="70"/>
  <c r="J214" i="11" s="1"/>
  <c r="R259" i="70"/>
  <c r="R258" i="70"/>
  <c r="R257" i="70"/>
  <c r="R256" i="70"/>
  <c r="R255" i="70"/>
  <c r="R244" i="70"/>
  <c r="R243" i="70"/>
  <c r="R242" i="70"/>
  <c r="R241" i="70"/>
  <c r="R240" i="70"/>
  <c r="R239" i="70"/>
  <c r="R237" i="70"/>
  <c r="R235" i="70"/>
  <c r="R233" i="70"/>
  <c r="R232" i="70"/>
  <c r="R231" i="70"/>
  <c r="R229" i="70"/>
  <c r="R228" i="70"/>
  <c r="R227" i="70"/>
  <c r="R226" i="70"/>
  <c r="Q220" i="70"/>
  <c r="P220" i="70"/>
  <c r="R219" i="70"/>
  <c r="R218" i="70"/>
  <c r="R217" i="70"/>
  <c r="Q214" i="70"/>
  <c r="R210" i="70"/>
  <c r="R202" i="70"/>
  <c r="R200" i="70"/>
  <c r="R199" i="70"/>
  <c r="R197" i="70"/>
  <c r="R195" i="70"/>
  <c r="R193" i="70"/>
  <c r="R192" i="70"/>
  <c r="R190" i="70"/>
  <c r="R188" i="70"/>
  <c r="R185" i="70"/>
  <c r="Q179" i="70"/>
  <c r="R178" i="70"/>
  <c r="R176" i="70"/>
  <c r="R172" i="70"/>
  <c r="Q170" i="70"/>
  <c r="P170" i="70"/>
  <c r="P173" i="70" s="1"/>
  <c r="R169" i="70"/>
  <c r="R168" i="70"/>
  <c r="R167" i="70"/>
  <c r="R166" i="70"/>
  <c r="R170" i="70" s="1"/>
  <c r="R164" i="70"/>
  <c r="Q162" i="70"/>
  <c r="Q173" i="70" s="1"/>
  <c r="P162" i="70"/>
  <c r="R161" i="70"/>
  <c r="R160" i="70"/>
  <c r="R159" i="70"/>
  <c r="R158" i="70"/>
  <c r="R157" i="70"/>
  <c r="R156" i="70"/>
  <c r="R155" i="70"/>
  <c r="R154" i="70"/>
  <c r="R153" i="70"/>
  <c r="R162" i="70" s="1"/>
  <c r="R152" i="70"/>
  <c r="Q148" i="70"/>
  <c r="P148" i="70"/>
  <c r="R147" i="70"/>
  <c r="R146" i="70"/>
  <c r="R140" i="70"/>
  <c r="R135" i="70"/>
  <c r="R133" i="70"/>
  <c r="R125" i="70"/>
  <c r="Q117" i="70"/>
  <c r="P117" i="70"/>
  <c r="R116" i="70"/>
  <c r="R115" i="70"/>
  <c r="R114" i="70"/>
  <c r="R113" i="70"/>
  <c r="R112" i="70"/>
  <c r="R111" i="70"/>
  <c r="R110" i="70"/>
  <c r="R109" i="70"/>
  <c r="R108" i="70"/>
  <c r="R107" i="70"/>
  <c r="R106" i="70"/>
  <c r="R105" i="70"/>
  <c r="R104" i="70"/>
  <c r="R103" i="70"/>
  <c r="R102" i="70"/>
  <c r="I94" i="9" s="1"/>
  <c r="R101" i="70"/>
  <c r="Q97" i="70"/>
  <c r="R93" i="70"/>
  <c r="R91" i="70"/>
  <c r="R86" i="70"/>
  <c r="R85" i="70"/>
  <c r="R84" i="70"/>
  <c r="R83" i="70"/>
  <c r="Q81" i="70"/>
  <c r="R80" i="70"/>
  <c r="R77" i="70"/>
  <c r="R75" i="70"/>
  <c r="R74" i="70"/>
  <c r="R73" i="70"/>
  <c r="R72" i="70"/>
  <c r="R71" i="70"/>
  <c r="R70" i="70"/>
  <c r="R69" i="70"/>
  <c r="R68" i="70"/>
  <c r="R67" i="70"/>
  <c r="R66" i="70"/>
  <c r="R65" i="70"/>
  <c r="R64" i="70"/>
  <c r="R63" i="70"/>
  <c r="R62" i="70"/>
  <c r="R60" i="70"/>
  <c r="R58" i="70"/>
  <c r="R57" i="70"/>
  <c r="R56" i="70"/>
  <c r="R55" i="70"/>
  <c r="R53" i="70"/>
  <c r="R51" i="70"/>
  <c r="R50" i="70"/>
  <c r="R49" i="70"/>
  <c r="R48" i="70"/>
  <c r="R47" i="70"/>
  <c r="R46" i="70"/>
  <c r="R45" i="70"/>
  <c r="R44" i="70"/>
  <c r="R43" i="70"/>
  <c r="R42" i="70"/>
  <c r="Q38" i="70"/>
  <c r="Q89" i="70" s="1"/>
  <c r="R37" i="70"/>
  <c r="R36" i="70"/>
  <c r="R34" i="70"/>
  <c r="R33" i="70"/>
  <c r="Q29" i="70"/>
  <c r="Q22" i="70"/>
  <c r="R19" i="70"/>
  <c r="R18" i="70"/>
  <c r="R5" i="70"/>
  <c r="Q434" i="69"/>
  <c r="Q410" i="69"/>
  <c r="Q348" i="69"/>
  <c r="Q341" i="69"/>
  <c r="Q330" i="69"/>
  <c r="Q327" i="69"/>
  <c r="Q321" i="69"/>
  <c r="Q288" i="69"/>
  <c r="Q276" i="69"/>
  <c r="Q267" i="69"/>
  <c r="Q259" i="69"/>
  <c r="Q296" i="69" s="1"/>
  <c r="Q621" i="69" s="1"/>
  <c r="Q242" i="69"/>
  <c r="Q173" i="69"/>
  <c r="Q149" i="69"/>
  <c r="Q122" i="69"/>
  <c r="Q117" i="69"/>
  <c r="Q102" i="69"/>
  <c r="Q97" i="69"/>
  <c r="Q90" i="69"/>
  <c r="Q85" i="69"/>
  <c r="Q51" i="69"/>
  <c r="Q44" i="69"/>
  <c r="Q33" i="69"/>
  <c r="Q53" i="69" s="1"/>
  <c r="Q244" i="69" s="1"/>
  <c r="Q20" i="69"/>
  <c r="Q6" i="69"/>
  <c r="N11" i="70"/>
  <c r="N220" i="70"/>
  <c r="O216" i="70"/>
  <c r="K334" i="69"/>
  <c r="K335" i="69" s="1"/>
  <c r="N122" i="70"/>
  <c r="O122" i="70" s="1"/>
  <c r="R11" i="70"/>
  <c r="R78" i="70"/>
  <c r="E52" i="79"/>
  <c r="E53" i="79"/>
  <c r="N12" i="70"/>
  <c r="O12" i="70" s="1"/>
  <c r="N20" i="70"/>
  <c r="N22" i="70" s="1"/>
  <c r="N133" i="70"/>
  <c r="O133" i="70" s="1"/>
  <c r="N132" i="70"/>
  <c r="O132" i="70" s="1"/>
  <c r="N87" i="70"/>
  <c r="O87" i="70" s="1"/>
  <c r="N229" i="70"/>
  <c r="O229" i="70" s="1"/>
  <c r="I33" i="6"/>
  <c r="H229" i="11"/>
  <c r="H254" i="11"/>
  <c r="O260" i="70"/>
  <c r="H81" i="9"/>
  <c r="O88" i="70"/>
  <c r="O231" i="70"/>
  <c r="M143" i="70"/>
  <c r="O143" i="70" s="1"/>
  <c r="M128" i="70"/>
  <c r="O128" i="70" s="1"/>
  <c r="C89" i="76"/>
  <c r="D81" i="76"/>
  <c r="D89" i="76" s="1"/>
  <c r="D62" i="76"/>
  <c r="J612" i="69"/>
  <c r="L612" i="69" s="1"/>
  <c r="J610" i="69"/>
  <c r="L610" i="69" s="1"/>
  <c r="R612" i="69"/>
  <c r="M125" i="70"/>
  <c r="M140" i="70"/>
  <c r="O140" i="70" s="1"/>
  <c r="J381" i="69"/>
  <c r="L381" i="69" s="1"/>
  <c r="M137" i="70"/>
  <c r="O137" i="70" s="1"/>
  <c r="J33" i="82"/>
  <c r="D88" i="76"/>
  <c r="C77" i="76" s="1"/>
  <c r="C76" i="76" s="1"/>
  <c r="D76" i="76"/>
  <c r="K33" i="82"/>
  <c r="L33" i="82"/>
  <c r="C38" i="35"/>
  <c r="D38" i="35"/>
  <c r="E38" i="35"/>
  <c r="B38" i="35"/>
  <c r="M11" i="70"/>
  <c r="L139" i="69"/>
  <c r="L329" i="69"/>
  <c r="L330" i="69" s="1"/>
  <c r="K330" i="69"/>
  <c r="J330" i="69"/>
  <c r="J155" i="69"/>
  <c r="L155" i="69" s="1"/>
  <c r="J154" i="69"/>
  <c r="J159" i="69"/>
  <c r="L159" i="69"/>
  <c r="J137" i="69"/>
  <c r="L137" i="69" s="1"/>
  <c r="J362" i="69"/>
  <c r="L362" i="69" s="1"/>
  <c r="J361" i="69"/>
  <c r="L361" i="69" s="1"/>
  <c r="R139" i="69"/>
  <c r="R329" i="69"/>
  <c r="L240" i="69"/>
  <c r="L566" i="69"/>
  <c r="R566" i="69"/>
  <c r="J355" i="69"/>
  <c r="L355" i="69" s="1"/>
  <c r="J374" i="69"/>
  <c r="L374" i="69" s="1"/>
  <c r="M78" i="70"/>
  <c r="O78" i="70" s="1"/>
  <c r="D56" i="82"/>
  <c r="C56" i="82"/>
  <c r="H49" i="82"/>
  <c r="H38" i="82"/>
  <c r="H22" i="82"/>
  <c r="H36" i="82" s="1"/>
  <c r="J553" i="69"/>
  <c r="L553" i="69" s="1"/>
  <c r="J552" i="69"/>
  <c r="L552" i="69" s="1"/>
  <c r="M241" i="70"/>
  <c r="M248" i="70"/>
  <c r="M249" i="70" s="1"/>
  <c r="J89" i="69"/>
  <c r="L89" i="69" s="1"/>
  <c r="L90" i="69" s="1"/>
  <c r="R240" i="69"/>
  <c r="E551" i="63"/>
  <c r="M220" i="70"/>
  <c r="O44" i="70"/>
  <c r="O217" i="70"/>
  <c r="O269" i="70"/>
  <c r="K321" i="69"/>
  <c r="L299" i="69"/>
  <c r="L252" i="69"/>
  <c r="R252" i="69"/>
  <c r="L304" i="69"/>
  <c r="L285" i="69"/>
  <c r="L283" i="69"/>
  <c r="J505" i="69"/>
  <c r="L505" i="69"/>
  <c r="R552" i="69"/>
  <c r="R299" i="69"/>
  <c r="J634" i="11"/>
  <c r="H634" i="11"/>
  <c r="F562" i="63"/>
  <c r="H12" i="58"/>
  <c r="H13" i="58"/>
  <c r="H14" i="58"/>
  <c r="H15" i="58"/>
  <c r="H16" i="58"/>
  <c r="H17" i="58"/>
  <c r="H18" i="58"/>
  <c r="H19" i="58"/>
  <c r="H20" i="58"/>
  <c r="H21" i="58"/>
  <c r="E25" i="58"/>
  <c r="F25" i="58"/>
  <c r="G25" i="58"/>
  <c r="J508" i="11"/>
  <c r="H505" i="11" s="1"/>
  <c r="H508" i="11" s="1"/>
  <c r="J400" i="11"/>
  <c r="J403" i="11" s="1"/>
  <c r="H400" i="11" s="1"/>
  <c r="H403" i="11" s="1"/>
  <c r="O213" i="70"/>
  <c r="H287" i="69"/>
  <c r="H286" i="69"/>
  <c r="H284" i="69"/>
  <c r="H282" i="69"/>
  <c r="H280" i="69"/>
  <c r="H258" i="69"/>
  <c r="H262" i="69"/>
  <c r="H256" i="69"/>
  <c r="H275" i="69"/>
  <c r="H273" i="69"/>
  <c r="H272" i="69"/>
  <c r="H266" i="69"/>
  <c r="H265" i="69"/>
  <c r="H267" i="69" s="1"/>
  <c r="H271" i="69"/>
  <c r="H270" i="69"/>
  <c r="H276" i="69" s="1"/>
  <c r="H254" i="69"/>
  <c r="H253" i="69"/>
  <c r="H259" i="69" s="1"/>
  <c r="H296" i="69" s="1"/>
  <c r="H251" i="69"/>
  <c r="H597" i="69"/>
  <c r="H596" i="69"/>
  <c r="H592" i="69"/>
  <c r="H591" i="69"/>
  <c r="H589" i="69"/>
  <c r="H585" i="69"/>
  <c r="H584" i="69"/>
  <c r="H578" i="69"/>
  <c r="H574" i="69"/>
  <c r="H573" i="69"/>
  <c r="H572" i="69"/>
  <c r="H565" i="69"/>
  <c r="H562" i="69"/>
  <c r="H559" i="69"/>
  <c r="H551" i="69"/>
  <c r="H544" i="69"/>
  <c r="H537" i="69"/>
  <c r="H530" i="69"/>
  <c r="H529" i="69"/>
  <c r="H528" i="69"/>
  <c r="H527" i="69"/>
  <c r="H525" i="69"/>
  <c r="H524" i="69"/>
  <c r="H520" i="69"/>
  <c r="H518" i="69"/>
  <c r="H510" i="69"/>
  <c r="H508" i="69"/>
  <c r="H507" i="69"/>
  <c r="H497" i="69"/>
  <c r="H487" i="69"/>
  <c r="H475" i="69"/>
  <c r="H474" i="69"/>
  <c r="H473" i="69"/>
  <c r="H469" i="69"/>
  <c r="H468" i="69"/>
  <c r="H465" i="69"/>
  <c r="H463" i="69"/>
  <c r="H457" i="69"/>
  <c r="H454" i="69"/>
  <c r="H452" i="69"/>
  <c r="H447" i="69"/>
  <c r="H430" i="69"/>
  <c r="H429" i="69"/>
  <c r="H425" i="69"/>
  <c r="H424" i="69"/>
  <c r="H398" i="69"/>
  <c r="H397" i="69"/>
  <c r="H417" i="69"/>
  <c r="H396" i="69"/>
  <c r="H516" i="69"/>
  <c r="H384" i="69"/>
  <c r="H531" i="69"/>
  <c r="H587" i="69"/>
  <c r="H334" i="69"/>
  <c r="H335" i="69" s="1"/>
  <c r="H453" i="69"/>
  <c r="H420" i="69"/>
  <c r="H415" i="69"/>
  <c r="H433" i="69"/>
  <c r="H347" i="69"/>
  <c r="H348" i="69" s="1"/>
  <c r="H346" i="69"/>
  <c r="H362" i="69"/>
  <c r="H355" i="69"/>
  <c r="H564" i="69"/>
  <c r="H546" i="69"/>
  <c r="H399" i="69"/>
  <c r="H382" i="69"/>
  <c r="H423" i="69"/>
  <c r="H409" i="69"/>
  <c r="H410" i="69" s="1"/>
  <c r="I294" i="69"/>
  <c r="I605" i="69"/>
  <c r="I434" i="69"/>
  <c r="I410" i="69"/>
  <c r="I404" i="69"/>
  <c r="I348" i="69"/>
  <c r="H341" i="69"/>
  <c r="I341" i="69"/>
  <c r="I335" i="69"/>
  <c r="I327" i="69"/>
  <c r="I321" i="69"/>
  <c r="I288" i="69"/>
  <c r="I276" i="69"/>
  <c r="I267" i="69"/>
  <c r="I259" i="69"/>
  <c r="I101" i="69"/>
  <c r="I102" i="69" s="1"/>
  <c r="H101" i="69"/>
  <c r="H102" i="69" s="1"/>
  <c r="I242" i="69"/>
  <c r="I159" i="69"/>
  <c r="I162" i="69"/>
  <c r="I163" i="69"/>
  <c r="I149" i="69"/>
  <c r="I121" i="69"/>
  <c r="I122" i="69" s="1"/>
  <c r="H121" i="69"/>
  <c r="H122" i="69" s="1"/>
  <c r="H117" i="69"/>
  <c r="I117" i="69"/>
  <c r="I97" i="69"/>
  <c r="I90" i="69"/>
  <c r="H85" i="69"/>
  <c r="I85" i="69"/>
  <c r="I44" i="69"/>
  <c r="I51" i="69"/>
  <c r="I33" i="69"/>
  <c r="I53" i="69" s="1"/>
  <c r="I20" i="69"/>
  <c r="I5" i="69"/>
  <c r="I6" i="69" s="1"/>
  <c r="H37" i="11"/>
  <c r="F55" i="4" s="1"/>
  <c r="O232" i="70"/>
  <c r="O228" i="70"/>
  <c r="O227" i="70"/>
  <c r="O226" i="70"/>
  <c r="O55" i="70"/>
  <c r="O35" i="70"/>
  <c r="L491" i="69"/>
  <c r="L598" i="69"/>
  <c r="R598" i="69"/>
  <c r="L581" i="69"/>
  <c r="R581" i="69"/>
  <c r="L580" i="69"/>
  <c r="R580" i="69"/>
  <c r="L575" i="69"/>
  <c r="R575" i="69"/>
  <c r="L571" i="69"/>
  <c r="R571" i="69"/>
  <c r="L570" i="69"/>
  <c r="R570" i="69"/>
  <c r="L569" i="69"/>
  <c r="R569" i="69"/>
  <c r="L536" i="69"/>
  <c r="R536" i="69"/>
  <c r="L517" i="69"/>
  <c r="R517" i="69"/>
  <c r="L513" i="69"/>
  <c r="R513" i="69"/>
  <c r="L433" i="69"/>
  <c r="R433" i="69"/>
  <c r="L356" i="69"/>
  <c r="R356" i="69"/>
  <c r="J85" i="69"/>
  <c r="J51" i="69"/>
  <c r="J44" i="69"/>
  <c r="J33" i="69"/>
  <c r="J20" i="69"/>
  <c r="J242" i="69"/>
  <c r="L182" i="69"/>
  <c r="R182" i="69"/>
  <c r="L71" i="69"/>
  <c r="J6" i="69"/>
  <c r="L203" i="69"/>
  <c r="D434" i="69"/>
  <c r="E434" i="69"/>
  <c r="G434" i="69"/>
  <c r="G607" i="69" s="1"/>
  <c r="J434" i="69"/>
  <c r="K434" i="69"/>
  <c r="C434" i="69"/>
  <c r="G242" i="69"/>
  <c r="L180" i="69"/>
  <c r="R180" i="69"/>
  <c r="F180" i="69"/>
  <c r="H5" i="69"/>
  <c r="H6" i="69" s="1"/>
  <c r="H159" i="69"/>
  <c r="H155" i="69"/>
  <c r="H173" i="69" s="1"/>
  <c r="H162" i="69"/>
  <c r="H163" i="69"/>
  <c r="H157" i="69"/>
  <c r="G605" i="69"/>
  <c r="G410" i="69"/>
  <c r="G404" i="69"/>
  <c r="G348" i="69"/>
  <c r="G341" i="69"/>
  <c r="G335" i="69"/>
  <c r="G327" i="69"/>
  <c r="G321" i="69"/>
  <c r="G294" i="69"/>
  <c r="G288" i="69"/>
  <c r="G276" i="69"/>
  <c r="G267" i="69"/>
  <c r="G259" i="69"/>
  <c r="G296" i="69" s="1"/>
  <c r="G621" i="69" s="1"/>
  <c r="G173" i="69"/>
  <c r="G149" i="69"/>
  <c r="G122" i="69"/>
  <c r="G117" i="69"/>
  <c r="G97" i="69"/>
  <c r="G90" i="69"/>
  <c r="G51" i="69"/>
  <c r="G44" i="69"/>
  <c r="G33" i="69"/>
  <c r="G20" i="69"/>
  <c r="G53" i="69" s="1"/>
  <c r="G244" i="69" s="1"/>
  <c r="G6" i="69"/>
  <c r="G51" i="6"/>
  <c r="I51" i="6" s="1"/>
  <c r="L204" i="69"/>
  <c r="L208" i="69"/>
  <c r="F203" i="69"/>
  <c r="L223" i="69"/>
  <c r="F551" i="63"/>
  <c r="F527" i="63"/>
  <c r="K605" i="69"/>
  <c r="L604" i="69"/>
  <c r="L603" i="69"/>
  <c r="L601" i="69"/>
  <c r="R601" i="69"/>
  <c r="L600" i="69"/>
  <c r="R600" i="69"/>
  <c r="L599" i="69"/>
  <c r="R599" i="69"/>
  <c r="L597" i="69"/>
  <c r="R597" i="69"/>
  <c r="L596" i="69"/>
  <c r="R596" i="69"/>
  <c r="L595" i="69"/>
  <c r="R595" i="69"/>
  <c r="L594" i="69"/>
  <c r="R594" i="69"/>
  <c r="L593" i="69"/>
  <c r="R593" i="69"/>
  <c r="L592" i="69"/>
  <c r="R592" i="69"/>
  <c r="L591" i="69"/>
  <c r="R591" i="69"/>
  <c r="L590" i="69"/>
  <c r="R590" i="69"/>
  <c r="L589" i="69"/>
  <c r="R589" i="69"/>
  <c r="L588" i="69"/>
  <c r="R588" i="69"/>
  <c r="L587" i="69"/>
  <c r="L586" i="69"/>
  <c r="R586" i="69"/>
  <c r="L585" i="69"/>
  <c r="L584" i="69"/>
  <c r="R584" i="69"/>
  <c r="L583" i="69"/>
  <c r="R583" i="69"/>
  <c r="L579" i="69"/>
  <c r="R579" i="69"/>
  <c r="L578" i="69"/>
  <c r="R578" i="69"/>
  <c r="L576" i="69"/>
  <c r="R576" i="69"/>
  <c r="L574" i="69"/>
  <c r="L573" i="69"/>
  <c r="L572" i="69"/>
  <c r="L567" i="69"/>
  <c r="F469" i="63" s="1"/>
  <c r="F471" i="63" s="1"/>
  <c r="L565" i="69"/>
  <c r="L564" i="69"/>
  <c r="L563" i="69"/>
  <c r="R563" i="69"/>
  <c r="L562" i="69"/>
  <c r="R562" i="69"/>
  <c r="L561" i="69"/>
  <c r="R561" i="69"/>
  <c r="L560" i="69"/>
  <c r="R560" i="69"/>
  <c r="L559" i="69"/>
  <c r="L558" i="69"/>
  <c r="R558" i="69"/>
  <c r="L557" i="69"/>
  <c r="R557" i="69"/>
  <c r="L556" i="69"/>
  <c r="R556" i="69"/>
  <c r="L555" i="69"/>
  <c r="R555" i="69"/>
  <c r="L554" i="69"/>
  <c r="R554" i="69"/>
  <c r="L551" i="69"/>
  <c r="R551" i="69"/>
  <c r="L550" i="69"/>
  <c r="R550" i="69"/>
  <c r="L549" i="69"/>
  <c r="R549" i="69"/>
  <c r="L548" i="69"/>
  <c r="R548" i="69"/>
  <c r="L547" i="69"/>
  <c r="R547" i="69"/>
  <c r="L546" i="69"/>
  <c r="R546" i="69"/>
  <c r="L545" i="69"/>
  <c r="R545" i="69"/>
  <c r="L544" i="69"/>
  <c r="L543" i="69"/>
  <c r="R543" i="69"/>
  <c r="L542" i="69"/>
  <c r="R542" i="69"/>
  <c r="L541" i="69"/>
  <c r="R541" i="69"/>
  <c r="L540" i="69"/>
  <c r="R540" i="69"/>
  <c r="L539" i="69"/>
  <c r="R539" i="69"/>
  <c r="L538" i="69"/>
  <c r="R538" i="69"/>
  <c r="L537" i="69"/>
  <c r="R537" i="69"/>
  <c r="L535" i="69"/>
  <c r="R535" i="69"/>
  <c r="L534" i="69"/>
  <c r="R534" i="69"/>
  <c r="L533" i="69"/>
  <c r="R533" i="69"/>
  <c r="L532" i="69"/>
  <c r="R532" i="69"/>
  <c r="L531" i="69"/>
  <c r="R531" i="69"/>
  <c r="L530" i="69"/>
  <c r="R530" i="69"/>
  <c r="L529" i="69"/>
  <c r="R529" i="69"/>
  <c r="L528" i="69"/>
  <c r="R528" i="69"/>
  <c r="L527" i="69"/>
  <c r="L526" i="69"/>
  <c r="R526" i="69"/>
  <c r="L525" i="69"/>
  <c r="R525" i="69"/>
  <c r="L524" i="69"/>
  <c r="L523" i="69"/>
  <c r="R523" i="69"/>
  <c r="L522" i="69"/>
  <c r="L521" i="69"/>
  <c r="R521" i="69"/>
  <c r="L520" i="69"/>
  <c r="R520" i="69"/>
  <c r="L519" i="69"/>
  <c r="R519" i="69"/>
  <c r="L518" i="69"/>
  <c r="R518" i="69"/>
  <c r="L516" i="69"/>
  <c r="R516" i="69"/>
  <c r="L515" i="69"/>
  <c r="R515" i="69"/>
  <c r="L514" i="69"/>
  <c r="R514" i="69"/>
  <c r="L512" i="69"/>
  <c r="R512" i="69"/>
  <c r="L511" i="69"/>
  <c r="R511" i="69"/>
  <c r="L510" i="69"/>
  <c r="R510" i="69"/>
  <c r="L509" i="69"/>
  <c r="R509" i="69"/>
  <c r="L508" i="69"/>
  <c r="R508" i="69"/>
  <c r="L507" i="69"/>
  <c r="L506" i="69"/>
  <c r="L504" i="69"/>
  <c r="R504" i="69"/>
  <c r="L503" i="69"/>
  <c r="L502" i="69"/>
  <c r="L501" i="69"/>
  <c r="R501" i="69"/>
  <c r="L500" i="69"/>
  <c r="R500" i="69"/>
  <c r="L499" i="69"/>
  <c r="R499" i="69"/>
  <c r="L498" i="69"/>
  <c r="R498" i="69"/>
  <c r="L497" i="69"/>
  <c r="R497" i="69"/>
  <c r="L496" i="69"/>
  <c r="R496" i="69"/>
  <c r="L494" i="69"/>
  <c r="R494" i="69"/>
  <c r="L492" i="69"/>
  <c r="L490" i="69"/>
  <c r="L489" i="69"/>
  <c r="R489" i="69"/>
  <c r="L488" i="69"/>
  <c r="R488" i="69"/>
  <c r="L487" i="69"/>
  <c r="L486" i="69"/>
  <c r="R486" i="69"/>
  <c r="L485" i="69"/>
  <c r="R485" i="69"/>
  <c r="L484" i="69"/>
  <c r="R484" i="69"/>
  <c r="L483" i="69"/>
  <c r="R483" i="69"/>
  <c r="L482" i="69"/>
  <c r="R482" i="69"/>
  <c r="L481" i="69"/>
  <c r="R481" i="69"/>
  <c r="L480" i="69"/>
  <c r="R480" i="69"/>
  <c r="L479" i="69"/>
  <c r="R479" i="69"/>
  <c r="L478" i="69"/>
  <c r="R478" i="69"/>
  <c r="L477" i="69"/>
  <c r="R477" i="69"/>
  <c r="L476" i="69"/>
  <c r="R476" i="69"/>
  <c r="L475" i="69"/>
  <c r="R475" i="69"/>
  <c r="L474" i="69"/>
  <c r="R474" i="69"/>
  <c r="L473" i="69"/>
  <c r="R473" i="69"/>
  <c r="L472" i="69"/>
  <c r="R472" i="69"/>
  <c r="L471" i="69"/>
  <c r="L470" i="69"/>
  <c r="R470" i="69"/>
  <c r="L469" i="69"/>
  <c r="R469" i="69"/>
  <c r="L468" i="69"/>
  <c r="R468" i="69"/>
  <c r="L402" i="69"/>
  <c r="R402" i="69"/>
  <c r="L466" i="69"/>
  <c r="R466" i="69"/>
  <c r="L465" i="69"/>
  <c r="R465" i="69"/>
  <c r="L464" i="69"/>
  <c r="R464" i="69"/>
  <c r="L463" i="69"/>
  <c r="R463" i="69"/>
  <c r="L461" i="69"/>
  <c r="L459" i="69"/>
  <c r="R459" i="69"/>
  <c r="L458" i="69"/>
  <c r="R458" i="69"/>
  <c r="L457" i="69"/>
  <c r="R457" i="69"/>
  <c r="L456" i="69"/>
  <c r="R456" i="69"/>
  <c r="L455" i="69"/>
  <c r="R455" i="69"/>
  <c r="L454" i="69"/>
  <c r="R454" i="69"/>
  <c r="L453" i="69"/>
  <c r="L452" i="69"/>
  <c r="L451" i="69"/>
  <c r="R451" i="69"/>
  <c r="L450" i="69"/>
  <c r="R450" i="69"/>
  <c r="L449" i="69"/>
  <c r="R449" i="69"/>
  <c r="L448" i="69"/>
  <c r="R448" i="69"/>
  <c r="L447" i="69"/>
  <c r="R447" i="69"/>
  <c r="L446" i="69"/>
  <c r="R446" i="69"/>
  <c r="L445" i="69"/>
  <c r="R445" i="69"/>
  <c r="L444" i="69"/>
  <c r="R444" i="69"/>
  <c r="L441" i="69"/>
  <c r="R441" i="69"/>
  <c r="L440" i="69"/>
  <c r="R440" i="69"/>
  <c r="L439" i="69"/>
  <c r="R439" i="69"/>
  <c r="L438" i="69"/>
  <c r="L401" i="69"/>
  <c r="L431" i="69"/>
  <c r="R431" i="69"/>
  <c r="L430" i="69"/>
  <c r="L429" i="69"/>
  <c r="R429" i="69"/>
  <c r="L428" i="69"/>
  <c r="R428" i="69"/>
  <c r="L400" i="69"/>
  <c r="R400" i="69"/>
  <c r="L399" i="69"/>
  <c r="L425" i="69"/>
  <c r="L424" i="69"/>
  <c r="L423" i="69"/>
  <c r="L398" i="69"/>
  <c r="L421" i="69"/>
  <c r="R421" i="69"/>
  <c r="L420" i="69"/>
  <c r="R420" i="69"/>
  <c r="L419" i="69"/>
  <c r="R419" i="69"/>
  <c r="L397" i="69"/>
  <c r="R397" i="69"/>
  <c r="L417" i="69"/>
  <c r="R417" i="69"/>
  <c r="L396" i="69"/>
  <c r="R396" i="69"/>
  <c r="L415" i="69"/>
  <c r="R415" i="69"/>
  <c r="L414" i="69"/>
  <c r="K410" i="69"/>
  <c r="J410" i="69"/>
  <c r="L409" i="69"/>
  <c r="L408" i="69"/>
  <c r="L410" i="69" s="1"/>
  <c r="K404" i="69"/>
  <c r="L393" i="69"/>
  <c r="R393" i="69"/>
  <c r="L392" i="69"/>
  <c r="R392" i="69"/>
  <c r="L391" i="69"/>
  <c r="R391" i="69"/>
  <c r="L390" i="69"/>
  <c r="R390" i="69"/>
  <c r="L389" i="69"/>
  <c r="R389" i="69"/>
  <c r="L388" i="69"/>
  <c r="R388" i="69"/>
  <c r="L387" i="69"/>
  <c r="R387" i="69"/>
  <c r="L386" i="69"/>
  <c r="R386" i="69"/>
  <c r="L385" i="69"/>
  <c r="R385" i="69"/>
  <c r="L384" i="69"/>
  <c r="R384" i="69"/>
  <c r="L382" i="69"/>
  <c r="R382" i="69"/>
  <c r="L380" i="69"/>
  <c r="R380" i="69"/>
  <c r="L379" i="69"/>
  <c r="R379" i="69"/>
  <c r="L378" i="69"/>
  <c r="R378" i="69"/>
  <c r="L377" i="69"/>
  <c r="R377" i="69"/>
  <c r="L376" i="69"/>
  <c r="R376" i="69"/>
  <c r="L375" i="69"/>
  <c r="R375" i="69"/>
  <c r="R374" i="69"/>
  <c r="L373" i="69"/>
  <c r="L372" i="69"/>
  <c r="R372" i="69"/>
  <c r="L371" i="69"/>
  <c r="R371" i="69"/>
  <c r="L370" i="69"/>
  <c r="R370" i="69"/>
  <c r="L369" i="69"/>
  <c r="R369" i="69"/>
  <c r="L368" i="69"/>
  <c r="R368" i="69"/>
  <c r="L367" i="69"/>
  <c r="R367" i="69"/>
  <c r="L366" i="69"/>
  <c r="R366" i="69"/>
  <c r="L365" i="69"/>
  <c r="R365" i="69"/>
  <c r="L364" i="69"/>
  <c r="R364" i="69"/>
  <c r="L363" i="69"/>
  <c r="R363" i="69"/>
  <c r="R361" i="69"/>
  <c r="L360" i="69"/>
  <c r="R360" i="69"/>
  <c r="L359" i="69"/>
  <c r="R359" i="69"/>
  <c r="L358" i="69"/>
  <c r="R358" i="69"/>
  <c r="L357" i="69"/>
  <c r="R357" i="69"/>
  <c r="L354" i="69"/>
  <c r="R354" i="69"/>
  <c r="L353" i="69"/>
  <c r="R353" i="69"/>
  <c r="L352" i="69"/>
  <c r="K348" i="69"/>
  <c r="J348" i="69"/>
  <c r="L347" i="69"/>
  <c r="R347" i="69"/>
  <c r="L346" i="69"/>
  <c r="L345" i="69"/>
  <c r="J341" i="69"/>
  <c r="L340" i="69"/>
  <c r="R340" i="69"/>
  <c r="J335" i="69"/>
  <c r="K327" i="69"/>
  <c r="H327" i="69"/>
  <c r="L325" i="69"/>
  <c r="L327" i="69" s="1"/>
  <c r="H321" i="69"/>
  <c r="L320" i="69"/>
  <c r="R320" i="69"/>
  <c r="L319" i="69"/>
  <c r="R319" i="69"/>
  <c r="L318" i="69"/>
  <c r="R318" i="69"/>
  <c r="L317" i="69"/>
  <c r="R317" i="69"/>
  <c r="L316" i="69"/>
  <c r="R316" i="69"/>
  <c r="L315" i="69"/>
  <c r="R315" i="69"/>
  <c r="L314" i="69"/>
  <c r="R314" i="69"/>
  <c r="L313" i="69"/>
  <c r="R313" i="69"/>
  <c r="L312" i="69"/>
  <c r="R312" i="69"/>
  <c r="L311" i="69"/>
  <c r="R311" i="69"/>
  <c r="L310" i="69"/>
  <c r="R310" i="69"/>
  <c r="L309" i="69"/>
  <c r="R309" i="69"/>
  <c r="L308" i="69"/>
  <c r="R308" i="69"/>
  <c r="L307" i="69"/>
  <c r="R307" i="69"/>
  <c r="L306" i="69"/>
  <c r="R306" i="69"/>
  <c r="R304" i="69"/>
  <c r="R302" i="69"/>
  <c r="L301" i="69"/>
  <c r="K294" i="69"/>
  <c r="J294" i="69"/>
  <c r="H294" i="69"/>
  <c r="L293" i="69"/>
  <c r="L292" i="69"/>
  <c r="L291" i="69"/>
  <c r="K288" i="69"/>
  <c r="L287" i="69"/>
  <c r="R287" i="69"/>
  <c r="L286" i="69"/>
  <c r="R286" i="69"/>
  <c r="R285" i="69"/>
  <c r="L284" i="69"/>
  <c r="R284" i="69"/>
  <c r="R283" i="69"/>
  <c r="L282" i="69"/>
  <c r="R282" i="69"/>
  <c r="L281" i="69"/>
  <c r="R281" i="69"/>
  <c r="L280" i="69"/>
  <c r="L288" i="69" s="1"/>
  <c r="K276" i="69"/>
  <c r="J276" i="69"/>
  <c r="L275" i="69"/>
  <c r="R275" i="69"/>
  <c r="L274" i="69"/>
  <c r="R274" i="69"/>
  <c r="L273" i="69"/>
  <c r="R273" i="69"/>
  <c r="L272" i="69"/>
  <c r="R272" i="69"/>
  <c r="L271" i="69"/>
  <c r="R271" i="69"/>
  <c r="R276" i="69" s="1"/>
  <c r="L270" i="69"/>
  <c r="K267" i="69"/>
  <c r="J267" i="69"/>
  <c r="L266" i="69"/>
  <c r="R266" i="69"/>
  <c r="L265" i="69"/>
  <c r="L262" i="69"/>
  <c r="K259" i="69"/>
  <c r="K296" i="69" s="1"/>
  <c r="J259" i="69"/>
  <c r="L258" i="69"/>
  <c r="R258" i="69"/>
  <c r="L257" i="69"/>
  <c r="R257" i="69"/>
  <c r="L256" i="69"/>
  <c r="R256" i="69"/>
  <c r="L255" i="69"/>
  <c r="R255" i="69"/>
  <c r="L254" i="69"/>
  <c r="R254" i="69"/>
  <c r="L253" i="69"/>
  <c r="R253" i="69"/>
  <c r="L251" i="69"/>
  <c r="L259" i="69" s="1"/>
  <c r="K242" i="69"/>
  <c r="H242" i="69"/>
  <c r="L241" i="69"/>
  <c r="R241" i="69"/>
  <c r="L237" i="69"/>
  <c r="R237" i="69"/>
  <c r="L235" i="69"/>
  <c r="R235" i="69"/>
  <c r="L234" i="69"/>
  <c r="R234" i="69"/>
  <c r="L233" i="69"/>
  <c r="R233" i="69"/>
  <c r="L232" i="69"/>
  <c r="R232" i="69"/>
  <c r="L231" i="69"/>
  <c r="R231" i="69"/>
  <c r="L230" i="69"/>
  <c r="L229" i="69"/>
  <c r="R229" i="69"/>
  <c r="L228" i="69"/>
  <c r="R228" i="69"/>
  <c r="L227" i="69"/>
  <c r="R227" i="69"/>
  <c r="L226" i="69"/>
  <c r="L225" i="69"/>
  <c r="R225" i="69"/>
  <c r="L224" i="69"/>
  <c r="R224" i="69"/>
  <c r="L222" i="69"/>
  <c r="R222" i="69"/>
  <c r="L221" i="69"/>
  <c r="R221" i="69"/>
  <c r="L220" i="69"/>
  <c r="R220" i="69"/>
  <c r="L219" i="69"/>
  <c r="L218" i="69"/>
  <c r="R218" i="69"/>
  <c r="L217" i="69"/>
  <c r="R217" i="69"/>
  <c r="L216" i="69"/>
  <c r="R216" i="69"/>
  <c r="L215" i="69"/>
  <c r="L214" i="69"/>
  <c r="R214" i="69"/>
  <c r="L213" i="69"/>
  <c r="R213" i="69"/>
  <c r="L212" i="69"/>
  <c r="R212" i="69"/>
  <c r="L211" i="69"/>
  <c r="R211" i="69"/>
  <c r="L210" i="69"/>
  <c r="R210" i="69"/>
  <c r="L209" i="69"/>
  <c r="R209" i="69"/>
  <c r="L202" i="69"/>
  <c r="R202" i="69"/>
  <c r="L201" i="69"/>
  <c r="R201" i="69"/>
  <c r="L200" i="69"/>
  <c r="R200" i="69"/>
  <c r="L199" i="69"/>
  <c r="R199" i="69"/>
  <c r="L198" i="69"/>
  <c r="R198" i="69"/>
  <c r="L197" i="69"/>
  <c r="R197" i="69"/>
  <c r="L196" i="69"/>
  <c r="R196" i="69"/>
  <c r="L195" i="69"/>
  <c r="R195" i="69"/>
  <c r="L194" i="69"/>
  <c r="R194" i="69"/>
  <c r="L193" i="69"/>
  <c r="L192" i="69"/>
  <c r="L191" i="69"/>
  <c r="R191" i="69"/>
  <c r="L190" i="69"/>
  <c r="R190" i="69"/>
  <c r="L189" i="69"/>
  <c r="R189" i="69"/>
  <c r="L188" i="69"/>
  <c r="R188" i="69"/>
  <c r="L187" i="69"/>
  <c r="R187" i="69"/>
  <c r="L186" i="69"/>
  <c r="L185" i="69"/>
  <c r="R185" i="69"/>
  <c r="L184" i="69"/>
  <c r="R184" i="69"/>
  <c r="L183" i="69"/>
  <c r="R183" i="69"/>
  <c r="L181" i="69"/>
  <c r="R181" i="69"/>
  <c r="L177" i="69"/>
  <c r="L242" i="69" s="1"/>
  <c r="K173" i="69"/>
  <c r="L172" i="69"/>
  <c r="R172" i="69"/>
  <c r="L169" i="69"/>
  <c r="R169" i="69"/>
  <c r="L168" i="69"/>
  <c r="R168" i="69"/>
  <c r="L167" i="69"/>
  <c r="L166" i="69"/>
  <c r="R166" i="69"/>
  <c r="L165" i="69"/>
  <c r="R165" i="69"/>
  <c r="L164" i="69"/>
  <c r="R164" i="69"/>
  <c r="L163" i="69"/>
  <c r="L162" i="69"/>
  <c r="L160" i="69"/>
  <c r="R160" i="69"/>
  <c r="L158" i="69"/>
  <c r="R158" i="69"/>
  <c r="L157" i="69"/>
  <c r="L156" i="69"/>
  <c r="R156" i="69"/>
  <c r="L153" i="69"/>
  <c r="K149" i="69"/>
  <c r="H149" i="69"/>
  <c r="L148" i="69"/>
  <c r="L145" i="69"/>
  <c r="L144" i="69"/>
  <c r="R144" i="69"/>
  <c r="L143" i="69"/>
  <c r="R143" i="69"/>
  <c r="L142" i="69"/>
  <c r="L141" i="69"/>
  <c r="L140" i="69"/>
  <c r="L136" i="69"/>
  <c r="R136" i="69"/>
  <c r="L135" i="69"/>
  <c r="L133" i="69"/>
  <c r="L132" i="69"/>
  <c r="L131" i="69"/>
  <c r="L128" i="69"/>
  <c r="R128" i="69"/>
  <c r="L127" i="69"/>
  <c r="L126" i="69"/>
  <c r="K122" i="69"/>
  <c r="J122" i="69"/>
  <c r="L121" i="69"/>
  <c r="L122" i="69" s="1"/>
  <c r="K117" i="69"/>
  <c r="J117" i="69"/>
  <c r="L116" i="69"/>
  <c r="R116" i="69"/>
  <c r="L115" i="69"/>
  <c r="R115" i="69"/>
  <c r="L114" i="69"/>
  <c r="R114" i="69"/>
  <c r="L113" i="69"/>
  <c r="R113" i="69"/>
  <c r="L112" i="69"/>
  <c r="R112" i="69"/>
  <c r="L110" i="69"/>
  <c r="R110" i="69"/>
  <c r="L109" i="69"/>
  <c r="R109" i="69"/>
  <c r="L108" i="69"/>
  <c r="R108" i="69"/>
  <c r="L107" i="69"/>
  <c r="R107" i="69"/>
  <c r="L106" i="69"/>
  <c r="K102" i="69"/>
  <c r="J102" i="69"/>
  <c r="L101" i="69"/>
  <c r="L102" i="69" s="1"/>
  <c r="K97" i="69"/>
  <c r="J97" i="69"/>
  <c r="H97" i="69"/>
  <c r="L96" i="69"/>
  <c r="R96" i="69"/>
  <c r="L95" i="69"/>
  <c r="R95" i="69"/>
  <c r="L94" i="69"/>
  <c r="K90" i="69"/>
  <c r="H90" i="69"/>
  <c r="K85" i="69"/>
  <c r="L84" i="69"/>
  <c r="R84" i="69"/>
  <c r="L83" i="69"/>
  <c r="R83" i="69"/>
  <c r="L82" i="69"/>
  <c r="R82" i="69"/>
  <c r="L81" i="69"/>
  <c r="R81" i="69"/>
  <c r="L80" i="69"/>
  <c r="R80" i="69"/>
  <c r="L79" i="69"/>
  <c r="R79" i="69"/>
  <c r="L78" i="69"/>
  <c r="R78" i="69"/>
  <c r="L77" i="69"/>
  <c r="R77" i="69"/>
  <c r="L76" i="69"/>
  <c r="R76" i="69"/>
  <c r="L75" i="69"/>
  <c r="R75" i="69"/>
  <c r="L74" i="69"/>
  <c r="R74" i="69"/>
  <c r="L73" i="69"/>
  <c r="R73" i="69"/>
  <c r="L72" i="69"/>
  <c r="R72" i="69"/>
  <c r="L70" i="69"/>
  <c r="R70" i="69"/>
  <c r="L69" i="69"/>
  <c r="R69" i="69"/>
  <c r="L68" i="69"/>
  <c r="R68" i="69"/>
  <c r="L67" i="69"/>
  <c r="R67" i="69"/>
  <c r="L66" i="69"/>
  <c r="R66" i="69"/>
  <c r="L65" i="69"/>
  <c r="R65" i="69"/>
  <c r="L64" i="69"/>
  <c r="R64" i="69"/>
  <c r="L63" i="69"/>
  <c r="R63" i="69"/>
  <c r="L62" i="69"/>
  <c r="R62" i="69"/>
  <c r="L61" i="69"/>
  <c r="R61" i="69"/>
  <c r="L60" i="69"/>
  <c r="R60" i="69"/>
  <c r="L59" i="69"/>
  <c r="R59" i="69"/>
  <c r="L58" i="69"/>
  <c r="K51" i="69"/>
  <c r="H51" i="69"/>
  <c r="L50" i="69"/>
  <c r="R50" i="69"/>
  <c r="L49" i="69"/>
  <c r="L48" i="69"/>
  <c r="R48" i="69"/>
  <c r="L47" i="69"/>
  <c r="K44" i="69"/>
  <c r="H44" i="69"/>
  <c r="L43" i="69"/>
  <c r="R43" i="69"/>
  <c r="L42" i="69"/>
  <c r="R42" i="69"/>
  <c r="L41" i="69"/>
  <c r="R41" i="69"/>
  <c r="L40" i="69"/>
  <c r="R40" i="69"/>
  <c r="L39" i="69"/>
  <c r="R39" i="69"/>
  <c r="L38" i="69"/>
  <c r="R38" i="69"/>
  <c r="L37" i="69"/>
  <c r="R37" i="69"/>
  <c r="L36" i="69"/>
  <c r="K33" i="69"/>
  <c r="H33" i="69"/>
  <c r="L32" i="69"/>
  <c r="R32" i="69"/>
  <c r="L31" i="69"/>
  <c r="R31" i="69"/>
  <c r="L30" i="69"/>
  <c r="R30" i="69"/>
  <c r="L29" i="69"/>
  <c r="L28" i="69"/>
  <c r="R28" i="69"/>
  <c r="L27" i="69"/>
  <c r="R27" i="69"/>
  <c r="L26" i="69"/>
  <c r="R26" i="69"/>
  <c r="L25" i="69"/>
  <c r="R25" i="69"/>
  <c r="L23" i="69"/>
  <c r="K20" i="69"/>
  <c r="H20" i="69"/>
  <c r="H53" i="69" s="1"/>
  <c r="L19" i="69"/>
  <c r="R19" i="69"/>
  <c r="L18" i="69"/>
  <c r="R18" i="69"/>
  <c r="L17" i="69"/>
  <c r="R17" i="69"/>
  <c r="L16" i="69"/>
  <c r="R16" i="69"/>
  <c r="L14" i="69"/>
  <c r="R14" i="69"/>
  <c r="L13" i="69"/>
  <c r="R13" i="69"/>
  <c r="L12" i="69"/>
  <c r="L11" i="69"/>
  <c r="R11" i="69"/>
  <c r="K6" i="69"/>
  <c r="L5" i="69"/>
  <c r="L6" i="69" s="1"/>
  <c r="O164" i="70"/>
  <c r="O219" i="70"/>
  <c r="O218" i="70"/>
  <c r="O215" i="70"/>
  <c r="M268" i="70"/>
  <c r="M276" i="70" s="1"/>
  <c r="M262" i="70"/>
  <c r="M214" i="70"/>
  <c r="M179" i="70"/>
  <c r="M170" i="70"/>
  <c r="M162" i="70"/>
  <c r="M148" i="70"/>
  <c r="M117" i="70"/>
  <c r="M97" i="70"/>
  <c r="M38" i="70"/>
  <c r="M29" i="70"/>
  <c r="M22" i="70"/>
  <c r="O275" i="70"/>
  <c r="O272" i="70"/>
  <c r="O271" i="70"/>
  <c r="O267" i="70"/>
  <c r="O266" i="70"/>
  <c r="O265" i="70"/>
  <c r="O259" i="70"/>
  <c r="O258" i="70"/>
  <c r="O257" i="70"/>
  <c r="O256" i="70"/>
  <c r="O255" i="70"/>
  <c r="O244" i="70"/>
  <c r="O243" i="70"/>
  <c r="O242" i="70"/>
  <c r="O240" i="70"/>
  <c r="O239" i="70"/>
  <c r="O237" i="70"/>
  <c r="O236" i="70"/>
  <c r="O235" i="70"/>
  <c r="O234" i="70"/>
  <c r="O233" i="70"/>
  <c r="O210" i="70"/>
  <c r="O207" i="70"/>
  <c r="O205" i="70"/>
  <c r="O204" i="70"/>
  <c r="O202" i="70"/>
  <c r="O201" i="70"/>
  <c r="O200" i="70"/>
  <c r="O199" i="70"/>
  <c r="O197" i="70"/>
  <c r="O196" i="70"/>
  <c r="O195" i="70"/>
  <c r="O194" i="70"/>
  <c r="O193" i="70"/>
  <c r="O192" i="70"/>
  <c r="O191" i="70"/>
  <c r="O190" i="70"/>
  <c r="O189" i="70"/>
  <c r="O188" i="70"/>
  <c r="O187" i="70"/>
  <c r="O186" i="70"/>
  <c r="O185" i="70"/>
  <c r="O184" i="70"/>
  <c r="O183" i="70"/>
  <c r="O178" i="70"/>
  <c r="O177" i="70"/>
  <c r="O176" i="70"/>
  <c r="O172" i="70"/>
  <c r="O169" i="70"/>
  <c r="O168" i="70"/>
  <c r="O167" i="70"/>
  <c r="O166" i="70"/>
  <c r="O161" i="70"/>
  <c r="O160" i="70"/>
  <c r="O159" i="70"/>
  <c r="O158" i="70"/>
  <c r="O157" i="70"/>
  <c r="O156" i="70"/>
  <c r="O155" i="70"/>
  <c r="O154" i="70"/>
  <c r="O153" i="70"/>
  <c r="O152" i="70"/>
  <c r="O147" i="70"/>
  <c r="O146" i="70"/>
  <c r="O136" i="70"/>
  <c r="O135" i="70"/>
  <c r="O134" i="70"/>
  <c r="O129" i="70"/>
  <c r="O127" i="70"/>
  <c r="O126" i="70"/>
  <c r="O124" i="70"/>
  <c r="O123" i="70"/>
  <c r="O116" i="70"/>
  <c r="O115" i="70"/>
  <c r="O114" i="70"/>
  <c r="O113" i="70"/>
  <c r="O112" i="70"/>
  <c r="O111" i="70"/>
  <c r="O110" i="70"/>
  <c r="O109" i="70"/>
  <c r="O108" i="70"/>
  <c r="O107" i="70"/>
  <c r="O106" i="70"/>
  <c r="O105" i="70"/>
  <c r="O104" i="70"/>
  <c r="O103" i="70"/>
  <c r="O102" i="70"/>
  <c r="O101" i="70"/>
  <c r="O96" i="70"/>
  <c r="O95" i="70"/>
  <c r="O93" i="70"/>
  <c r="O92" i="70"/>
  <c r="O91" i="70"/>
  <c r="O86" i="70"/>
  <c r="O85" i="70"/>
  <c r="O84" i="70"/>
  <c r="O83" i="70"/>
  <c r="O80" i="70"/>
  <c r="O77" i="70"/>
  <c r="O75" i="70"/>
  <c r="O74" i="70"/>
  <c r="O73" i="70"/>
  <c r="O72" i="70"/>
  <c r="O71" i="70"/>
  <c r="O70" i="70"/>
  <c r="O69" i="70"/>
  <c r="O68" i="70"/>
  <c r="O67" i="70"/>
  <c r="O66" i="70"/>
  <c r="O65" i="70"/>
  <c r="O64" i="70"/>
  <c r="O63" i="70"/>
  <c r="O62" i="70"/>
  <c r="O61" i="70"/>
  <c r="O60" i="70"/>
  <c r="O58" i="70"/>
  <c r="O57" i="70"/>
  <c r="O56" i="70"/>
  <c r="O53" i="70"/>
  <c r="O51" i="70"/>
  <c r="O50" i="70"/>
  <c r="O49" i="70"/>
  <c r="O48" i="70"/>
  <c r="O47" i="70"/>
  <c r="O46" i="70"/>
  <c r="O45" i="70"/>
  <c r="O43" i="70"/>
  <c r="O42" i="70"/>
  <c r="O40" i="70"/>
  <c r="O37" i="70"/>
  <c r="O36" i="70"/>
  <c r="O34" i="70"/>
  <c r="O33" i="70"/>
  <c r="O28" i="70"/>
  <c r="O27" i="70"/>
  <c r="O26" i="70"/>
  <c r="O25" i="70"/>
  <c r="O19" i="70"/>
  <c r="O18" i="70"/>
  <c r="O8" i="70"/>
  <c r="N268" i="70"/>
  <c r="N276" i="70" s="1"/>
  <c r="N262" i="70"/>
  <c r="N214" i="70"/>
  <c r="N179" i="70"/>
  <c r="N170" i="70"/>
  <c r="N173" i="70" s="1"/>
  <c r="N162" i="70"/>
  <c r="N148" i="70"/>
  <c r="N117" i="70"/>
  <c r="N97" i="70"/>
  <c r="N81" i="70"/>
  <c r="N38" i="70"/>
  <c r="N29" i="70"/>
  <c r="L268" i="70"/>
  <c r="L276" i="70" s="1"/>
  <c r="L262" i="70"/>
  <c r="L248" i="70"/>
  <c r="L249" i="70" s="1"/>
  <c r="L220" i="70"/>
  <c r="L214" i="70"/>
  <c r="L221" i="70" s="1"/>
  <c r="L179" i="70"/>
  <c r="L170" i="70"/>
  <c r="L162" i="70"/>
  <c r="L148" i="70"/>
  <c r="L141" i="70"/>
  <c r="L117" i="70"/>
  <c r="L97" i="70"/>
  <c r="L81" i="70"/>
  <c r="L38" i="70"/>
  <c r="L29" i="70"/>
  <c r="L22" i="70"/>
  <c r="L14" i="70"/>
  <c r="H26" i="6"/>
  <c r="I26" i="6" s="1"/>
  <c r="R492" i="69"/>
  <c r="R219" i="69"/>
  <c r="R193" i="69"/>
  <c r="R133" i="69"/>
  <c r="R491" i="69"/>
  <c r="R127" i="69"/>
  <c r="J331" i="11" s="1"/>
  <c r="R409" i="69"/>
  <c r="R399" i="69"/>
  <c r="R430" i="69"/>
  <c r="R574" i="69"/>
  <c r="R587" i="69"/>
  <c r="R131" i="69"/>
  <c r="R186" i="69"/>
  <c r="R346" i="69"/>
  <c r="R126" i="69"/>
  <c r="R148" i="69"/>
  <c r="R157" i="69"/>
  <c r="J343" i="11" s="1"/>
  <c r="R280" i="69"/>
  <c r="R292" i="69"/>
  <c r="R452" i="69"/>
  <c r="R461" i="69"/>
  <c r="R490" i="69"/>
  <c r="R507" i="69"/>
  <c r="R573" i="69"/>
  <c r="R135" i="69"/>
  <c r="R145" i="69"/>
  <c r="R177" i="69"/>
  <c r="R270" i="69"/>
  <c r="R572" i="69"/>
  <c r="R12" i="69"/>
  <c r="R36" i="69"/>
  <c r="R58" i="69"/>
  <c r="R106" i="69"/>
  <c r="R132" i="69"/>
  <c r="R137" i="69"/>
  <c r="R163" i="69"/>
  <c r="R167" i="69"/>
  <c r="J349" i="11" s="1"/>
  <c r="R226" i="69"/>
  <c r="R230" i="69"/>
  <c r="R262" i="69"/>
  <c r="R293" i="69"/>
  <c r="R352" i="69"/>
  <c r="R414" i="69"/>
  <c r="R453" i="69"/>
  <c r="R565" i="69"/>
  <c r="R223" i="69"/>
  <c r="R142" i="69"/>
  <c r="J327" i="11" s="1"/>
  <c r="R153" i="69"/>
  <c r="R162" i="69"/>
  <c r="R438" i="69"/>
  <c r="R204" i="69"/>
  <c r="R47" i="69"/>
  <c r="R130" i="69"/>
  <c r="R141" i="69"/>
  <c r="R215" i="69"/>
  <c r="R251" i="69"/>
  <c r="R424" i="69"/>
  <c r="R506" i="69"/>
  <c r="R524" i="69"/>
  <c r="R559" i="69"/>
  <c r="R208" i="69"/>
  <c r="R23" i="69"/>
  <c r="R140" i="69"/>
  <c r="J333" i="11" s="1"/>
  <c r="R155" i="69"/>
  <c r="R159" i="69"/>
  <c r="R192" i="69"/>
  <c r="R265" i="69"/>
  <c r="R267" i="69" s="1"/>
  <c r="R527" i="69"/>
  <c r="R544" i="69"/>
  <c r="R567" i="69"/>
  <c r="E469" i="63" s="1"/>
  <c r="E471" i="63" s="1"/>
  <c r="J74" i="11"/>
  <c r="J327" i="69"/>
  <c r="L495" i="69"/>
  <c r="L179" i="69"/>
  <c r="L15" i="69"/>
  <c r="R495" i="69"/>
  <c r="R89" i="69"/>
  <c r="R154" i="69"/>
  <c r="R173" i="69" s="1"/>
  <c r="R345" i="69"/>
  <c r="R15" i="69"/>
  <c r="G27" i="6"/>
  <c r="G34" i="6"/>
  <c r="I34" i="6" s="1"/>
  <c r="I248" i="70"/>
  <c r="I249" i="70" s="1"/>
  <c r="H248" i="70"/>
  <c r="H249" i="70" s="1"/>
  <c r="G248" i="70"/>
  <c r="G249" i="70" s="1"/>
  <c r="J234" i="70"/>
  <c r="J248" i="70" s="1"/>
  <c r="J249" i="70" s="1"/>
  <c r="F293" i="69"/>
  <c r="E294" i="69"/>
  <c r="D294" i="69"/>
  <c r="C294" i="69"/>
  <c r="F291" i="69"/>
  <c r="F177" i="69"/>
  <c r="E242" i="69"/>
  <c r="C242" i="69"/>
  <c r="F292" i="69"/>
  <c r="H11" i="70"/>
  <c r="H183" i="70"/>
  <c r="D179" i="69"/>
  <c r="O25" i="58"/>
  <c r="L25" i="58"/>
  <c r="K25" i="58"/>
  <c r="J25" i="58"/>
  <c r="I25" i="58"/>
  <c r="H11" i="58"/>
  <c r="D25" i="58"/>
  <c r="H67" i="11"/>
  <c r="H63" i="11"/>
  <c r="H176" i="70"/>
  <c r="H179" i="70" s="1"/>
  <c r="D241" i="69"/>
  <c r="F241" i="69" s="1"/>
  <c r="D495" i="69"/>
  <c r="F495" i="69" s="1"/>
  <c r="D565" i="69"/>
  <c r="F565" i="69" s="1"/>
  <c r="J122" i="70"/>
  <c r="H143" i="70"/>
  <c r="J143" i="70" s="1"/>
  <c r="H141" i="70"/>
  <c r="F567" i="69"/>
  <c r="D335" i="69"/>
  <c r="F334" i="69"/>
  <c r="F335" i="69" s="1"/>
  <c r="F493" i="63"/>
  <c r="E562" i="63"/>
  <c r="H43" i="5"/>
  <c r="D30" i="74"/>
  <c r="D31" i="74" s="1"/>
  <c r="J275" i="11"/>
  <c r="H275" i="11"/>
  <c r="E14" i="77" s="1"/>
  <c r="F41" i="4"/>
  <c r="K41" i="4"/>
  <c r="J998" i="11"/>
  <c r="I141" i="70"/>
  <c r="G141" i="70"/>
  <c r="J137" i="70"/>
  <c r="J136" i="70"/>
  <c r="J135" i="70"/>
  <c r="J134" i="70"/>
  <c r="J133" i="70"/>
  <c r="J132" i="70"/>
  <c r="J129" i="70"/>
  <c r="J128" i="70"/>
  <c r="J127" i="70"/>
  <c r="J126" i="70"/>
  <c r="J125" i="70"/>
  <c r="J124" i="70"/>
  <c r="J123" i="70"/>
  <c r="I43" i="9"/>
  <c r="F33" i="77" s="1"/>
  <c r="G43" i="9"/>
  <c r="F29" i="4" s="1"/>
  <c r="F11" i="35"/>
  <c r="G11" i="35" s="1"/>
  <c r="H185" i="70"/>
  <c r="J185" i="70" s="1"/>
  <c r="J77" i="70"/>
  <c r="J80" i="70"/>
  <c r="I81" i="70"/>
  <c r="H81" i="70"/>
  <c r="G81" i="70"/>
  <c r="D325" i="69"/>
  <c r="F325" i="69" s="1"/>
  <c r="F327" i="69" s="1"/>
  <c r="D28" i="69"/>
  <c r="D33" i="69" s="1"/>
  <c r="D15" i="69"/>
  <c r="D20" i="69" s="1"/>
  <c r="F262" i="69"/>
  <c r="E276" i="69"/>
  <c r="D276" i="69"/>
  <c r="C276" i="69"/>
  <c r="E267" i="69"/>
  <c r="D267" i="69"/>
  <c r="C267" i="69"/>
  <c r="C296" i="69" s="1"/>
  <c r="F275" i="69"/>
  <c r="F274" i="69"/>
  <c r="F273" i="69"/>
  <c r="F272" i="69"/>
  <c r="F271" i="69"/>
  <c r="F270" i="69"/>
  <c r="F266" i="69"/>
  <c r="F265" i="69"/>
  <c r="F267" i="69" s="1"/>
  <c r="G220" i="70"/>
  <c r="G214" i="70"/>
  <c r="G38" i="70"/>
  <c r="D505" i="69"/>
  <c r="F505" i="69" s="1"/>
  <c r="C51" i="69"/>
  <c r="C44" i="69"/>
  <c r="C33" i="69"/>
  <c r="C20" i="69"/>
  <c r="C53" i="69" s="1"/>
  <c r="C244" i="69" s="1"/>
  <c r="E51" i="69"/>
  <c r="E44" i="69"/>
  <c r="E33" i="69"/>
  <c r="E20" i="69"/>
  <c r="E53" i="69" s="1"/>
  <c r="E244" i="69" s="1"/>
  <c r="D51" i="69"/>
  <c r="D44" i="69"/>
  <c r="I214" i="70"/>
  <c r="I220" i="70"/>
  <c r="H220" i="70"/>
  <c r="J219" i="70"/>
  <c r="J218" i="70"/>
  <c r="J215" i="70"/>
  <c r="J235" i="70"/>
  <c r="J236" i="70"/>
  <c r="J213" i="70"/>
  <c r="I38" i="70"/>
  <c r="I89" i="70" s="1"/>
  <c r="H38" i="70"/>
  <c r="J37" i="70"/>
  <c r="H71" i="11"/>
  <c r="J483" i="11"/>
  <c r="H479" i="11" s="1"/>
  <c r="H483" i="11" s="1"/>
  <c r="J474" i="11"/>
  <c r="H470" i="11" s="1"/>
  <c r="H474" i="11" s="1"/>
  <c r="J423" i="11"/>
  <c r="H419" i="11" s="1"/>
  <c r="H423" i="11" s="1"/>
  <c r="J46" i="70"/>
  <c r="J104" i="70"/>
  <c r="J103" i="70"/>
  <c r="G36" i="6"/>
  <c r="I36" i="6" s="1"/>
  <c r="G35" i="6"/>
  <c r="I35" i="6" s="1"/>
  <c r="G32" i="6"/>
  <c r="I32" i="6" s="1"/>
  <c r="F430" i="69"/>
  <c r="F50" i="69"/>
  <c r="F49" i="69"/>
  <c r="F48" i="69"/>
  <c r="F47" i="69"/>
  <c r="F43" i="69"/>
  <c r="F42" i="69"/>
  <c r="F41" i="69"/>
  <c r="F40" i="69"/>
  <c r="F39" i="69"/>
  <c r="F38" i="69"/>
  <c r="F37" i="69"/>
  <c r="F44" i="69" s="1"/>
  <c r="F36" i="69"/>
  <c r="F32" i="69"/>
  <c r="F31" i="69"/>
  <c r="F30" i="69"/>
  <c r="F29" i="69"/>
  <c r="F27" i="69"/>
  <c r="F26" i="69"/>
  <c r="F25" i="69"/>
  <c r="F23" i="69"/>
  <c r="F19" i="69"/>
  <c r="F18" i="69"/>
  <c r="F17" i="69"/>
  <c r="F16" i="69"/>
  <c r="F14" i="69"/>
  <c r="F13" i="69"/>
  <c r="F12" i="69"/>
  <c r="F11" i="69"/>
  <c r="C6" i="69"/>
  <c r="D6" i="69"/>
  <c r="E6" i="69"/>
  <c r="C85" i="69"/>
  <c r="D85" i="69"/>
  <c r="E85" i="69"/>
  <c r="C90" i="69"/>
  <c r="D90" i="69"/>
  <c r="E90" i="69"/>
  <c r="C97" i="69"/>
  <c r="D97" i="69"/>
  <c r="E97" i="69"/>
  <c r="C102" i="69"/>
  <c r="D102" i="69"/>
  <c r="E102" i="69"/>
  <c r="C117" i="69"/>
  <c r="D117" i="69"/>
  <c r="E117" i="69"/>
  <c r="C122" i="69"/>
  <c r="D122" i="69"/>
  <c r="E122" i="69"/>
  <c r="C149" i="69"/>
  <c r="D149" i="69"/>
  <c r="E149" i="69"/>
  <c r="C173" i="69"/>
  <c r="D173" i="69"/>
  <c r="E173" i="69"/>
  <c r="C259" i="69"/>
  <c r="D259" i="69"/>
  <c r="E259" i="69"/>
  <c r="C288" i="69"/>
  <c r="D288" i="69"/>
  <c r="E288" i="69"/>
  <c r="C321" i="69"/>
  <c r="D321" i="69"/>
  <c r="E321" i="69"/>
  <c r="C327" i="69"/>
  <c r="E327" i="69"/>
  <c r="C335" i="69"/>
  <c r="E335" i="69"/>
  <c r="C341" i="69"/>
  <c r="D341" i="69"/>
  <c r="E341" i="69"/>
  <c r="C348" i="69"/>
  <c r="D348" i="69"/>
  <c r="E348" i="69"/>
  <c r="C404" i="69"/>
  <c r="D404" i="69"/>
  <c r="E404" i="69"/>
  <c r="C410" i="69"/>
  <c r="D410" i="69"/>
  <c r="E410" i="69"/>
  <c r="C605" i="69"/>
  <c r="E605" i="69"/>
  <c r="F304" i="69"/>
  <c r="F302" i="69"/>
  <c r="F301" i="69"/>
  <c r="F285" i="69"/>
  <c r="F284" i="69"/>
  <c r="F283" i="69"/>
  <c r="F282" i="69"/>
  <c r="F288" i="69" s="1"/>
  <c r="F281" i="69"/>
  <c r="F506" i="69"/>
  <c r="J8" i="70"/>
  <c r="J5" i="70"/>
  <c r="J275" i="70"/>
  <c r="J272" i="70"/>
  <c r="J271" i="70"/>
  <c r="J267" i="70"/>
  <c r="J266" i="70"/>
  <c r="J265" i="70"/>
  <c r="J259" i="70"/>
  <c r="J258" i="70"/>
  <c r="J257" i="70"/>
  <c r="J256" i="70"/>
  <c r="J262" i="70" s="1"/>
  <c r="J255" i="70"/>
  <c r="J244" i="70"/>
  <c r="J243" i="70"/>
  <c r="J242" i="70"/>
  <c r="J241" i="70"/>
  <c r="J240" i="70"/>
  <c r="J239" i="70"/>
  <c r="J237" i="70"/>
  <c r="J233" i="70"/>
  <c r="J210" i="70"/>
  <c r="J205" i="70"/>
  <c r="J204" i="70"/>
  <c r="J202" i="70"/>
  <c r="J201" i="70"/>
  <c r="J200" i="70"/>
  <c r="J199" i="70"/>
  <c r="J197" i="70"/>
  <c r="J196" i="70"/>
  <c r="J195" i="70"/>
  <c r="J194" i="70"/>
  <c r="J193" i="70"/>
  <c r="J192" i="70"/>
  <c r="J191" i="70"/>
  <c r="J190" i="70"/>
  <c r="J189" i="70"/>
  <c r="J188" i="70"/>
  <c r="J187" i="70"/>
  <c r="J186" i="70"/>
  <c r="J184" i="70"/>
  <c r="J178" i="70"/>
  <c r="J177" i="70"/>
  <c r="J172" i="70"/>
  <c r="J169" i="70"/>
  <c r="J168" i="70"/>
  <c r="J167" i="70"/>
  <c r="J166" i="70"/>
  <c r="J170" i="70" s="1"/>
  <c r="J164" i="70"/>
  <c r="J161" i="70"/>
  <c r="J160" i="70"/>
  <c r="J159" i="70"/>
  <c r="J158" i="70"/>
  <c r="J157" i="70"/>
  <c r="J156" i="70"/>
  <c r="J155" i="70"/>
  <c r="J154" i="70"/>
  <c r="J153" i="70"/>
  <c r="J152" i="70"/>
  <c r="J147" i="70"/>
  <c r="J148" i="70" s="1"/>
  <c r="J146" i="70"/>
  <c r="J116" i="70"/>
  <c r="J115" i="70"/>
  <c r="J114" i="70"/>
  <c r="J113" i="70"/>
  <c r="J112" i="70"/>
  <c r="J111" i="70"/>
  <c r="J110" i="70"/>
  <c r="J109" i="70"/>
  <c r="J108" i="70"/>
  <c r="J107" i="70"/>
  <c r="J106" i="70"/>
  <c r="J105" i="70"/>
  <c r="J102" i="70"/>
  <c r="J117" i="70" s="1"/>
  <c r="J101" i="70"/>
  <c r="J96" i="70"/>
  <c r="J95" i="70"/>
  <c r="J93" i="70"/>
  <c r="J92" i="70"/>
  <c r="J75" i="70"/>
  <c r="J74" i="70"/>
  <c r="J73" i="70"/>
  <c r="J72" i="70"/>
  <c r="J71" i="70"/>
  <c r="J70" i="70"/>
  <c r="J69" i="70"/>
  <c r="J68" i="70"/>
  <c r="J67" i="70"/>
  <c r="J66" i="70"/>
  <c r="J65" i="70"/>
  <c r="J64" i="70"/>
  <c r="J63" i="70"/>
  <c r="J62" i="70"/>
  <c r="J61" i="70"/>
  <c r="J60" i="70"/>
  <c r="J58" i="70"/>
  <c r="J57" i="70"/>
  <c r="J84" i="70"/>
  <c r="J56" i="70"/>
  <c r="J53" i="70"/>
  <c r="J51" i="70"/>
  <c r="J86" i="70"/>
  <c r="J83" i="70"/>
  <c r="J50" i="70"/>
  <c r="J49" i="70"/>
  <c r="J48" i="70"/>
  <c r="J47" i="70"/>
  <c r="J40" i="70"/>
  <c r="J85" i="70"/>
  <c r="J45" i="70"/>
  <c r="J36" i="70"/>
  <c r="J43" i="70"/>
  <c r="J42" i="70"/>
  <c r="J34" i="70"/>
  <c r="J38" i="70" s="1"/>
  <c r="J33" i="70"/>
  <c r="J28" i="70"/>
  <c r="J27" i="70"/>
  <c r="J26" i="70"/>
  <c r="J29" i="70" s="1"/>
  <c r="J25" i="70"/>
  <c r="J20" i="70"/>
  <c r="J19" i="70"/>
  <c r="J18" i="70"/>
  <c r="J13" i="70"/>
  <c r="I268" i="70"/>
  <c r="I276" i="70" s="1"/>
  <c r="H268" i="70"/>
  <c r="H276" i="70" s="1"/>
  <c r="G268" i="70"/>
  <c r="G276" i="70" s="1"/>
  <c r="I262" i="70"/>
  <c r="H262" i="70"/>
  <c r="G262" i="70"/>
  <c r="I179" i="70"/>
  <c r="G179" i="70"/>
  <c r="I170" i="70"/>
  <c r="H170" i="70"/>
  <c r="G170" i="70"/>
  <c r="I162" i="70"/>
  <c r="I173" i="70" s="1"/>
  <c r="H162" i="70"/>
  <c r="G162" i="70"/>
  <c r="I148" i="70"/>
  <c r="H148" i="70"/>
  <c r="G148" i="70"/>
  <c r="I117" i="70"/>
  <c r="H117" i="70"/>
  <c r="G117" i="70"/>
  <c r="I97" i="70"/>
  <c r="H97" i="70"/>
  <c r="G97" i="70"/>
  <c r="I29" i="70"/>
  <c r="H29" i="70"/>
  <c r="G29" i="70"/>
  <c r="I22" i="70"/>
  <c r="H22" i="70"/>
  <c r="G22" i="70"/>
  <c r="I14" i="70"/>
  <c r="G14" i="70"/>
  <c r="F604" i="69"/>
  <c r="F603" i="69"/>
  <c r="F601" i="69"/>
  <c r="F600" i="69"/>
  <c r="F599" i="69"/>
  <c r="F597" i="69"/>
  <c r="F596" i="69"/>
  <c r="F595" i="69"/>
  <c r="F594" i="69"/>
  <c r="F593" i="69"/>
  <c r="F592" i="69"/>
  <c r="F591" i="69"/>
  <c r="F590" i="69"/>
  <c r="F589" i="69"/>
  <c r="F588" i="69"/>
  <c r="F587" i="69"/>
  <c r="F586" i="69"/>
  <c r="F585" i="69"/>
  <c r="F584" i="69"/>
  <c r="F583" i="69"/>
  <c r="F579" i="69"/>
  <c r="F578" i="69"/>
  <c r="F576" i="69"/>
  <c r="F574" i="69"/>
  <c r="F573" i="69"/>
  <c r="F572" i="69"/>
  <c r="F564" i="69"/>
  <c r="F563" i="69"/>
  <c r="F562" i="69"/>
  <c r="F561" i="69"/>
  <c r="F560" i="69"/>
  <c r="F559" i="69"/>
  <c r="F558" i="69"/>
  <c r="F557" i="69"/>
  <c r="F556" i="69"/>
  <c r="F555" i="69"/>
  <c r="F554" i="69"/>
  <c r="F551" i="69"/>
  <c r="F550" i="69"/>
  <c r="F549" i="69"/>
  <c r="F548" i="69"/>
  <c r="F547" i="69"/>
  <c r="F546" i="69"/>
  <c r="F545" i="69"/>
  <c r="F544" i="69"/>
  <c r="F543" i="69"/>
  <c r="F542" i="69"/>
  <c r="F541" i="69"/>
  <c r="F540" i="69"/>
  <c r="F539" i="69"/>
  <c r="F538" i="69"/>
  <c r="F537" i="69"/>
  <c r="F535" i="69"/>
  <c r="F534" i="69"/>
  <c r="F533" i="69"/>
  <c r="F532" i="69"/>
  <c r="F531" i="69"/>
  <c r="F530" i="69"/>
  <c r="F529" i="69"/>
  <c r="F528" i="69"/>
  <c r="F527" i="69"/>
  <c r="F526" i="69"/>
  <c r="F525" i="69"/>
  <c r="F524" i="69"/>
  <c r="F523" i="69"/>
  <c r="F522" i="69"/>
  <c r="F521" i="69"/>
  <c r="F520" i="69"/>
  <c r="F519" i="69"/>
  <c r="F518" i="69"/>
  <c r="F516" i="69"/>
  <c r="F515" i="69"/>
  <c r="F514" i="69"/>
  <c r="F512" i="69"/>
  <c r="F511" i="69"/>
  <c r="F510" i="69"/>
  <c r="F509" i="69"/>
  <c r="F508" i="69"/>
  <c r="F507" i="69"/>
  <c r="F504" i="69"/>
  <c r="F503" i="69"/>
  <c r="F502" i="69"/>
  <c r="F501" i="69"/>
  <c r="F500" i="69"/>
  <c r="F499" i="69"/>
  <c r="F498" i="69"/>
  <c r="F497" i="69"/>
  <c r="F496" i="69"/>
  <c r="F494" i="69"/>
  <c r="F493" i="69"/>
  <c r="F492" i="69"/>
  <c r="F490" i="69"/>
  <c r="F489" i="69"/>
  <c r="F488" i="69"/>
  <c r="F487" i="69"/>
  <c r="F486" i="69"/>
  <c r="F485" i="69"/>
  <c r="F484" i="69"/>
  <c r="F483" i="69"/>
  <c r="F482" i="69"/>
  <c r="F481" i="69"/>
  <c r="F480" i="69"/>
  <c r="F479" i="69"/>
  <c r="F478" i="69"/>
  <c r="F477" i="69"/>
  <c r="F476" i="69"/>
  <c r="F475" i="69"/>
  <c r="F474" i="69"/>
  <c r="F473" i="69"/>
  <c r="F472" i="69"/>
  <c r="F471" i="69"/>
  <c r="F470" i="69"/>
  <c r="F469" i="69"/>
  <c r="F468" i="69"/>
  <c r="F402" i="69"/>
  <c r="F466" i="69"/>
  <c r="F465" i="69"/>
  <c r="F464" i="69"/>
  <c r="F463" i="69"/>
  <c r="F461" i="69"/>
  <c r="F459" i="69"/>
  <c r="F458" i="69"/>
  <c r="F457" i="69"/>
  <c r="F456" i="69"/>
  <c r="F455" i="69"/>
  <c r="F454" i="69"/>
  <c r="F453" i="69"/>
  <c r="F452" i="69"/>
  <c r="F451" i="69"/>
  <c r="F450" i="69"/>
  <c r="F449" i="69"/>
  <c r="F448" i="69"/>
  <c r="F447" i="69"/>
  <c r="F446" i="69"/>
  <c r="F445" i="69"/>
  <c r="F444" i="69"/>
  <c r="F441" i="69"/>
  <c r="F440" i="69"/>
  <c r="F439" i="69"/>
  <c r="F438" i="69"/>
  <c r="F401" i="69"/>
  <c r="F431" i="69"/>
  <c r="F429" i="69"/>
  <c r="F428" i="69"/>
  <c r="F400" i="69"/>
  <c r="F399" i="69"/>
  <c r="F425" i="69"/>
  <c r="F424" i="69"/>
  <c r="F423" i="69"/>
  <c r="F398" i="69"/>
  <c r="F421" i="69"/>
  <c r="F420" i="69"/>
  <c r="F419" i="69"/>
  <c r="F397" i="69"/>
  <c r="F417" i="69"/>
  <c r="F396" i="69"/>
  <c r="F415" i="69"/>
  <c r="F414" i="69"/>
  <c r="F409" i="69"/>
  <c r="F408" i="69"/>
  <c r="F393" i="69"/>
  <c r="F392" i="69"/>
  <c r="F391" i="69"/>
  <c r="F390" i="69"/>
  <c r="F389" i="69"/>
  <c r="F388" i="69"/>
  <c r="F387" i="69"/>
  <c r="F386" i="69"/>
  <c r="F385" i="69"/>
  <c r="F384" i="69"/>
  <c r="F382" i="69"/>
  <c r="F381" i="69"/>
  <c r="F380" i="69"/>
  <c r="F379" i="69"/>
  <c r="F378" i="69"/>
  <c r="F377" i="69"/>
  <c r="F376" i="69"/>
  <c r="F375" i="69"/>
  <c r="F374" i="69"/>
  <c r="F373" i="69"/>
  <c r="F372" i="69"/>
  <c r="F371" i="69"/>
  <c r="F370" i="69"/>
  <c r="F369" i="69"/>
  <c r="F368" i="69"/>
  <c r="F367" i="69"/>
  <c r="F366" i="69"/>
  <c r="F365" i="69"/>
  <c r="F364" i="69"/>
  <c r="F363" i="69"/>
  <c r="F362" i="69"/>
  <c r="F361" i="69"/>
  <c r="F360" i="69"/>
  <c r="F359" i="69"/>
  <c r="F358" i="69"/>
  <c r="F357" i="69"/>
  <c r="F355" i="69"/>
  <c r="F354" i="69"/>
  <c r="F353" i="69"/>
  <c r="F352" i="69"/>
  <c r="F347" i="69"/>
  <c r="F346" i="69"/>
  <c r="F345" i="69"/>
  <c r="F340" i="69"/>
  <c r="F339" i="69"/>
  <c r="F320" i="69"/>
  <c r="F319" i="69"/>
  <c r="F318" i="69"/>
  <c r="F317" i="69"/>
  <c r="F316" i="69"/>
  <c r="F315" i="69"/>
  <c r="F314" i="69"/>
  <c r="F313" i="69"/>
  <c r="F312" i="69"/>
  <c r="F311" i="69"/>
  <c r="F310" i="69"/>
  <c r="F309" i="69"/>
  <c r="F308" i="69"/>
  <c r="F307" i="69"/>
  <c r="F306" i="69"/>
  <c r="F287" i="69"/>
  <c r="F286" i="69"/>
  <c r="F280" i="69"/>
  <c r="F258" i="69"/>
  <c r="F257" i="69"/>
  <c r="F256" i="69"/>
  <c r="F255" i="69"/>
  <c r="F254" i="69"/>
  <c r="F253" i="69"/>
  <c r="F251" i="69"/>
  <c r="F237" i="69"/>
  <c r="F235" i="69"/>
  <c r="F234" i="69"/>
  <c r="F233" i="69"/>
  <c r="F232" i="69"/>
  <c r="F231" i="69"/>
  <c r="F230" i="69"/>
  <c r="F229" i="69"/>
  <c r="F228" i="69"/>
  <c r="F227" i="69"/>
  <c r="F226" i="69"/>
  <c r="F225" i="69"/>
  <c r="F224" i="69"/>
  <c r="F222" i="69"/>
  <c r="F221" i="69"/>
  <c r="F220" i="69"/>
  <c r="F219" i="69"/>
  <c r="F218" i="69"/>
  <c r="F217" i="69"/>
  <c r="F216" i="69"/>
  <c r="F215" i="69"/>
  <c r="F214" i="69"/>
  <c r="F213" i="69"/>
  <c r="F212" i="69"/>
  <c r="F211" i="69"/>
  <c r="F210" i="69"/>
  <c r="F209" i="69"/>
  <c r="F202" i="69"/>
  <c r="F201" i="69"/>
  <c r="F200" i="69"/>
  <c r="F199" i="69"/>
  <c r="F198" i="69"/>
  <c r="F197" i="69"/>
  <c r="F196" i="69"/>
  <c r="F195" i="69"/>
  <c r="F194" i="69"/>
  <c r="F193" i="69"/>
  <c r="F192" i="69"/>
  <c r="F191" i="69"/>
  <c r="F190" i="69"/>
  <c r="F189" i="69"/>
  <c r="F188" i="69"/>
  <c r="F187" i="69"/>
  <c r="F186" i="69"/>
  <c r="F185" i="69"/>
  <c r="F184" i="69"/>
  <c r="F183" i="69"/>
  <c r="F181" i="69"/>
  <c r="F172" i="69"/>
  <c r="F169" i="69"/>
  <c r="F168" i="69"/>
  <c r="F167" i="69"/>
  <c r="F166" i="69"/>
  <c r="F165" i="69"/>
  <c r="F164" i="69"/>
  <c r="F163" i="69"/>
  <c r="F162" i="69"/>
  <c r="F160" i="69"/>
  <c r="F159" i="69"/>
  <c r="F158" i="69"/>
  <c r="F157" i="69"/>
  <c r="F156" i="69"/>
  <c r="F155" i="69"/>
  <c r="F154" i="69"/>
  <c r="F153" i="69"/>
  <c r="F173" i="69" s="1"/>
  <c r="F148" i="69"/>
  <c r="F145" i="69"/>
  <c r="F144" i="69"/>
  <c r="F143" i="69"/>
  <c r="F142" i="69"/>
  <c r="F141" i="69"/>
  <c r="F140" i="69"/>
  <c r="F137" i="69"/>
  <c r="F136" i="69"/>
  <c r="F135" i="69"/>
  <c r="F133" i="69"/>
  <c r="F132" i="69"/>
  <c r="F131" i="69"/>
  <c r="F130" i="69"/>
  <c r="F128" i="69"/>
  <c r="F127" i="69"/>
  <c r="F126" i="69"/>
  <c r="F121" i="69"/>
  <c r="F122" i="69" s="1"/>
  <c r="F116" i="69"/>
  <c r="F115" i="69"/>
  <c r="F114" i="69"/>
  <c r="F113" i="69"/>
  <c r="F112" i="69"/>
  <c r="F110" i="69"/>
  <c r="F109" i="69"/>
  <c r="F108" i="69"/>
  <c r="F107" i="69"/>
  <c r="F117" i="69" s="1"/>
  <c r="F106" i="69"/>
  <c r="F101" i="69"/>
  <c r="F102" i="69" s="1"/>
  <c r="F96" i="69"/>
  <c r="F95" i="69"/>
  <c r="F97" i="69" s="1"/>
  <c r="F94" i="69"/>
  <c r="F89" i="69"/>
  <c r="F90" i="69" s="1"/>
  <c r="F84" i="69"/>
  <c r="F83" i="69"/>
  <c r="F82" i="69"/>
  <c r="F81" i="69"/>
  <c r="F80" i="69"/>
  <c r="F79" i="69"/>
  <c r="F78" i="69"/>
  <c r="F77" i="69"/>
  <c r="F76" i="69"/>
  <c r="F75" i="69"/>
  <c r="F74" i="69"/>
  <c r="F73" i="69"/>
  <c r="F72" i="69"/>
  <c r="F70" i="69"/>
  <c r="F69" i="69"/>
  <c r="F68" i="69"/>
  <c r="F67" i="69"/>
  <c r="F66" i="69"/>
  <c r="F65" i="69"/>
  <c r="F64" i="69"/>
  <c r="F63" i="69"/>
  <c r="F62" i="69"/>
  <c r="F61" i="69"/>
  <c r="F60" i="69"/>
  <c r="F59" i="69"/>
  <c r="F58" i="69"/>
  <c r="F85" i="69" s="1"/>
  <c r="F5" i="69"/>
  <c r="F6" i="69" s="1"/>
  <c r="F390" i="63"/>
  <c r="K21" i="4" s="1"/>
  <c r="F389" i="63"/>
  <c r="K30" i="4" s="1"/>
  <c r="O12" i="59"/>
  <c r="F34" i="7"/>
  <c r="O134" i="59"/>
  <c r="N134" i="59" s="1"/>
  <c r="O111" i="59"/>
  <c r="N111" i="59" s="1"/>
  <c r="O11" i="59"/>
  <c r="H21" i="6"/>
  <c r="H23" i="6"/>
  <c r="N398" i="64"/>
  <c r="M398" i="64" s="1"/>
  <c r="N173" i="64"/>
  <c r="O37" i="59"/>
  <c r="E391" i="63"/>
  <c r="D391" i="63"/>
  <c r="E386" i="63"/>
  <c r="D386" i="63"/>
  <c r="F30" i="4"/>
  <c r="F21" i="4"/>
  <c r="F386" i="63"/>
  <c r="O7" i="59"/>
  <c r="N7" i="59" s="1"/>
  <c r="N8" i="59" s="1"/>
  <c r="P72" i="59"/>
  <c r="O72" i="59"/>
  <c r="N317" i="64"/>
  <c r="M317" i="64" s="1"/>
  <c r="P18" i="59"/>
  <c r="O18" i="59"/>
  <c r="N17" i="59"/>
  <c r="N43" i="59"/>
  <c r="N71" i="59"/>
  <c r="N387" i="64"/>
  <c r="M387" i="64" s="1"/>
  <c r="M509" i="64" s="1"/>
  <c r="N269" i="64"/>
  <c r="M269" i="64" s="1"/>
  <c r="O105" i="59"/>
  <c r="O108" i="59" s="1"/>
  <c r="J71" i="11"/>
  <c r="J63" i="11"/>
  <c r="J59" i="11"/>
  <c r="N63" i="64"/>
  <c r="M63" i="64" s="1"/>
  <c r="N112" i="59"/>
  <c r="M508" i="64"/>
  <c r="M507" i="64"/>
  <c r="M506" i="64"/>
  <c r="M505" i="64"/>
  <c r="M504" i="64"/>
  <c r="M503" i="64"/>
  <c r="M502" i="64"/>
  <c r="M501" i="64"/>
  <c r="M500" i="64"/>
  <c r="M499" i="64"/>
  <c r="M498" i="64"/>
  <c r="M497" i="64"/>
  <c r="M496" i="64"/>
  <c r="M495" i="64"/>
  <c r="M494" i="64"/>
  <c r="M493" i="64"/>
  <c r="M492" i="64"/>
  <c r="M491" i="64"/>
  <c r="M490" i="64"/>
  <c r="M489" i="64"/>
  <c r="M488" i="64"/>
  <c r="M487" i="64"/>
  <c r="M486" i="64"/>
  <c r="M485" i="64"/>
  <c r="M484" i="64"/>
  <c r="M483" i="64"/>
  <c r="M482" i="64"/>
  <c r="M481" i="64"/>
  <c r="M480" i="64"/>
  <c r="M479" i="64"/>
  <c r="M478" i="64"/>
  <c r="M477" i="64"/>
  <c r="M476" i="64"/>
  <c r="M475" i="64"/>
  <c r="M474" i="64"/>
  <c r="M473" i="64"/>
  <c r="M472" i="64"/>
  <c r="M471" i="64"/>
  <c r="M470" i="64"/>
  <c r="M469" i="64"/>
  <c r="M468" i="64"/>
  <c r="M467" i="64"/>
  <c r="M466" i="64"/>
  <c r="M465" i="64"/>
  <c r="M464" i="64"/>
  <c r="M463" i="64"/>
  <c r="M462" i="64"/>
  <c r="M461" i="64"/>
  <c r="M460" i="64"/>
  <c r="M459" i="64"/>
  <c r="M458" i="64"/>
  <c r="M457" i="64"/>
  <c r="M456" i="64"/>
  <c r="M455" i="64"/>
  <c r="M454" i="64"/>
  <c r="M453" i="64"/>
  <c r="M452" i="64"/>
  <c r="M451" i="64"/>
  <c r="M450" i="64"/>
  <c r="M449" i="64"/>
  <c r="M448" i="64"/>
  <c r="M447" i="64"/>
  <c r="M446" i="64"/>
  <c r="M445" i="64"/>
  <c r="M444" i="64"/>
  <c r="M443" i="64"/>
  <c r="M442" i="64"/>
  <c r="M441" i="64"/>
  <c r="M440" i="64"/>
  <c r="M439" i="64"/>
  <c r="M438" i="64"/>
  <c r="M437" i="64"/>
  <c r="M436" i="64"/>
  <c r="M435" i="64"/>
  <c r="M433" i="64"/>
  <c r="M432" i="64"/>
  <c r="M431" i="64"/>
  <c r="M430" i="64"/>
  <c r="M429" i="64"/>
  <c r="M428" i="64"/>
  <c r="M427" i="64"/>
  <c r="M426" i="64"/>
  <c r="M425" i="64"/>
  <c r="M424" i="64"/>
  <c r="M423" i="64"/>
  <c r="M422" i="64"/>
  <c r="M421" i="64"/>
  <c r="M420" i="64"/>
  <c r="M419" i="64"/>
  <c r="M418" i="64"/>
  <c r="M417" i="64"/>
  <c r="M416" i="64"/>
  <c r="M415" i="64"/>
  <c r="M414" i="64"/>
  <c r="M413" i="64"/>
  <c r="M412" i="64"/>
  <c r="M411" i="64"/>
  <c r="M410" i="64"/>
  <c r="M409" i="64"/>
  <c r="M408" i="64"/>
  <c r="M407" i="64"/>
  <c r="M406" i="64"/>
  <c r="M405" i="64"/>
  <c r="M404" i="64"/>
  <c r="M403" i="64"/>
  <c r="M402" i="64"/>
  <c r="M401" i="64"/>
  <c r="M400" i="64"/>
  <c r="M399" i="64"/>
  <c r="M397" i="64"/>
  <c r="M396" i="64"/>
  <c r="M395" i="64"/>
  <c r="M394" i="64"/>
  <c r="M393" i="64"/>
  <c r="M392" i="64"/>
  <c r="M391" i="64"/>
  <c r="M390" i="64"/>
  <c r="M389" i="64"/>
  <c r="M388" i="64"/>
  <c r="M386" i="64"/>
  <c r="M385" i="64"/>
  <c r="M384" i="64"/>
  <c r="M383" i="64"/>
  <c r="M382" i="64"/>
  <c r="M381" i="64"/>
  <c r="M380" i="64"/>
  <c r="M379" i="64"/>
  <c r="M378" i="64"/>
  <c r="M377" i="64"/>
  <c r="M376" i="64"/>
  <c r="M375" i="64"/>
  <c r="M374" i="64"/>
  <c r="M373" i="64"/>
  <c r="M372" i="64"/>
  <c r="M371" i="64"/>
  <c r="M370" i="64"/>
  <c r="M369" i="64"/>
  <c r="M368" i="64"/>
  <c r="M367" i="64"/>
  <c r="M366" i="64"/>
  <c r="M365" i="64"/>
  <c r="M364" i="64"/>
  <c r="M363" i="64"/>
  <c r="M362" i="64"/>
  <c r="M361" i="64"/>
  <c r="M360" i="64"/>
  <c r="M359" i="64"/>
  <c r="M358" i="64"/>
  <c r="M357" i="64"/>
  <c r="M356" i="64"/>
  <c r="M355" i="64"/>
  <c r="M354" i="64"/>
  <c r="M353" i="64"/>
  <c r="M352" i="64"/>
  <c r="M351" i="64"/>
  <c r="M350" i="64"/>
  <c r="M349" i="64"/>
  <c r="M348" i="64"/>
  <c r="M347" i="64"/>
  <c r="M346" i="64"/>
  <c r="M345" i="64"/>
  <c r="M344" i="64"/>
  <c r="M343" i="64"/>
  <c r="M342" i="64"/>
  <c r="M341" i="64"/>
  <c r="M340" i="64"/>
  <c r="M339" i="64"/>
  <c r="M338" i="64"/>
  <c r="M337" i="64"/>
  <c r="M336" i="64"/>
  <c r="M335" i="64"/>
  <c r="M334" i="64"/>
  <c r="M333" i="64"/>
  <c r="M332" i="64"/>
  <c r="M331" i="64"/>
  <c r="M330" i="64"/>
  <c r="M329" i="64"/>
  <c r="M328" i="64"/>
  <c r="M325" i="64"/>
  <c r="M322" i="64"/>
  <c r="M321" i="64"/>
  <c r="M320" i="64"/>
  <c r="M314" i="64"/>
  <c r="M313" i="64"/>
  <c r="M312" i="64"/>
  <c r="M311" i="64"/>
  <c r="M310" i="64"/>
  <c r="M309" i="64"/>
  <c r="M308" i="64"/>
  <c r="M307" i="64"/>
  <c r="M306" i="64"/>
  <c r="M305" i="64"/>
  <c r="M304" i="64"/>
  <c r="M303" i="64"/>
  <c r="M302" i="64"/>
  <c r="M301" i="64"/>
  <c r="M300" i="64"/>
  <c r="M299" i="64"/>
  <c r="M298" i="64"/>
  <c r="M297" i="64"/>
  <c r="M296" i="64"/>
  <c r="M295" i="64"/>
  <c r="M294" i="64"/>
  <c r="M293" i="64"/>
  <c r="M292" i="64"/>
  <c r="M291" i="64"/>
  <c r="M290" i="64"/>
  <c r="M289" i="64"/>
  <c r="M288" i="64"/>
  <c r="M287" i="64"/>
  <c r="M286" i="64"/>
  <c r="M285" i="64"/>
  <c r="M284" i="64"/>
  <c r="M283" i="64"/>
  <c r="M282" i="64"/>
  <c r="M281" i="64"/>
  <c r="M280" i="64"/>
  <c r="M279" i="64"/>
  <c r="M278" i="64"/>
  <c r="M277" i="64"/>
  <c r="M276" i="64"/>
  <c r="M275" i="64"/>
  <c r="M274" i="64"/>
  <c r="M273" i="64"/>
  <c r="M272" i="64"/>
  <c r="M266" i="64"/>
  <c r="M263" i="64"/>
  <c r="M259" i="64"/>
  <c r="M258" i="64"/>
  <c r="M257" i="64"/>
  <c r="M256" i="64"/>
  <c r="M255" i="64"/>
  <c r="M254" i="64"/>
  <c r="M253" i="64"/>
  <c r="M252" i="64"/>
  <c r="M251" i="64"/>
  <c r="M250" i="64"/>
  <c r="M249" i="64"/>
  <c r="M248" i="64"/>
  <c r="M247" i="64"/>
  <c r="M246" i="64"/>
  <c r="M245" i="64"/>
  <c r="M244" i="64"/>
  <c r="M241" i="64"/>
  <c r="M240" i="64"/>
  <c r="M239" i="64"/>
  <c r="M242" i="64" s="1"/>
  <c r="M238" i="64"/>
  <c r="M235" i="64"/>
  <c r="M232" i="64"/>
  <c r="M229" i="64"/>
  <c r="M228" i="64"/>
  <c r="M227" i="64"/>
  <c r="M226" i="64"/>
  <c r="M225" i="64"/>
  <c r="M230" i="64" s="1"/>
  <c r="M224" i="64"/>
  <c r="M221" i="64"/>
  <c r="M220" i="64"/>
  <c r="M222" i="64"/>
  <c r="X222" i="64" s="1"/>
  <c r="M216" i="64"/>
  <c r="M215" i="64"/>
  <c r="M214" i="64"/>
  <c r="M213" i="64"/>
  <c r="M212" i="64"/>
  <c r="M211" i="64"/>
  <c r="M210" i="64"/>
  <c r="M217" i="64" s="1"/>
  <c r="M209" i="64"/>
  <c r="M205" i="64"/>
  <c r="M204" i="64"/>
  <c r="M203" i="64"/>
  <c r="M202" i="64"/>
  <c r="M201" i="64"/>
  <c r="M200" i="64"/>
  <c r="M199" i="64"/>
  <c r="M198" i="64"/>
  <c r="M184" i="64"/>
  <c r="M183" i="64"/>
  <c r="M182" i="64"/>
  <c r="M181" i="64"/>
  <c r="M180" i="64"/>
  <c r="M179" i="64"/>
  <c r="M178" i="64"/>
  <c r="M177" i="64"/>
  <c r="M176" i="64"/>
  <c r="M175" i="64"/>
  <c r="M174" i="64"/>
  <c r="M172" i="64"/>
  <c r="M171" i="64"/>
  <c r="M170" i="64"/>
  <c r="M169" i="64"/>
  <c r="M168" i="64"/>
  <c r="M167" i="64"/>
  <c r="M166" i="64"/>
  <c r="M165" i="64"/>
  <c r="M164" i="64"/>
  <c r="M163" i="64"/>
  <c r="M162" i="64"/>
  <c r="M161" i="64"/>
  <c r="M160" i="64"/>
  <c r="M159" i="64"/>
  <c r="M158" i="64"/>
  <c r="M157" i="64"/>
  <c r="M156" i="64"/>
  <c r="M155" i="64"/>
  <c r="M154" i="64"/>
  <c r="M153" i="64"/>
  <c r="M152" i="64"/>
  <c r="M151" i="64"/>
  <c r="M150" i="64"/>
  <c r="M149" i="64"/>
  <c r="M148" i="64"/>
  <c r="M147" i="64"/>
  <c r="M146" i="64"/>
  <c r="M145" i="64"/>
  <c r="M144" i="64"/>
  <c r="M143" i="64"/>
  <c r="M142" i="64"/>
  <c r="M141" i="64"/>
  <c r="M140" i="64"/>
  <c r="M139" i="64"/>
  <c r="M138" i="64"/>
  <c r="M137" i="64"/>
  <c r="M136" i="64"/>
  <c r="M135" i="64"/>
  <c r="M134" i="64"/>
  <c r="M133" i="64"/>
  <c r="M132" i="64"/>
  <c r="M131" i="64"/>
  <c r="M130" i="64"/>
  <c r="M129" i="64"/>
  <c r="M128" i="64"/>
  <c r="M127" i="64"/>
  <c r="M126" i="64"/>
  <c r="M125" i="64"/>
  <c r="M124" i="64"/>
  <c r="M123" i="64"/>
  <c r="M122" i="64"/>
  <c r="M121" i="64"/>
  <c r="M120" i="64"/>
  <c r="M119" i="64"/>
  <c r="M118" i="64"/>
  <c r="M117" i="64"/>
  <c r="M116" i="64"/>
  <c r="M110" i="64"/>
  <c r="M109" i="64"/>
  <c r="M108" i="64"/>
  <c r="M107" i="64"/>
  <c r="M106" i="64"/>
  <c r="M105" i="64"/>
  <c r="M104" i="64"/>
  <c r="M103" i="64"/>
  <c r="M102" i="64"/>
  <c r="M101" i="64"/>
  <c r="M100" i="64"/>
  <c r="M99" i="64"/>
  <c r="M96" i="64"/>
  <c r="M95" i="64"/>
  <c r="M94" i="64"/>
  <c r="M93" i="64"/>
  <c r="M92" i="64"/>
  <c r="M91" i="64"/>
  <c r="M90" i="64"/>
  <c r="M89" i="64"/>
  <c r="M88" i="64"/>
  <c r="M87" i="64"/>
  <c r="M86" i="64"/>
  <c r="M85" i="64"/>
  <c r="M84" i="64"/>
  <c r="M97" i="64" s="1"/>
  <c r="M81" i="64"/>
  <c r="M78" i="64"/>
  <c r="M77" i="64"/>
  <c r="M76" i="64"/>
  <c r="M75" i="64"/>
  <c r="M74" i="64"/>
  <c r="M68" i="64"/>
  <c r="M67" i="64"/>
  <c r="M66" i="64"/>
  <c r="M60" i="64"/>
  <c r="M59" i="64"/>
  <c r="M58" i="64"/>
  <c r="M57" i="64"/>
  <c r="M56" i="64"/>
  <c r="M55" i="64"/>
  <c r="M54" i="64"/>
  <c r="M53" i="64"/>
  <c r="M52" i="64"/>
  <c r="M51" i="64"/>
  <c r="M50" i="64"/>
  <c r="M49" i="64"/>
  <c r="M48" i="64"/>
  <c r="M47" i="64"/>
  <c r="M46" i="64"/>
  <c r="M45" i="64"/>
  <c r="M44" i="64"/>
  <c r="M43" i="64"/>
  <c r="M42" i="64"/>
  <c r="M41" i="64"/>
  <c r="M40" i="64"/>
  <c r="M39" i="64"/>
  <c r="M38" i="64"/>
  <c r="M37" i="64"/>
  <c r="M36" i="64"/>
  <c r="M61" i="64" s="1"/>
  <c r="M35" i="64"/>
  <c r="M32" i="64"/>
  <c r="M31" i="64"/>
  <c r="M30" i="64"/>
  <c r="M33" i="64" s="1"/>
  <c r="M27" i="64"/>
  <c r="M26" i="64"/>
  <c r="M25" i="64"/>
  <c r="M22" i="64"/>
  <c r="M21" i="64"/>
  <c r="M20" i="64"/>
  <c r="M23" i="64" s="1"/>
  <c r="M19" i="64"/>
  <c r="M16" i="64"/>
  <c r="M15" i="64"/>
  <c r="M14" i="64"/>
  <c r="M13" i="64"/>
  <c r="M9" i="64"/>
  <c r="N156" i="59"/>
  <c r="N152" i="59"/>
  <c r="N151" i="59"/>
  <c r="N150" i="59"/>
  <c r="N149" i="59"/>
  <c r="N145" i="59"/>
  <c r="N144" i="59"/>
  <c r="N143" i="59"/>
  <c r="N140" i="59"/>
  <c r="N139" i="59"/>
  <c r="N141" i="59" s="1"/>
  <c r="N138" i="59"/>
  <c r="N131" i="59"/>
  <c r="N129" i="59"/>
  <c r="N128" i="59"/>
  <c r="N127" i="59"/>
  <c r="N126" i="59"/>
  <c r="N125" i="59"/>
  <c r="N124" i="59"/>
  <c r="N123" i="59"/>
  <c r="N122" i="59"/>
  <c r="N130" i="59" s="1"/>
  <c r="N132" i="59" s="1"/>
  <c r="N121" i="59"/>
  <c r="N115" i="59"/>
  <c r="N114" i="59"/>
  <c r="N113" i="59"/>
  <c r="N116" i="59" s="1"/>
  <c r="N107" i="59"/>
  <c r="N106" i="59"/>
  <c r="N101" i="59"/>
  <c r="N98" i="59"/>
  <c r="N97" i="59"/>
  <c r="N96" i="59"/>
  <c r="N95" i="59"/>
  <c r="N94" i="59"/>
  <c r="N99" i="59" s="1"/>
  <c r="N92" i="59"/>
  <c r="N90" i="59"/>
  <c r="N89" i="59"/>
  <c r="N88" i="59"/>
  <c r="N87" i="59"/>
  <c r="N86" i="59"/>
  <c r="N85" i="59"/>
  <c r="N84" i="59"/>
  <c r="N83" i="59"/>
  <c r="N82" i="59"/>
  <c r="N81" i="59"/>
  <c r="N80" i="59"/>
  <c r="N75" i="59"/>
  <c r="N70" i="59"/>
  <c r="N69" i="59"/>
  <c r="N68" i="59"/>
  <c r="N67" i="59"/>
  <c r="N66" i="59"/>
  <c r="N72" i="59" s="1"/>
  <c r="N65" i="59"/>
  <c r="N60" i="59"/>
  <c r="N59" i="59"/>
  <c r="N58" i="59"/>
  <c r="N57" i="59"/>
  <c r="N56" i="59"/>
  <c r="N55" i="59"/>
  <c r="N54" i="59"/>
  <c r="N53" i="59"/>
  <c r="N52" i="59"/>
  <c r="N51" i="59"/>
  <c r="N50" i="59"/>
  <c r="N49" i="59"/>
  <c r="N48" i="59"/>
  <c r="N61" i="59" s="1"/>
  <c r="N44" i="59"/>
  <c r="N42" i="59"/>
  <c r="N41" i="59"/>
  <c r="N39" i="59"/>
  <c r="N38" i="59"/>
  <c r="N36" i="59"/>
  <c r="N35" i="59"/>
  <c r="N34" i="59"/>
  <c r="N33" i="59"/>
  <c r="N32" i="59"/>
  <c r="N30" i="59"/>
  <c r="N27" i="59"/>
  <c r="N26" i="59"/>
  <c r="N25" i="59"/>
  <c r="N28" i="59" s="1"/>
  <c r="N21" i="59"/>
  <c r="N16" i="59"/>
  <c r="N4" i="59"/>
  <c r="O434" i="64"/>
  <c r="O509" i="64" s="1"/>
  <c r="P12" i="59"/>
  <c r="P11" i="59"/>
  <c r="O111" i="64"/>
  <c r="O23" i="64"/>
  <c r="O17" i="64"/>
  <c r="P153" i="59"/>
  <c r="O153" i="59"/>
  <c r="P141" i="59"/>
  <c r="P146" i="59" s="1"/>
  <c r="O141" i="59"/>
  <c r="O146" i="59" s="1"/>
  <c r="P130" i="59"/>
  <c r="P132" i="59" s="1"/>
  <c r="O130" i="59"/>
  <c r="O132" i="59" s="1"/>
  <c r="P116" i="59"/>
  <c r="P99" i="59"/>
  <c r="O99" i="59"/>
  <c r="P91" i="59"/>
  <c r="O91" i="59"/>
  <c r="P61" i="59"/>
  <c r="O61" i="59"/>
  <c r="P40" i="59"/>
  <c r="P28" i="59"/>
  <c r="P45" i="59" s="1"/>
  <c r="O28" i="59"/>
  <c r="P108" i="59"/>
  <c r="L402" i="64"/>
  <c r="F243" i="63"/>
  <c r="E234" i="63" s="1"/>
  <c r="E243" i="63" s="1"/>
  <c r="E199" i="63"/>
  <c r="F187" i="63"/>
  <c r="E178" i="63" s="1"/>
  <c r="E187" i="63" s="1"/>
  <c r="F124" i="63"/>
  <c r="E115" i="63" s="1"/>
  <c r="E124" i="63" s="1"/>
  <c r="E136" i="63"/>
  <c r="E509" i="63" s="1"/>
  <c r="J206" i="64"/>
  <c r="J217" i="64"/>
  <c r="J515" i="64" s="1"/>
  <c r="K23" i="64"/>
  <c r="J23" i="64"/>
  <c r="K17" i="64"/>
  <c r="J17" i="64"/>
  <c r="J186" i="64" s="1"/>
  <c r="J517" i="64" s="1"/>
  <c r="K96" i="64"/>
  <c r="L96" i="64" s="1"/>
  <c r="K110" i="64"/>
  <c r="L110" i="64" s="1"/>
  <c r="L111" i="64" s="1"/>
  <c r="K106" i="64"/>
  <c r="L184" i="64"/>
  <c r="L183" i="64"/>
  <c r="L182" i="64"/>
  <c r="L181" i="64"/>
  <c r="L180" i="64"/>
  <c r="L179" i="64"/>
  <c r="L178" i="64"/>
  <c r="L177" i="64"/>
  <c r="L176" i="64"/>
  <c r="L175" i="64"/>
  <c r="L174" i="64"/>
  <c r="L173" i="64"/>
  <c r="L172" i="64"/>
  <c r="L171" i="64"/>
  <c r="L170" i="64"/>
  <c r="L169" i="64"/>
  <c r="L168" i="64"/>
  <c r="L167" i="64"/>
  <c r="L166" i="64"/>
  <c r="L165" i="64"/>
  <c r="L164" i="64"/>
  <c r="L163" i="64"/>
  <c r="L162" i="64"/>
  <c r="L161" i="64"/>
  <c r="L160" i="64"/>
  <c r="L159" i="64"/>
  <c r="L158" i="64"/>
  <c r="L157" i="64"/>
  <c r="L156" i="64"/>
  <c r="L155" i="64"/>
  <c r="L154" i="64"/>
  <c r="L153" i="64"/>
  <c r="L152" i="64"/>
  <c r="L151" i="64"/>
  <c r="L150" i="64"/>
  <c r="L149" i="64"/>
  <c r="L148" i="64"/>
  <c r="L147" i="64"/>
  <c r="L146" i="64"/>
  <c r="L145" i="64"/>
  <c r="L144" i="64"/>
  <c r="L143" i="64"/>
  <c r="L142" i="64"/>
  <c r="L141" i="64"/>
  <c r="L140" i="64"/>
  <c r="L139" i="64"/>
  <c r="L138" i="64"/>
  <c r="L137" i="64"/>
  <c r="L136" i="64"/>
  <c r="L135" i="64"/>
  <c r="L134" i="64"/>
  <c r="L133" i="64"/>
  <c r="L132" i="64"/>
  <c r="L131" i="64"/>
  <c r="L130" i="64"/>
  <c r="L129" i="64"/>
  <c r="L128" i="64"/>
  <c r="L127" i="64"/>
  <c r="L126" i="64"/>
  <c r="L125" i="64"/>
  <c r="L124" i="64"/>
  <c r="L123" i="64"/>
  <c r="L122" i="64"/>
  <c r="L121" i="64"/>
  <c r="L120" i="64"/>
  <c r="L119" i="64"/>
  <c r="L118" i="64"/>
  <c r="L117" i="64"/>
  <c r="L116" i="64"/>
  <c r="L185" i="64" s="1"/>
  <c r="L109" i="64"/>
  <c r="L108" i="64"/>
  <c r="L107" i="64"/>
  <c r="L105" i="64"/>
  <c r="L104" i="64"/>
  <c r="L103" i="64"/>
  <c r="L102" i="64"/>
  <c r="L101" i="64"/>
  <c r="L100" i="64"/>
  <c r="L99" i="64"/>
  <c r="L95" i="64"/>
  <c r="L94" i="64"/>
  <c r="L93" i="64"/>
  <c r="L92" i="64"/>
  <c r="L91" i="64"/>
  <c r="L90" i="64"/>
  <c r="L89" i="64"/>
  <c r="L88" i="64"/>
  <c r="L87" i="64"/>
  <c r="L86" i="64"/>
  <c r="L85" i="64"/>
  <c r="L84" i="64"/>
  <c r="L81" i="64"/>
  <c r="L78" i="64"/>
  <c r="L77" i="64"/>
  <c r="L76" i="64"/>
  <c r="L75" i="64"/>
  <c r="L74" i="64"/>
  <c r="L71" i="64"/>
  <c r="L68" i="64"/>
  <c r="L67" i="64"/>
  <c r="L66" i="64"/>
  <c r="L63" i="64"/>
  <c r="L60" i="64"/>
  <c r="L59" i="64"/>
  <c r="L58" i="64"/>
  <c r="L57" i="64"/>
  <c r="L56" i="64"/>
  <c r="L55" i="64"/>
  <c r="L54" i="64"/>
  <c r="L53" i="64"/>
  <c r="L52" i="64"/>
  <c r="L51" i="64"/>
  <c r="L50" i="64"/>
  <c r="L49" i="64"/>
  <c r="L48" i="64"/>
  <c r="L47" i="64"/>
  <c r="L46" i="64"/>
  <c r="L45" i="64"/>
  <c r="L44" i="64"/>
  <c r="L43" i="64"/>
  <c r="L42" i="64"/>
  <c r="L41" i="64"/>
  <c r="L40" i="64"/>
  <c r="L39" i="64"/>
  <c r="L38" i="64"/>
  <c r="L37" i="64"/>
  <c r="L36" i="64"/>
  <c r="L35" i="64"/>
  <c r="L32" i="64"/>
  <c r="L31" i="64"/>
  <c r="L30" i="64"/>
  <c r="L33" i="64" s="1"/>
  <c r="L27" i="64"/>
  <c r="L26" i="64"/>
  <c r="L25" i="64"/>
  <c r="L22" i="64"/>
  <c r="L21" i="64"/>
  <c r="L20" i="64"/>
  <c r="L16" i="64"/>
  <c r="L15" i="64"/>
  <c r="L17" i="64" s="1"/>
  <c r="L14" i="64"/>
  <c r="L9" i="64"/>
  <c r="L513" i="64"/>
  <c r="L512" i="64"/>
  <c r="L514" i="64" s="1"/>
  <c r="L511" i="64"/>
  <c r="L508" i="64"/>
  <c r="L507" i="64"/>
  <c r="L506" i="64"/>
  <c r="L505" i="64"/>
  <c r="L504" i="64"/>
  <c r="L503" i="64"/>
  <c r="L502" i="64"/>
  <c r="L501" i="64"/>
  <c r="L500" i="64"/>
  <c r="L499" i="64"/>
  <c r="L498" i="64"/>
  <c r="L497" i="64"/>
  <c r="L496" i="64"/>
  <c r="L495" i="64"/>
  <c r="L494" i="64"/>
  <c r="L493" i="64"/>
  <c r="L492" i="64"/>
  <c r="L491" i="64"/>
  <c r="L490" i="64"/>
  <c r="L489" i="64"/>
  <c r="L488" i="64"/>
  <c r="L487" i="64"/>
  <c r="L486" i="64"/>
  <c r="L485" i="64"/>
  <c r="L484" i="64"/>
  <c r="L483" i="64"/>
  <c r="L482" i="64"/>
  <c r="L481" i="64"/>
  <c r="L480" i="64"/>
  <c r="L479" i="64"/>
  <c r="L478" i="64"/>
  <c r="L477" i="64"/>
  <c r="L476" i="64"/>
  <c r="L475" i="64"/>
  <c r="L474" i="64"/>
  <c r="L473" i="64"/>
  <c r="L472" i="64"/>
  <c r="L471" i="64"/>
  <c r="L470" i="64"/>
  <c r="L469" i="64"/>
  <c r="L468" i="64"/>
  <c r="L467" i="64"/>
  <c r="L466" i="64"/>
  <c r="L465" i="64"/>
  <c r="L464" i="64"/>
  <c r="L463" i="64"/>
  <c r="L462" i="64"/>
  <c r="L461" i="64"/>
  <c r="L460" i="64"/>
  <c r="L459" i="64"/>
  <c r="L458" i="64"/>
  <c r="L457" i="64"/>
  <c r="L456" i="64"/>
  <c r="L455" i="64"/>
  <c r="L454" i="64"/>
  <c r="L453" i="64"/>
  <c r="L452" i="64"/>
  <c r="L451" i="64"/>
  <c r="L450" i="64"/>
  <c r="L449" i="64"/>
  <c r="L448" i="64"/>
  <c r="L447" i="64"/>
  <c r="L446" i="64"/>
  <c r="L445" i="64"/>
  <c r="L444" i="64"/>
  <c r="L443" i="64"/>
  <c r="L442" i="64"/>
  <c r="L441" i="64"/>
  <c r="L440" i="64"/>
  <c r="L439" i="64"/>
  <c r="L438" i="64"/>
  <c r="L437" i="64"/>
  <c r="L436" i="64"/>
  <c r="L435" i="64"/>
  <c r="L433" i="64"/>
  <c r="L432" i="64"/>
  <c r="L431" i="64"/>
  <c r="L430" i="64"/>
  <c r="L429" i="64"/>
  <c r="L428" i="64"/>
  <c r="L427" i="64"/>
  <c r="L426" i="64"/>
  <c r="L425" i="64"/>
  <c r="L424" i="64"/>
  <c r="L423" i="64"/>
  <c r="L422" i="64"/>
  <c r="L421" i="64"/>
  <c r="L420" i="64"/>
  <c r="L419" i="64"/>
  <c r="L418" i="64"/>
  <c r="L417" i="64"/>
  <c r="L416" i="64"/>
  <c r="L415" i="64"/>
  <c r="L414" i="64"/>
  <c r="L413" i="64"/>
  <c r="L412" i="64"/>
  <c r="L411" i="64"/>
  <c r="L410" i="64"/>
  <c r="L409" i="64"/>
  <c r="L408" i="64"/>
  <c r="L407" i="64"/>
  <c r="L406" i="64"/>
  <c r="L405" i="64"/>
  <c r="L404" i="64"/>
  <c r="L403" i="64"/>
  <c r="L401" i="64"/>
  <c r="L400" i="64"/>
  <c r="L399" i="64"/>
  <c r="L398" i="64"/>
  <c r="L397" i="64"/>
  <c r="L396" i="64"/>
  <c r="L395" i="64"/>
  <c r="L394" i="64"/>
  <c r="L393" i="64"/>
  <c r="L392" i="64"/>
  <c r="L391" i="64"/>
  <c r="L390" i="64"/>
  <c r="L389" i="64"/>
  <c r="L388" i="64"/>
  <c r="L387" i="64"/>
  <c r="L386" i="64"/>
  <c r="L385" i="64"/>
  <c r="L384" i="64"/>
  <c r="L383" i="64"/>
  <c r="L382" i="64"/>
  <c r="L380" i="64"/>
  <c r="L379" i="64"/>
  <c r="L378" i="64"/>
  <c r="L377" i="64"/>
  <c r="L376" i="64"/>
  <c r="L375" i="64"/>
  <c r="L374" i="64"/>
  <c r="L373" i="64"/>
  <c r="L372" i="64"/>
  <c r="L371" i="64"/>
  <c r="L370" i="64"/>
  <c r="L369" i="64"/>
  <c r="L368" i="64"/>
  <c r="L367" i="64"/>
  <c r="L366" i="64"/>
  <c r="L365" i="64"/>
  <c r="L364" i="64"/>
  <c r="L363" i="64"/>
  <c r="L362" i="64"/>
  <c r="L361" i="64"/>
  <c r="L360" i="64"/>
  <c r="L359" i="64"/>
  <c r="L358" i="64"/>
  <c r="L357" i="64"/>
  <c r="L356" i="64"/>
  <c r="L355" i="64"/>
  <c r="L354" i="64"/>
  <c r="L353" i="64"/>
  <c r="L352" i="64"/>
  <c r="L351" i="64"/>
  <c r="L350" i="64"/>
  <c r="L349" i="64"/>
  <c r="L348" i="64"/>
  <c r="L347" i="64"/>
  <c r="L346" i="64"/>
  <c r="L345" i="64"/>
  <c r="L344" i="64"/>
  <c r="L343" i="64"/>
  <c r="L342" i="64"/>
  <c r="L341" i="64"/>
  <c r="L340" i="64"/>
  <c r="L339" i="64"/>
  <c r="L338" i="64"/>
  <c r="L337" i="64"/>
  <c r="L336" i="64"/>
  <c r="L335" i="64"/>
  <c r="L334" i="64"/>
  <c r="L333" i="64"/>
  <c r="L332" i="64"/>
  <c r="L331" i="64"/>
  <c r="L330" i="64"/>
  <c r="L328" i="64"/>
  <c r="L509" i="64" s="1"/>
  <c r="L325" i="64"/>
  <c r="L322" i="64"/>
  <c r="L321" i="64"/>
  <c r="L320" i="64"/>
  <c r="L317" i="64"/>
  <c r="L314" i="64"/>
  <c r="L313" i="64"/>
  <c r="L312" i="64"/>
  <c r="L311" i="64"/>
  <c r="L310" i="64"/>
  <c r="L309" i="64"/>
  <c r="L308" i="64"/>
  <c r="L307" i="64"/>
  <c r="L306" i="64"/>
  <c r="L305" i="64"/>
  <c r="L304" i="64"/>
  <c r="L303" i="64"/>
  <c r="L302" i="64"/>
  <c r="L301" i="64"/>
  <c r="L300" i="64"/>
  <c r="L299" i="64"/>
  <c r="L298" i="64"/>
  <c r="L297" i="64"/>
  <c r="L296" i="64"/>
  <c r="L295" i="64"/>
  <c r="L294" i="64"/>
  <c r="L293" i="64"/>
  <c r="L292" i="64"/>
  <c r="L291" i="64"/>
  <c r="L290" i="64"/>
  <c r="L289" i="64"/>
  <c r="L288" i="64"/>
  <c r="L287" i="64"/>
  <c r="L286" i="64"/>
  <c r="L285" i="64"/>
  <c r="L284" i="64"/>
  <c r="L283" i="64"/>
  <c r="L282" i="64"/>
  <c r="L281" i="64"/>
  <c r="L280" i="64"/>
  <c r="L279" i="64"/>
  <c r="L278" i="64"/>
  <c r="L277" i="64"/>
  <c r="L276" i="64"/>
  <c r="L275" i="64"/>
  <c r="L274" i="64"/>
  <c r="L273" i="64"/>
  <c r="L272" i="64"/>
  <c r="L315" i="64" s="1"/>
  <c r="L269" i="64"/>
  <c r="L266" i="64"/>
  <c r="L263" i="64"/>
  <c r="L259" i="64"/>
  <c r="L258" i="64"/>
  <c r="L257" i="64"/>
  <c r="L256" i="64"/>
  <c r="L255" i="64"/>
  <c r="L254" i="64"/>
  <c r="L253" i="64"/>
  <c r="L252" i="64"/>
  <c r="L251" i="64"/>
  <c r="L250" i="64"/>
  <c r="L249" i="64"/>
  <c r="L248" i="64"/>
  <c r="L247" i="64"/>
  <c r="L246" i="64"/>
  <c r="L245" i="64"/>
  <c r="L244" i="64"/>
  <c r="L241" i="64"/>
  <c r="L240" i="64"/>
  <c r="L239" i="64"/>
  <c r="L238" i="64"/>
  <c r="L235" i="64"/>
  <c r="L232" i="64"/>
  <c r="L229" i="64"/>
  <c r="L228" i="64"/>
  <c r="L227" i="64"/>
  <c r="L226" i="64"/>
  <c r="L225" i="64"/>
  <c r="L230" i="64" s="1"/>
  <c r="L224" i="64"/>
  <c r="L221" i="64"/>
  <c r="L220" i="64"/>
  <c r="L216" i="64"/>
  <c r="L215" i="64"/>
  <c r="L213" i="64"/>
  <c r="L212" i="64"/>
  <c r="L211" i="64"/>
  <c r="L210" i="64"/>
  <c r="L209" i="64"/>
  <c r="L205" i="64"/>
  <c r="L204" i="64"/>
  <c r="L203" i="64"/>
  <c r="L202" i="64"/>
  <c r="L201" i="64"/>
  <c r="L200" i="64"/>
  <c r="L199" i="64"/>
  <c r="L198" i="64"/>
  <c r="L206" i="64" s="1"/>
  <c r="K329" i="64"/>
  <c r="L329" i="64"/>
  <c r="J315" i="64"/>
  <c r="J514" i="64"/>
  <c r="J381" i="64"/>
  <c r="L381" i="64"/>
  <c r="J434" i="64"/>
  <c r="L434" i="64" s="1"/>
  <c r="J230" i="64"/>
  <c r="J323" i="64"/>
  <c r="J242" i="64"/>
  <c r="G30" i="6"/>
  <c r="I30" i="6" s="1"/>
  <c r="G29" i="6"/>
  <c r="I29" i="6" s="1"/>
  <c r="G28" i="6"/>
  <c r="I28" i="6" s="1"/>
  <c r="G25" i="6"/>
  <c r="I25" i="6" s="1"/>
  <c r="I25" i="30"/>
  <c r="M153" i="59"/>
  <c r="M141" i="59"/>
  <c r="M146" i="59"/>
  <c r="M130" i="59"/>
  <c r="M132" i="59" s="1"/>
  <c r="M116" i="59"/>
  <c r="M108" i="59"/>
  <c r="M99" i="59"/>
  <c r="M102" i="59" s="1"/>
  <c r="M91" i="59"/>
  <c r="M72" i="59"/>
  <c r="M61" i="59"/>
  <c r="M40" i="59"/>
  <c r="M28" i="59"/>
  <c r="M13" i="59"/>
  <c r="M8" i="59"/>
  <c r="J500" i="11"/>
  <c r="H496" i="11" s="1"/>
  <c r="H500" i="11" s="1"/>
  <c r="J491" i="11"/>
  <c r="H488" i="11" s="1"/>
  <c r="H491" i="11" s="1"/>
  <c r="J363" i="11"/>
  <c r="H360" i="11" s="1"/>
  <c r="H363" i="11" s="1"/>
  <c r="J628" i="11"/>
  <c r="J611" i="11"/>
  <c r="J605" i="11"/>
  <c r="J599" i="11"/>
  <c r="J449" i="11"/>
  <c r="H446" i="11" s="1"/>
  <c r="H449" i="11" s="1"/>
  <c r="K101" i="59"/>
  <c r="L101" i="59" s="1"/>
  <c r="K12" i="59"/>
  <c r="K11" i="59"/>
  <c r="L11" i="59" s="1"/>
  <c r="L7" i="59"/>
  <c r="L8" i="59"/>
  <c r="L75" i="59"/>
  <c r="J15" i="11"/>
  <c r="K51" i="4" s="1"/>
  <c r="I17" i="6"/>
  <c r="L153" i="59"/>
  <c r="K153" i="59"/>
  <c r="J153" i="59"/>
  <c r="I153" i="59"/>
  <c r="K141" i="59"/>
  <c r="K146" i="59" s="1"/>
  <c r="K130" i="59"/>
  <c r="K132" i="59"/>
  <c r="K116" i="59"/>
  <c r="K108" i="59"/>
  <c r="K91" i="59"/>
  <c r="K99" i="59"/>
  <c r="K72" i="59"/>
  <c r="K61" i="59"/>
  <c r="K28" i="59"/>
  <c r="K40" i="59"/>
  <c r="K45" i="59" s="1"/>
  <c r="K8" i="59"/>
  <c r="L141" i="59"/>
  <c r="L146" i="59" s="1"/>
  <c r="L130" i="59"/>
  <c r="L132" i="59" s="1"/>
  <c r="L111" i="59"/>
  <c r="L116" i="59" s="1"/>
  <c r="L108" i="59"/>
  <c r="L91" i="59"/>
  <c r="L99" i="59"/>
  <c r="L72" i="59"/>
  <c r="L61" i="59"/>
  <c r="L28" i="59"/>
  <c r="L45" i="59" s="1"/>
  <c r="L40" i="59"/>
  <c r="G153" i="59"/>
  <c r="F149" i="59"/>
  <c r="F150" i="59"/>
  <c r="F153" i="59" s="1"/>
  <c r="E153" i="59"/>
  <c r="J141" i="59"/>
  <c r="J146" i="59" s="1"/>
  <c r="I141" i="59"/>
  <c r="I146" i="59" s="1"/>
  <c r="G141" i="59"/>
  <c r="G146" i="59" s="1"/>
  <c r="F138" i="59"/>
  <c r="F139" i="59"/>
  <c r="F140" i="59"/>
  <c r="F142" i="59"/>
  <c r="F143" i="59"/>
  <c r="F144" i="59"/>
  <c r="F145" i="59"/>
  <c r="E141" i="59"/>
  <c r="E146" i="59"/>
  <c r="D141" i="59"/>
  <c r="D146" i="59" s="1"/>
  <c r="F134" i="59"/>
  <c r="J130" i="59"/>
  <c r="J132" i="59" s="1"/>
  <c r="I130" i="59"/>
  <c r="I132" i="59" s="1"/>
  <c r="G130" i="59"/>
  <c r="G132" i="59" s="1"/>
  <c r="F120" i="59"/>
  <c r="F121" i="59"/>
  <c r="F122" i="59"/>
  <c r="F124" i="59"/>
  <c r="F125" i="59"/>
  <c r="F127" i="59"/>
  <c r="F128" i="59"/>
  <c r="F129" i="59"/>
  <c r="F131" i="59"/>
  <c r="E130" i="59"/>
  <c r="E132" i="59"/>
  <c r="D130" i="59"/>
  <c r="D132" i="59" s="1"/>
  <c r="J111" i="59"/>
  <c r="J116" i="59" s="1"/>
  <c r="I111" i="59"/>
  <c r="I116" i="59" s="1"/>
  <c r="I114" i="59"/>
  <c r="G116" i="59"/>
  <c r="F111" i="59"/>
  <c r="F113" i="59"/>
  <c r="E116" i="59"/>
  <c r="D116" i="59"/>
  <c r="F115" i="59"/>
  <c r="G114" i="59"/>
  <c r="F114" i="59" s="1"/>
  <c r="E114" i="59"/>
  <c r="J108" i="59"/>
  <c r="I108" i="59"/>
  <c r="G108" i="59"/>
  <c r="F105" i="59"/>
  <c r="F106" i="59"/>
  <c r="F108" i="59" s="1"/>
  <c r="F107" i="59"/>
  <c r="E108" i="59"/>
  <c r="D108" i="59"/>
  <c r="J91" i="59"/>
  <c r="J99" i="59"/>
  <c r="I91" i="59"/>
  <c r="I99" i="59"/>
  <c r="G91" i="59"/>
  <c r="G102" i="59" s="1"/>
  <c r="G99" i="59"/>
  <c r="F78" i="59"/>
  <c r="F80" i="59"/>
  <c r="F81" i="59"/>
  <c r="F82" i="59"/>
  <c r="F83" i="59"/>
  <c r="F84" i="59"/>
  <c r="F85" i="59"/>
  <c r="F86" i="59"/>
  <c r="F87" i="59"/>
  <c r="F88" i="59"/>
  <c r="F89" i="59"/>
  <c r="F90" i="59"/>
  <c r="F92" i="59"/>
  <c r="F94" i="59"/>
  <c r="F95" i="59"/>
  <c r="F96" i="59"/>
  <c r="F97" i="59"/>
  <c r="F98" i="59"/>
  <c r="F100" i="59"/>
  <c r="F101" i="59"/>
  <c r="E91" i="59"/>
  <c r="E102" i="59" s="1"/>
  <c r="E99" i="59"/>
  <c r="D91" i="59"/>
  <c r="D102" i="59" s="1"/>
  <c r="D99" i="59"/>
  <c r="F75" i="59"/>
  <c r="J72" i="59"/>
  <c r="I72" i="59"/>
  <c r="G72" i="59"/>
  <c r="F65" i="59"/>
  <c r="F66" i="59"/>
  <c r="F67" i="59"/>
  <c r="F68" i="59"/>
  <c r="F69" i="59"/>
  <c r="F70" i="59"/>
  <c r="E72" i="59"/>
  <c r="D72" i="59"/>
  <c r="J61" i="59"/>
  <c r="I61" i="59"/>
  <c r="G61" i="59"/>
  <c r="F51" i="59"/>
  <c r="F52" i="59"/>
  <c r="F53" i="59"/>
  <c r="F54" i="59"/>
  <c r="F55" i="59"/>
  <c r="F57" i="59"/>
  <c r="F58" i="59"/>
  <c r="F59" i="59"/>
  <c r="F60" i="59"/>
  <c r="E61" i="59"/>
  <c r="D61" i="59"/>
  <c r="J28" i="59"/>
  <c r="J45" i="59" s="1"/>
  <c r="J40" i="59"/>
  <c r="I28" i="59"/>
  <c r="I40" i="59"/>
  <c r="G28" i="59"/>
  <c r="G45" i="59" s="1"/>
  <c r="G40" i="59"/>
  <c r="F25" i="59"/>
  <c r="F28" i="59" s="1"/>
  <c r="F45" i="59" s="1"/>
  <c r="F26" i="59"/>
  <c r="F27" i="59"/>
  <c r="F30" i="59"/>
  <c r="F32" i="59"/>
  <c r="F34" i="59"/>
  <c r="F35" i="59"/>
  <c r="F36" i="59"/>
  <c r="F37" i="59"/>
  <c r="F39" i="59"/>
  <c r="F41" i="59"/>
  <c r="F42" i="59"/>
  <c r="F44" i="59"/>
  <c r="E28" i="59"/>
  <c r="E40" i="59"/>
  <c r="D28" i="59"/>
  <c r="D40" i="59"/>
  <c r="F21" i="59"/>
  <c r="F16" i="59"/>
  <c r="J12" i="59"/>
  <c r="I12" i="59"/>
  <c r="I13" i="59" s="1"/>
  <c r="G13" i="59"/>
  <c r="F11" i="59"/>
  <c r="F13" i="59" s="1"/>
  <c r="F12" i="59"/>
  <c r="E13" i="59"/>
  <c r="D13" i="59"/>
  <c r="J8" i="59"/>
  <c r="I8" i="59"/>
  <c r="G8" i="59"/>
  <c r="F7" i="59"/>
  <c r="F8" i="59" s="1"/>
  <c r="E8" i="59"/>
  <c r="D8" i="59"/>
  <c r="F4" i="59"/>
  <c r="G22" i="6"/>
  <c r="I22" i="6" s="1"/>
  <c r="I15" i="30"/>
  <c r="N23" i="64"/>
  <c r="N17" i="64"/>
  <c r="N323" i="64"/>
  <c r="N514" i="64"/>
  <c r="O260" i="64"/>
  <c r="O242" i="64"/>
  <c r="O217" i="64"/>
  <c r="O206" i="64"/>
  <c r="O323" i="64"/>
  <c r="O28" i="64"/>
  <c r="O33" i="64"/>
  <c r="O61" i="64"/>
  <c r="O69" i="64"/>
  <c r="O79" i="64"/>
  <c r="O97" i="64"/>
  <c r="O185" i="64"/>
  <c r="K206" i="64"/>
  <c r="K260" i="64"/>
  <c r="J260" i="64"/>
  <c r="G23" i="6"/>
  <c r="I23" i="6" s="1"/>
  <c r="G21" i="6"/>
  <c r="G20" i="6"/>
  <c r="I20" i="6" s="1"/>
  <c r="M514" i="64"/>
  <c r="O315" i="64"/>
  <c r="C59" i="35"/>
  <c r="C50" i="35"/>
  <c r="E50" i="35"/>
  <c r="B50" i="35"/>
  <c r="E59" i="35"/>
  <c r="B59" i="35"/>
  <c r="B56" i="35"/>
  <c r="K217" i="64"/>
  <c r="K222" i="64"/>
  <c r="K230" i="64"/>
  <c r="K242" i="64"/>
  <c r="K315" i="64"/>
  <c r="K323" i="64"/>
  <c r="K514" i="64"/>
  <c r="K28" i="64"/>
  <c r="K33" i="64"/>
  <c r="K61" i="64"/>
  <c r="K69" i="64"/>
  <c r="K79" i="64"/>
  <c r="K185" i="64"/>
  <c r="N260" i="64"/>
  <c r="N28" i="64"/>
  <c r="N33" i="64"/>
  <c r="N61" i="64"/>
  <c r="N69" i="64"/>
  <c r="N79" i="64"/>
  <c r="N97" i="64"/>
  <c r="N111" i="64"/>
  <c r="J97" i="64"/>
  <c r="J222" i="64"/>
  <c r="J28" i="64"/>
  <c r="J33" i="64"/>
  <c r="J61" i="64"/>
  <c r="J69" i="64"/>
  <c r="J79" i="64"/>
  <c r="J111" i="64"/>
  <c r="J185" i="64"/>
  <c r="N206" i="64"/>
  <c r="I24" i="30"/>
  <c r="G22" i="30"/>
  <c r="G29" i="30" s="1"/>
  <c r="H521" i="11"/>
  <c r="N242" i="64"/>
  <c r="N315" i="64"/>
  <c r="H9" i="6"/>
  <c r="H13" i="6" s="1"/>
  <c r="H19" i="6" s="1"/>
  <c r="H24" i="6" s="1"/>
  <c r="O230" i="64"/>
  <c r="O514" i="64"/>
  <c r="F9" i="6"/>
  <c r="F13" i="6" s="1"/>
  <c r="F19" i="6" s="1"/>
  <c r="F24" i="6" s="1"/>
  <c r="F31" i="6" s="1"/>
  <c r="D9" i="6"/>
  <c r="D13" i="6" s="1"/>
  <c r="D19" i="6" s="1"/>
  <c r="D24" i="6" s="1"/>
  <c r="D31" i="6" s="1"/>
  <c r="G18" i="6"/>
  <c r="I18" i="6" s="1"/>
  <c r="G16" i="6"/>
  <c r="I16" i="6" s="1"/>
  <c r="G15" i="6"/>
  <c r="I15" i="6" s="1"/>
  <c r="G14" i="6"/>
  <c r="I14" i="6" s="1"/>
  <c r="G12" i="6"/>
  <c r="I12" i="6" s="1"/>
  <c r="G11" i="6"/>
  <c r="I11" i="6" s="1"/>
  <c r="G10" i="6"/>
  <c r="I10" i="6" s="1"/>
  <c r="G6" i="6"/>
  <c r="I6" i="6" s="1"/>
  <c r="H9" i="64"/>
  <c r="I9" i="64" s="1"/>
  <c r="H16" i="64"/>
  <c r="I16" i="64" s="1"/>
  <c r="H22" i="64"/>
  <c r="I22" i="64" s="1"/>
  <c r="H27" i="64"/>
  <c r="I27" i="64" s="1"/>
  <c r="H33" i="64"/>
  <c r="I33" i="64"/>
  <c r="H59" i="64"/>
  <c r="I59" i="64" s="1"/>
  <c r="H63" i="64"/>
  <c r="I63" i="64" s="1"/>
  <c r="H68" i="64"/>
  <c r="I68" i="64" s="1"/>
  <c r="H71" i="64"/>
  <c r="I71" i="64" s="1"/>
  <c r="H78" i="64"/>
  <c r="I78" i="64" s="1"/>
  <c r="H81" i="64"/>
  <c r="I81" i="64"/>
  <c r="H93" i="64"/>
  <c r="I93" i="64" s="1"/>
  <c r="H108" i="64"/>
  <c r="I108" i="64" s="1"/>
  <c r="H113" i="64"/>
  <c r="I113" i="64" s="1"/>
  <c r="H184" i="64"/>
  <c r="I184" i="64"/>
  <c r="G192" i="64"/>
  <c r="H192" i="64" s="1"/>
  <c r="H206" i="64"/>
  <c r="AF206" i="64" s="1"/>
  <c r="H217" i="64"/>
  <c r="AF217" i="64" s="1"/>
  <c r="H221" i="64"/>
  <c r="AF222" i="64" s="1"/>
  <c r="Q223" i="64"/>
  <c r="R223" i="64"/>
  <c r="S223" i="64"/>
  <c r="T223" i="64"/>
  <c r="U223" i="64"/>
  <c r="V223" i="64"/>
  <c r="W223" i="64"/>
  <c r="Y223" i="64"/>
  <c r="Z223" i="64"/>
  <c r="AA223" i="64"/>
  <c r="AB223" i="64"/>
  <c r="AC223" i="64"/>
  <c r="AD223" i="64"/>
  <c r="AE223" i="64"/>
  <c r="H229" i="64"/>
  <c r="H232" i="64"/>
  <c r="H235" i="64"/>
  <c r="H241" i="64"/>
  <c r="H260" i="64"/>
  <c r="H263" i="64"/>
  <c r="H266" i="64"/>
  <c r="H269" i="64"/>
  <c r="H314" i="64"/>
  <c r="H317" i="64"/>
  <c r="H322" i="64"/>
  <c r="H325" i="64"/>
  <c r="D434" i="64"/>
  <c r="F434" i="64"/>
  <c r="H509" i="64" s="1"/>
  <c r="H513" i="64"/>
  <c r="I513" i="64"/>
  <c r="E9" i="6"/>
  <c r="E13" i="6" s="1"/>
  <c r="E19" i="6" s="1"/>
  <c r="E24" i="6" s="1"/>
  <c r="E31" i="6" s="1"/>
  <c r="E37" i="6" s="1"/>
  <c r="E41" i="6" s="1"/>
  <c r="E52" i="6" s="1"/>
  <c r="E73" i="6" s="1"/>
  <c r="G7" i="6"/>
  <c r="I7" i="6" s="1"/>
  <c r="G8" i="6"/>
  <c r="I8" i="6" s="1"/>
  <c r="N25" i="58"/>
  <c r="E13" i="35"/>
  <c r="E47" i="35"/>
  <c r="E42" i="35"/>
  <c r="E62" i="35"/>
  <c r="E56" i="35"/>
  <c r="E10" i="35"/>
  <c r="C10" i="35"/>
  <c r="B10" i="35"/>
  <c r="B42" i="35"/>
  <c r="B62" i="35"/>
  <c r="C13" i="35"/>
  <c r="B13" i="35"/>
  <c r="D8" i="35"/>
  <c r="F8" i="35" s="1"/>
  <c r="E7" i="35"/>
  <c r="E27" i="35"/>
  <c r="B7" i="35"/>
  <c r="C42" i="35"/>
  <c r="H628" i="11"/>
  <c r="H611" i="11"/>
  <c r="H605" i="11"/>
  <c r="H599" i="11"/>
  <c r="J431" i="11"/>
  <c r="H428" i="11" s="1"/>
  <c r="H431" i="11" s="1"/>
  <c r="H385" i="11"/>
  <c r="H244" i="11"/>
  <c r="H107" i="11"/>
  <c r="I8" i="30"/>
  <c r="I22" i="30" s="1"/>
  <c r="I9" i="30"/>
  <c r="I10" i="30"/>
  <c r="I11" i="30"/>
  <c r="I12" i="30"/>
  <c r="I13" i="30"/>
  <c r="I14" i="30"/>
  <c r="I16" i="30"/>
  <c r="I17" i="30"/>
  <c r="I18" i="30"/>
  <c r="I19" i="30"/>
  <c r="I20" i="30"/>
  <c r="I21" i="30"/>
  <c r="H22" i="30"/>
  <c r="H29" i="30"/>
  <c r="E22" i="30"/>
  <c r="E29" i="30" s="1"/>
  <c r="J385" i="11"/>
  <c r="J378" i="11"/>
  <c r="H375" i="11" s="1"/>
  <c r="H378" i="11" s="1"/>
  <c r="J298" i="11"/>
  <c r="H298" i="11"/>
  <c r="J113" i="11"/>
  <c r="C62" i="35"/>
  <c r="B47" i="35"/>
  <c r="B27" i="35"/>
  <c r="C56" i="35"/>
  <c r="C47" i="35"/>
  <c r="C27" i="35"/>
  <c r="C7" i="35"/>
  <c r="K42" i="4"/>
  <c r="F42" i="4"/>
  <c r="L106" i="64"/>
  <c r="K40" i="4"/>
  <c r="K39" i="4"/>
  <c r="K37" i="4" s="1"/>
  <c r="F40" i="4"/>
  <c r="F39" i="4"/>
  <c r="F37" i="4" s="1"/>
  <c r="G102" i="69"/>
  <c r="G85" i="69"/>
  <c r="E53" i="35"/>
  <c r="C53" i="35"/>
  <c r="B53" i="35"/>
  <c r="O116" i="59"/>
  <c r="R61" i="70"/>
  <c r="J13" i="59"/>
  <c r="P122" i="88"/>
  <c r="R610" i="69"/>
  <c r="D32" i="74"/>
  <c r="E45" i="59"/>
  <c r="N146" i="59"/>
  <c r="G86" i="88"/>
  <c r="AW78" i="88"/>
  <c r="S185" i="70"/>
  <c r="S214" i="70" s="1"/>
  <c r="I86" i="88"/>
  <c r="P76" i="88"/>
  <c r="P341" i="69"/>
  <c r="J509" i="64"/>
  <c r="N248" i="70"/>
  <c r="N249" i="70" s="1"/>
  <c r="L86" i="88"/>
  <c r="J22" i="88"/>
  <c r="L211" i="88"/>
  <c r="AY35" i="88"/>
  <c r="P114" i="88"/>
  <c r="G23" i="35"/>
  <c r="F53" i="35"/>
  <c r="G53" i="35" s="1"/>
  <c r="F10" i="35"/>
  <c r="G10" i="35" s="1"/>
  <c r="I86" i="9"/>
  <c r="I91" i="9"/>
  <c r="I95" i="9"/>
  <c r="I97" i="9"/>
  <c r="R94" i="69"/>
  <c r="L267" i="69"/>
  <c r="L334" i="69"/>
  <c r="L335" i="69" s="1"/>
  <c r="P335" i="69"/>
  <c r="F15" i="69"/>
  <c r="F20" i="69" s="1"/>
  <c r="R44" i="69"/>
  <c r="L97" i="69"/>
  <c r="L348" i="69"/>
  <c r="F51" i="69"/>
  <c r="L20" i="69"/>
  <c r="L276" i="69"/>
  <c r="E36" i="79"/>
  <c r="L339" i="69"/>
  <c r="L341" i="69" s="1"/>
  <c r="F276" i="69"/>
  <c r="L44" i="69"/>
  <c r="O53" i="69"/>
  <c r="R330" i="69"/>
  <c r="J90" i="69"/>
  <c r="J321" i="69"/>
  <c r="P410" i="69"/>
  <c r="E607" i="69"/>
  <c r="I607" i="69"/>
  <c r="M25" i="58"/>
  <c r="O241" i="70"/>
  <c r="M173" i="70"/>
  <c r="O20" i="70"/>
  <c r="O11" i="70"/>
  <c r="M28" i="64"/>
  <c r="R90" i="69"/>
  <c r="K53" i="69"/>
  <c r="K244" i="69" s="1"/>
  <c r="P38" i="88"/>
  <c r="L85" i="69"/>
  <c r="N153" i="59"/>
  <c r="AW29" i="88"/>
  <c r="P11" i="88"/>
  <c r="AQ11" i="88" s="1"/>
  <c r="AU11" i="88" s="1"/>
  <c r="H86" i="88"/>
  <c r="AY114" i="88"/>
  <c r="AY143" i="88"/>
  <c r="P157" i="88"/>
  <c r="P167" i="88" s="1"/>
  <c r="H167" i="88"/>
  <c r="J164" i="88"/>
  <c r="P173" i="88"/>
  <c r="N173" i="69"/>
  <c r="N244" i="69" s="1"/>
  <c r="P434" i="69"/>
  <c r="F141" i="59"/>
  <c r="F146" i="59" s="1"/>
  <c r="K102" i="59"/>
  <c r="F294" i="69"/>
  <c r="O162" i="70"/>
  <c r="L33" i="69"/>
  <c r="J149" i="69"/>
  <c r="AQ138" i="88"/>
  <c r="AU138" i="88" s="1"/>
  <c r="J114" i="88"/>
  <c r="H204" i="88"/>
  <c r="H211" i="88" s="1"/>
  <c r="P514" i="64"/>
  <c r="L51" i="69"/>
  <c r="AY25" i="88"/>
  <c r="L116" i="88"/>
  <c r="AY38" i="88"/>
  <c r="M45" i="59"/>
  <c r="L69" i="64"/>
  <c r="M111" i="64"/>
  <c r="L434" i="69"/>
  <c r="H434" i="69"/>
  <c r="M206" i="64"/>
  <c r="X206" i="64" s="1"/>
  <c r="M260" i="64"/>
  <c r="P260" i="64" s="1"/>
  <c r="F410" i="69"/>
  <c r="D327" i="69"/>
  <c r="AQ21" i="88"/>
  <c r="AU21" i="88" s="1"/>
  <c r="P143" i="88"/>
  <c r="J157" i="88"/>
  <c r="AY157" i="88"/>
  <c r="AY167" i="88" s="1"/>
  <c r="AY164" i="88"/>
  <c r="AW167" i="88"/>
  <c r="J19" i="10"/>
  <c r="H89" i="70"/>
  <c r="P141" i="70"/>
  <c r="G173" i="70"/>
  <c r="H173" i="70"/>
  <c r="J268" i="70"/>
  <c r="J276" i="70" s="1"/>
  <c r="O179" i="70"/>
  <c r="G89" i="70"/>
  <c r="G119" i="70" s="1"/>
  <c r="O268" i="70"/>
  <c r="R81" i="70"/>
  <c r="Q607" i="69"/>
  <c r="R259" i="69"/>
  <c r="K29" i="4"/>
  <c r="J183" i="70"/>
  <c r="H214" i="70"/>
  <c r="H221" i="70" s="1"/>
  <c r="R25" i="70"/>
  <c r="P217" i="88"/>
  <c r="F130" i="59"/>
  <c r="F132" i="59"/>
  <c r="M81" i="70"/>
  <c r="M89" i="70" s="1"/>
  <c r="H605" i="69"/>
  <c r="N53" i="69"/>
  <c r="D605" i="69"/>
  <c r="D607" i="69" s="1"/>
  <c r="R348" i="69"/>
  <c r="K509" i="64"/>
  <c r="M434" i="64"/>
  <c r="K97" i="64"/>
  <c r="O515" i="64"/>
  <c r="L242" i="64"/>
  <c r="L23" i="64"/>
  <c r="N12" i="59"/>
  <c r="F259" i="69"/>
  <c r="D296" i="69"/>
  <c r="N434" i="69"/>
  <c r="O22" i="88"/>
  <c r="P20" i="88"/>
  <c r="AQ20" i="88"/>
  <c r="AU20" i="88" s="1"/>
  <c r="J11" i="88"/>
  <c r="J14" i="88"/>
  <c r="H14" i="88"/>
  <c r="R410" i="69"/>
  <c r="G48" i="35"/>
  <c r="P22" i="70"/>
  <c r="R20" i="70"/>
  <c r="R22" i="70" s="1"/>
  <c r="R321" i="69"/>
  <c r="P29" i="88"/>
  <c r="P605" i="69"/>
  <c r="P248" i="70"/>
  <c r="P249" i="70" s="1"/>
  <c r="F72" i="59"/>
  <c r="F116" i="59"/>
  <c r="M323" i="64"/>
  <c r="J22" i="70"/>
  <c r="N404" i="69"/>
  <c r="J173" i="88"/>
  <c r="R288" i="69"/>
  <c r="O296" i="69"/>
  <c r="N296" i="69"/>
  <c r="N621" i="69" s="1"/>
  <c r="AQ123" i="88"/>
  <c r="AU123" i="88" s="1"/>
  <c r="K19" i="10"/>
  <c r="N141" i="70"/>
  <c r="R148" i="70"/>
  <c r="I102" i="59"/>
  <c r="L28" i="64"/>
  <c r="O102" i="59"/>
  <c r="P13" i="59"/>
  <c r="N91" i="59"/>
  <c r="M17" i="64"/>
  <c r="N18" i="59"/>
  <c r="F149" i="69"/>
  <c r="F348" i="69"/>
  <c r="F404" i="69"/>
  <c r="F434" i="69"/>
  <c r="J97" i="70"/>
  <c r="J162" i="70"/>
  <c r="J173" i="70" s="1"/>
  <c r="F56" i="35"/>
  <c r="G56" i="35" s="1"/>
  <c r="O148" i="70"/>
  <c r="I173" i="69"/>
  <c r="L302" i="69"/>
  <c r="L321" i="69" s="1"/>
  <c r="N605" i="69"/>
  <c r="AQ120" i="88"/>
  <c r="AU120" i="88" s="1"/>
  <c r="O14" i="88"/>
  <c r="I116" i="88"/>
  <c r="P22" i="88"/>
  <c r="AQ121" i="88"/>
  <c r="AU121" i="88" s="1"/>
  <c r="J234" i="88"/>
  <c r="J235" i="88" s="1"/>
  <c r="J248" i="88"/>
  <c r="P248" i="88"/>
  <c r="P254" i="88"/>
  <c r="P260" i="88" s="1"/>
  <c r="AY254" i="88"/>
  <c r="L173" i="70"/>
  <c r="O38" i="70"/>
  <c r="O97" i="70"/>
  <c r="O170" i="70"/>
  <c r="I296" i="69"/>
  <c r="J78" i="88"/>
  <c r="J86" i="88" s="1"/>
  <c r="AX86" i="88"/>
  <c r="AX116" i="88" s="1"/>
  <c r="D45" i="59"/>
  <c r="F91" i="59"/>
  <c r="K13" i="59"/>
  <c r="L260" i="64"/>
  <c r="L61" i="64"/>
  <c r="M69" i="64"/>
  <c r="M315" i="64"/>
  <c r="F341" i="69"/>
  <c r="F321" i="69"/>
  <c r="J141" i="70"/>
  <c r="L89" i="70"/>
  <c r="L119" i="70" s="1"/>
  <c r="O117" i="70"/>
  <c r="J53" i="69"/>
  <c r="H288" i="69"/>
  <c r="O149" i="69"/>
  <c r="AP133" i="88"/>
  <c r="AS133" i="88" s="1"/>
  <c r="AW22" i="88"/>
  <c r="H113" i="11"/>
  <c r="O13" i="59"/>
  <c r="N11" i="59"/>
  <c r="R149" i="69"/>
  <c r="O125" i="70"/>
  <c r="O141" i="70" s="1"/>
  <c r="P229" i="88"/>
  <c r="N234" i="88"/>
  <c r="N235" i="88" s="1"/>
  <c r="L294" i="69"/>
  <c r="AS127" i="88"/>
  <c r="AQ127" i="88"/>
  <c r="AU127" i="88" s="1"/>
  <c r="J288" i="69"/>
  <c r="F99" i="59"/>
  <c r="F102" i="59" s="1"/>
  <c r="L12" i="59"/>
  <c r="F40" i="59"/>
  <c r="L323" i="64"/>
  <c r="N509" i="64"/>
  <c r="N515" i="64" s="1"/>
  <c r="R183" i="70"/>
  <c r="R325" i="69"/>
  <c r="R327" i="69" s="1"/>
  <c r="F62" i="35"/>
  <c r="G62" i="35" s="1"/>
  <c r="B29" i="34"/>
  <c r="D36" i="79"/>
  <c r="AS135" i="88"/>
  <c r="K515" i="64"/>
  <c r="M79" i="64"/>
  <c r="P119" i="88"/>
  <c r="BA124" i="88"/>
  <c r="AP126" i="88"/>
  <c r="AS126" i="88" s="1"/>
  <c r="AY176" i="88"/>
  <c r="AW234" i="88"/>
  <c r="AW235" i="88" s="1"/>
  <c r="AP8" i="88"/>
  <c r="AS8" i="88" s="1"/>
  <c r="L79" i="64"/>
  <c r="N348" i="69"/>
  <c r="P204" i="88"/>
  <c r="R101" i="69"/>
  <c r="R102" i="69"/>
  <c r="P102" i="69"/>
  <c r="F38" i="35"/>
  <c r="G38" i="35" s="1"/>
  <c r="BE9" i="88"/>
  <c r="BF8" i="88"/>
  <c r="AY89" i="88"/>
  <c r="AY94" i="88" s="1"/>
  <c r="AW94" i="88"/>
  <c r="N136" i="88"/>
  <c r="AY125" i="88"/>
  <c r="BF125" i="88" s="1"/>
  <c r="AW136" i="88"/>
  <c r="AQ130" i="88"/>
  <c r="AU130" i="88"/>
  <c r="AP130" i="88"/>
  <c r="AS130" i="88" s="1"/>
  <c r="K607" i="69"/>
  <c r="O186" i="64"/>
  <c r="O517" i="64" s="1"/>
  <c r="O29" i="70"/>
  <c r="R20" i="69"/>
  <c r="L117" i="69"/>
  <c r="C607" i="69"/>
  <c r="BL137" i="88"/>
  <c r="Q29" i="9"/>
  <c r="U185" i="70"/>
  <c r="J167" i="88"/>
  <c r="D28" i="79"/>
  <c r="L53" i="69"/>
  <c r="I621" i="69"/>
  <c r="P607" i="69"/>
  <c r="O276" i="70"/>
  <c r="O173" i="70"/>
  <c r="N607" i="69"/>
  <c r="AP269" i="88"/>
  <c r="BA125" i="88"/>
  <c r="AQ119" i="88"/>
  <c r="AU119" i="88" s="1"/>
  <c r="G50" i="6"/>
  <c r="I50" i="6" s="1"/>
  <c r="S242" i="69"/>
  <c r="AD341" i="69"/>
  <c r="H669" i="11" s="1"/>
  <c r="G32" i="5" s="1"/>
  <c r="V179" i="70"/>
  <c r="V170" i="70"/>
  <c r="V162" i="70"/>
  <c r="X40" i="70"/>
  <c r="G73" i="9" s="1"/>
  <c r="Q73" i="9" s="1"/>
  <c r="F24" i="77"/>
  <c r="C88" i="76"/>
  <c r="E24" i="77" s="1"/>
  <c r="C146" i="10"/>
  <c r="C135" i="10"/>
  <c r="H135" i="10" s="1"/>
  <c r="I46" i="10"/>
  <c r="I45" i="10"/>
  <c r="J45" i="10" s="1"/>
  <c r="J43" i="10" s="1"/>
  <c r="F370" i="63"/>
  <c r="C126" i="10"/>
  <c r="E21" i="77" s="1"/>
  <c r="C117" i="10"/>
  <c r="I27" i="30"/>
  <c r="Y607" i="69"/>
  <c r="C31" i="82" s="1"/>
  <c r="Y296" i="69"/>
  <c r="C23" i="82" s="1"/>
  <c r="Y53" i="69"/>
  <c r="Y244" i="69" s="1"/>
  <c r="Z607" i="69"/>
  <c r="Z296" i="69"/>
  <c r="D19" i="82"/>
  <c r="H549" i="11"/>
  <c r="AD117" i="69"/>
  <c r="G15" i="5" s="1"/>
  <c r="AD85" i="69"/>
  <c r="H311" i="11" s="1"/>
  <c r="H313" i="11" s="1"/>
  <c r="G11" i="5" s="1"/>
  <c r="AD44" i="69"/>
  <c r="H306" i="11" s="1"/>
  <c r="G11" i="82" s="1"/>
  <c r="L11" i="82" s="1"/>
  <c r="AD33" i="69"/>
  <c r="H304" i="11" s="1"/>
  <c r="AD51" i="69"/>
  <c r="H305" i="11" s="1"/>
  <c r="G12" i="82" s="1"/>
  <c r="D12" i="82"/>
  <c r="AA53" i="69"/>
  <c r="C10" i="34" s="1"/>
  <c r="X148" i="70"/>
  <c r="E103" i="63"/>
  <c r="E104" i="63" s="1"/>
  <c r="E108" i="63" s="1"/>
  <c r="C4" i="84"/>
  <c r="N41" i="79"/>
  <c r="B28" i="34"/>
  <c r="H566" i="11"/>
  <c r="H541" i="11"/>
  <c r="H534" i="11"/>
  <c r="G12" i="5" s="1"/>
  <c r="X162" i="70"/>
  <c r="Q11" i="9" s="1"/>
  <c r="H674" i="11"/>
  <c r="AD348" i="69"/>
  <c r="AD321" i="69"/>
  <c r="D49" i="82"/>
  <c r="D37" i="82"/>
  <c r="AA607" i="69"/>
  <c r="AB296" i="69"/>
  <c r="H322" i="11"/>
  <c r="AA244" i="69"/>
  <c r="H192" i="11"/>
  <c r="J195" i="11"/>
  <c r="I77" i="9"/>
  <c r="X97" i="70"/>
  <c r="P262" i="70"/>
  <c r="X262" i="70"/>
  <c r="G75" i="9"/>
  <c r="X20" i="70"/>
  <c r="X22" i="70" s="1"/>
  <c r="AD149" i="69"/>
  <c r="H74" i="11"/>
  <c r="D34" i="79"/>
  <c r="P217" i="64" l="1"/>
  <c r="X217" i="64"/>
  <c r="F296" i="69"/>
  <c r="L296" i="69"/>
  <c r="G623" i="69"/>
  <c r="H244" i="69"/>
  <c r="J244" i="69"/>
  <c r="Q623" i="69"/>
  <c r="X127" i="70"/>
  <c r="U141" i="70"/>
  <c r="O158" i="59"/>
  <c r="N623" i="69"/>
  <c r="I29" i="30"/>
  <c r="C621" i="69"/>
  <c r="C623" i="69" s="1"/>
  <c r="P211" i="88"/>
  <c r="O244" i="69"/>
  <c r="AW262" i="88"/>
  <c r="H607" i="69"/>
  <c r="N185" i="64"/>
  <c r="N186" i="64" s="1"/>
  <c r="N517" i="64" s="1"/>
  <c r="M173" i="64"/>
  <c r="M185" i="64" s="1"/>
  <c r="M186" i="64" s="1"/>
  <c r="E296" i="69"/>
  <c r="E621" i="69" s="1"/>
  <c r="F179" i="69"/>
  <c r="D242" i="69"/>
  <c r="J11" i="70"/>
  <c r="H14" i="70"/>
  <c r="H404" i="69"/>
  <c r="L154" i="69"/>
  <c r="J173" i="69"/>
  <c r="P38" i="70"/>
  <c r="P89" i="70" s="1"/>
  <c r="R35" i="70"/>
  <c r="R38" i="70" s="1"/>
  <c r="P294" i="69"/>
  <c r="P296" i="69" s="1"/>
  <c r="P621" i="69" s="1"/>
  <c r="R291" i="69"/>
  <c r="R294" i="69" s="1"/>
  <c r="R296" i="69" s="1"/>
  <c r="P404" i="69"/>
  <c r="R29" i="69"/>
  <c r="P33" i="69"/>
  <c r="P53" i="69" s="1"/>
  <c r="P244" i="69" s="1"/>
  <c r="P623" i="69" s="1"/>
  <c r="P12" i="70" s="1"/>
  <c r="R12" i="70" s="1"/>
  <c r="R14" i="70" s="1"/>
  <c r="O605" i="69"/>
  <c r="O607" i="69" s="1"/>
  <c r="U38" i="70"/>
  <c r="I72" i="9" s="1"/>
  <c r="I39" i="9"/>
  <c r="U22" i="70"/>
  <c r="J679" i="11"/>
  <c r="X410" i="69"/>
  <c r="J673" i="11"/>
  <c r="J350" i="11"/>
  <c r="X173" i="69"/>
  <c r="S621" i="69"/>
  <c r="V327" i="69"/>
  <c r="X325" i="69"/>
  <c r="X327" i="69" s="1"/>
  <c r="J28" i="5" s="1"/>
  <c r="S38" i="70"/>
  <c r="U35" i="70"/>
  <c r="W605" i="69"/>
  <c r="W607" i="69" s="1"/>
  <c r="W621" i="69" s="1"/>
  <c r="W623" i="69" s="1"/>
  <c r="X581" i="69"/>
  <c r="D131" i="84" s="1"/>
  <c r="G80" i="9"/>
  <c r="E37" i="82"/>
  <c r="F37" i="82" s="1"/>
  <c r="Z53" i="69"/>
  <c r="Z244" i="69" s="1"/>
  <c r="D86" i="76"/>
  <c r="S244" i="69"/>
  <c r="S623" i="69" s="1"/>
  <c r="AW204" i="88"/>
  <c r="AW211" i="88" s="1"/>
  <c r="R117" i="70"/>
  <c r="L13" i="59"/>
  <c r="J296" i="69"/>
  <c r="K111" i="64"/>
  <c r="M141" i="70"/>
  <c r="N13" i="59"/>
  <c r="AY260" i="88"/>
  <c r="O116" i="88"/>
  <c r="P242" i="69"/>
  <c r="N14" i="70"/>
  <c r="P122" i="69"/>
  <c r="R71" i="69"/>
  <c r="R85" i="69" s="1"/>
  <c r="AQ134" i="88"/>
  <c r="AU134" i="88" s="1"/>
  <c r="J605" i="69"/>
  <c r="J607" i="69" s="1"/>
  <c r="K186" i="64"/>
  <c r="K517" i="64" s="1"/>
  <c r="N105" i="59"/>
  <c r="N108" i="59" s="1"/>
  <c r="R177" i="70"/>
  <c r="R179" i="70" s="1"/>
  <c r="P97" i="70"/>
  <c r="F28" i="69"/>
  <c r="F33" i="69" s="1"/>
  <c r="F53" i="69" s="1"/>
  <c r="J404" i="69"/>
  <c r="P51" i="69"/>
  <c r="R355" i="69"/>
  <c r="J176" i="70"/>
  <c r="J179" i="70" s="1"/>
  <c r="P102" i="59"/>
  <c r="P158" i="59" s="1"/>
  <c r="N37" i="59"/>
  <c r="N40" i="59" s="1"/>
  <c r="N45" i="59" s="1"/>
  <c r="O40" i="59"/>
  <c r="O45" i="59" s="1"/>
  <c r="R117" i="69"/>
  <c r="N89" i="70"/>
  <c r="O22" i="70"/>
  <c r="M221" i="70"/>
  <c r="O220" i="70"/>
  <c r="P78" i="88"/>
  <c r="O136" i="88"/>
  <c r="U97" i="70"/>
  <c r="U170" i="70"/>
  <c r="J31" i="11" s="1"/>
  <c r="J9" i="11"/>
  <c r="U148" i="70"/>
  <c r="T89" i="70"/>
  <c r="J566" i="11"/>
  <c r="X294" i="69"/>
  <c r="X288" i="69"/>
  <c r="J561" i="11" s="1"/>
  <c r="J568" i="11" s="1"/>
  <c r="J26" i="5" s="1"/>
  <c r="E33" i="79" s="1"/>
  <c r="X259" i="69"/>
  <c r="J560" i="11" s="1"/>
  <c r="X149" i="69"/>
  <c r="X85" i="69"/>
  <c r="J311" i="11" s="1"/>
  <c r="J313" i="11" s="1"/>
  <c r="J11" i="5" s="1"/>
  <c r="E7" i="79" s="1"/>
  <c r="X44" i="69"/>
  <c r="J306" i="11" s="1"/>
  <c r="J307" i="11" s="1"/>
  <c r="J10" i="5" s="1"/>
  <c r="E6" i="79" s="1"/>
  <c r="X33" i="69"/>
  <c r="J304" i="11" s="1"/>
  <c r="T605" i="69"/>
  <c r="U173" i="69"/>
  <c r="V335" i="69"/>
  <c r="V20" i="69"/>
  <c r="V53" i="69" s="1"/>
  <c r="V244" i="69" s="1"/>
  <c r="X14" i="69"/>
  <c r="X20" i="69" s="1"/>
  <c r="J303" i="11" s="1"/>
  <c r="V605" i="69"/>
  <c r="V607" i="69" s="1"/>
  <c r="V621" i="69" s="1"/>
  <c r="V623" i="69" s="1"/>
  <c r="S12" i="70" s="1"/>
  <c r="S248" i="70"/>
  <c r="U226" i="70"/>
  <c r="J194" i="11" s="1"/>
  <c r="V348" i="69"/>
  <c r="X346" i="69"/>
  <c r="J674" i="11" s="1"/>
  <c r="J675" i="11" s="1"/>
  <c r="J33" i="5" s="1"/>
  <c r="E38" i="79" s="1"/>
  <c r="S97" i="70"/>
  <c r="C13" i="34"/>
  <c r="E15" i="82"/>
  <c r="F15" i="82" s="1"/>
  <c r="I90" i="85"/>
  <c r="I91" i="85" s="1"/>
  <c r="R97" i="69"/>
  <c r="G116" i="88"/>
  <c r="G263" i="88" s="1"/>
  <c r="AQ122" i="88"/>
  <c r="AU122" i="88" s="1"/>
  <c r="I21" i="6"/>
  <c r="I45" i="59"/>
  <c r="F61" i="59"/>
  <c r="J102" i="59"/>
  <c r="L97" i="64"/>
  <c r="L186" i="64" s="1"/>
  <c r="R234" i="70"/>
  <c r="AQ8" i="88"/>
  <c r="AU8" i="88" s="1"/>
  <c r="AV271" i="88" s="1"/>
  <c r="AY22" i="88"/>
  <c r="AY78" i="88"/>
  <c r="AQ135" i="88"/>
  <c r="AU135" i="88" s="1"/>
  <c r="BJ137" i="88"/>
  <c r="N167" i="88"/>
  <c r="AQ264" i="88"/>
  <c r="R215" i="70"/>
  <c r="H97" i="11"/>
  <c r="U162" i="70"/>
  <c r="I11" i="9" s="1"/>
  <c r="AB53" i="69"/>
  <c r="AB244" i="69" s="1"/>
  <c r="AD404" i="69"/>
  <c r="G31" i="5" s="1"/>
  <c r="D21" i="7"/>
  <c r="I22" i="85"/>
  <c r="D91" i="85"/>
  <c r="F91" i="85"/>
  <c r="H91" i="85"/>
  <c r="E33" i="77"/>
  <c r="E28" i="79"/>
  <c r="E30" i="79" s="1"/>
  <c r="I524" i="11"/>
  <c r="B27" i="34"/>
  <c r="I192" i="64"/>
  <c r="AX264" i="88"/>
  <c r="BF121" i="88"/>
  <c r="BA121" i="88"/>
  <c r="H262" i="88"/>
  <c r="AY136" i="88"/>
  <c r="BF120" i="88"/>
  <c r="BA123" i="88"/>
  <c r="BF123" i="88"/>
  <c r="P136" i="88"/>
  <c r="P262" i="88" s="1"/>
  <c r="AQ129" i="88"/>
  <c r="AU129" i="88" s="1"/>
  <c r="AY86" i="88"/>
  <c r="J262" i="88"/>
  <c r="L222" i="64"/>
  <c r="M607" i="69"/>
  <c r="M621" i="69" s="1"/>
  <c r="G59" i="35"/>
  <c r="I89" i="9"/>
  <c r="V108" i="70"/>
  <c r="E18" i="82"/>
  <c r="F18" i="82" s="1"/>
  <c r="C16" i="34"/>
  <c r="H680" i="11"/>
  <c r="H681" i="11" s="1"/>
  <c r="G34" i="5" s="1"/>
  <c r="B34" i="34" s="1"/>
  <c r="E412" i="63"/>
  <c r="D41" i="79"/>
  <c r="N46" i="79" s="1"/>
  <c r="B36" i="34"/>
  <c r="D36" i="34" s="1"/>
  <c r="G32" i="82"/>
  <c r="U261" i="70"/>
  <c r="J212" i="11" s="1"/>
  <c r="J216" i="11" s="1"/>
  <c r="F13" i="77" s="1"/>
  <c r="J92" i="11"/>
  <c r="V185" i="70"/>
  <c r="AY234" i="88"/>
  <c r="AY235" i="88" s="1"/>
  <c r="L217" i="64"/>
  <c r="I119" i="70"/>
  <c r="F31" i="35"/>
  <c r="AW86" i="88"/>
  <c r="N262" i="88"/>
  <c r="J116" i="88"/>
  <c r="I244" i="69"/>
  <c r="I623" i="69" s="1"/>
  <c r="O262" i="88"/>
  <c r="O264" i="88" s="1"/>
  <c r="AY173" i="88"/>
  <c r="F79" i="63"/>
  <c r="E75" i="63" s="1"/>
  <c r="E14" i="82"/>
  <c r="F14" i="82" s="1"/>
  <c r="C12" i="34"/>
  <c r="E17" i="82"/>
  <c r="F17" i="82" s="1"/>
  <c r="M515" i="64"/>
  <c r="P86" i="88"/>
  <c r="L102" i="59"/>
  <c r="L262" i="88"/>
  <c r="L264" i="88" s="1"/>
  <c r="H190" i="11"/>
  <c r="E30" i="82"/>
  <c r="F30" i="82" s="1"/>
  <c r="D30" i="82"/>
  <c r="C34" i="34"/>
  <c r="AY204" i="88"/>
  <c r="AY211" i="88" s="1"/>
  <c r="H116" i="88"/>
  <c r="H263" i="88" s="1"/>
  <c r="AX262" i="88"/>
  <c r="T14" i="70"/>
  <c r="AD20" i="69"/>
  <c r="H303" i="11" s="1"/>
  <c r="G9" i="82" s="1"/>
  <c r="J9" i="82" s="1"/>
  <c r="D621" i="69"/>
  <c r="O621" i="69"/>
  <c r="U276" i="70"/>
  <c r="Q14" i="70"/>
  <c r="Q119" i="70" s="1"/>
  <c r="X186" i="70"/>
  <c r="V186" i="70"/>
  <c r="U605" i="69"/>
  <c r="U607" i="69" s="1"/>
  <c r="U621" i="69" s="1"/>
  <c r="U623" i="69" s="1"/>
  <c r="E13" i="82"/>
  <c r="F13" i="82" s="1"/>
  <c r="C11" i="34"/>
  <c r="E16" i="82"/>
  <c r="F16" i="82" s="1"/>
  <c r="C14" i="34"/>
  <c r="E19" i="82"/>
  <c r="F19" i="82" s="1"/>
  <c r="C17" i="34"/>
  <c r="D25" i="82"/>
  <c r="C28" i="34"/>
  <c r="D28" i="34" s="1"/>
  <c r="E28" i="34" s="1"/>
  <c r="R136" i="70"/>
  <c r="J190" i="11"/>
  <c r="D29" i="34"/>
  <c r="J40" i="5"/>
  <c r="E8" i="82"/>
  <c r="E22" i="82" s="1"/>
  <c r="F22" i="82" s="1"/>
  <c r="C9" i="34"/>
  <c r="N102" i="59"/>
  <c r="N158" i="59" s="1"/>
  <c r="R220" i="70"/>
  <c r="R33" i="69"/>
  <c r="R53" i="69" s="1"/>
  <c r="I167" i="88"/>
  <c r="I211" i="88"/>
  <c r="Q141" i="70"/>
  <c r="U244" i="69"/>
  <c r="U117" i="70"/>
  <c r="E26" i="82"/>
  <c r="F26" i="82" s="1"/>
  <c r="D26" i="82"/>
  <c r="H31" i="6"/>
  <c r="H37" i="6" s="1"/>
  <c r="H41" i="6" s="1"/>
  <c r="H52" i="6" s="1"/>
  <c r="X179" i="70"/>
  <c r="L24" i="82"/>
  <c r="H39" i="82"/>
  <c r="H41" i="82" s="1"/>
  <c r="AD242" i="69"/>
  <c r="H556" i="11" s="1"/>
  <c r="G20" i="5" s="1"/>
  <c r="B20" i="34" s="1"/>
  <c r="D20" i="34" s="1"/>
  <c r="E20" i="34" s="1"/>
  <c r="C86" i="76"/>
  <c r="F380" i="63"/>
  <c r="E451" i="63"/>
  <c r="E457" i="63" s="1"/>
  <c r="E90" i="63"/>
  <c r="F135" i="63"/>
  <c r="F141" i="63" s="1"/>
  <c r="E127" i="63" s="1"/>
  <c r="E135" i="63" s="1"/>
  <c r="E141" i="63" s="1"/>
  <c r="F254" i="63"/>
  <c r="F260" i="63" s="1"/>
  <c r="E246" i="63" s="1"/>
  <c r="E254" i="63" s="1"/>
  <c r="E260" i="63" s="1"/>
  <c r="G221" i="70"/>
  <c r="G278" i="70" s="1"/>
  <c r="G279" i="70" s="1"/>
  <c r="S221" i="70"/>
  <c r="S278" i="70" s="1"/>
  <c r="R214" i="70"/>
  <c r="R221" i="70" s="1"/>
  <c r="O214" i="70"/>
  <c r="O221" i="70" s="1"/>
  <c r="J214" i="70"/>
  <c r="I221" i="70"/>
  <c r="I278" i="70" s="1"/>
  <c r="I279" i="70" s="1"/>
  <c r="N221" i="70"/>
  <c r="N278" i="70" s="1"/>
  <c r="Q221" i="70"/>
  <c r="Q278" i="70" s="1"/>
  <c r="U220" i="70"/>
  <c r="J220" i="70"/>
  <c r="H95" i="11"/>
  <c r="H169" i="11"/>
  <c r="G47" i="35"/>
  <c r="E31" i="82"/>
  <c r="F31" i="82" s="1"/>
  <c r="D31" i="82"/>
  <c r="C35" i="34"/>
  <c r="E29" i="82"/>
  <c r="F29" i="82" s="1"/>
  <c r="D29" i="82"/>
  <c r="C31" i="34"/>
  <c r="E28" i="82"/>
  <c r="F28" i="82" s="1"/>
  <c r="D28" i="82"/>
  <c r="C33" i="34"/>
  <c r="E27" i="82"/>
  <c r="F27" i="82" s="1"/>
  <c r="D27" i="82"/>
  <c r="C32" i="34"/>
  <c r="E24" i="82"/>
  <c r="F24" i="82" s="1"/>
  <c r="J24" i="82" s="1"/>
  <c r="D24" i="82"/>
  <c r="C27" i="34"/>
  <c r="I95" i="6"/>
  <c r="E11" i="77"/>
  <c r="F46" i="4"/>
  <c r="E12" i="77"/>
  <c r="K55" i="4"/>
  <c r="J161" i="11"/>
  <c r="E14" i="79"/>
  <c r="E94" i="6"/>
  <c r="E121" i="6" s="1"/>
  <c r="E75" i="6"/>
  <c r="I9" i="6"/>
  <c r="I13" i="6" s="1"/>
  <c r="I19" i="6" s="1"/>
  <c r="T119" i="70"/>
  <c r="E77" i="10"/>
  <c r="E59" i="10"/>
  <c r="D76" i="10"/>
  <c r="D61" i="10"/>
  <c r="D59" i="10" s="1"/>
  <c r="D43" i="10"/>
  <c r="H146" i="10"/>
  <c r="X335" i="69"/>
  <c r="J30" i="5"/>
  <c r="E44" i="79" s="1"/>
  <c r="W244" i="69"/>
  <c r="F391" i="63"/>
  <c r="Q74" i="9"/>
  <c r="Q43" i="9"/>
  <c r="AD173" i="69"/>
  <c r="I56" i="10"/>
  <c r="I44" i="10"/>
  <c r="I43" i="10" s="1"/>
  <c r="C60" i="10"/>
  <c r="C76" i="10" s="1"/>
  <c r="C136" i="10"/>
  <c r="H134" i="10"/>
  <c r="H136" i="10" s="1"/>
  <c r="I19" i="10"/>
  <c r="K80" i="10"/>
  <c r="H60" i="10"/>
  <c r="H76" i="10" s="1"/>
  <c r="F23" i="77"/>
  <c r="C52" i="76"/>
  <c r="O18" i="79"/>
  <c r="G27" i="9"/>
  <c r="V89" i="70"/>
  <c r="L25" i="82"/>
  <c r="F463" i="63"/>
  <c r="AD434" i="69"/>
  <c r="H56" i="6"/>
  <c r="H58" i="6" s="1"/>
  <c r="H73" i="6" s="1"/>
  <c r="H75" i="6" s="1"/>
  <c r="AD335" i="69"/>
  <c r="G30" i="5"/>
  <c r="H869" i="11" s="1"/>
  <c r="G9" i="6"/>
  <c r="G13" i="6" s="1"/>
  <c r="G19" i="6" s="1"/>
  <c r="G24" i="6" s="1"/>
  <c r="G31" i="6" s="1"/>
  <c r="G37" i="6" s="1"/>
  <c r="G41" i="6" s="1"/>
  <c r="G52" i="6" s="1"/>
  <c r="G56" i="6" s="1"/>
  <c r="G58" i="6" s="1"/>
  <c r="G73" i="6" s="1"/>
  <c r="G75" i="6" s="1"/>
  <c r="F37" i="6"/>
  <c r="K13" i="4"/>
  <c r="I54" i="6"/>
  <c r="H161" i="11"/>
  <c r="X29" i="70"/>
  <c r="G64" i="9" s="1"/>
  <c r="E31" i="77" s="1"/>
  <c r="H865" i="11"/>
  <c r="D35" i="79"/>
  <c r="X247" i="70"/>
  <c r="X248" i="70" s="1"/>
  <c r="G19" i="35"/>
  <c r="F27" i="35"/>
  <c r="G27" i="35" s="1"/>
  <c r="F13" i="35"/>
  <c r="G13" i="35" s="1"/>
  <c r="G14" i="35"/>
  <c r="F42" i="35"/>
  <c r="G42" i="35" s="1"/>
  <c r="G60" i="35"/>
  <c r="F50" i="35"/>
  <c r="G50" i="35" s="1"/>
  <c r="F22" i="35"/>
  <c r="G22" i="35" s="1"/>
  <c r="G8" i="35"/>
  <c r="F7" i="35"/>
  <c r="G7" i="35" s="1"/>
  <c r="D7" i="35"/>
  <c r="C65" i="35"/>
  <c r="E65" i="35"/>
  <c r="B65" i="35"/>
  <c r="H25" i="58"/>
  <c r="E338" i="63"/>
  <c r="J524" i="11"/>
  <c r="H367" i="11"/>
  <c r="H370" i="11" s="1"/>
  <c r="F11" i="77"/>
  <c r="F26" i="7" s="1"/>
  <c r="E55" i="79"/>
  <c r="H390" i="11"/>
  <c r="H394" i="11" s="1"/>
  <c r="J75" i="11"/>
  <c r="J73" i="11" s="1"/>
  <c r="K50" i="4" s="1"/>
  <c r="H216" i="11"/>
  <c r="E35" i="77" s="1"/>
  <c r="I890" i="11"/>
  <c r="G38" i="5"/>
  <c r="E93" i="10"/>
  <c r="E96" i="10" s="1"/>
  <c r="F198" i="63"/>
  <c r="F204" i="63" s="1"/>
  <c r="E190" i="63" s="1"/>
  <c r="E198" i="63" s="1"/>
  <c r="E204" i="63" s="1"/>
  <c r="F338" i="63"/>
  <c r="E510" i="63"/>
  <c r="E513" i="63" s="1"/>
  <c r="E520" i="63" s="1"/>
  <c r="E527" i="63" s="1"/>
  <c r="J871" i="11"/>
  <c r="O12" i="79" s="1"/>
  <c r="O42" i="79"/>
  <c r="J321" i="11"/>
  <c r="J17" i="5" s="1"/>
  <c r="E43" i="79"/>
  <c r="N20" i="79"/>
  <c r="E623" i="69"/>
  <c r="L173" i="69"/>
  <c r="AA296" i="69"/>
  <c r="J621" i="69"/>
  <c r="J623" i="69" s="1"/>
  <c r="D53" i="69"/>
  <c r="D244" i="69" s="1"/>
  <c r="L605" i="69"/>
  <c r="L607" i="69" s="1"/>
  <c r="J549" i="11"/>
  <c r="Y621" i="69"/>
  <c r="Y623" i="69" s="1"/>
  <c r="R434" i="69"/>
  <c r="X605" i="69"/>
  <c r="X607" i="69" s="1"/>
  <c r="J721" i="11" s="1"/>
  <c r="J35" i="5" s="1"/>
  <c r="E40" i="79" s="1"/>
  <c r="E49" i="82"/>
  <c r="F49" i="82" s="1"/>
  <c r="C34" i="82"/>
  <c r="M623" i="69"/>
  <c r="D623" i="69"/>
  <c r="K621" i="69"/>
  <c r="K623" i="69" s="1"/>
  <c r="F605" i="69"/>
  <c r="F607" i="69" s="1"/>
  <c r="L404" i="69"/>
  <c r="R341" i="69"/>
  <c r="E463" i="63"/>
  <c r="L149" i="69"/>
  <c r="H621" i="69"/>
  <c r="H623" i="69" s="1"/>
  <c r="R605" i="69"/>
  <c r="T607" i="69"/>
  <c r="T621" i="69" s="1"/>
  <c r="AC53" i="69"/>
  <c r="AC244" i="69" s="1"/>
  <c r="J551" i="11"/>
  <c r="AC296" i="69"/>
  <c r="AC607" i="69"/>
  <c r="J352" i="11"/>
  <c r="J19" i="5" s="1"/>
  <c r="AD267" i="69"/>
  <c r="H562" i="11" s="1"/>
  <c r="AD276" i="69"/>
  <c r="H563" i="11" s="1"/>
  <c r="AD259" i="69"/>
  <c r="R242" i="69"/>
  <c r="AD97" i="69"/>
  <c r="G13" i="5" s="1"/>
  <c r="B13" i="34" s="1"/>
  <c r="D13" i="34" s="1"/>
  <c r="E13" i="34" s="1"/>
  <c r="J263" i="88"/>
  <c r="AY262" i="88"/>
  <c r="Z621" i="69"/>
  <c r="BF126" i="88"/>
  <c r="BA126" i="88"/>
  <c r="R173" i="70"/>
  <c r="J681" i="11"/>
  <c r="J34" i="5" s="1"/>
  <c r="E39" i="79" s="1"/>
  <c r="AS132" i="88"/>
  <c r="AQ132" i="88"/>
  <c r="AU132" i="88" s="1"/>
  <c r="G59" i="10"/>
  <c r="R404" i="69"/>
  <c r="G75" i="10"/>
  <c r="D37" i="6"/>
  <c r="K12" i="4"/>
  <c r="I62" i="10"/>
  <c r="H59" i="10"/>
  <c r="F242" i="69"/>
  <c r="D150" i="84"/>
  <c r="T53" i="69"/>
  <c r="T244" i="69" s="1"/>
  <c r="C22" i="82"/>
  <c r="J289" i="11"/>
  <c r="J9" i="5" s="1"/>
  <c r="E5" i="79" s="1"/>
  <c r="D22" i="82"/>
  <c r="AY29" i="88"/>
  <c r="J14" i="70"/>
  <c r="R29" i="70"/>
  <c r="G45" i="35"/>
  <c r="C7" i="76"/>
  <c r="S81" i="70"/>
  <c r="S89" i="70" s="1"/>
  <c r="K44" i="10"/>
  <c r="AD294" i="69"/>
  <c r="C37" i="82"/>
  <c r="J81" i="70"/>
  <c r="J89" i="70" s="1"/>
  <c r="J119" i="70" s="1"/>
  <c r="J340" i="11"/>
  <c r="L278" i="70"/>
  <c r="L280" i="70" s="1"/>
  <c r="O81" i="70"/>
  <c r="O89" i="70" s="1"/>
  <c r="J97" i="11"/>
  <c r="D32" i="7"/>
  <c r="T278" i="70"/>
  <c r="S141" i="70"/>
  <c r="AD288" i="69"/>
  <c r="H561" i="11" s="1"/>
  <c r="AD410" i="69"/>
  <c r="AD605" i="69"/>
  <c r="AD607" i="69" s="1"/>
  <c r="H721" i="11" s="1"/>
  <c r="G35" i="5" s="1"/>
  <c r="B35" i="34" s="1"/>
  <c r="D37" i="34"/>
  <c r="H278" i="70"/>
  <c r="R126" i="70"/>
  <c r="R141" i="70" s="1"/>
  <c r="J233" i="11"/>
  <c r="X90" i="69"/>
  <c r="H195" i="11"/>
  <c r="H340" i="11"/>
  <c r="G18" i="5" s="1"/>
  <c r="B18" i="34" s="1"/>
  <c r="D18" i="34" s="1"/>
  <c r="E18" i="34" s="1"/>
  <c r="R261" i="70"/>
  <c r="R262" i="70" s="1"/>
  <c r="O248" i="70"/>
  <c r="O249" i="70" s="1"/>
  <c r="W173" i="70"/>
  <c r="W278" i="70" s="1"/>
  <c r="X268" i="70"/>
  <c r="X276" i="70" s="1"/>
  <c r="W89" i="70"/>
  <c r="N119" i="70"/>
  <c r="R89" i="70"/>
  <c r="H119" i="70"/>
  <c r="F47" i="77"/>
  <c r="I5" i="9"/>
  <c r="J192" i="11"/>
  <c r="U248" i="70"/>
  <c r="R248" i="70"/>
  <c r="P278" i="70"/>
  <c r="K25" i="4"/>
  <c r="F31" i="77"/>
  <c r="U262" i="70"/>
  <c r="J251" i="11"/>
  <c r="H257" i="11"/>
  <c r="H247" i="11"/>
  <c r="J241" i="11"/>
  <c r="R97" i="70"/>
  <c r="I41" i="9"/>
  <c r="M278" i="70"/>
  <c r="U50" i="70"/>
  <c r="I80" i="9" s="1"/>
  <c r="I81" i="9" s="1"/>
  <c r="K26" i="4" s="1"/>
  <c r="J29" i="11"/>
  <c r="J32" i="11"/>
  <c r="D91" i="6"/>
  <c r="V172" i="70"/>
  <c r="X172" i="70" s="1"/>
  <c r="X173" i="70" s="1"/>
  <c r="U214" i="70"/>
  <c r="H10" i="11"/>
  <c r="H17" i="11" s="1"/>
  <c r="F108" i="63"/>
  <c r="V141" i="70"/>
  <c r="X141" i="70" s="1"/>
  <c r="X123" i="70"/>
  <c r="X185" i="70"/>
  <c r="H92" i="11" s="1"/>
  <c r="H29" i="11"/>
  <c r="H33" i="11" s="1"/>
  <c r="H43" i="11" s="1"/>
  <c r="F45" i="4" s="1"/>
  <c r="I102" i="9"/>
  <c r="E262" i="63"/>
  <c r="F27" i="4" s="1"/>
  <c r="X38" i="70"/>
  <c r="Q14" i="9"/>
  <c r="E47" i="77"/>
  <c r="Q12" i="9"/>
  <c r="Q87" i="9"/>
  <c r="Q39" i="9"/>
  <c r="G41" i="9"/>
  <c r="AB607" i="69"/>
  <c r="AB621" i="69" s="1"/>
  <c r="C150" i="84"/>
  <c r="D37" i="79"/>
  <c r="B31" i="34"/>
  <c r="H675" i="11"/>
  <c r="G33" i="5" s="1"/>
  <c r="D38" i="79" s="1"/>
  <c r="B32" i="34"/>
  <c r="D43" i="79"/>
  <c r="G27" i="82"/>
  <c r="D15" i="7"/>
  <c r="H872" i="11"/>
  <c r="N42" i="79" s="1"/>
  <c r="H352" i="11"/>
  <c r="G19" i="5" s="1"/>
  <c r="H321" i="11"/>
  <c r="G17" i="5" s="1"/>
  <c r="D10" i="79"/>
  <c r="G18" i="82"/>
  <c r="L18" i="82" s="1"/>
  <c r="B16" i="34"/>
  <c r="D16" i="34" s="1"/>
  <c r="E16" i="34" s="1"/>
  <c r="D9" i="79"/>
  <c r="G17" i="82"/>
  <c r="B15" i="34"/>
  <c r="D15" i="34" s="1"/>
  <c r="E15" i="34" s="1"/>
  <c r="D8" i="79"/>
  <c r="G16" i="82"/>
  <c r="L16" i="82" s="1"/>
  <c r="B14" i="34"/>
  <c r="D14" i="34" s="1"/>
  <c r="E14" i="34" s="1"/>
  <c r="L12" i="82"/>
  <c r="J12" i="82"/>
  <c r="K12" i="82"/>
  <c r="AD53" i="69"/>
  <c r="G10" i="82"/>
  <c r="B12" i="34"/>
  <c r="D12" i="34" s="1"/>
  <c r="E12" i="34" s="1"/>
  <c r="D14" i="7"/>
  <c r="H871" i="11"/>
  <c r="N12" i="79" s="1"/>
  <c r="G14" i="82"/>
  <c r="D14" i="79"/>
  <c r="K11" i="82"/>
  <c r="J11" i="82"/>
  <c r="B11" i="34"/>
  <c r="G13" i="82"/>
  <c r="D7" i="79"/>
  <c r="K25" i="82"/>
  <c r="J25" i="82"/>
  <c r="G29" i="82"/>
  <c r="J10" i="11"/>
  <c r="F48" i="77"/>
  <c r="H289" i="11"/>
  <c r="G9" i="5" s="1"/>
  <c r="AD296" i="69" l="1"/>
  <c r="X348" i="69"/>
  <c r="G15" i="82"/>
  <c r="J15" i="82" s="1"/>
  <c r="H560" i="11"/>
  <c r="U81" i="70"/>
  <c r="U89" i="70" s="1"/>
  <c r="U173" i="70"/>
  <c r="D77" i="10"/>
  <c r="F244" i="69"/>
  <c r="Z623" i="69"/>
  <c r="X53" i="69"/>
  <c r="X244" i="69" s="1"/>
  <c r="R607" i="69"/>
  <c r="L244" i="69"/>
  <c r="L623" i="69" s="1"/>
  <c r="F621" i="69"/>
  <c r="X296" i="69"/>
  <c r="I61" i="10"/>
  <c r="J61" i="10" s="1"/>
  <c r="I24" i="6"/>
  <c r="I31" i="6" s="1"/>
  <c r="I37" i="6" s="1"/>
  <c r="I41" i="6" s="1"/>
  <c r="I52" i="6" s="1"/>
  <c r="I262" i="88"/>
  <c r="I263" i="88" s="1"/>
  <c r="O623" i="69"/>
  <c r="M517" i="64"/>
  <c r="L515" i="64"/>
  <c r="L517" i="64" s="1"/>
  <c r="D34" i="34"/>
  <c r="E34" i="34" s="1"/>
  <c r="E35" i="79"/>
  <c r="O41" i="79"/>
  <c r="J865" i="11"/>
  <c r="D16" i="7"/>
  <c r="D44" i="79"/>
  <c r="G26" i="82"/>
  <c r="C22" i="34"/>
  <c r="D11" i="34"/>
  <c r="E11" i="34" s="1"/>
  <c r="F8" i="82"/>
  <c r="O46" i="79"/>
  <c r="K17" i="82"/>
  <c r="F262" i="63"/>
  <c r="F40" i="77" s="1"/>
  <c r="H198" i="11"/>
  <c r="E9" i="77" s="1"/>
  <c r="K9" i="82"/>
  <c r="L9" i="82"/>
  <c r="F10" i="77"/>
  <c r="H307" i="11"/>
  <c r="G10" i="5" s="1"/>
  <c r="D6" i="79" s="1"/>
  <c r="D27" i="34"/>
  <c r="E27" i="34" s="1"/>
  <c r="R244" i="69"/>
  <c r="J221" i="70"/>
  <c r="J278" i="70" s="1"/>
  <c r="O278" i="70"/>
  <c r="X214" i="70"/>
  <c r="X221" i="70" s="1"/>
  <c r="X278" i="70" s="1"/>
  <c r="L621" i="69"/>
  <c r="N280" i="70"/>
  <c r="F14" i="4"/>
  <c r="K14" i="4"/>
  <c r="D15" i="79"/>
  <c r="C36" i="82"/>
  <c r="C39" i="82" s="1"/>
  <c r="C41" i="82" s="1"/>
  <c r="D11" i="79"/>
  <c r="G20" i="82"/>
  <c r="J20" i="82" s="1"/>
  <c r="AD244" i="69"/>
  <c r="H555" i="11"/>
  <c r="AB608" i="69"/>
  <c r="AD621" i="69"/>
  <c r="H233" i="11"/>
  <c r="H226" i="11" s="1"/>
  <c r="P14" i="70"/>
  <c r="P119" i="70" s="1"/>
  <c r="U221" i="70"/>
  <c r="D31" i="34"/>
  <c r="E31" i="34" s="1"/>
  <c r="D32" i="34"/>
  <c r="E32" i="34" s="1"/>
  <c r="K24" i="82"/>
  <c r="E23" i="82"/>
  <c r="D23" i="82"/>
  <c r="D34" i="82" s="1"/>
  <c r="D36" i="82" s="1"/>
  <c r="D39" i="82" s="1"/>
  <c r="D41" i="82" s="1"/>
  <c r="C26" i="34"/>
  <c r="C38" i="34" s="1"/>
  <c r="E75" i="10"/>
  <c r="L28" i="79"/>
  <c r="L30" i="79" s="1"/>
  <c r="G30" i="82"/>
  <c r="J30" i="82" s="1"/>
  <c r="J198" i="11"/>
  <c r="K53" i="4" s="1"/>
  <c r="K45" i="10"/>
  <c r="K43" i="10" s="1"/>
  <c r="I77" i="10"/>
  <c r="X621" i="69"/>
  <c r="J869" i="11"/>
  <c r="O40" i="79"/>
  <c r="O49" i="79" s="1"/>
  <c r="E45" i="79" s="1"/>
  <c r="J866" i="11"/>
  <c r="E41" i="79"/>
  <c r="K60" i="10"/>
  <c r="K61" i="10" s="1"/>
  <c r="C59" i="10"/>
  <c r="I60" i="10"/>
  <c r="Q28" i="9"/>
  <c r="J357" i="11"/>
  <c r="J555" i="11"/>
  <c r="N40" i="79"/>
  <c r="N49" i="79" s="1"/>
  <c r="D45" i="79" s="1"/>
  <c r="H78" i="10"/>
  <c r="B30" i="34"/>
  <c r="D30" i="34" s="1"/>
  <c r="E30" i="34" s="1"/>
  <c r="K10" i="4"/>
  <c r="I58" i="6"/>
  <c r="I73" i="6" s="1"/>
  <c r="I56" i="6"/>
  <c r="F41" i="6"/>
  <c r="F52" i="6" s="1"/>
  <c r="F56" i="6" s="1"/>
  <c r="F58" i="6" s="1"/>
  <c r="F73" i="6" s="1"/>
  <c r="F94" i="6" s="1"/>
  <c r="F121" i="6" s="1"/>
  <c r="E48" i="77" s="1"/>
  <c r="F13" i="4"/>
  <c r="G72" i="9"/>
  <c r="Q72" i="9" s="1"/>
  <c r="Q64" i="9"/>
  <c r="F25" i="4"/>
  <c r="AB623" i="69"/>
  <c r="V12" i="70" s="1"/>
  <c r="G31" i="35"/>
  <c r="F65" i="35"/>
  <c r="G65" i="35" s="1"/>
  <c r="D39" i="79"/>
  <c r="H524" i="11"/>
  <c r="J18" i="5"/>
  <c r="J22" i="5" s="1"/>
  <c r="J37" i="5"/>
  <c r="E19" i="77"/>
  <c r="H568" i="11"/>
  <c r="G26" i="5" s="1"/>
  <c r="G23" i="82" s="1"/>
  <c r="F16" i="7"/>
  <c r="J279" i="70"/>
  <c r="H279" i="70"/>
  <c r="AA621" i="69"/>
  <c r="AA623" i="69" s="1"/>
  <c r="J33" i="11"/>
  <c r="J43" i="11" s="1"/>
  <c r="J91" i="11"/>
  <c r="J93" i="11" s="1"/>
  <c r="J99" i="11" s="1"/>
  <c r="F8" i="77" s="1"/>
  <c r="E40" i="77"/>
  <c r="M13" i="70"/>
  <c r="N13" i="88"/>
  <c r="G45" i="82"/>
  <c r="K45" i="82" s="1"/>
  <c r="AC621" i="69"/>
  <c r="AC623" i="69" s="1"/>
  <c r="K16" i="82"/>
  <c r="B33" i="34"/>
  <c r="D33" i="34" s="1"/>
  <c r="F623" i="69"/>
  <c r="R621" i="69"/>
  <c r="G37" i="82"/>
  <c r="K37" i="82" s="1"/>
  <c r="S14" i="70"/>
  <c r="S119" i="70" s="1"/>
  <c r="U12" i="70"/>
  <c r="U14" i="70" s="1"/>
  <c r="U119" i="70" s="1"/>
  <c r="T623" i="69"/>
  <c r="D40" i="79"/>
  <c r="D35" i="34"/>
  <c r="E35" i="34" s="1"/>
  <c r="H357" i="11"/>
  <c r="H232" i="11"/>
  <c r="J226" i="11"/>
  <c r="J77" i="10"/>
  <c r="D75" i="10"/>
  <c r="N14" i="88"/>
  <c r="N116" i="88" s="1"/>
  <c r="N264" i="88" s="1"/>
  <c r="P13" i="88"/>
  <c r="P14" i="88" s="1"/>
  <c r="P116" i="88" s="1"/>
  <c r="P264" i="88" s="1"/>
  <c r="H59" i="11"/>
  <c r="H75" i="11"/>
  <c r="H73" i="11" s="1"/>
  <c r="D41" i="6"/>
  <c r="D52" i="6" s="1"/>
  <c r="D56" i="6" s="1"/>
  <c r="D58" i="6" s="1"/>
  <c r="D73" i="6" s="1"/>
  <c r="F12" i="4"/>
  <c r="K15" i="82"/>
  <c r="J18" i="82"/>
  <c r="J268" i="11"/>
  <c r="L15" i="82"/>
  <c r="R119" i="70"/>
  <c r="R278" i="70"/>
  <c r="J16" i="82"/>
  <c r="V214" i="70"/>
  <c r="V221" i="70" s="1"/>
  <c r="V173" i="70"/>
  <c r="I46" i="9"/>
  <c r="K20" i="4" s="1"/>
  <c r="K18" i="4" s="1"/>
  <c r="F38" i="77"/>
  <c r="D31" i="7"/>
  <c r="G91" i="6"/>
  <c r="G94" i="6" s="1"/>
  <c r="G121" i="6" s="1"/>
  <c r="X108" i="70"/>
  <c r="V117" i="70"/>
  <c r="E18" i="77"/>
  <c r="F30" i="77"/>
  <c r="F343" i="63"/>
  <c r="F344" i="63" s="1"/>
  <c r="K28" i="4"/>
  <c r="F32" i="77"/>
  <c r="X89" i="70"/>
  <c r="G5" i="9"/>
  <c r="Q5" i="9" s="1"/>
  <c r="Q6" i="9"/>
  <c r="E38" i="77"/>
  <c r="Q41" i="9"/>
  <c r="G46" i="9"/>
  <c r="G31" i="82"/>
  <c r="J31" i="82" s="1"/>
  <c r="G28" i="82"/>
  <c r="J28" i="82" s="1"/>
  <c r="K27" i="82"/>
  <c r="L27" i="82"/>
  <c r="J27" i="82"/>
  <c r="G19" i="82"/>
  <c r="B17" i="34"/>
  <c r="D17" i="34" s="1"/>
  <c r="E17" i="34" s="1"/>
  <c r="K18" i="82"/>
  <c r="L17" i="82"/>
  <c r="J17" i="82"/>
  <c r="J10" i="82"/>
  <c r="L10" i="82"/>
  <c r="K10" i="82"/>
  <c r="K13" i="82"/>
  <c r="L13" i="82"/>
  <c r="J13" i="82"/>
  <c r="Q27" i="9"/>
  <c r="N21" i="79"/>
  <c r="D17" i="79" s="1"/>
  <c r="J14" i="82"/>
  <c r="L14" i="82"/>
  <c r="K14" i="82"/>
  <c r="L29" i="82"/>
  <c r="J29" i="82"/>
  <c r="K29" i="82"/>
  <c r="F19" i="77"/>
  <c r="J17" i="11"/>
  <c r="K43" i="4"/>
  <c r="B19" i="34"/>
  <c r="D19" i="34" s="1"/>
  <c r="D12" i="79"/>
  <c r="G46" i="82"/>
  <c r="K46" i="82" s="1"/>
  <c r="G38" i="82"/>
  <c r="D5" i="79"/>
  <c r="B9" i="34"/>
  <c r="G8" i="82"/>
  <c r="X623" i="69" l="1"/>
  <c r="C40" i="34"/>
  <c r="U278" i="70"/>
  <c r="B10" i="34"/>
  <c r="D10" i="34" s="1"/>
  <c r="E10" i="34" s="1"/>
  <c r="G22" i="5"/>
  <c r="F53" i="4"/>
  <c r="F41" i="77"/>
  <c r="H91" i="11"/>
  <c r="H93" i="11" s="1"/>
  <c r="H99" i="11" s="1"/>
  <c r="E8" i="77" s="1"/>
  <c r="H881" i="11" s="1"/>
  <c r="K27" i="4"/>
  <c r="K23" i="4" s="1"/>
  <c r="K32" i="4" s="1"/>
  <c r="L20" i="82"/>
  <c r="R623" i="69"/>
  <c r="AW12" i="88" s="1"/>
  <c r="AY12" i="88" s="1"/>
  <c r="AY14" i="88" s="1"/>
  <c r="AY116" i="88" s="1"/>
  <c r="AY264" i="88" s="1"/>
  <c r="X12" i="70"/>
  <c r="X14" i="70" s="1"/>
  <c r="AD623" i="69"/>
  <c r="K20" i="82"/>
  <c r="H268" i="11"/>
  <c r="F56" i="4" s="1"/>
  <c r="G37" i="5"/>
  <c r="F23" i="82"/>
  <c r="F34" i="82" s="1"/>
  <c r="E34" i="82"/>
  <c r="E36" i="82" s="1"/>
  <c r="E39" i="82" s="1"/>
  <c r="E283" i="63"/>
  <c r="E291" i="63" s="1"/>
  <c r="I78" i="10"/>
  <c r="K52" i="4"/>
  <c r="L30" i="82"/>
  <c r="B26" i="34"/>
  <c r="D26" i="34" s="1"/>
  <c r="E26" i="34" s="1"/>
  <c r="K30" i="82"/>
  <c r="D33" i="79"/>
  <c r="D46" i="79" s="1"/>
  <c r="F9" i="77"/>
  <c r="D94" i="6"/>
  <c r="D121" i="6" s="1"/>
  <c r="D75" i="6"/>
  <c r="F75" i="6"/>
  <c r="I59" i="10"/>
  <c r="F20" i="77" s="1"/>
  <c r="I76" i="10"/>
  <c r="E46" i="79"/>
  <c r="E56" i="79" s="1"/>
  <c r="C75" i="10"/>
  <c r="K76" i="10"/>
  <c r="K77" i="10" s="1"/>
  <c r="G81" i="9"/>
  <c r="J45" i="82"/>
  <c r="L31" i="82"/>
  <c r="H75" i="10"/>
  <c r="L26" i="82"/>
  <c r="J26" i="82"/>
  <c r="K26" i="82"/>
  <c r="F10" i="4"/>
  <c r="K28" i="82"/>
  <c r="L45" i="82"/>
  <c r="E12" i="79"/>
  <c r="J37" i="82"/>
  <c r="J43" i="5"/>
  <c r="H93" i="6" s="1"/>
  <c r="J852" i="11" s="1"/>
  <c r="L37" i="82"/>
  <c r="L28" i="82"/>
  <c r="D30" i="7"/>
  <c r="D34" i="7" s="1"/>
  <c r="G55" i="82" s="1"/>
  <c r="H885" i="11"/>
  <c r="D26" i="79" s="1"/>
  <c r="F36" i="77"/>
  <c r="V278" i="70"/>
  <c r="V14" i="70"/>
  <c r="K45" i="4"/>
  <c r="F18" i="77"/>
  <c r="D24" i="7" s="1"/>
  <c r="O13" i="70"/>
  <c r="O14" i="70" s="1"/>
  <c r="O119" i="70" s="1"/>
  <c r="O280" i="70" s="1"/>
  <c r="M14" i="70"/>
  <c r="M119" i="70" s="1"/>
  <c r="M280" i="70" s="1"/>
  <c r="K31" i="82"/>
  <c r="F50" i="4"/>
  <c r="E10" i="77"/>
  <c r="F7" i="77"/>
  <c r="K56" i="4"/>
  <c r="F39" i="7"/>
  <c r="J32" i="82"/>
  <c r="I32" i="82"/>
  <c r="I34" i="82" s="1"/>
  <c r="I91" i="6"/>
  <c r="J854" i="11" s="1"/>
  <c r="O20" i="79" s="1"/>
  <c r="O21" i="79" s="1"/>
  <c r="E17" i="79" s="1"/>
  <c r="X117" i="70"/>
  <c r="G89" i="9"/>
  <c r="E41" i="77"/>
  <c r="F20" i="4"/>
  <c r="F18" i="4" s="1"/>
  <c r="Q46" i="9"/>
  <c r="G34" i="82"/>
  <c r="L23" i="82"/>
  <c r="D19" i="79"/>
  <c r="J19" i="82"/>
  <c r="K19" i="82"/>
  <c r="L19" i="82"/>
  <c r="J38" i="82"/>
  <c r="E33" i="34"/>
  <c r="J46" i="82"/>
  <c r="G49" i="82"/>
  <c r="F283" i="63"/>
  <c r="F291" i="63" s="1"/>
  <c r="D9" i="34"/>
  <c r="B22" i="34"/>
  <c r="J8" i="82"/>
  <c r="K8" i="82"/>
  <c r="G22" i="82"/>
  <c r="L8" i="82"/>
  <c r="H120" i="6" l="1"/>
  <c r="I120" i="6" s="1"/>
  <c r="G43" i="5"/>
  <c r="AW14" i="88"/>
  <c r="AW116" i="88" s="1"/>
  <c r="AW264" i="88" s="1"/>
  <c r="F42" i="77"/>
  <c r="F52" i="4"/>
  <c r="F48" i="4" s="1"/>
  <c r="F59" i="4" s="1"/>
  <c r="F25" i="77"/>
  <c r="V119" i="70"/>
  <c r="X119" i="70" s="1"/>
  <c r="E7" i="77"/>
  <c r="E19" i="79"/>
  <c r="F36" i="82"/>
  <c r="J34" i="82"/>
  <c r="J23" i="82"/>
  <c r="K23" i="82"/>
  <c r="H882" i="11"/>
  <c r="D53" i="79" s="1"/>
  <c r="F302" i="63"/>
  <c r="J22" i="82"/>
  <c r="K48" i="4"/>
  <c r="K59" i="4" s="1"/>
  <c r="K62" i="4" s="1"/>
  <c r="D38" i="34"/>
  <c r="E38" i="34" s="1"/>
  <c r="B38" i="34"/>
  <c r="B40" i="34" s="1"/>
  <c r="F15" i="77"/>
  <c r="I75" i="10"/>
  <c r="E20" i="77" s="1"/>
  <c r="F26" i="4"/>
  <c r="Q81" i="9"/>
  <c r="E30" i="77"/>
  <c r="E343" i="63"/>
  <c r="E344" i="63" s="1"/>
  <c r="I93" i="6"/>
  <c r="D38" i="7"/>
  <c r="F42" i="7"/>
  <c r="H852" i="11"/>
  <c r="H877" i="11" s="1"/>
  <c r="F18" i="79" s="1"/>
  <c r="D26" i="7"/>
  <c r="H880" i="11"/>
  <c r="D52" i="79" s="1"/>
  <c r="D24" i="79"/>
  <c r="E302" i="63"/>
  <c r="E41" i="82"/>
  <c r="F39" i="82"/>
  <c r="F41" i="82" s="1"/>
  <c r="F280" i="63"/>
  <c r="F292" i="63" s="1"/>
  <c r="F301" i="63"/>
  <c r="J877" i="11"/>
  <c r="Q89" i="9"/>
  <c r="G102" i="9"/>
  <c r="K55" i="82"/>
  <c r="L55" i="82"/>
  <c r="J55" i="82"/>
  <c r="F17" i="79"/>
  <c r="L34" i="82"/>
  <c r="K34" i="82"/>
  <c r="K49" i="82"/>
  <c r="J49" i="82"/>
  <c r="L49" i="82"/>
  <c r="D22" i="34"/>
  <c r="E9" i="34"/>
  <c r="L22" i="82"/>
  <c r="G36" i="82"/>
  <c r="K22" i="82"/>
  <c r="AV136" i="88" l="1"/>
  <c r="AV139" i="88" s="1"/>
  <c r="E15" i="77"/>
  <c r="V281" i="70"/>
  <c r="E31" i="79"/>
  <c r="E58" i="79" s="1"/>
  <c r="D39" i="7"/>
  <c r="E301" i="63"/>
  <c r="E303" i="63" s="1"/>
  <c r="E280" i="63"/>
  <c r="E292" i="63" s="1"/>
  <c r="D55" i="79"/>
  <c r="D56" i="79" s="1"/>
  <c r="D11" i="7" s="1"/>
  <c r="L17" i="79"/>
  <c r="H884" i="11"/>
  <c r="D25" i="79" s="1"/>
  <c r="F303" i="63"/>
  <c r="F26" i="77"/>
  <c r="F44" i="77" s="1"/>
  <c r="E25" i="77"/>
  <c r="G54" i="82"/>
  <c r="L54" i="82" s="1"/>
  <c r="G52" i="82"/>
  <c r="J889" i="11"/>
  <c r="L18" i="79"/>
  <c r="Q102" i="9"/>
  <c r="F28" i="4"/>
  <c r="F23" i="4" s="1"/>
  <c r="F32" i="4" s="1"/>
  <c r="F62" i="4" s="1"/>
  <c r="E32" i="77"/>
  <c r="F19" i="79"/>
  <c r="D40" i="34"/>
  <c r="E40" i="34" s="1"/>
  <c r="E22" i="34"/>
  <c r="G39" i="82"/>
  <c r="K36" i="82"/>
  <c r="L36" i="82"/>
  <c r="J36" i="82"/>
  <c r="E26" i="77" l="1"/>
  <c r="L40" i="79"/>
  <c r="D42" i="7"/>
  <c r="G56" i="82"/>
  <c r="L19" i="79"/>
  <c r="J54" i="82"/>
  <c r="K52" i="82"/>
  <c r="J52" i="82"/>
  <c r="L52" i="82"/>
  <c r="K54" i="82"/>
  <c r="E36" i="77"/>
  <c r="E42" i="77" s="1"/>
  <c r="L43" i="79"/>
  <c r="F17" i="7"/>
  <c r="F36" i="7" s="1"/>
  <c r="H883" i="11"/>
  <c r="G41" i="82"/>
  <c r="K39" i="82"/>
  <c r="J39" i="82"/>
  <c r="L39" i="82"/>
  <c r="E44" i="77" l="1"/>
  <c r="L44" i="79"/>
  <c r="D29" i="79"/>
  <c r="D30" i="79" s="1"/>
  <c r="H887" i="11"/>
  <c r="J41" i="82"/>
  <c r="K41" i="82"/>
  <c r="L41" i="82"/>
  <c r="F43" i="7" l="1"/>
  <c r="F28" i="79"/>
  <c r="D31" i="79"/>
  <c r="F29" i="79"/>
  <c r="H889" i="11"/>
  <c r="F30" i="79" l="1"/>
  <c r="D10" i="7"/>
  <c r="F40" i="79"/>
  <c r="D58" i="79"/>
  <c r="F43" i="79"/>
  <c r="D12" i="7"/>
  <c r="D17" i="7" s="1"/>
  <c r="D36" i="7" s="1"/>
  <c r="F44" i="79" l="1"/>
  <c r="G53" i="82"/>
  <c r="D43" i="7" l="1"/>
  <c r="L53" i="82"/>
  <c r="J53" i="82"/>
  <c r="K53" i="82"/>
  <c r="L56" i="82" l="1"/>
  <c r="J56" i="82"/>
  <c r="K56" i="82"/>
  <c r="I75" i="6"/>
  <c r="I94" i="6" s="1"/>
  <c r="I121" i="6" s="1"/>
  <c r="H94" i="6"/>
  <c r="H121" i="6" s="1"/>
  <c r="E49" i="77" l="1"/>
  <c r="E52" i="77" s="1"/>
  <c r="F49" i="77"/>
  <c r="F52" i="77" s="1"/>
  <c r="F55" i="77" l="1"/>
  <c r="AC14" i="88"/>
  <c r="E55" i="77"/>
</calcChain>
</file>

<file path=xl/comments1.xml><?xml version="1.0" encoding="utf-8"?>
<comments xmlns="http://schemas.openxmlformats.org/spreadsheetml/2006/main">
  <authors>
    <author>wilkenn</author>
  </authors>
  <commentList>
    <comment ref="C140" authorId="0" shapeId="0">
      <text>
        <r>
          <rPr>
            <b/>
            <sz val="9"/>
            <color indexed="81"/>
            <rFont val="Tahoma"/>
            <family val="2"/>
          </rPr>
          <t>wilkenn:</t>
        </r>
        <r>
          <rPr>
            <sz val="9"/>
            <color indexed="81"/>
            <rFont val="Tahoma"/>
            <family val="2"/>
          </rPr>
          <t xml:space="preserve">
LOC R25M
LOTTERY R15M
</t>
        </r>
      </text>
    </comment>
    <comment ref="D140" authorId="0" shapeId="0">
      <text>
        <r>
          <rPr>
            <b/>
            <sz val="9"/>
            <color indexed="81"/>
            <rFont val="Tahoma"/>
            <family val="2"/>
          </rPr>
          <t>wilkenn:</t>
        </r>
        <r>
          <rPr>
            <sz val="9"/>
            <color indexed="81"/>
            <rFont val="Tahoma"/>
            <family val="2"/>
          </rPr>
          <t xml:space="preserve">
LOC R25M
LOTTERY R15M
</t>
        </r>
      </text>
    </comment>
    <comment ref="E140" authorId="0" shapeId="0">
      <text>
        <r>
          <rPr>
            <b/>
            <sz val="9"/>
            <color indexed="81"/>
            <rFont val="Tahoma"/>
            <family val="2"/>
          </rPr>
          <t>wilkenn:</t>
        </r>
        <r>
          <rPr>
            <sz val="9"/>
            <color indexed="81"/>
            <rFont val="Tahoma"/>
            <family val="2"/>
          </rPr>
          <t xml:space="preserve">
LOC R25M
LOTTERY R15M
</t>
        </r>
      </text>
    </comment>
    <comment ref="G140" authorId="0" shapeId="0">
      <text>
        <r>
          <rPr>
            <b/>
            <sz val="9"/>
            <color indexed="81"/>
            <rFont val="Tahoma"/>
            <family val="2"/>
          </rPr>
          <t>wilkenn:</t>
        </r>
        <r>
          <rPr>
            <sz val="9"/>
            <color indexed="81"/>
            <rFont val="Tahoma"/>
            <family val="2"/>
          </rPr>
          <t xml:space="preserve">
LOC R25M
LOTTERY R15M
</t>
        </r>
      </text>
    </comment>
    <comment ref="H140" authorId="0" shapeId="0">
      <text>
        <r>
          <rPr>
            <b/>
            <sz val="9"/>
            <color indexed="81"/>
            <rFont val="Tahoma"/>
            <family val="2"/>
          </rPr>
          <t>wilkenn:</t>
        </r>
        <r>
          <rPr>
            <sz val="9"/>
            <color indexed="81"/>
            <rFont val="Tahoma"/>
            <family val="2"/>
          </rPr>
          <t xml:space="preserve">
LOC R25M
LOTTERY R15M
</t>
        </r>
      </text>
    </comment>
    <comment ref="J140" authorId="0" shapeId="0">
      <text>
        <r>
          <rPr>
            <b/>
            <sz val="9"/>
            <color indexed="81"/>
            <rFont val="Tahoma"/>
            <family val="2"/>
          </rPr>
          <t>wilkenn:</t>
        </r>
        <r>
          <rPr>
            <sz val="9"/>
            <color indexed="81"/>
            <rFont val="Tahoma"/>
            <family val="2"/>
          </rPr>
          <t xml:space="preserve">
LOC R25M
LOTTERY R15M
</t>
        </r>
      </text>
    </comment>
    <comment ref="K140" authorId="0" shapeId="0">
      <text>
        <r>
          <rPr>
            <b/>
            <sz val="9"/>
            <color indexed="81"/>
            <rFont val="Tahoma"/>
            <family val="2"/>
          </rPr>
          <t>wilkenn:</t>
        </r>
        <r>
          <rPr>
            <sz val="9"/>
            <color indexed="81"/>
            <rFont val="Tahoma"/>
            <family val="2"/>
          </rPr>
          <t xml:space="preserve">
LOC R25M
LOTTERY R15M
</t>
        </r>
      </text>
    </comment>
    <comment ref="Q140" authorId="0" shapeId="0">
      <text>
        <r>
          <rPr>
            <b/>
            <sz val="9"/>
            <color indexed="81"/>
            <rFont val="Tahoma"/>
            <family val="2"/>
          </rPr>
          <t>wilkenn:</t>
        </r>
        <r>
          <rPr>
            <sz val="9"/>
            <color indexed="81"/>
            <rFont val="Tahoma"/>
            <family val="2"/>
          </rPr>
          <t xml:space="preserve">
LOC R25M
LOTTERY R15M
</t>
        </r>
      </text>
    </comment>
    <comment ref="Q604" authorId="0" shapeId="0">
      <text>
        <r>
          <rPr>
            <b/>
            <sz val="9"/>
            <color indexed="81"/>
            <rFont val="Tahoma"/>
            <family val="2"/>
          </rPr>
          <t>wilkenn:</t>
        </r>
        <r>
          <rPr>
            <sz val="9"/>
            <color indexed="81"/>
            <rFont val="Tahoma"/>
            <family val="2"/>
          </rPr>
          <t xml:space="preserve">
See R &amp; M TRANSFERRED 2014/15 BUDGET FROM GENERAL EXP TO r &amp;m </t>
        </r>
      </text>
    </comment>
  </commentList>
</comments>
</file>

<file path=xl/connections.xml><?xml version="1.0" encoding="utf-8"?>
<connections xmlns="http://schemas.openxmlformats.org/spreadsheetml/2006/main">
  <connection id="1" name="IEMAY" type="6" refreshedVersion="3" background="1" saveData="1">
    <textPr codePage="437" sourceFile="C:\Users\wilkenn\Desktop\CDRIVE\SAMRAS Reports\IEMAY." delimited="0">
      <textFields count="7">
        <textField/>
        <textField position="10"/>
        <textField position="49"/>
        <textField position="63"/>
        <textField position="76"/>
        <textField position="106"/>
        <textField position="122"/>
      </textFields>
    </textPr>
  </connection>
  <connection id="2" name="New Accounting Policy1" type="6" refreshedVersion="3" background="1" saveData="1">
    <textPr sourceFile="F:\New Accounting Policy.txt" delimited="0">
      <textFields count="2">
        <textField/>
        <textField position="99"/>
      </textFields>
    </textPr>
  </connection>
  <connection id="3" name="New Accounting Policy11" type="6" refreshedVersion="3" background="1" saveData="1">
    <textPr sourceFile="F:\New Accounting Policy.txt" delimited="0">
      <textFields count="2">
        <textField/>
        <textField position="99"/>
      </textFields>
    </textPr>
  </connection>
  <connection id="4" name="New Accounting Policy111" type="6" refreshedVersion="3" background="1" saveData="1">
    <textPr sourceFile="F:\New Accounting Policy.txt" delimited="0">
      <textFields count="2">
        <textField/>
        <textField position="99"/>
      </textFields>
    </textPr>
  </connection>
  <connection id="5" name="New Accounting Policy1111" type="6" refreshedVersion="3" background="1" saveData="1">
    <textPr sourceFile="F:\New Accounting Policy.txt" delimited="0">
      <textFields count="2">
        <textField/>
        <textField position="99"/>
      </textFields>
    </textPr>
  </connection>
  <connection id="6" name="New Accounting Policy2" type="6" refreshedVersion="3" background="1" saveData="1">
    <textPr sourceFile="F:\New Accounting Policy.txt" delimited="0">
      <textFields count="2">
        <textField/>
        <textField position="99"/>
      </textFields>
    </textPr>
  </connection>
  <connection id="7" name="New Accounting Policy21" type="6" refreshedVersion="3" background="1" saveData="1">
    <textPr sourceFile="F:\New Accounting Policy.txt" delimited="0">
      <textFields count="2">
        <textField/>
        <textField position="99"/>
      </textFields>
    </textPr>
  </connection>
  <connection id="8" name="New Accounting Policy211" type="6" refreshedVersion="3" background="1" saveData="1">
    <textPr sourceFile="F:\New Accounting Policy.txt" delimited="0">
      <textFields count="2">
        <textField/>
        <textField position="99"/>
      </textFields>
    </textPr>
  </connection>
  <connection id="9" name="New Accounting Policy2111" type="6" refreshedVersion="3" background="1" saveData="1">
    <textPr sourceFile="F:\New Accounting Policy.txt" delimited="0">
      <textFields count="2">
        <textField/>
        <textField position="99"/>
      </textFields>
    </textPr>
  </connection>
</connections>
</file>

<file path=xl/sharedStrings.xml><?xml version="1.0" encoding="utf-8"?>
<sst xmlns="http://schemas.openxmlformats.org/spreadsheetml/2006/main" count="7118" uniqueCount="4293">
  <si>
    <t>Revenue Accounts</t>
  </si>
  <si>
    <t>GRANT EQUITABLE SHAR</t>
  </si>
  <si>
    <t>GRANT - SPORT &amp; RECR</t>
  </si>
  <si>
    <t>GRANT - NER</t>
  </si>
  <si>
    <t>GRANT - LG FIN MANAG</t>
  </si>
  <si>
    <t>GRANT - LIMPOPO PROV</t>
  </si>
  <si>
    <t>LACAL GOVT HOUSING</t>
  </si>
  <si>
    <t>WTER SERVICES OPERAT</t>
  </si>
  <si>
    <t>ADMINISTRATION COSTS</t>
  </si>
  <si>
    <t>FEES - FUNERAL SERVI</t>
  </si>
  <si>
    <t>FINES</t>
  </si>
  <si>
    <t>ASSESSMENT RATES</t>
  </si>
  <si>
    <t>FEES REFUND ENTRANCE</t>
  </si>
  <si>
    <t>FEES REFUND COID</t>
  </si>
  <si>
    <t>STATEMENT OF FINANCIAL POSITION</t>
  </si>
  <si>
    <t>2.</t>
  </si>
  <si>
    <t>Standard Bank: Polokwane</t>
  </si>
  <si>
    <t>Account number: 030172349</t>
  </si>
  <si>
    <t>INVESTMENT PROPERTY</t>
  </si>
  <si>
    <t>APPENDIX A</t>
  </si>
  <si>
    <t>Redeemed or written off during the period</t>
  </si>
  <si>
    <t>External Loans</t>
  </si>
  <si>
    <t>Loan No.</t>
  </si>
  <si>
    <t>Redeemable</t>
  </si>
  <si>
    <t xml:space="preserve"> Interest paid during the period</t>
  </si>
  <si>
    <t>Received during the period</t>
  </si>
  <si>
    <t>Housing</t>
  </si>
  <si>
    <t>Clinics</t>
  </si>
  <si>
    <t>Unappropriated Surplus</t>
  </si>
  <si>
    <t xml:space="preserve">    Property, plant and equipment</t>
  </si>
  <si>
    <t xml:space="preserve">    Housing selling scheme loans</t>
  </si>
  <si>
    <t>Increase/(decrease) in conditional grants</t>
  </si>
  <si>
    <t>3.</t>
  </si>
  <si>
    <t>4.</t>
  </si>
  <si>
    <t>5.</t>
  </si>
  <si>
    <t>6.</t>
  </si>
  <si>
    <t>7.</t>
  </si>
  <si>
    <t>12.</t>
  </si>
  <si>
    <t>Service charges</t>
  </si>
  <si>
    <t>RETEARN</t>
  </si>
  <si>
    <t>Electricty</t>
  </si>
  <si>
    <t>Sewer</t>
  </si>
  <si>
    <t>Rental</t>
  </si>
  <si>
    <t>Interest investments</t>
  </si>
  <si>
    <t>Interest outstanding debtors</t>
  </si>
  <si>
    <t>Licence &amp; Permits</t>
  </si>
  <si>
    <t>Income for agency service</t>
  </si>
  <si>
    <t>Government grants - operating</t>
  </si>
  <si>
    <t>Government grants - capital</t>
  </si>
  <si>
    <t>Donations</t>
  </si>
  <si>
    <t>LONG TERM LOANS</t>
  </si>
  <si>
    <t>Stock Loan@10%</t>
  </si>
  <si>
    <t>ANNUITY LOAN</t>
  </si>
  <si>
    <t>ENVIRONMENTAL PROTECTION</t>
  </si>
  <si>
    <t>Finance costs</t>
  </si>
  <si>
    <t>Provision leave bonuses</t>
  </si>
  <si>
    <t>STOCK LOSSES</t>
  </si>
  <si>
    <t>COST OF SALES</t>
  </si>
  <si>
    <t>Budget</t>
  </si>
  <si>
    <t>R</t>
  </si>
  <si>
    <t>Sale of erven</t>
  </si>
  <si>
    <t>Employee related costs</t>
  </si>
  <si>
    <t>Bulk purchases</t>
  </si>
  <si>
    <t>Current assets</t>
  </si>
  <si>
    <t>Current liabilities</t>
  </si>
  <si>
    <t>NET ASSETS &amp; LIABILITIES</t>
  </si>
  <si>
    <t>Net Assets</t>
  </si>
  <si>
    <t>Housing development fund</t>
  </si>
  <si>
    <t>Heritage assets</t>
  </si>
  <si>
    <t>Vehicle Licensing &amp; Testing</t>
  </si>
  <si>
    <t>REMUNERATION OF COUNCILLORS</t>
  </si>
  <si>
    <t>Executive Mayor</t>
  </si>
  <si>
    <t>Speaker</t>
  </si>
  <si>
    <t>Mayoral Committee members</t>
  </si>
  <si>
    <t>Chief Whip</t>
  </si>
  <si>
    <t>Councillors</t>
  </si>
  <si>
    <t>BULK PURCHASES</t>
  </si>
  <si>
    <t>GRANT AND SUBSIDIES PAID</t>
  </si>
  <si>
    <t>Animal care : SPCA</t>
  </si>
  <si>
    <t>CASH GENERATED FROM/(UTILISED IN) OPERATIONS</t>
  </si>
  <si>
    <t>Adjustment for:</t>
  </si>
  <si>
    <t>Depreciation charges</t>
  </si>
  <si>
    <t>Non-operating expenditure</t>
  </si>
  <si>
    <t>Operating surplus before working capital changes</t>
  </si>
  <si>
    <t>(Increase)/decrease in inventories</t>
  </si>
  <si>
    <t>2010 MASTER PLAN</t>
  </si>
  <si>
    <t xml:space="preserve">Weltevreden 746 LS - District Polokwane. The expected life span of the site is a further </t>
  </si>
  <si>
    <t>This grant was used to promote and support reforms to municipal financial management and the implementation of the MFMA, 2003.  The conditions of the grant were met. No funds have been withheld.</t>
  </si>
  <si>
    <t>This grant was used to construct municipal infrastructure to provide basic services for the benefit of poor households.  The conditions of the grant were met and no funds have been withheld.</t>
  </si>
  <si>
    <t>The Executive Mayor has use of a Council owned vehicle.</t>
  </si>
  <si>
    <t>The grant was used for public transport and non motorised transport infrastructure.</t>
  </si>
  <si>
    <t>30/06/2008</t>
  </si>
  <si>
    <t>30/06/2009</t>
  </si>
  <si>
    <t>30/06/2010</t>
  </si>
  <si>
    <t>Note 2</t>
  </si>
  <si>
    <t>Housing Development Fund</t>
  </si>
  <si>
    <t xml:space="preserve">Housing </t>
  </si>
  <si>
    <t>Note 3</t>
  </si>
  <si>
    <t>Revaluation reserve</t>
  </si>
  <si>
    <t>Accumulated surplus</t>
  </si>
  <si>
    <t>Surplus/deficit</t>
  </si>
  <si>
    <t>Retained earnings</t>
  </si>
  <si>
    <t>Note 4</t>
  </si>
  <si>
    <t>Outstanding loans</t>
  </si>
  <si>
    <t>Note 5</t>
  </si>
  <si>
    <t>Note 6</t>
  </si>
  <si>
    <t>Trade &amp; other payables</t>
  </si>
  <si>
    <t>Trade creditors</t>
  </si>
  <si>
    <t>Accounts payable</t>
  </si>
  <si>
    <t>ACCPAY1</t>
  </si>
  <si>
    <t>Goods received not paid</t>
  </si>
  <si>
    <t>Licenses prov govt</t>
  </si>
  <si>
    <t>Housing Seshego</t>
  </si>
  <si>
    <t>Water control account</t>
  </si>
  <si>
    <t>Salaries</t>
  </si>
  <si>
    <t>Legal costs</t>
  </si>
  <si>
    <t>Gaurantees</t>
  </si>
  <si>
    <t>Retension money</t>
  </si>
  <si>
    <t>Note 7</t>
  </si>
  <si>
    <t>Unspent conditional grants</t>
  </si>
  <si>
    <t>Note 8</t>
  </si>
  <si>
    <t>Assets</t>
  </si>
  <si>
    <t>Note 9</t>
  </si>
  <si>
    <t>Investments External</t>
  </si>
  <si>
    <t>Note 10</t>
  </si>
  <si>
    <t>Non current receivables</t>
  </si>
  <si>
    <t>Sundry debtors buyers</t>
  </si>
  <si>
    <t>Sundry debtors profit</t>
  </si>
  <si>
    <t>Sundry debtors</t>
  </si>
  <si>
    <t>Loan to Polokwane Housing Association</t>
  </si>
  <si>
    <t>Note 11</t>
  </si>
  <si>
    <t>Stock control</t>
  </si>
  <si>
    <t>STCKCNTL</t>
  </si>
  <si>
    <t>Inventory unsold erven</t>
  </si>
  <si>
    <t>Water at cost</t>
  </si>
  <si>
    <t>Note 12</t>
  </si>
  <si>
    <t>Provision for bad debt</t>
  </si>
  <si>
    <t>Consumer debtors/sundry</t>
  </si>
  <si>
    <t>RD Cheques</t>
  </si>
  <si>
    <t>Note 13</t>
  </si>
  <si>
    <t>Other Debtors</t>
  </si>
  <si>
    <t>Investec</t>
  </si>
  <si>
    <t>Absa</t>
  </si>
  <si>
    <t>Standard</t>
  </si>
  <si>
    <t>ENB</t>
  </si>
  <si>
    <t>Defer compensation</t>
  </si>
  <si>
    <t>Eson pre-paid sales</t>
  </si>
  <si>
    <t>Deposits Eskom</t>
  </si>
  <si>
    <t>Note 14</t>
  </si>
  <si>
    <t>Note 15</t>
  </si>
  <si>
    <t>Cash</t>
  </si>
  <si>
    <t>Bank account</t>
  </si>
  <si>
    <t>Bank error</t>
  </si>
  <si>
    <t>Underbanking</t>
  </si>
  <si>
    <t>2010 Account</t>
  </si>
  <si>
    <t>Housing account</t>
  </si>
  <si>
    <t>Mayors account</t>
  </si>
  <si>
    <t>Rahabilitation Landfill sites</t>
  </si>
  <si>
    <t>Note 39</t>
  </si>
  <si>
    <t xml:space="preserve">The table below analyses the municipality’s financial liabilities into relevant maturity groupings based on the remaining period at the Statement of Financial Position to the contractual maturity date. The amounts disclosed in the table are the contractual undiscounted cash flows. </t>
  </si>
  <si>
    <t>Borrowings</t>
  </si>
  <si>
    <t>Petty cash</t>
  </si>
  <si>
    <t>PROPERTY RATES</t>
  </si>
  <si>
    <t>Residential</t>
  </si>
  <si>
    <t>Commercial</t>
  </si>
  <si>
    <t>RESTRUCTURING GRANT</t>
  </si>
  <si>
    <t>SALARIES SECONDED PERSONNEL</t>
  </si>
  <si>
    <t>VALUATIONS</t>
  </si>
  <si>
    <t>SERVICE CHARGES</t>
  </si>
  <si>
    <t>Sale of electricity</t>
  </si>
  <si>
    <t>Sale of water</t>
  </si>
  <si>
    <t>Refuse removal</t>
  </si>
  <si>
    <t>Sewerage and sanitation charges</t>
  </si>
  <si>
    <t>Equitable share</t>
  </si>
  <si>
    <t>COUNCIL CONTRIBUTION MEDICAL</t>
  </si>
  <si>
    <t>COUNCIL CONTRIBUTION PENSION</t>
  </si>
  <si>
    <t>SALARIES COUNCILLORS</t>
  </si>
  <si>
    <t>Equitable Share</t>
  </si>
  <si>
    <t>Current year receipts</t>
  </si>
  <si>
    <t>Vote</t>
  </si>
  <si>
    <t>Corrections</t>
  </si>
  <si>
    <t>Conditions met – transferred to revenue</t>
  </si>
  <si>
    <t xml:space="preserve">Unspent amount transferred to liabilities </t>
  </si>
  <si>
    <t>Finance Management Grant</t>
  </si>
  <si>
    <t>Balance unspent at beginning of year</t>
  </si>
  <si>
    <t>2010 FAN MILE</t>
  </si>
  <si>
    <t>2010 PUBLIC HEALTH</t>
  </si>
  <si>
    <t>2010 CITY DRESSING</t>
  </si>
  <si>
    <t>2010 RIGHTS PROTECTION</t>
  </si>
  <si>
    <t>Unspent amount transferred to liabilities</t>
  </si>
  <si>
    <t>POLOKWANE</t>
  </si>
  <si>
    <t>Investment property</t>
  </si>
  <si>
    <t>Water - at cost</t>
  </si>
  <si>
    <t>2011</t>
  </si>
  <si>
    <t>2010/2011</t>
  </si>
  <si>
    <t>30June 2011</t>
  </si>
  <si>
    <t>DEBTORS REBATE</t>
  </si>
  <si>
    <t>Water Services Operating Subsidy Grant</t>
  </si>
  <si>
    <t>Public Transport Infrastructure and Systems Grant</t>
  </si>
  <si>
    <t xml:space="preserve">Municipal Infrastructure Grant </t>
  </si>
  <si>
    <t>Water Services Refurbishment Grant</t>
  </si>
  <si>
    <t>Limpopo Local Government &amp; Housing</t>
  </si>
  <si>
    <t>Integrated National Electrification Programme Grant</t>
  </si>
  <si>
    <t>Electricity Demand Side Management Grant</t>
  </si>
  <si>
    <t>The grant was used to fund  projects to address electrification backlogs in rural areas .</t>
  </si>
  <si>
    <t>Public transport infrastructure and systems grant</t>
  </si>
  <si>
    <t>Expanded public works programme incentive grant</t>
  </si>
  <si>
    <t>Water services refurbishment grant</t>
  </si>
  <si>
    <t>Integrated national electrification programme grant</t>
  </si>
  <si>
    <t>Electricity demand side management grant</t>
  </si>
  <si>
    <t>Expanded Public Works Programme Incentive Grant</t>
  </si>
  <si>
    <t>The grant was used to fund projects in order to maximise job creation and skills development .</t>
  </si>
  <si>
    <t>The grant was used to fund projects in order to provide community infrastructure to improve quality of life of residents in townships .</t>
  </si>
  <si>
    <t>Housing Accreditation Grant</t>
  </si>
  <si>
    <t>Anglo Platinum</t>
  </si>
  <si>
    <t>Loc</t>
  </si>
  <si>
    <t>NDPG</t>
  </si>
  <si>
    <t>Insurance coid</t>
  </si>
  <si>
    <t>2020/21</t>
  </si>
  <si>
    <t>Long Term Investments</t>
  </si>
  <si>
    <t>Sale of water and electricity 15 to 30June</t>
  </si>
  <si>
    <t>Balance at 30 June 2011</t>
  </si>
  <si>
    <t>Carrying values at 30 June 2011</t>
  </si>
  <si>
    <t>The grant was utilised to subsidize salaries of staff and repair and maintenance of water schemes transferred by DWAF.</t>
  </si>
  <si>
    <t>WORKSHOPS</t>
  </si>
  <si>
    <t>AIDS PATIENTS - AID</t>
  </si>
  <si>
    <t>FEEDING - CLINIC</t>
  </si>
  <si>
    <t>FEEDING OF ANIMALS</t>
  </si>
  <si>
    <t>REFUSE BINS</t>
  </si>
  <si>
    <t>REFUSE REMOVAL SERVI</t>
  </si>
  <si>
    <t>VALUATION ROLL</t>
  </si>
  <si>
    <t>VALUATIONS - INTERIM</t>
  </si>
  <si>
    <t>LAUNDRY</t>
  </si>
  <si>
    <t>WASTE DISPOSAL - REC</t>
  </si>
  <si>
    <t>CHARGES - WATER</t>
  </si>
  <si>
    <t>RECRUITING EXPENSES</t>
  </si>
  <si>
    <t>SHOP STOCK - MUSEUMS</t>
  </si>
  <si>
    <t>WARD COMMITTEE MEETI</t>
  </si>
  <si>
    <t>IRRIGATION SYSTEMS</t>
  </si>
  <si>
    <t>BOOKS</t>
  </si>
  <si>
    <t>FIRE ALARM SYSTEM</t>
  </si>
  <si>
    <t>ARLAMS AND EQUIPMENT</t>
  </si>
  <si>
    <t>FIRE HYDRANTS - EXTI</t>
  </si>
  <si>
    <t>BUILDINGS AND EQUIPM</t>
  </si>
  <si>
    <t>BUILD &amp; EQUIPMENT CE</t>
  </si>
  <si>
    <t>BUILD &amp; EQUIPMENT -</t>
  </si>
  <si>
    <t>TOOLS</t>
  </si>
  <si>
    <t>GROUNDS AND FENCES</t>
  </si>
  <si>
    <t>MAINS</t>
  </si>
  <si>
    <t>OFFICE MACHINES AND</t>
  </si>
  <si>
    <t>PLANT AND EQUIPMENT</t>
  </si>
  <si>
    <t>METERS</t>
  </si>
  <si>
    <t>FURNITURE AND FITTIN</t>
  </si>
  <si>
    <t>MUSEUM ITEMS</t>
  </si>
  <si>
    <t>DISTRIBUTION SYSTEM-</t>
  </si>
  <si>
    <t>DISTRIBUTION SYSTEM</t>
  </si>
  <si>
    <t>EMERGENCY CALL POINT</t>
  </si>
  <si>
    <t>RESERVOIRS</t>
  </si>
  <si>
    <t>ROADS, STREETS, CULV</t>
  </si>
  <si>
    <t>CLEAN-UP &amp; UPGRADING</t>
  </si>
  <si>
    <t>RADIO'S</t>
  </si>
  <si>
    <t>RAILWAY LINES X 1,2,</t>
  </si>
  <si>
    <t>RAILWAY LINES X 8</t>
  </si>
  <si>
    <t>RAILWAY LINES X 12</t>
  </si>
  <si>
    <t>ATHLETIC EQUIPMENT</t>
  </si>
  <si>
    <t>Trade and other payables</t>
  </si>
  <si>
    <t>INVESTMENTS</t>
  </si>
  <si>
    <t>Non-current receivables</t>
  </si>
  <si>
    <t>CASH AND CASH EQUIVALENTS</t>
  </si>
  <si>
    <t>Council Contributions</t>
  </si>
  <si>
    <t>FINANCE COST</t>
  </si>
  <si>
    <t>Finance cost</t>
  </si>
  <si>
    <t>ACCPAY</t>
  </si>
  <si>
    <t>GRNYI</t>
  </si>
  <si>
    <t>Public contributions, donated and contributed property, plant and equipment</t>
  </si>
  <si>
    <t>Other revenue</t>
  </si>
  <si>
    <t>Total Revenue</t>
  </si>
  <si>
    <t>EXPENDITURE</t>
  </si>
  <si>
    <t>Remuneration of councillors</t>
  </si>
  <si>
    <t>Bad debts</t>
  </si>
  <si>
    <t>Collection costs</t>
  </si>
  <si>
    <t>Increase/(decrease) in cash and cash equivalents</t>
  </si>
  <si>
    <t>Cash and cash equivalents at beginning of the year</t>
  </si>
  <si>
    <t>Cash and cash equivalents at end of the year</t>
  </si>
  <si>
    <t>HOUSING DEVELOPMENT FUND</t>
  </si>
  <si>
    <t>RESERVES</t>
  </si>
  <si>
    <t>Annuity loans</t>
  </si>
  <si>
    <t>Total External Loans</t>
  </si>
  <si>
    <t>Other receivables</t>
  </si>
  <si>
    <t>Amount paid current year</t>
  </si>
  <si>
    <t>Balance unpaid (included in creditors)</t>
  </si>
  <si>
    <t>Audit Fees</t>
  </si>
  <si>
    <t>Current year audit fee</t>
  </si>
  <si>
    <t>Refer to Appendix A for more detail on long term liabilities.</t>
  </si>
  <si>
    <t>EXECUTIVE &amp; COUNCIL</t>
  </si>
  <si>
    <t>Other &amp; Admin</t>
  </si>
  <si>
    <t xml:space="preserve"> </t>
  </si>
  <si>
    <t>Licensing &amp; permits</t>
  </si>
  <si>
    <t>Revenue for agency services</t>
  </si>
  <si>
    <t>Government grants &amp; subsidies – operating</t>
  </si>
  <si>
    <t>Government grants &amp; subsidies – capital</t>
  </si>
  <si>
    <t>(Increase)/decrease in debtors</t>
  </si>
  <si>
    <t>(Increase)/decrease in other debtors</t>
  </si>
  <si>
    <t>Increase/(decrease) in creditors</t>
  </si>
  <si>
    <t>Cash generated by operations</t>
  </si>
  <si>
    <t>SPORTS FIELDS</t>
  </si>
  <si>
    <t>PORTABLE SKID UNITS</t>
  </si>
  <si>
    <t>STREET LIGHTS</t>
  </si>
  <si>
    <t>SIDEWALKS</t>
  </si>
  <si>
    <t>TRAFFIC LIGHTS AND S</t>
  </si>
  <si>
    <t>TRAFFIC LIGHTS ELEC.</t>
  </si>
  <si>
    <t>STORMWATER DRAINAGE</t>
  </si>
  <si>
    <t>VEHICLES</t>
  </si>
  <si>
    <t>FIREBREAKS</t>
  </si>
  <si>
    <t>Current portion of long-term receivables</t>
  </si>
  <si>
    <t>Total Assets</t>
  </si>
  <si>
    <t>Note</t>
  </si>
  <si>
    <t>STATEMENT OF FINANCIAL PERFORMANCE</t>
  </si>
  <si>
    <t>REVENUE</t>
  </si>
  <si>
    <t>Actual</t>
  </si>
  <si>
    <t>Property rates</t>
  </si>
  <si>
    <t>Electricity</t>
  </si>
  <si>
    <t>MIG</t>
  </si>
  <si>
    <t>Computer Equipment</t>
  </si>
  <si>
    <t>HERITAGE ASSETS</t>
  </si>
  <si>
    <t>Biological Assets</t>
  </si>
  <si>
    <t>BIOLOGICAL ASSETS</t>
  </si>
  <si>
    <t>INTANGIBLE ASSETS</t>
  </si>
  <si>
    <t>Amounts received in advance</t>
  </si>
  <si>
    <t>Provincial LED projects</t>
  </si>
  <si>
    <t>Housing Accreditation grant</t>
  </si>
  <si>
    <t>Local Government Restructuring grant</t>
  </si>
  <si>
    <t>Local Government Transitional grant</t>
  </si>
  <si>
    <t>PTIF</t>
  </si>
  <si>
    <t>Limpopo Provincial Government</t>
  </si>
  <si>
    <t>INSURANCE - WORKMENS</t>
  </si>
  <si>
    <t>INSURANCE - UNEMPLOY</t>
  </si>
  <si>
    <t>MAYORAL COMMITTEE FULL</t>
  </si>
  <si>
    <t>RESEALING STREETS</t>
  </si>
  <si>
    <t>CASHIER DEFICIT</t>
  </si>
  <si>
    <t>LICENCES - ALARMSRADIO</t>
  </si>
  <si>
    <t>MANUALS</t>
  </si>
  <si>
    <t>EMERGENCY DISASTER RELIEF</t>
  </si>
  <si>
    <t>PROGRAMS CLINIC</t>
  </si>
  <si>
    <t>FORESTRY EXPENSES</t>
  </si>
  <si>
    <t>BY LAWS</t>
  </si>
  <si>
    <t>INFECTIONOUS DECEASES</t>
  </si>
  <si>
    <t>CONTR HOUSING</t>
  </si>
  <si>
    <t>CONTR FREEBASIC SERVICES</t>
  </si>
  <si>
    <t>CONT CRR</t>
  </si>
  <si>
    <t>GRANTS</t>
  </si>
  <si>
    <t>(see note 7)</t>
  </si>
  <si>
    <t>The Executive Mayor, Speaker and certain Mayoral Committee Members are full time.  Each is provided with an office and secretarial support at the cost of Council.</t>
  </si>
  <si>
    <t>Provision for rehabilitation of landfill sites</t>
  </si>
  <si>
    <t>LICENCES - TRADE &amp; GENERA</t>
  </si>
  <si>
    <t>SALES-WOOD</t>
  </si>
  <si>
    <t>SALES -GAME LIVE</t>
  </si>
  <si>
    <t>RENTAL - R293</t>
  </si>
  <si>
    <t>Explanations of significant variances greater than 10% versus budget</t>
  </si>
  <si>
    <t>Repairs &amp; maintenance</t>
  </si>
  <si>
    <t>Grants &amp; subsidies paid</t>
  </si>
  <si>
    <t>General expenses</t>
  </si>
  <si>
    <t>APPENDIX F</t>
  </si>
  <si>
    <t>Total Additions</t>
  </si>
  <si>
    <t xml:space="preserve">         Variance</t>
  </si>
  <si>
    <t>Depreciation</t>
  </si>
  <si>
    <t>Repairs and maintenance</t>
  </si>
  <si>
    <t>Interest paid</t>
  </si>
  <si>
    <t>Grants and subsidies paid</t>
  </si>
  <si>
    <t>Total Expenditure</t>
  </si>
  <si>
    <t>NET SURPLUS/(DEFICIT) FOR THE YEAR</t>
  </si>
  <si>
    <t>Net surplus for the year</t>
  </si>
  <si>
    <t>Balance at 30 June 2007</t>
  </si>
  <si>
    <t>Accumulated Surplus/ (Deficit)</t>
  </si>
  <si>
    <t>Total</t>
  </si>
  <si>
    <t>STATEMENT OF CHANGES IN NET ASSETS</t>
  </si>
  <si>
    <t>CASH FLOW STATEMENT</t>
  </si>
  <si>
    <t>CASH FLOW FROM OPERATING ACTIVITIES</t>
  </si>
  <si>
    <t>Cash receipted from ratepayers, government and others</t>
  </si>
  <si>
    <t>Cash paid to suppliers and employees</t>
  </si>
  <si>
    <t>Royalties Silicon</t>
  </si>
  <si>
    <t>Reconnection and notice fees</t>
  </si>
  <si>
    <t>Long service awards</t>
  </si>
  <si>
    <t>Overtime</t>
  </si>
  <si>
    <t>Consumer Debtors</t>
  </si>
  <si>
    <t>Less Provision for bad debts</t>
  </si>
  <si>
    <t xml:space="preserve">  120+      days</t>
  </si>
  <si>
    <t>Ageing of consumer debtors</t>
  </si>
  <si>
    <t>Consumer debtors per category</t>
  </si>
  <si>
    <t>Business</t>
  </si>
  <si>
    <t>Individuals</t>
  </si>
  <si>
    <t>Reconciliation of bad debt provision</t>
  </si>
  <si>
    <t>Balance at beginning of year</t>
  </si>
  <si>
    <t>Contributions to provision</t>
  </si>
  <si>
    <t xml:space="preserve">Balance at year end </t>
  </si>
  <si>
    <t>Total Investments</t>
  </si>
  <si>
    <t>Long term liabilities</t>
  </si>
  <si>
    <t>Current portion of long term liabilities</t>
  </si>
  <si>
    <t>Bad debts recovered/(written off) against provision</t>
  </si>
  <si>
    <t>Account</t>
  </si>
  <si>
    <t>Period Balance</t>
  </si>
  <si>
    <t>Dr</t>
  </si>
  <si>
    <t>Cr</t>
  </si>
  <si>
    <t>Investment in PHA</t>
  </si>
  <si>
    <t>Fines</t>
  </si>
  <si>
    <t>Licenses and permits</t>
  </si>
  <si>
    <t>Income for agency services</t>
  </si>
  <si>
    <t>Net cash from investment activities</t>
  </si>
  <si>
    <t>CASH FLOW FROM FINANCING ACTIVITIES</t>
  </si>
  <si>
    <t>Net cash from financing activities</t>
  </si>
  <si>
    <t>Services contributions</t>
  </si>
  <si>
    <t>Research and development</t>
  </si>
  <si>
    <t>Postage and telegram</t>
  </si>
  <si>
    <t xml:space="preserve">ADDITIONAL DISCLOSURES IN TERMS OF SECTION 125 OF MUNICIPAL FINANCE MANAGEMENT ACT, 2003 </t>
  </si>
  <si>
    <t>IDP</t>
  </si>
  <si>
    <t>Museums</t>
  </si>
  <si>
    <t>Nursery</t>
  </si>
  <si>
    <t>Unbundling of assets</t>
  </si>
  <si>
    <t>Investment in municipal entity (THA)</t>
  </si>
  <si>
    <t>Accumulated depreciation</t>
  </si>
  <si>
    <t>Short Term Fixed Deposits</t>
  </si>
  <si>
    <t>Nedbank</t>
  </si>
  <si>
    <t>Standard Bank</t>
  </si>
  <si>
    <t>Council’s valuation of investments</t>
  </si>
  <si>
    <t>Motor car loans</t>
  </si>
  <si>
    <t>Housing selling scheme loans</t>
  </si>
  <si>
    <t>INVENTORY</t>
  </si>
  <si>
    <t>Interest received</t>
  </si>
  <si>
    <t>Net cash from operating activities</t>
  </si>
  <si>
    <t>Property Rates</t>
  </si>
  <si>
    <t xml:space="preserve">  Current (0-30 days)</t>
  </si>
  <si>
    <t xml:space="preserve">  31–60     days</t>
  </si>
  <si>
    <t xml:space="preserve">  61–90     days</t>
  </si>
  <si>
    <t xml:space="preserve">  91–120   days</t>
  </si>
  <si>
    <t>Deposits</t>
  </si>
  <si>
    <t>The municipality has the following bank accounts:</t>
  </si>
  <si>
    <t>(Increase)/decrease in VAT</t>
  </si>
  <si>
    <t>Sewerage</t>
  </si>
  <si>
    <t>Water</t>
  </si>
  <si>
    <t xml:space="preserve">    Bank and cash</t>
  </si>
  <si>
    <t>Free basic services</t>
  </si>
  <si>
    <t>Printing and stationery</t>
  </si>
  <si>
    <t>Rental equipment</t>
  </si>
  <si>
    <t>Stores and material</t>
  </si>
  <si>
    <t>Meter reading</t>
  </si>
  <si>
    <t>Training</t>
  </si>
  <si>
    <t>Legal expenses</t>
  </si>
  <si>
    <t>Subsistence and travelling</t>
  </si>
  <si>
    <t>BUDGET &amp; TREASURY OFFICE</t>
  </si>
  <si>
    <t>CORPRATE SERVICES</t>
  </si>
  <si>
    <t>Security services</t>
  </si>
  <si>
    <t>Telephone costs</t>
  </si>
  <si>
    <t>Garden services</t>
  </si>
  <si>
    <t>Awareness campaigns</t>
  </si>
  <si>
    <t>Insurance</t>
  </si>
  <si>
    <t>ENERGY FORUM</t>
  </si>
  <si>
    <t>GRANT HOUSING ASSOSIATION</t>
  </si>
  <si>
    <t>SAMPLE TESTS</t>
  </si>
  <si>
    <t>Transfers to/ from accumulated surplus/(deficit)</t>
  </si>
  <si>
    <t>Other reserves</t>
  </si>
  <si>
    <t>Notes</t>
  </si>
  <si>
    <t>Surplus/(deficit) for the period</t>
  </si>
  <si>
    <t>UNAUTHORISED, IRREGULAR, FRUITLESS AND WASTEFUL EXPENDITURE DISALLOWED</t>
  </si>
  <si>
    <t xml:space="preserve">   Opening balance</t>
  </si>
  <si>
    <t xml:space="preserve">   Approved by Council or condoned</t>
  </si>
  <si>
    <t xml:space="preserve">   Transfer to receivables for recovery </t>
  </si>
  <si>
    <t>Fruitless and wasteful expenditure</t>
  </si>
  <si>
    <t>EXTERNAL PRINTING</t>
  </si>
  <si>
    <t>CORPORATE PUBLICITY</t>
  </si>
  <si>
    <t>FESTIVALS</t>
  </si>
  <si>
    <t>DEPT. CHARGES - ELEC</t>
  </si>
  <si>
    <t>CHARGES - ELECTRICIT</t>
  </si>
  <si>
    <t>DICIPLINARY COMMITEE</t>
  </si>
  <si>
    <t>CASH HANDLING</t>
  </si>
  <si>
    <t>GRAVE DIGGING</t>
  </si>
  <si>
    <t>TOURISM MANAGEMENT</t>
  </si>
  <si>
    <t>SMME MANAGEMENT</t>
  </si>
  <si>
    <t>LEVY - SITA TRAINING</t>
  </si>
  <si>
    <t>RETEST DRIVERS LICEN</t>
  </si>
  <si>
    <t>GRANTS - ASSESSMENT</t>
  </si>
  <si>
    <t>GRANT - USER CHARGES</t>
  </si>
  <si>
    <t>GRANTS - MISCELLANEO</t>
  </si>
  <si>
    <t>RENTAL ALARMS</t>
  </si>
  <si>
    <t>ADMINISTRATION CHARG</t>
  </si>
  <si>
    <t>RENTAL - OFFICES/BUI</t>
  </si>
  <si>
    <t>RENTAL - EQUIPMENT</t>
  </si>
  <si>
    <t>DATA COMMUNICATION</t>
  </si>
  <si>
    <t>IDP AND HEARINGS</t>
  </si>
  <si>
    <t>PURCHASING OF WATER</t>
  </si>
  <si>
    <t>ADMIN. CHARGES - DEP</t>
  </si>
  <si>
    <t>ADMIN. CHARGES - HOU</t>
  </si>
  <si>
    <t>ADVERTISEMENTS</t>
  </si>
  <si>
    <t>ASSET VERIFICATION</t>
  </si>
  <si>
    <t>PAUPER BURIALS</t>
  </si>
  <si>
    <t>BANK CHARGES</t>
  </si>
  <si>
    <t>FEES - EASYPAY SYSTE</t>
  </si>
  <si>
    <t>HANDLING - ILLEGAL L</t>
  </si>
  <si>
    <t>FREE BASIC SERVICES</t>
  </si>
  <si>
    <t>DRIVING/DIVING PERMI</t>
  </si>
  <si>
    <t>BOOKS AND PERIODICAL</t>
  </si>
  <si>
    <t>TREES</t>
  </si>
  <si>
    <t>SPONSORSHIP SPORTING</t>
  </si>
  <si>
    <t>FUEL AND OIL</t>
  </si>
  <si>
    <t>TELEMETRIC SYSTEMS</t>
  </si>
  <si>
    <t>WATER RESEARCH LEVY</t>
  </si>
  <si>
    <t>CHEMICALS</t>
  </si>
  <si>
    <t>ANIMALS</t>
  </si>
  <si>
    <t>AMMUNITION</t>
  </si>
  <si>
    <t>TOWN PLANNING</t>
  </si>
  <si>
    <t>Current account (primary bank account)</t>
  </si>
  <si>
    <t>Bank statement balance at beginning of year</t>
  </si>
  <si>
    <t>Bank statement balance at end of year</t>
  </si>
  <si>
    <t>Cash book balance at beginning of year</t>
  </si>
  <si>
    <t>Cash book balance at end of year</t>
  </si>
  <si>
    <t>Carrying amount at beginning of year</t>
  </si>
  <si>
    <t>Additions during the year</t>
  </si>
  <si>
    <t>Reductions during the year</t>
  </si>
  <si>
    <t>Carrying amount at end of year</t>
  </si>
  <si>
    <t>Employees qualify for the following long service awards:</t>
  </si>
  <si>
    <t xml:space="preserve">The Weltevreden Landfill Site is a permitted facility in terms of Section 20 of the </t>
  </si>
  <si>
    <t>Environmental Conservation Act (Act 73 of 1989) and is located on portion 4 of the farm</t>
  </si>
  <si>
    <t>DISCLOSURE OF GRANTS AND SUBSIDIES IN TERMS OF SECTION 123 OF MFMA, 56 OF 2003</t>
  </si>
  <si>
    <t>Name of Grants</t>
  </si>
  <si>
    <t>Delay \ withheld</t>
  </si>
  <si>
    <t>Gazette amount Municipal year</t>
  </si>
  <si>
    <t>Reason for delay/ withholding of funds</t>
  </si>
  <si>
    <t>Did your municipality comply with the grant conditions in terms of grant framework in the latest Division of Revenue Act</t>
  </si>
  <si>
    <t>Reason for non-compliance</t>
  </si>
  <si>
    <t>Yes / No</t>
  </si>
  <si>
    <t>Adjustments</t>
  </si>
  <si>
    <t>2011/12</t>
  </si>
  <si>
    <t>2013/14</t>
  </si>
  <si>
    <t>2014/15</t>
  </si>
  <si>
    <t>2015/16</t>
  </si>
  <si>
    <t>2019/20</t>
  </si>
  <si>
    <t xml:space="preserve">Prescribed procurement processes were not followed but was approved by the Municipal Manager in terms of delegated powers and in accordance with Supply Chain Management Regulations and Policy. Valid reasons for deviations were recorded in all instances. </t>
  </si>
  <si>
    <t>Original Budget</t>
  </si>
  <si>
    <t>Neighbourhood development</t>
  </si>
  <si>
    <t>Public partners</t>
  </si>
  <si>
    <t>FEES - ADMISSION SESHEGO</t>
  </si>
  <si>
    <t>Councillors remuneration</t>
  </si>
  <si>
    <t xml:space="preserve">General expenses </t>
  </si>
  <si>
    <t>Leave reserve provision</t>
  </si>
  <si>
    <t>ADMIN RECHARGED</t>
  </si>
  <si>
    <t>1</t>
  </si>
  <si>
    <t>5</t>
  </si>
  <si>
    <t>8</t>
  </si>
  <si>
    <t>Provisions</t>
  </si>
  <si>
    <t>Additions</t>
  </si>
  <si>
    <t>RENTAL-COMMUNITY CEN</t>
  </si>
  <si>
    <t>RENTAL - HAWKER FACI</t>
  </si>
  <si>
    <t>RENTAL SPORTING BODI</t>
  </si>
  <si>
    <t>RENTAL - SPORTING BO</t>
  </si>
  <si>
    <t>RENTAL - S/BODIES -</t>
  </si>
  <si>
    <t>ADVERTS - PETER MOKA</t>
  </si>
  <si>
    <t>RENTAL - TEA ROOM PO</t>
  </si>
  <si>
    <t>RENTAL - DWELLINGS</t>
  </si>
  <si>
    <t>RENTAL - CARAVAN PAR</t>
  </si>
  <si>
    <t>FEES - SUBSCRIPTIONS</t>
  </si>
  <si>
    <t>LICENCES - DOGS</t>
  </si>
  <si>
    <t>LICENCES - MOTORS</t>
  </si>
  <si>
    <t>Local Government Transition Grant</t>
  </si>
  <si>
    <t>Local Economic Development Grant</t>
  </si>
  <si>
    <t>The grant was used to fund the housing accreditation process</t>
  </si>
  <si>
    <t>Cash and cash equivalents</t>
  </si>
  <si>
    <t>Municipal</t>
  </si>
  <si>
    <t>INVESTMENT REVENUE</t>
  </si>
  <si>
    <t>Investment Revenue – external investments</t>
  </si>
  <si>
    <t>Human Resources</t>
  </si>
  <si>
    <t>Information Technology</t>
  </si>
  <si>
    <t>Property Services</t>
  </si>
  <si>
    <t>Health Other</t>
  </si>
  <si>
    <t>Waste Management</t>
  </si>
  <si>
    <t>Water Distribution</t>
  </si>
  <si>
    <t>Electricity Distribution</t>
  </si>
  <si>
    <t>%</t>
  </si>
  <si>
    <t>9.</t>
  </si>
  <si>
    <t>11.</t>
  </si>
  <si>
    <t>2008/2009</t>
  </si>
  <si>
    <t>Irregular expenditure</t>
  </si>
  <si>
    <t>Reconciliation of irregular expenditure</t>
  </si>
  <si>
    <t>SOFTWARE</t>
  </si>
  <si>
    <t>LABOUR COSTS</t>
  </si>
  <si>
    <t>DEPRECIATION</t>
  </si>
  <si>
    <t>INTEREST LOANS EXTER</t>
  </si>
  <si>
    <t>LEAVE RESERVE FUND</t>
  </si>
  <si>
    <t>BANK</t>
  </si>
  <si>
    <t>Pay as You Earn (PAYE)</t>
  </si>
  <si>
    <t>Current payroll deductions</t>
  </si>
  <si>
    <t>Balance unpaid</t>
  </si>
  <si>
    <t>Unemployment Insurance Fund (UIF)</t>
  </si>
  <si>
    <t>Medical Aid</t>
  </si>
  <si>
    <t>Pension Fund</t>
  </si>
  <si>
    <t>Reserves</t>
  </si>
  <si>
    <t>Libraries &amp; Archives</t>
  </si>
  <si>
    <t>Cemeteries &amp; Crematoriums</t>
  </si>
  <si>
    <t>Sport &amp; Recreation</t>
  </si>
  <si>
    <t>Solid Waste</t>
  </si>
  <si>
    <t>Accumulated surplus/(deficit)</t>
  </si>
  <si>
    <t>Non-current liabilities</t>
  </si>
  <si>
    <t>Consumer deposits</t>
  </si>
  <si>
    <t>Unspent conditional grants and receipts</t>
  </si>
  <si>
    <t>Total Net Assets and Liabilities</t>
  </si>
  <si>
    <t>ASSETS</t>
  </si>
  <si>
    <t>Non-current assets</t>
  </si>
  <si>
    <t>Property, plant &amp; equipment</t>
  </si>
  <si>
    <t>Investments</t>
  </si>
  <si>
    <t>Inventory</t>
  </si>
  <si>
    <t>Short-term investments</t>
  </si>
  <si>
    <t>Consumer debtors</t>
  </si>
  <si>
    <t>Other debtors</t>
  </si>
  <si>
    <t>LICENCES - FLAMMABLE</t>
  </si>
  <si>
    <t>APPLICATION - ROADWO</t>
  </si>
  <si>
    <t>FEES - PAMPHLETS</t>
  </si>
  <si>
    <t>FEES - JOBBING</t>
  </si>
  <si>
    <t>INTEREST - ARREARS</t>
  </si>
  <si>
    <t>INTEREST - SUNDRY LO</t>
  </si>
  <si>
    <t>INTEREST ON INVESTME</t>
  </si>
  <si>
    <t>INTEREST SELLING OF</t>
  </si>
  <si>
    <t>SURPLUS CASH</t>
  </si>
  <si>
    <t>FEES - TENDER DEPOSI</t>
  </si>
  <si>
    <t>STOCK GAINS</t>
  </si>
  <si>
    <t>SALES-SELLING OF ERV</t>
  </si>
  <si>
    <t>SALES - MISCELLANEOU</t>
  </si>
  <si>
    <t>SALES - DEPART. ELEC</t>
  </si>
  <si>
    <t>SALES - DEPART. WATE</t>
  </si>
  <si>
    <t>SALES - GRASS AND RE</t>
  </si>
  <si>
    <t>SALES - BLUE PRINT</t>
  </si>
  <si>
    <t>SALES - PRIVATE ELEC</t>
  </si>
  <si>
    <t>SALES - PRIVATE CASH</t>
  </si>
  <si>
    <t>SURCHARGE - EXCESS C</t>
  </si>
  <si>
    <t>Liquidity risk</t>
  </si>
  <si>
    <t>The municipality’s risk to liquidity is a result of the funds available to cover future commitments. The municipality manages liquidity risk through an ongoing review of future commitments and credit facilities.</t>
  </si>
  <si>
    <t>Cash flow forecasts are prepared and adequate utilised borrowing facilities are monitored.</t>
  </si>
  <si>
    <t>Government</t>
  </si>
  <si>
    <t>None</t>
  </si>
  <si>
    <t>Not Applicable</t>
  </si>
  <si>
    <t>Yes</t>
  </si>
  <si>
    <t>Chief Financial Officer</t>
  </si>
  <si>
    <t>No performance bonuses were paid out in terms of Section 57 of the Municipal Systems Act.</t>
  </si>
  <si>
    <t xml:space="preserve">GENERAL EXPENSES </t>
  </si>
  <si>
    <t>CONTINGENT LIABILITIES</t>
  </si>
  <si>
    <t>APPENDIX E (1)</t>
  </si>
  <si>
    <t>APPENDIX E (2)</t>
  </si>
  <si>
    <t xml:space="preserve">  LOCAL MUNICIPALITY</t>
  </si>
  <si>
    <t>Page</t>
  </si>
  <si>
    <t xml:space="preserve">Other and Movable </t>
  </si>
  <si>
    <t>Increase/(decrease) in provisions</t>
  </si>
  <si>
    <t>LICENCES - SAMRO</t>
  </si>
  <si>
    <t>LICENCES - RADIO</t>
  </si>
  <si>
    <t>LICENCES - VEHICLES</t>
  </si>
  <si>
    <t>STORES AND MATERIAL</t>
  </si>
  <si>
    <t>MEDICINE AND MATERIA</t>
  </si>
  <si>
    <t>MEDICAL CONTINUED ME</t>
  </si>
  <si>
    <t>MEDICAL EXAMINATIONS</t>
  </si>
  <si>
    <t>METER READING SERVIC</t>
  </si>
  <si>
    <t>COMMUNITY PROGRAMS</t>
  </si>
  <si>
    <t>RESEARCH &amp; DEVELOPME</t>
  </si>
  <si>
    <t>MAYORS BOSBERAAD</t>
  </si>
  <si>
    <t>WEED CONTROL</t>
  </si>
  <si>
    <t>MARKETING</t>
  </si>
  <si>
    <t>RECEPTIONS - CIVIC</t>
  </si>
  <si>
    <t>SPECIAL EVENTS</t>
  </si>
  <si>
    <t>TRAINING</t>
  </si>
  <si>
    <t>TRAINING - WARD COMM</t>
  </si>
  <si>
    <t>STAFF BUSSARY</t>
  </si>
  <si>
    <t>STUDENT BURSARY</t>
  </si>
  <si>
    <t>AUDIT FEES</t>
  </si>
  <si>
    <t>AUDIT FEES - OUTSOUR</t>
  </si>
  <si>
    <t>SPECIAL INVESTIGATIO</t>
  </si>
  <si>
    <t>PENSIONS AND GRATUIT</t>
  </si>
  <si>
    <t>POINT DUTY</t>
  </si>
  <si>
    <t>POSTAGE AND TELEGRAM</t>
  </si>
  <si>
    <t>LIBRARY PROGRAMS</t>
  </si>
  <si>
    <t>STREET CLEANING</t>
  </si>
  <si>
    <t>HOLIDAY PROGRAM</t>
  </si>
  <si>
    <t>EAP PROGRAMME</t>
  </si>
  <si>
    <t>PROGRAMMING</t>
  </si>
  <si>
    <t>RATIONS</t>
  </si>
  <si>
    <t>LEGAL EXPENSES</t>
  </si>
  <si>
    <t xml:space="preserve">Opening balance </t>
  </si>
  <si>
    <t>2010 FIFA EVENTS</t>
  </si>
  <si>
    <t>2010 VOLUNTEER PROGRAMME</t>
  </si>
  <si>
    <t>2010 TRANSPORT OPERATIONS</t>
  </si>
  <si>
    <t>2010 WASTE MANAGEMENT</t>
  </si>
  <si>
    <t>SPECIAL SERVICES</t>
  </si>
  <si>
    <t>EPWP EXPENSES</t>
  </si>
  <si>
    <t>Total expenditure</t>
  </si>
  <si>
    <t xml:space="preserve">DOUBTFUL DEBT  </t>
  </si>
  <si>
    <t>2010 OPERATING GRANT</t>
  </si>
  <si>
    <t>PUBLIC PARTNERS</t>
  </si>
  <si>
    <t>FEES - PARKING METERS</t>
  </si>
  <si>
    <t>Adjustment</t>
  </si>
  <si>
    <t>30June 2010</t>
  </si>
  <si>
    <t>Balance at 30 June 2010</t>
  </si>
  <si>
    <t>Over provision previous year</t>
  </si>
  <si>
    <t>FEES AUDIT COMMITTEE</t>
  </si>
  <si>
    <t>ROAD SHOWS</t>
  </si>
  <si>
    <t>SEEDS PLANTS</t>
  </si>
  <si>
    <t>SECURITY SERVICES</t>
  </si>
  <si>
    <t>COURIER SERVICES</t>
  </si>
  <si>
    <t>TRANSLATIONS</t>
  </si>
  <si>
    <t>TOMBSTONES</t>
  </si>
  <si>
    <t>WORKS OF ART</t>
  </si>
  <si>
    <t>CLEANING OF ERVEN</t>
  </si>
  <si>
    <t>Under Construction</t>
  </si>
  <si>
    <t>Finance</t>
  </si>
  <si>
    <t>PLANNING &amp; DEVELOPMENT</t>
  </si>
  <si>
    <t>ROAD TRANSPORT</t>
  </si>
  <si>
    <t>HEALTH</t>
  </si>
  <si>
    <t>COMMUNITY &amp; SOCIAL SERVICES</t>
  </si>
  <si>
    <t>PUBLIC SAFETY</t>
  </si>
  <si>
    <t>Traffic</t>
  </si>
  <si>
    <t>SPORT &amp; RECREATION</t>
  </si>
  <si>
    <t>WASTE WATER MANAGEMENT</t>
  </si>
  <si>
    <t>WASTE MANAGEMENT</t>
  </si>
  <si>
    <t>HOUSING</t>
  </si>
  <si>
    <t>WATER</t>
  </si>
  <si>
    <t>ELECTRICITY</t>
  </si>
  <si>
    <t>NON-CURRENT ASSETS HELD FOR SALE</t>
  </si>
  <si>
    <t>Municipal Systems Improvement Grant</t>
  </si>
  <si>
    <t xml:space="preserve">Less contra debtors suspense account </t>
  </si>
  <si>
    <t>SALES - PRIVATE WATE</t>
  </si>
  <si>
    <t>SALES PRIVATE WATER</t>
  </si>
  <si>
    <t>SALES - TROPHY AND C</t>
  </si>
  <si>
    <t>SALES - SUNDRIES</t>
  </si>
  <si>
    <t>FEES - LOST BOOKS</t>
  </si>
  <si>
    <t>OBSOLETE CHEQUES</t>
  </si>
  <si>
    <t>RE CHARGED - REVENUE</t>
  </si>
  <si>
    <t>RE CHARGED - CAPITAL</t>
  </si>
  <si>
    <t>RE CHARGED - OTHER</t>
  </si>
  <si>
    <t>EXPENSE ACCOUNTS</t>
  </si>
  <si>
    <t>SALARIES</t>
  </si>
  <si>
    <t>SALARIES MANAGERS</t>
  </si>
  <si>
    <t>SALARY EX/MAYOR FULL</t>
  </si>
  <si>
    <t>SPEAKER PART TIME</t>
  </si>
  <si>
    <t>REDEMPTION OF LEAVE</t>
  </si>
  <si>
    <t>LEAVE BONUSES</t>
  </si>
  <si>
    <t>LONG SERVICE LEAVE R</t>
  </si>
  <si>
    <t>LONG SERVICE BONUS</t>
  </si>
  <si>
    <t>OVERTIME</t>
  </si>
  <si>
    <t>PROTECTIVE CLOTHING</t>
  </si>
  <si>
    <t>CONTRIBUTION MEDICAL</t>
  </si>
  <si>
    <t>CONTRIBUTION PENSION</t>
  </si>
  <si>
    <t>STUDENTS HOLIDAY WOR</t>
  </si>
  <si>
    <t>GROUP INSURANCE</t>
  </si>
  <si>
    <t>ADM LEVY INDUSTRIAL</t>
  </si>
  <si>
    <t>HOUSING SUBSIDIES</t>
  </si>
  <si>
    <t>HOUSING AID</t>
  </si>
  <si>
    <t>STANDBY ALLOWANCES</t>
  </si>
  <si>
    <t>TOOL ALLOWANCES</t>
  </si>
  <si>
    <t>TELEPHONE ALLOWANCE</t>
  </si>
  <si>
    <t>LOCOMOTION ALLOWANCE</t>
  </si>
  <si>
    <t>TRAVEL ALLOWANCE EX/</t>
  </si>
  <si>
    <t>TRAVEL ALLOWANCE SPE</t>
  </si>
  <si>
    <t>TRAVEL ALLOWANCE MAY</t>
  </si>
  <si>
    <t>TRAVEL ALLOWANCE COU</t>
  </si>
  <si>
    <t>OPERATIONAL ALLOWANC</t>
  </si>
  <si>
    <t>MAYORAL COMMITTEE PA</t>
  </si>
  <si>
    <t>COUNCILLORS PART TIM</t>
  </si>
  <si>
    <t>PURCHASE OF ELECTRIC</t>
  </si>
  <si>
    <t>PROJECT MANAGEMENT U</t>
  </si>
  <si>
    <t>PURCHASE OF WATER</t>
  </si>
  <si>
    <t>ESCOM CONNECTION</t>
  </si>
  <si>
    <t>DWAF</t>
  </si>
  <si>
    <t>APPROVAL AND CERTIFICATION</t>
  </si>
  <si>
    <t>CONTENTS</t>
  </si>
  <si>
    <t xml:space="preserve">      INDEX</t>
  </si>
  <si>
    <t>A</t>
  </si>
  <si>
    <t>B</t>
  </si>
  <si>
    <t>C</t>
  </si>
  <si>
    <t>D</t>
  </si>
  <si>
    <t>E(1)</t>
  </si>
  <si>
    <t>E(2)</t>
  </si>
  <si>
    <t>F</t>
  </si>
  <si>
    <t xml:space="preserve">SCHEDULE OF INTEREST BEARING BORROWINGS </t>
  </si>
  <si>
    <t xml:space="preserve">ANALYSIS OF PROPERTY PLANT AND EQUIPMENT </t>
  </si>
  <si>
    <t xml:space="preserve">SEGMENTAL ANALYSIS OF PROPERTY, PLANT AND EQUIPMENT </t>
  </si>
  <si>
    <t>ACTUAL VERSUS BUDGET (ACQUISITION OF PROPERTY, PLANT AND EQUIPMENT)</t>
  </si>
  <si>
    <t xml:space="preserve">ACTUAL VERSUS BUDGET (REVENUE AND EXPENDITURE) </t>
  </si>
  <si>
    <t xml:space="preserve">SEGMENTAL STATEMENT OF FINANCIAL PERFORMANCE </t>
  </si>
  <si>
    <t>NOTES TO THE ANNUAL FINANCIAL STATEMENTS</t>
  </si>
  <si>
    <t>Balance at 30 June 2008</t>
  </si>
  <si>
    <t>MM</t>
  </si>
  <si>
    <t>CFO</t>
  </si>
  <si>
    <t>PLANNING</t>
  </si>
  <si>
    <t>TECH</t>
  </si>
  <si>
    <t>COMMUN</t>
  </si>
  <si>
    <t>CORPRATE</t>
  </si>
  <si>
    <t>Less Drectors</t>
  </si>
  <si>
    <t>2007/2008</t>
  </si>
  <si>
    <t>EPWP</t>
  </si>
  <si>
    <t>CONFERENCES/CONGRESS</t>
  </si>
  <si>
    <t>CONSULTING FEES</t>
  </si>
  <si>
    <t>LONG SERVICE AWARDS</t>
  </si>
  <si>
    <t>SUBSCRIPTION FEES</t>
  </si>
  <si>
    <t>REHAB LANDFILL SITES</t>
  </si>
  <si>
    <t>Housing Fund</t>
  </si>
  <si>
    <t>Heritage</t>
  </si>
  <si>
    <t>Biological</t>
  </si>
  <si>
    <t>Intangible</t>
  </si>
  <si>
    <t>Community</t>
  </si>
  <si>
    <t>Fire services</t>
  </si>
  <si>
    <t>Other assets</t>
  </si>
  <si>
    <t>Changes in accounting policy</t>
  </si>
  <si>
    <t>Correction of prior period error</t>
  </si>
  <si>
    <t>Restated balance</t>
  </si>
  <si>
    <t>Surplus/(deficit) on revaluation of property, plant and equipment</t>
  </si>
  <si>
    <t>CONSUMER DEPOSITS</t>
  </si>
  <si>
    <t>Other</t>
  </si>
  <si>
    <t>Guarantees held in lieu of electricity and water deposits</t>
  </si>
  <si>
    <t>PROVISIONS</t>
  </si>
  <si>
    <t>Trade Creditors</t>
  </si>
  <si>
    <t>VAT</t>
  </si>
  <si>
    <t>Staff leave</t>
  </si>
  <si>
    <t>Municipal infrastructure grant</t>
  </si>
  <si>
    <t>Cost</t>
  </si>
  <si>
    <t>Accumulated depreciation – cost</t>
  </si>
  <si>
    <t>Acquisitions</t>
  </si>
  <si>
    <t>PROPERTY, PLANT &amp; EQUIPMENT</t>
  </si>
  <si>
    <t>Depreciation – based on cost</t>
  </si>
  <si>
    <t>Carrying value of disposals</t>
  </si>
  <si>
    <t>APPLICATION DRIVERS</t>
  </si>
  <si>
    <t>ISSUE DRIVERS LICENC</t>
  </si>
  <si>
    <t>FEES CONSUMER CONNEC</t>
  </si>
  <si>
    <t>FEES INDUSTRIAL AFFL</t>
  </si>
  <si>
    <t>FEES MISCELLANEOUS</t>
  </si>
  <si>
    <t>SEVICE CONTRIBUTIONS</t>
  </si>
  <si>
    <t>FEES - LAB TESTS</t>
  </si>
  <si>
    <t>FEES - INCENERATION</t>
  </si>
  <si>
    <t>FEES - BURIAL SERVIC</t>
  </si>
  <si>
    <t>FEES - BUILDING PLAN</t>
  </si>
  <si>
    <t>FEES - FIRE FIGHTING</t>
  </si>
  <si>
    <t>FEES - DEPARTMENT RE</t>
  </si>
  <si>
    <t>FEES - DEPARTMENT SE</t>
  </si>
  <si>
    <t>FEES - TOWN PLANNING</t>
  </si>
  <si>
    <t>FEES - TOMBSTONE APP</t>
  </si>
  <si>
    <t>FEES - RECONNECTION</t>
  </si>
  <si>
    <t>FEES - RE INSPECTION</t>
  </si>
  <si>
    <t>FEES - NOTICES</t>
  </si>
  <si>
    <t>FEES - MASS WEIGH BR</t>
  </si>
  <si>
    <t>FEES - NIGHT DRIVES</t>
  </si>
  <si>
    <t>FEES - OCCUPATION CE</t>
  </si>
  <si>
    <t>FEES - TRAINING</t>
  </si>
  <si>
    <t>FEES - PARKING AREAS</t>
  </si>
  <si>
    <t>FEES - PARKING - EMP</t>
  </si>
  <si>
    <t>FEES - PRIVATE REFUS</t>
  </si>
  <si>
    <t>FEES - PRIVATE SEWER</t>
  </si>
  <si>
    <t>FEES - SEWERAGE PLAN</t>
  </si>
  <si>
    <t>FEES - CD'S</t>
  </si>
  <si>
    <t>POLOKWANE MUNICIPALITY</t>
  </si>
  <si>
    <t>FEES - ADMISSION - P</t>
  </si>
  <si>
    <t>FEES - ADMISSION - N</t>
  </si>
  <si>
    <t>FEES - ADMISSION WES</t>
  </si>
  <si>
    <t>FEES - TESTING OF ME</t>
  </si>
  <si>
    <t>FEES - CLEARANCE CER</t>
  </si>
  <si>
    <t>FEES - DECORATION</t>
  </si>
  <si>
    <t>FEES - FURNISHING IN</t>
  </si>
  <si>
    <t>FEES - REMOVAL COSTS</t>
  </si>
  <si>
    <t>FEES - GRAZING</t>
  </si>
  <si>
    <t>FEES - SPECIAL METER</t>
  </si>
  <si>
    <t>SALES - MATERIALS</t>
  </si>
  <si>
    <t>RENTAL - MISCELLANEO</t>
  </si>
  <si>
    <t>RENTAL - BUILDINGS</t>
  </si>
  <si>
    <t>RENTAL - LAPA</t>
  </si>
  <si>
    <t>RENTAL - LAND</t>
  </si>
  <si>
    <t>RENTAL - CAMPING SIT</t>
  </si>
  <si>
    <t>RENTAL - QUARRY</t>
  </si>
  <si>
    <t>SERVICE CONTRIBUTION</t>
  </si>
  <si>
    <t>FEES - MAINTENANCE A</t>
  </si>
  <si>
    <t>FEES -MAINTENANCE SI</t>
  </si>
  <si>
    <t>FEES-ROYALTIES SILIC</t>
  </si>
  <si>
    <t>SERVICES CONTRIBUTIO</t>
  </si>
  <si>
    <t>RENTAL - RONDAVELS</t>
  </si>
  <si>
    <t>RENTAL - ANNUAL SHOW</t>
  </si>
  <si>
    <t>RENTAL - ARENA</t>
  </si>
  <si>
    <t>RENTAL - HALLS</t>
  </si>
  <si>
    <t>RENTAL - COMM CENTRE</t>
  </si>
  <si>
    <t>LAND</t>
  </si>
  <si>
    <t>Land</t>
  </si>
  <si>
    <t>GOVERNMENT SUBSIDIES &amp; GRANTS (CONTINUED)</t>
  </si>
  <si>
    <t>ACTUAL CAPITAL VERSUS BUDGET (ACQUISITION OF PROPERTY, PLANT AND EQUIPMENT)</t>
  </si>
  <si>
    <t>Variance</t>
  </si>
  <si>
    <t>Reconciliation of fruitless and wasteful expenditure</t>
  </si>
  <si>
    <t>Opening balance -</t>
  </si>
  <si>
    <t>NERSA</t>
  </si>
  <si>
    <t>Sport loans</t>
  </si>
  <si>
    <t>Erven loans</t>
  </si>
  <si>
    <t>Electrical connection</t>
  </si>
  <si>
    <t>Consumable stores - at cost</t>
  </si>
  <si>
    <t>Balance at 30 June 2009</t>
  </si>
  <si>
    <t>COMMITMENTS</t>
  </si>
  <si>
    <t>The expenditure will be financed from:</t>
  </si>
  <si>
    <t xml:space="preserve">No </t>
  </si>
  <si>
    <t>Contribution to SALGA</t>
  </si>
  <si>
    <t>Council membership fees payable</t>
  </si>
  <si>
    <t>Loan to Subsidiary - Polokwane Housing Association</t>
  </si>
  <si>
    <t>Loan to Subsidiary</t>
  </si>
  <si>
    <t>Local Registered Stock loans</t>
  </si>
  <si>
    <t>6</t>
  </si>
  <si>
    <t>PRINTING AND STATION</t>
  </si>
  <si>
    <t>Intangible assets are initially recognised at cost.</t>
  </si>
  <si>
    <t>2010 INSURANCE</t>
  </si>
  <si>
    <t>2010 TRAINING VENUES</t>
  </si>
  <si>
    <t>2010 FAN PARK &amp; MILE</t>
  </si>
  <si>
    <t>2010 STADIUM MANAGEMENT</t>
  </si>
  <si>
    <t>2010 MARKETING &amp; COMMUNICATION</t>
  </si>
  <si>
    <t>The purpose of the grant is for institutional systems. The grant was utilised.</t>
  </si>
  <si>
    <t>Bank charges</t>
  </si>
  <si>
    <t>Festivals</t>
  </si>
  <si>
    <t>Subscription fees</t>
  </si>
  <si>
    <t>Valuation roll</t>
  </si>
  <si>
    <t>Waste disposal</t>
  </si>
  <si>
    <t>Fuel and oil</t>
  </si>
  <si>
    <t>Trade and other receivables</t>
  </si>
  <si>
    <t>Revaluation Reserve</t>
  </si>
  <si>
    <t>Infrastructure</t>
  </si>
  <si>
    <t>R000's</t>
  </si>
  <si>
    <t xml:space="preserve">Finance management grant </t>
  </si>
  <si>
    <t>DWAF refurbishment</t>
  </si>
  <si>
    <t>Restructuring Grant</t>
  </si>
  <si>
    <t>Employee related cost - Salaries and wages</t>
  </si>
  <si>
    <t>Employee related cost - Social contributions</t>
  </si>
  <si>
    <t>Travel, motor car, accomodation, subsistence &amp; other allowances</t>
  </si>
  <si>
    <t>Housing benefits and allowances</t>
  </si>
  <si>
    <t>Overtime benefits</t>
  </si>
  <si>
    <t>Long term service awards</t>
  </si>
  <si>
    <t>Sep</t>
  </si>
  <si>
    <t>Dec</t>
  </si>
  <si>
    <t>March</t>
  </si>
  <si>
    <t>June</t>
  </si>
  <si>
    <t>PUBLIC CONTRIBUTIONS, DONATED &amp; CONTRIBUTED PROPERTY,  PLANT &amp; EQUIPMENT</t>
  </si>
  <si>
    <t>EXTERNAL INVESTMENTS</t>
  </si>
  <si>
    <t>Current account</t>
  </si>
  <si>
    <t>External investments</t>
  </si>
  <si>
    <t>Building plan fees</t>
  </si>
  <si>
    <t>Sundry income</t>
  </si>
  <si>
    <t>OTHER REVENUE</t>
  </si>
  <si>
    <t>EMPLOYEE RELATED COSTS</t>
  </si>
  <si>
    <t>Account number: 330535269</t>
  </si>
  <si>
    <t xml:space="preserve">Other </t>
  </si>
  <si>
    <t>Fire</t>
  </si>
  <si>
    <t>TOTAL</t>
  </si>
  <si>
    <t>Closing Balance</t>
  </si>
  <si>
    <t>Opening Balance</t>
  </si>
  <si>
    <t>Municipal systems improvement grant</t>
  </si>
  <si>
    <t>Water services operating grant</t>
  </si>
  <si>
    <t>Refund Seta levy</t>
  </si>
  <si>
    <t xml:space="preserve">Street cleaning </t>
  </si>
  <si>
    <t>Levy Seta training</t>
  </si>
  <si>
    <t>Rental of facilities and equipment</t>
  </si>
  <si>
    <t>Interest earned – external investments</t>
  </si>
  <si>
    <t>Interest earned – outstanding debtors</t>
  </si>
  <si>
    <t>Municipal Manager</t>
  </si>
  <si>
    <t>Annual remuneration</t>
  </si>
  <si>
    <t>ISSUE ROADWOR</t>
  </si>
  <si>
    <t>SALARIES DIRECTORS</t>
  </si>
  <si>
    <t>MSIP</t>
  </si>
  <si>
    <t>CDM</t>
  </si>
  <si>
    <t>REFUND SETA LEVY</t>
  </si>
  <si>
    <t>FEES - INSTRUCTOR CERT</t>
  </si>
  <si>
    <t>STREET SWEEPING</t>
  </si>
  <si>
    <t>CLEANING SERVICES</t>
  </si>
  <si>
    <t>SUBSIST &amp; TRAVELLING</t>
  </si>
  <si>
    <t>SUBSIST &amp; TRAVEL (AB</t>
  </si>
  <si>
    <t>PUBLICITY</t>
  </si>
  <si>
    <t>FILMS AND DEVELOPMEN</t>
  </si>
  <si>
    <t>RISK MANAGEMENT</t>
  </si>
  <si>
    <t>DEPARTMENT CHARGES -</t>
  </si>
  <si>
    <t>SANITATION - DRAININ</t>
  </si>
  <si>
    <t>CYLINDERS FIRE FIGHT</t>
  </si>
  <si>
    <t>SECURITY CONTROL</t>
  </si>
  <si>
    <t>CELL PHONES</t>
  </si>
  <si>
    <t>CLEAN UP ACTION</t>
  </si>
  <si>
    <t>CLEANING-UP ACTION</t>
  </si>
  <si>
    <t>DEMOLITION OF STRUCT</t>
  </si>
  <si>
    <t>GUARD SERVICES RENTA</t>
  </si>
  <si>
    <t>PROMOTIONS</t>
  </si>
  <si>
    <t>2010 EVENTS</t>
  </si>
  <si>
    <t>PUBLIC CONSULTATION</t>
  </si>
  <si>
    <t>SPORT &amp; RECREATION P</t>
  </si>
  <si>
    <t>TERMINATION OF SERVI</t>
  </si>
  <si>
    <t>SWIMMING SUPERVISION</t>
  </si>
  <si>
    <t>TELEPHONE</t>
  </si>
  <si>
    <t>TITLE DEEDS CENTRAL</t>
  </si>
  <si>
    <t>ENTRANCE CONTROL</t>
  </si>
  <si>
    <t>PRESTIGE AWARDS</t>
  </si>
  <si>
    <t>DISCRET. VOTE - EX/M</t>
  </si>
  <si>
    <t>GARDEN SERVICES</t>
  </si>
  <si>
    <t>EXHIBITIONS</t>
  </si>
  <si>
    <t>CAPTURING OF GAME</t>
  </si>
  <si>
    <t>OFF LOADING OF DRYIN</t>
  </si>
  <si>
    <t>HOLIDAY PROGRAMS</t>
  </si>
  <si>
    <t>VETERINARY SERVICES</t>
  </si>
  <si>
    <t>AWARENESS CAMPAIGNS</t>
  </si>
  <si>
    <t>REMOVAL COSTS</t>
  </si>
  <si>
    <t>LOST BOOKS</t>
  </si>
  <si>
    <t>INSURANCE - OTHER</t>
  </si>
  <si>
    <t>DECORATION - OFFICIA</t>
  </si>
  <si>
    <t>REFRESHMENTS</t>
  </si>
  <si>
    <t>REFRESHMENTS - MEETI</t>
  </si>
  <si>
    <t>WAYLEAVE CONT</t>
  </si>
  <si>
    <t xml:space="preserve">    - Government and other Grants</t>
  </si>
  <si>
    <t>Sales 15 to 30 June</t>
  </si>
  <si>
    <t>Description</t>
  </si>
  <si>
    <t>Final Budget</t>
  </si>
  <si>
    <t>Unauthorised Expenditure</t>
  </si>
  <si>
    <t>Financial Performance</t>
  </si>
  <si>
    <t>Surplus/(Deficit)</t>
  </si>
  <si>
    <t>Post-Employment Health Care Benefits</t>
  </si>
  <si>
    <t>Fair value of plan assets</t>
  </si>
  <si>
    <t>Accrued liability</t>
  </si>
  <si>
    <t>Unfunded Accrued Liability</t>
  </si>
  <si>
    <t>Unrecognised past service cost</t>
  </si>
  <si>
    <t>Miscellaneous item</t>
  </si>
  <si>
    <t>Net Liability in Balance Sheet</t>
  </si>
  <si>
    <t>Reconciling and projecting the unfunded accrued liability</t>
  </si>
  <si>
    <t>Opening balance</t>
  </si>
  <si>
    <t>Current-service cost</t>
  </si>
  <si>
    <t>Interest cost</t>
  </si>
  <si>
    <t>Expected return on plan assets</t>
  </si>
  <si>
    <t>Past-service cost</t>
  </si>
  <si>
    <t>Effect of curtailment/settlement</t>
  </si>
  <si>
    <t>Employer prefunding contributions</t>
  </si>
  <si>
    <t>Net liability to reflect in the balance sheet</t>
  </si>
  <si>
    <t>Interest</t>
  </si>
  <si>
    <t>Transitional liability recognised</t>
  </si>
  <si>
    <t>Past-service cost recognised</t>
  </si>
  <si>
    <t>Transitional liability recognised outside P&amp;L</t>
  </si>
  <si>
    <t>Actuarial (Gain)/loss recognised outside P&amp;L</t>
  </si>
  <si>
    <t>The following assumptions has been used for current and prior year</t>
  </si>
  <si>
    <t>Discount rate</t>
  </si>
  <si>
    <t>Health care cost inflation rate</t>
  </si>
  <si>
    <t>Long Service Awards</t>
  </si>
  <si>
    <t>Ex-gratia benefits</t>
  </si>
  <si>
    <t>Transitional liability recognised  P&amp;L</t>
  </si>
  <si>
    <t>Actual employer benefit payments</t>
  </si>
  <si>
    <t>Actual employer benefits payments</t>
  </si>
  <si>
    <t>Provisional Health Care</t>
  </si>
  <si>
    <t>Ex Gratia payments</t>
  </si>
  <si>
    <t>Total Provisions</t>
  </si>
  <si>
    <t>Retention withheld on projects</t>
  </si>
  <si>
    <t>Medical aid contributions continued members</t>
  </si>
  <si>
    <t>Revaluation/ Impairment</t>
  </si>
  <si>
    <t>Cost/Accumulated depreciation</t>
  </si>
  <si>
    <t>Other movements/transfers</t>
  </si>
  <si>
    <t>Depreciation-  movements/transfers</t>
  </si>
  <si>
    <t>30 June 2011</t>
  </si>
  <si>
    <t>Neighbourhood Development Partnership Grant</t>
  </si>
  <si>
    <t>Standard current</t>
  </si>
  <si>
    <t>30/06/2011 after adjustments</t>
  </si>
  <si>
    <t>Opening balance of inventories</t>
  </si>
  <si>
    <t>Consumables stores - at cost</t>
  </si>
  <si>
    <t>Other goods held for resale - at cost</t>
  </si>
  <si>
    <t xml:space="preserve">Consumables stores </t>
  </si>
  <si>
    <t xml:space="preserve">Other goods held for resale </t>
  </si>
  <si>
    <t>Issued (Expensed)</t>
  </si>
  <si>
    <t>Consumables stores</t>
  </si>
  <si>
    <t>write-down/ (reversal of write-down) to Net replacement Value and stolen</t>
  </si>
  <si>
    <t>Closing balances of inventories</t>
  </si>
  <si>
    <t>are as follows:</t>
  </si>
  <si>
    <t>Minimum lease payments</t>
  </si>
  <si>
    <t>Present value</t>
  </si>
  <si>
    <t>Due within one year</t>
  </si>
  <si>
    <t>Due between one and five years</t>
  </si>
  <si>
    <t>RELATED PARTIES</t>
  </si>
  <si>
    <t>Members of key management</t>
  </si>
  <si>
    <t>DISTRIBUTION LOSSES</t>
  </si>
  <si>
    <t>Electricity distribution losses kWh</t>
  </si>
  <si>
    <t>Intangibles</t>
  </si>
  <si>
    <t>Irregular expenditure awaiting condonement</t>
  </si>
  <si>
    <t>Post employment benefit plan for employees of municipality and/or other related parties</t>
  </si>
  <si>
    <t>Other related party relationships</t>
  </si>
  <si>
    <t>Stock losses</t>
  </si>
  <si>
    <t>Loss on disposal of assets</t>
  </si>
  <si>
    <t>Land &amp; buildings</t>
  </si>
  <si>
    <t>Movable</t>
  </si>
  <si>
    <t>Leased assets</t>
  </si>
  <si>
    <t>Finance leases</t>
  </si>
  <si>
    <t>Leave bonus (13th cheque)</t>
  </si>
  <si>
    <t>Deferred income elec pre-paid</t>
  </si>
  <si>
    <t>Note 36</t>
  </si>
  <si>
    <t>Polokwane Housing Assosiation. Refer to note 10</t>
  </si>
  <si>
    <t>Finance lease liability</t>
  </si>
  <si>
    <t>Current portion of finance lease liability</t>
  </si>
  <si>
    <t>Current</t>
  </si>
  <si>
    <t>Balance at 30 June 2012</t>
  </si>
  <si>
    <t>Carrying values at 30 June 2012</t>
  </si>
  <si>
    <t>ASSESMENT RATES</t>
  </si>
  <si>
    <t>Total:</t>
  </si>
  <si>
    <t>FEES CONSUMER CONNECTIONS : ELECTRICIT</t>
  </si>
  <si>
    <t>FEES CONSUMER CONNECTIONS SEWER</t>
  </si>
  <si>
    <t>FEES CONSUMER CONNECTIONS WATER</t>
  </si>
  <si>
    <t>FEES DRAINING/ DISCHARGE SEWER</t>
  </si>
  <si>
    <t>FEES EXCESS WATER CONSUMPTION</t>
  </si>
  <si>
    <t>FEES INDUSTRIAL AFFLUENT</t>
  </si>
  <si>
    <t>FEES LAB TEST</t>
  </si>
  <si>
    <t>FEES MASS WEIGH BRIDGE</t>
  </si>
  <si>
    <t>FEES NOTICES ELECTRICITY</t>
  </si>
  <si>
    <t>FEES NOTICES WATER</t>
  </si>
  <si>
    <t>FEES RECONNECTIONS ELECTRICITY</t>
  </si>
  <si>
    <t>FEES RECONNECTIONS WATER</t>
  </si>
  <si>
    <t>FEES REFUSE DEPARTMENTAL CONSUMPTION</t>
  </si>
  <si>
    <t>FEES REFUSE PRIVATE CONSUMERS</t>
  </si>
  <si>
    <t>FEES SALE OF ELECTRICITY PRIVATE CONS</t>
  </si>
  <si>
    <t>FEES SALE OF ELECTRICITY CASHPOWER</t>
  </si>
  <si>
    <t>FEES SALE OF ELECTRICITY DEPART CONS</t>
  </si>
  <si>
    <t>FEES SALE OF SLUDGE</t>
  </si>
  <si>
    <t>FEES SALE OF WATER DEPART. CONSUMPTION</t>
  </si>
  <si>
    <t>FEES SALE OF WATER PRIVATE CONS. RURAL</t>
  </si>
  <si>
    <t>FEES SALE OF WATER PRIVATE CONS URBAN</t>
  </si>
  <si>
    <t>FEES SERVICE CONTRIBUTIONS ELECTRICICT</t>
  </si>
  <si>
    <t>FEES SERVICE CONTRIBUTIONS ENDOWMENT</t>
  </si>
  <si>
    <t>FEES SERVICE CONTRIBUTIONS SEWER</t>
  </si>
  <si>
    <t>FEES SERVICE CONTRIBUTIONS WATER</t>
  </si>
  <si>
    <t>FEES SEWERAGE DEPART. CONSUMPTION</t>
  </si>
  <si>
    <t>FEES SEWERAGE PRIVATE CONSUMERS</t>
  </si>
  <si>
    <t>FEES SPECIAL METER READINGS ELECTRICIT</t>
  </si>
  <si>
    <t>FEES SPECIAL METER READINGS WATER</t>
  </si>
  <si>
    <t>FEES TESTING OF METERS ELECTRICITY</t>
  </si>
  <si>
    <t>FEES TESTING OF METERS WATER</t>
  </si>
  <si>
    <t>RENT OF FACILITIES &amp; EQUIPMENT</t>
  </si>
  <si>
    <t>RENTAL ANNUAL SHOW</t>
  </si>
  <si>
    <t>RENTAL ARENA</t>
  </si>
  <si>
    <t>RENTAL BUSINESS CENTRES</t>
  </si>
  <si>
    <t>RENTAL BUILDINGS</t>
  </si>
  <si>
    <t>RENTAL CAMPING SITE</t>
  </si>
  <si>
    <t>RENTAL CARAVAN PARK</t>
  </si>
  <si>
    <t>RENTAL COMMUNITY CENTRE JACK BOTES</t>
  </si>
  <si>
    <t>RENTAL COMMUNITY CENTRE MANKWENG</t>
  </si>
  <si>
    <t>RENTAL COMMUNITY CENTRE MOLETJI</t>
  </si>
  <si>
    <t>RENTAL COMMUNITY CENTRE NIRVANA</t>
  </si>
  <si>
    <t>RENTAL COMMUNITY CENTRE WESTENBURG</t>
  </si>
  <si>
    <t>RENTAL DWELLINGS</t>
  </si>
  <si>
    <t>RENTAL HALLS</t>
  </si>
  <si>
    <t>RENTAL HAWKERS FACILITIES</t>
  </si>
  <si>
    <t>RENTAL LAND</t>
  </si>
  <si>
    <t>RENTAL LAPA</t>
  </si>
  <si>
    <t>RENTAL MISCELLANEOUS</t>
  </si>
  <si>
    <t>RENTAL PETER MOKABA STADIUM</t>
  </si>
  <si>
    <t>RENTAL QUARRY</t>
  </si>
  <si>
    <t>RENTAL SPORTING BODIES</t>
  </si>
  <si>
    <t>RENTAL - SPORTING BODIES MOLETJI</t>
  </si>
  <si>
    <t>RENTAL - SPORTING BODIES NIRVANA</t>
  </si>
  <si>
    <t>RENTAL - SPORTING BODIES POLOKWANE</t>
  </si>
  <si>
    <t>RENTAL - SPORTING BODIES SESHEGO</t>
  </si>
  <si>
    <t>RENTAL - SPORTING BODIES WESTENBURG</t>
  </si>
  <si>
    <t>INTEREST EARNED EXTERNAL INVES</t>
  </si>
  <si>
    <t>INTEREST ON INVESTMENTS</t>
  </si>
  <si>
    <t>INTEREST EARNED OUTSTAND.DEBTO</t>
  </si>
  <si>
    <t>INTEREST ON ARREAR ACCOUNTS</t>
  </si>
  <si>
    <t>INTEREST ON SALE OF ERVEN</t>
  </si>
  <si>
    <t>INTEREST ON SUNDRY LOANS</t>
  </si>
  <si>
    <t>LECENSES &amp; PERMITS</t>
  </si>
  <si>
    <t>APPLICATION - DRIVERS LICENCES</t>
  </si>
  <si>
    <t>APPLICATION - ROADWORTHY CERTIFICATES</t>
  </si>
  <si>
    <t>FEES - CLEARANCE CERTIFICATES</t>
  </si>
  <si>
    <t>ISSUE - DRIVERS LICENCES</t>
  </si>
  <si>
    <t>ISSUE - INSTRUCTOR CERTIFICATES</t>
  </si>
  <si>
    <t>ISSUE - ROADWORTHY CERTIFICATES</t>
  </si>
  <si>
    <t>LICENCES - FLAMMABLE SUBSTANCES</t>
  </si>
  <si>
    <t>LICENCES - TRADE AND GENERAL</t>
  </si>
  <si>
    <t>LICENSES - OCCUPATION CERTIFICATE</t>
  </si>
  <si>
    <t>AGENCY SERVICES</t>
  </si>
  <si>
    <t>LICENCES - MOTOR VEHICLES</t>
  </si>
  <si>
    <t>TRANSFERS REGOGNISED - OPERATING</t>
  </si>
  <si>
    <t>GRANT - EDSM</t>
  </si>
  <si>
    <t>GRANT - EPWP INSENTIVE</t>
  </si>
  <si>
    <t>GRANT - EQUITABLE SHARE</t>
  </si>
  <si>
    <t>GRANT - INEP</t>
  </si>
  <si>
    <t>GRANT - LG : FINANCE MANAGEMENT</t>
  </si>
  <si>
    <t>GRANT - MIG</t>
  </si>
  <si>
    <t>GRANT - MSIG</t>
  </si>
  <si>
    <t>GRANT - NDPG</t>
  </si>
  <si>
    <t>GRANT - PTIG</t>
  </si>
  <si>
    <t>GRANT - PUBLIC PARTNERSHIPS</t>
  </si>
  <si>
    <t>GRANT - SPORTS &amp; RECREATION</t>
  </si>
  <si>
    <t>GRANT - WATER SERVICES</t>
  </si>
  <si>
    <t>ANGLO PLATINUM</t>
  </si>
  <si>
    <t>GRANT-WATER SERVICES REFURBISHMENT</t>
  </si>
  <si>
    <t>GRANT - OTHER</t>
  </si>
  <si>
    <t>TRANSFERS REGOGNISED - CAPITAL</t>
  </si>
  <si>
    <t>FEES SERVICE CONTRIBUTIONS ROADS</t>
  </si>
  <si>
    <t>ADMINISTRATION COSTS - HOUSING</t>
  </si>
  <si>
    <t>ADMINISTRATION COSTS - RD CHEQUES</t>
  </si>
  <si>
    <t>ADMINISTRATION COSTS - SALE OF ERVEN</t>
  </si>
  <si>
    <t>FEES - ADMISSION - NIRVANA</t>
  </si>
  <si>
    <t>FEES - ADMISSION - POLOKWANE</t>
  </si>
  <si>
    <t>FEES ADMISSION SESHEGO</t>
  </si>
  <si>
    <t>FEES - ADMISSION - WESTENBURG</t>
  </si>
  <si>
    <t>FEES - ADVERTISEMENTS : PETER MOKABA S</t>
  </si>
  <si>
    <t>FEES - BLUE PRINTS</t>
  </si>
  <si>
    <t>FEES - BUILDING PLANS</t>
  </si>
  <si>
    <t>FEES - BURIAL SERVICE</t>
  </si>
  <si>
    <t>FEES - FUNERAL SERVICES</t>
  </si>
  <si>
    <t>FEES - FURNISHING INFORMATION</t>
  </si>
  <si>
    <t>FEES - MAINTENANCE AIRPORT</t>
  </si>
  <si>
    <t>FEES - MISCELLANEOUS</t>
  </si>
  <si>
    <t>FEES - REFUND ENTRANCE CARDS</t>
  </si>
  <si>
    <t>FEES - ROYALTIES SILICON</t>
  </si>
  <si>
    <t>FEES - SEWERAGE PLANS</t>
  </si>
  <si>
    <t>FEES - SILICON ROAD MAINTENANCE</t>
  </si>
  <si>
    <t>FEES - SUBSCRIPTIONS LIBRARY</t>
  </si>
  <si>
    <t>FEES - TENDER DEPOSIT</t>
  </si>
  <si>
    <t>FEES - TOMBSTONE APPROVAL</t>
  </si>
  <si>
    <t>REFUND - COID</t>
  </si>
  <si>
    <t>REFUND - SETA LEVY</t>
  </si>
  <si>
    <t>RECEIPT OF DONATIONS</t>
  </si>
  <si>
    <t>SALES - GAME - LIVE</t>
  </si>
  <si>
    <t>SALES - GRASS AND REEDS</t>
  </si>
  <si>
    <t>SALES - SELLING OF ERVEN</t>
  </si>
  <si>
    <t>SALES - TROPHY AND CARCASSES</t>
  </si>
  <si>
    <t>SALES - WOOD</t>
  </si>
  <si>
    <t>SALES MATERIAL</t>
  </si>
  <si>
    <t>WAY LEAVE CONTRIBUTION</t>
  </si>
  <si>
    <t>TOTAL REVENUE</t>
  </si>
  <si>
    <t>EMPLOYEE RELATED COST WAGES &amp;S</t>
  </si>
  <si>
    <t>SALARIES - DIRECTORS</t>
  </si>
  <si>
    <t>SALARIES - MANAGERS</t>
  </si>
  <si>
    <t>ALLOWANCE : HOUSING AID</t>
  </si>
  <si>
    <t>ALLOWANCE : HOUSING SUBSIDIES</t>
  </si>
  <si>
    <t>ALLOWANCE : LOCOMOTION</t>
  </si>
  <si>
    <t>ALLOWANCE : LOCOMOTION 0-3</t>
  </si>
  <si>
    <t>ALLOWANCE : OPERATIONAL</t>
  </si>
  <si>
    <t>ALLOWANCE : STANDBY</t>
  </si>
  <si>
    <t>ALLOWANCE : TELEPHONE</t>
  </si>
  <si>
    <t>ALLOWANCE : TOOL</t>
  </si>
  <si>
    <t>BONUS - LEAVE</t>
  </si>
  <si>
    <t>LONG SERVICE LEAVE BONUS</t>
  </si>
  <si>
    <t>STUDENTS HOLIDAY WORK</t>
  </si>
  <si>
    <t xml:space="preserve"> Total:</t>
  </si>
  <si>
    <t>EMPLOYEE RELATED COST CONTRIBU</t>
  </si>
  <si>
    <t>CONTRIBUTION : MEDICAL AID</t>
  </si>
  <si>
    <t>CONTRIBUTION : PENSION FUND</t>
  </si>
  <si>
    <t>CONTRIBUTION : UNEMPLOYMENT INSURANCE</t>
  </si>
  <si>
    <t>CONTRIBUTION :GROUP INSURANCE</t>
  </si>
  <si>
    <t>CONTRIBUTION : ADMIN LEVY INDUSTRIAL</t>
  </si>
  <si>
    <t>Total EMPLOYEE RELATED COST</t>
  </si>
  <si>
    <t>SALARY  EXECUTIVE MAYOR</t>
  </si>
  <si>
    <t>SALARY COUNCILLORS</t>
  </si>
  <si>
    <t>SALARY MAYORAL COMMITTEE FULL TIME</t>
  </si>
  <si>
    <t>SALARY MAYORAL COMMITTEE PART TIME</t>
  </si>
  <si>
    <t>SALARY SPEAKER</t>
  </si>
  <si>
    <t>ALLOWANCE : TELEPHONE - COUNCILLORS</t>
  </si>
  <si>
    <t>ALLOWANCE : TELEPHONE - EXECUTIVE MAYO</t>
  </si>
  <si>
    <t>ALLOWANCE : TELEPHONE - MAYORAL COMMIT</t>
  </si>
  <si>
    <t>ALLOWANCE : TELEPHONE - SPEAKER</t>
  </si>
  <si>
    <t>ALLOWANCE : TRAVEL - COUNCILLORS</t>
  </si>
  <si>
    <t>ALLOWANCE : TRAVEL - EXECUTIVE MAYOR</t>
  </si>
  <si>
    <t>ALLOWANCE : TRAVEL - MAYORAL COMMITTEE</t>
  </si>
  <si>
    <t>ALLOWANCE : TRAVEL - SPEAKER</t>
  </si>
  <si>
    <t>DEBT IMPAIRMENT</t>
  </si>
  <si>
    <t>PROVISION: BAD DEBT</t>
  </si>
  <si>
    <t>DEPRECIATION &amp; ASSET IMPAIRMEN</t>
  </si>
  <si>
    <t>INTEREST EXPENSE EFF</t>
  </si>
  <si>
    <t>INTEREST ON EXTERNAL LOANS</t>
  </si>
  <si>
    <t>OUTSTANDING FINES AND INTEREST - LONGT</t>
  </si>
  <si>
    <t>PURCHASE OF ELECTRICITY</t>
  </si>
  <si>
    <t>PURCHASE OF WATER - RURAL</t>
  </si>
  <si>
    <t>OTHER MATERIALS</t>
  </si>
  <si>
    <t>ALARMS &amp; EQUIPMENT</t>
  </si>
  <si>
    <t>BUILDINGS &amp; EQUIPMENT</t>
  </si>
  <si>
    <t>BUILDINGS &amp; EQUIPMENT : COUNCIL HOUSES</t>
  </si>
  <si>
    <t>BUILDINGS &amp; EQUIPMENT : SCHEME HOUSES</t>
  </si>
  <si>
    <t>CLEAN-UP AND UPGRADING OF STREETS</t>
  </si>
  <si>
    <t>DISTRIBUTION SYSTEM - RURAL</t>
  </si>
  <si>
    <t>DISTRIBUTION SYSTEM - URBAN</t>
  </si>
  <si>
    <t>EMERGENCY CALL POINTS</t>
  </si>
  <si>
    <t>FIRE BREAKS</t>
  </si>
  <si>
    <t>FIRE HYDRANTS/EXTINGUISERS</t>
  </si>
  <si>
    <t>FURNITURE &amp; FITTINGS</t>
  </si>
  <si>
    <t>OFFICE MACHINES &amp; EQUIPMENT</t>
  </si>
  <si>
    <t>PLANT &amp; EQUIPMENT</t>
  </si>
  <si>
    <t>RAILWAY LINES X 1.2.3.5</t>
  </si>
  <si>
    <t>ROADS; STREETS; CULVERTS; CURBING</t>
  </si>
  <si>
    <t>STROMWATER DRAINAGE</t>
  </si>
  <si>
    <t>TRAFFIC LIGHTS AND SIGNS</t>
  </si>
  <si>
    <t>TRAFFIC LIGHTS ELECTRICITY (TECH)</t>
  </si>
  <si>
    <t>GRANTS &amp; SUBSIDIES</t>
  </si>
  <si>
    <t>GRANT - PHA</t>
  </si>
  <si>
    <t>CONTRACTED SERVICES</t>
  </si>
  <si>
    <t>FEES - COMMISSION</t>
  </si>
  <si>
    <t>AUDIT FEES - OUTSOURCED</t>
  </si>
  <si>
    <t>CLEANSING SERVICES</t>
  </si>
  <si>
    <t>COMMISSION FEES</t>
  </si>
  <si>
    <t>FEES - EASYPAY SYSTEM</t>
  </si>
  <si>
    <t>GUARD SERVICES : RENTAL</t>
  </si>
  <si>
    <t>METER READING SERVICES</t>
  </si>
  <si>
    <t>RESEARCH AND DEVELOPMENT</t>
  </si>
  <si>
    <t>TERMINATION OF SERVICES</t>
  </si>
  <si>
    <t>WASTE DISPOSAL - RECYCLING</t>
  </si>
  <si>
    <t>OTHER EXPENDITURE</t>
  </si>
  <si>
    <t>ELECTRICITY DISTRIBUTION - FREE BASIC</t>
  </si>
  <si>
    <t>REBATE - DEBTORS</t>
  </si>
  <si>
    <t>GRANTS - ASSESSMENT RATES</t>
  </si>
  <si>
    <t>GRANTS - USER CHARGES</t>
  </si>
  <si>
    <t>AUDIT COMMITTEE FEES</t>
  </si>
  <si>
    <t>BOOKS &amp; PERIODICALS</t>
  </si>
  <si>
    <t>BURSARY : STAFF</t>
  </si>
  <si>
    <t>BURSARY : STUDENT</t>
  </si>
  <si>
    <t>BY-LAWS RATIONALISATION</t>
  </si>
  <si>
    <t>CHARGES - ELECTRICITY</t>
  </si>
  <si>
    <t>CHARGES : WATER</t>
  </si>
  <si>
    <t>CHILDRENS' PROGRAM</t>
  </si>
  <si>
    <t>CONSULTATION FEES</t>
  </si>
  <si>
    <t>CONTRIBUTION: MEDICAL AID - CONTINUED</t>
  </si>
  <si>
    <t>CYLINDERS FIRE FIGHTING</t>
  </si>
  <si>
    <t>DATA - COMMUNICATION</t>
  </si>
  <si>
    <t>DECORATION - OFFICIAL FUNCTIONS</t>
  </si>
  <si>
    <t>DEMOLITION OF STRUCTURES</t>
  </si>
  <si>
    <t>DEPARTMENTAL CHARGES : ELECTRICITY</t>
  </si>
  <si>
    <t>DEPARTMENTAL CHARGES : SEWER &amp; SANITAT</t>
  </si>
  <si>
    <t>DEPARTMENTAL CHARGES : WATER</t>
  </si>
  <si>
    <t>DISCIPLINARY COMMITTEE</t>
  </si>
  <si>
    <t>DISCRETIONARY VOTE - EXECUTIVE MAYOR</t>
  </si>
  <si>
    <t>DRIVING/DIVING PERMITS</t>
  </si>
  <si>
    <t>ENTERTAINMENT EXPENSES</t>
  </si>
  <si>
    <t>ENTRANCE CONTROL (ACCESS CONTROL?)</t>
  </si>
  <si>
    <t>FILMS &amp; DEVELOPMENT</t>
  </si>
  <si>
    <t>FLEET MANAGEMENT</t>
  </si>
  <si>
    <t>HANDLING : ILLEGAL LAND USES</t>
  </si>
  <si>
    <t>HIV/AIDS PREVENTION</t>
  </si>
  <si>
    <t>INFECTIOUS DISEASES</t>
  </si>
  <si>
    <t>INSURANCE - WORKMAN'S COMPENSATION</t>
  </si>
  <si>
    <t>LEVY - SETA TRAINING</t>
  </si>
  <si>
    <t>LICENCES - ALARMS</t>
  </si>
  <si>
    <t>MEDICAL EXAMINATIONS OHS</t>
  </si>
  <si>
    <t>OFF LOAD OF DRYINGBEDS</t>
  </si>
  <si>
    <t>PENSIONS AND GRATUITY</t>
  </si>
  <si>
    <t>POSTAGE AND TELEGRAMS</t>
  </si>
  <si>
    <t>PRE SCREENING APPLICATIONS</t>
  </si>
  <si>
    <t>PRINTING &amp; STATIONERY</t>
  </si>
  <si>
    <t>PROGRAMS - CLINIC</t>
  </si>
  <si>
    <t>PUBLIC PARTICIPATION</t>
  </si>
  <si>
    <t>RAILAGE/COURIER SERVICES</t>
  </si>
  <si>
    <t>REFRESHMENTS - MEETINGS</t>
  </si>
  <si>
    <t>REFUSE REMOVAL SERVICES</t>
  </si>
  <si>
    <t>RENTAL - ALARMS</t>
  </si>
  <si>
    <t>RENTAL - OFFICES/BUILDINGS (EXTERNAL)</t>
  </si>
  <si>
    <t>RETEST DRIVERS LICENCE</t>
  </si>
  <si>
    <t>RISK MANAGEMENT COMMITTEE</t>
  </si>
  <si>
    <t>ROAD SHOWS : MAYOR</t>
  </si>
  <si>
    <t>SEEDS.PLANTS.SHRUBS</t>
  </si>
  <si>
    <t>SHOP - STOCK MUSEUMS</t>
  </si>
  <si>
    <t>SPECIAL INVESTIGATIONS</t>
  </si>
  <si>
    <t>SPECIAL SERVICES (OPS)</t>
  </si>
  <si>
    <t>SPONSORSHIP SPORTING NODES</t>
  </si>
  <si>
    <t>SPORT &amp; RECREATION PROGRAMMES</t>
  </si>
  <si>
    <t>STADIUM MANAGEMENT</t>
  </si>
  <si>
    <t>SUBSISTANCE AND TRAVELLING</t>
  </si>
  <si>
    <t>SUBSISTANCE AND TRAVELLING (ABROAD)</t>
  </si>
  <si>
    <t>TOURISM DEVELOPMENT</t>
  </si>
  <si>
    <t>TRAINING DWA</t>
  </si>
  <si>
    <t>TRAINING FMG</t>
  </si>
  <si>
    <t>TRAINING - WARD COMMITEES</t>
  </si>
  <si>
    <t>TRAINING INFRASTUCTURE SKILLS DEVELOPM</t>
  </si>
  <si>
    <t>WARD COMMITTEE MEETINGS</t>
  </si>
  <si>
    <t>CONTRIBUTION: LONG SERVICE</t>
  </si>
  <si>
    <t>PROVISION FOR LEAVE BONUSSES</t>
  </si>
  <si>
    <t>REHABILITATION OF LANDFILL SITES</t>
  </si>
  <si>
    <t>ADMINISTRATION CHARGES - HOUSING</t>
  </si>
  <si>
    <t>Total GENERAL EXPENSES</t>
  </si>
  <si>
    <t>Total:EXPENDITURE</t>
  </si>
  <si>
    <t xml:space="preserve">* End of </t>
  </si>
  <si>
    <t>Report: Polokwane Municipality *</t>
  </si>
  <si>
    <t xml:space="preserve">Budget </t>
  </si>
  <si>
    <t xml:space="preserve">Closing Balance </t>
  </si>
  <si>
    <t>30 June 2012</t>
  </si>
  <si>
    <t>Amendments</t>
  </si>
  <si>
    <t xml:space="preserve">Final Balance </t>
  </si>
  <si>
    <t>Balance Sheet</t>
  </si>
  <si>
    <t>num</t>
  </si>
  <si>
    <t>Amount</t>
  </si>
  <si>
    <t>0001</t>
  </si>
  <si>
    <t>Cont EX Revenue</t>
  </si>
  <si>
    <t>1026</t>
  </si>
  <si>
    <t>Local registered stock loans</t>
  </si>
  <si>
    <t>0100</t>
  </si>
  <si>
    <t>0300</t>
  </si>
  <si>
    <t>0002</t>
  </si>
  <si>
    <t>0003</t>
  </si>
  <si>
    <t>Sundry</t>
  </si>
  <si>
    <t>0004</t>
  </si>
  <si>
    <t>General</t>
  </si>
  <si>
    <t>0005</t>
  </si>
  <si>
    <t>0010</t>
  </si>
  <si>
    <t>0011</t>
  </si>
  <si>
    <t>0020</t>
  </si>
  <si>
    <t>Unallocated Credits</t>
  </si>
  <si>
    <t>0041</t>
  </si>
  <si>
    <t>0042</t>
  </si>
  <si>
    <t>0043</t>
  </si>
  <si>
    <t>0044</t>
  </si>
  <si>
    <t>0045</t>
  </si>
  <si>
    <t>0046</t>
  </si>
  <si>
    <t>0047</t>
  </si>
  <si>
    <t>Payment suspense vote</t>
  </si>
  <si>
    <t>0073</t>
  </si>
  <si>
    <t>Salaries cont members</t>
  </si>
  <si>
    <t>0083</t>
  </si>
  <si>
    <t>0084</t>
  </si>
  <si>
    <t>Bulk services control account</t>
  </si>
  <si>
    <t>0085</t>
  </si>
  <si>
    <t>Tickets</t>
  </si>
  <si>
    <t>0087</t>
  </si>
  <si>
    <t>Motors Provincial</t>
  </si>
  <si>
    <t>0089</t>
  </si>
  <si>
    <t>0090</t>
  </si>
  <si>
    <t>Insurance comm safety</t>
  </si>
  <si>
    <t>0091</t>
  </si>
  <si>
    <t>Insurance environment &amp; waste</t>
  </si>
  <si>
    <t>0092</t>
  </si>
  <si>
    <t>Insurance health</t>
  </si>
  <si>
    <t>0093</t>
  </si>
  <si>
    <t>0094</t>
  </si>
  <si>
    <t>Insurance cultural services</t>
  </si>
  <si>
    <t>0095</t>
  </si>
  <si>
    <t>Insurance mun manager</t>
  </si>
  <si>
    <t>0096</t>
  </si>
  <si>
    <t>Insurance CFO</t>
  </si>
  <si>
    <t>Insurance vehicle fleet</t>
  </si>
  <si>
    <t>0098</t>
  </si>
  <si>
    <t>Insurance technical services</t>
  </si>
  <si>
    <t>0099</t>
  </si>
  <si>
    <t>Insurance 24 hours</t>
  </si>
  <si>
    <t>0101</t>
  </si>
  <si>
    <t>Insurance corporate services</t>
  </si>
  <si>
    <t>0102</t>
  </si>
  <si>
    <t>Insurance planning</t>
  </si>
  <si>
    <t>0103</t>
  </si>
  <si>
    <t>Insurance traffic &amp; licenses</t>
  </si>
  <si>
    <t>0104</t>
  </si>
  <si>
    <t>0007</t>
  </si>
  <si>
    <t>0008</t>
  </si>
  <si>
    <t>INEP</t>
  </si>
  <si>
    <t>0009</t>
  </si>
  <si>
    <t>0012</t>
  </si>
  <si>
    <t>0013</t>
  </si>
  <si>
    <t>0014</t>
  </si>
  <si>
    <t>0015</t>
  </si>
  <si>
    <t>EDSM</t>
  </si>
  <si>
    <t>0016</t>
  </si>
  <si>
    <t>0017</t>
  </si>
  <si>
    <t>0018</t>
  </si>
  <si>
    <t>0019</t>
  </si>
  <si>
    <t>Total Liabilities</t>
  </si>
  <si>
    <t>0021</t>
  </si>
  <si>
    <t>0006</t>
  </si>
  <si>
    <t>0022</t>
  </si>
  <si>
    <t>0024</t>
  </si>
  <si>
    <t>0040</t>
  </si>
  <si>
    <t>0110</t>
  </si>
  <si>
    <t>Owners Rates</t>
  </si>
  <si>
    <t>Sundry Old Balances</t>
  </si>
  <si>
    <t>Debtors Transfer Control</t>
  </si>
  <si>
    <t>Consumer debtors Water</t>
  </si>
  <si>
    <t>Provision  debts water</t>
  </si>
  <si>
    <t>Consumer debtors Refuse</t>
  </si>
  <si>
    <t>Provision  debts Refuse</t>
  </si>
  <si>
    <t>Consumer debtors Elec</t>
  </si>
  <si>
    <t>0031</t>
  </si>
  <si>
    <t>0032</t>
  </si>
  <si>
    <t>Provision  debts Elec</t>
  </si>
  <si>
    <t>0033</t>
  </si>
  <si>
    <t>Consumer debtors Sewer</t>
  </si>
  <si>
    <t>Provision  debts Sewer</t>
  </si>
  <si>
    <t>Other Sundry Debtors</t>
  </si>
  <si>
    <t>1003</t>
  </si>
  <si>
    <t>Debtors Control L561</t>
  </si>
  <si>
    <t>Debtors Control L562</t>
  </si>
  <si>
    <t>Debtors Control L571</t>
  </si>
  <si>
    <t>Debtors Control L850</t>
  </si>
  <si>
    <t>Debtors Control L380</t>
  </si>
  <si>
    <t>Debtors Control L390</t>
  </si>
  <si>
    <t>Debtors Control L265</t>
  </si>
  <si>
    <t>Debtors Control L890</t>
  </si>
  <si>
    <t>Nett Salary Suspense</t>
  </si>
  <si>
    <t>Salary Advances</t>
  </si>
  <si>
    <t>VAT DTRS Control</t>
  </si>
  <si>
    <t>VAT Bank</t>
  </si>
  <si>
    <t>VAT Claim due</t>
  </si>
  <si>
    <t>Payable/ Claimable Sars</t>
  </si>
  <si>
    <t>VAT Charged Out</t>
  </si>
  <si>
    <t>0600</t>
  </si>
  <si>
    <t>CONTRIBUTION : MEDICAL AID (COUNCIL)</t>
  </si>
  <si>
    <t>CONTRIBUTION : PENSION FUND(COUNCIL)</t>
  </si>
  <si>
    <t>CONTRIBUTION : UNEMPLOYMENT INSURANCE(COUNCIL)</t>
  </si>
  <si>
    <t>2012</t>
  </si>
  <si>
    <t>Sub Total</t>
  </si>
  <si>
    <t>Sanitation/ Sewer</t>
  </si>
  <si>
    <t>Waste Removal</t>
  </si>
  <si>
    <t>Total Service Charges</t>
  </si>
  <si>
    <t>Admission fees</t>
  </si>
  <si>
    <t>2010 Stadium Operating expenses</t>
  </si>
  <si>
    <t>Special Events</t>
  </si>
  <si>
    <t>National Lottery</t>
  </si>
  <si>
    <t>VAT Payable (Output)</t>
  </si>
  <si>
    <t>VAT Claimable (Not due)</t>
  </si>
  <si>
    <t>0000</t>
  </si>
  <si>
    <t>Paid back to National Treasury</t>
  </si>
  <si>
    <t>Department of Sport &amp; Recreation</t>
  </si>
  <si>
    <t>See note 7 for reconciliation</t>
  </si>
  <si>
    <t>Local Government Restructuring Grant</t>
  </si>
  <si>
    <t>Note 31</t>
  </si>
  <si>
    <t>Unidentified receipts</t>
  </si>
  <si>
    <t>GRANT - NATIONAL LOTTERY</t>
  </si>
  <si>
    <t>LEGAL EXPENSES(COLLECTION COST) 17010</t>
  </si>
  <si>
    <t>Anglo platinum</t>
  </si>
  <si>
    <t>Insurance claims</t>
  </si>
  <si>
    <t>MOTOR CAR ALLOWANCES</t>
  </si>
  <si>
    <t>HOUSING AND OTHER ALLOWANCES</t>
  </si>
  <si>
    <t>Motor car allowances</t>
  </si>
  <si>
    <t>Housing benefits and  other allowances</t>
  </si>
  <si>
    <t>0030</t>
  </si>
  <si>
    <t>Director Planning &amp; Economic Development</t>
  </si>
  <si>
    <t>Director Engineering Services</t>
  </si>
  <si>
    <t>Director Corporate &amp; Shared Services</t>
  </si>
  <si>
    <t>Director Strategic Planning, Monitoring &amp; Evaluation</t>
  </si>
  <si>
    <t>EVENTS AFTER THE REPORTING PERIOD</t>
  </si>
  <si>
    <t>Accounting Policies</t>
  </si>
  <si>
    <t>1. Presentation of Annual Financial Statements</t>
  </si>
  <si>
    <t>These accounting policies are consistent with the previous period.</t>
  </si>
  <si>
    <t>Trade receivables / Held to maturity investments and/or loans and receivables</t>
  </si>
  <si>
    <t>Allowance for slow moving, damaged and obsolete stock</t>
  </si>
  <si>
    <t>The write down is included in the impairment of assets note.</t>
  </si>
  <si>
    <t>Fair value estimation</t>
  </si>
  <si>
    <t>Impairment testing</t>
  </si>
  <si>
    <t>Post-retirement benefits</t>
  </si>
  <si>
    <t>The municipality used the prime interest rate to discount future cash flows.</t>
  </si>
  <si>
    <t>Allowance for doubtful debts</t>
  </si>
  <si>
    <t>1.2 Presentation of Currency</t>
  </si>
  <si>
    <t>1.3 Going concern assumption</t>
  </si>
  <si>
    <t>Subsequent Measurement:</t>
  </si>
  <si>
    <t>The cost of an item of property, plant and equipment is recognised as an asset when:</t>
  </si>
  <si>
    <t>The useful lives of items of property, plant and equipment have been assessed as follows:-</t>
  </si>
  <si>
    <t>depreciated separately.</t>
  </si>
  <si>
    <t>Initial Recognition</t>
  </si>
  <si>
    <t>Where market determined prices or values are not available, the present value of the</t>
  </si>
  <si>
    <t>expected net cash inflows from the asset, discounted at a current market-determined</t>
  </si>
  <si>
    <t>pre-tax rate is used to determine fair value.</t>
  </si>
  <si>
    <t>An unconditional government grant related to a biological asset measured at its fair</t>
  </si>
  <si>
    <t>government grant becomes receivable.</t>
  </si>
  <si>
    <t>Where fair value cannot be measured reliably, biological assets are measured at cost</t>
  </si>
  <si>
    <t>less any accumulated depreciation and any accumulated impairment losses.</t>
  </si>
  <si>
    <t>on the following estimated average asset lives:</t>
  </si>
  <si>
    <t>Inventories are measured at the lower of cost and net realisable value.</t>
  </si>
  <si>
    <t>changes in foreign exchange rates.</t>
  </si>
  <si>
    <t>A financial asset is:</t>
  </si>
  <si>
    <t>A financial liability is any liability that is a contractual obligation to:</t>
  </si>
  <si>
    <t>Loans payable are financial liabilities, other than short-term payables on normal credit terms.</t>
  </si>
  <si>
    <t>Financial instruments at fair value comprise financial assets or financial liabilities that are:</t>
  </si>
  <si>
    <t>Classification</t>
  </si>
  <si>
    <t>Class Category</t>
  </si>
  <si>
    <t>Long term liabilities Financial liability measured at amortised cost</t>
  </si>
  <si>
    <t>Trade and other payables Financial liability measured at amortised cost</t>
  </si>
  <si>
    <t>Initial recognition</t>
  </si>
  <si>
    <t>The entity recognises financial assets using trade date accounting.</t>
  </si>
  <si>
    <t>Initial measurement of financial assets and financial liabilities</t>
  </si>
  <si>
    <t>The entity accounts for that part of a concessionary loan that is:</t>
  </si>
  <si>
    <t>Subsequent measurement of financial assets and financial liabilities</t>
  </si>
  <si>
    <t>All financial assets measured at amortised cost, or cost, are subject to an impairment review.</t>
  </si>
  <si>
    <t>Fair value measurement considerations</t>
  </si>
  <si>
    <t>Reclassification</t>
  </si>
  <si>
    <t>The entity does not reclassify a financial instrument while it is issued or held unless it is:</t>
  </si>
  <si>
    <t>This requires a reclassification of the instrument from amortised cost or cost to fair value.</t>
  </si>
  <si>
    <t>Gains and losses</t>
  </si>
  <si>
    <t>Impairment and un-collectability of financial assets</t>
  </si>
  <si>
    <t>Financial assets measured at amortised cost:</t>
  </si>
  <si>
    <t>De-recognition</t>
  </si>
  <si>
    <t>Financial assets</t>
  </si>
  <si>
    <t>The entity derecognises financial assets using trade date accounting.</t>
  </si>
  <si>
    <t>The entity derecognises a financial asset only when:</t>
  </si>
  <si>
    <t>derecognised is recognised in surplus or deficit in the period of the transfer.</t>
  </si>
  <si>
    <t>surplus or deficit.</t>
  </si>
  <si>
    <t>Financial liabilities</t>
  </si>
  <si>
    <t>financial liability and having recognised a new financial liability.</t>
  </si>
  <si>
    <t>Presentation</t>
  </si>
  <si>
    <t>Measurement</t>
  </si>
  <si>
    <t>Sale of goods</t>
  </si>
  <si>
    <t>Rendering of services</t>
  </si>
  <si>
    <t>postponed until the significant act is executed.</t>
  </si>
  <si>
    <t>Interest, royalties and dividends</t>
  </si>
  <si>
    <t>Interest is recognised, in surplus or deficit, using the effective interest rate method.</t>
  </si>
  <si>
    <t>Recognition</t>
  </si>
  <si>
    <t>Transfers</t>
  </si>
  <si>
    <t>Bequests</t>
  </si>
  <si>
    <t>Gifts and donations, including goods in-kind</t>
  </si>
  <si>
    <t>Provisions are recognised when:</t>
  </si>
  <si>
    <t>reimbursement does not exceed the amount of the provision.</t>
  </si>
  <si>
    <t>A provision is used only for expenditure for which the provision was originally recognised.</t>
  </si>
  <si>
    <t>Provisions are not recognised for future operating deficits.</t>
  </si>
  <si>
    <t>sale or transfer, that is, there is a binding agreement.</t>
  </si>
  <si>
    <t>Unauthorised expenditure means:</t>
  </si>
  <si>
    <t>Current year comparatives</t>
  </si>
  <si>
    <t>Prior year comparatives</t>
  </si>
  <si>
    <t>Finance leases – lessee</t>
  </si>
  <si>
    <t>Operating leases – lessor</t>
  </si>
  <si>
    <t>Income for leases is disclosed under revenue in the statement of financial performance.</t>
  </si>
  <si>
    <t>Operating leases – lessee</t>
  </si>
  <si>
    <t>Any contingent rents are expensed in the period they are incurred.</t>
  </si>
  <si>
    <t>An asset is identified as an intangible asset when it:</t>
  </si>
  <si>
    <t>An intangible asset is recognised when:</t>
  </si>
  <si>
    <t>Intangible assets are derecognised:</t>
  </si>
  <si>
    <t>Identification</t>
  </si>
  <si>
    <t>Value in use</t>
  </si>
  <si>
    <t>Cash-generating units</t>
  </si>
  <si>
    <t>Reversal of impairment loss</t>
  </si>
  <si>
    <t>Re-designation</t>
  </si>
  <si>
    <t>Termination benefits are employee benefits payable as a result of either:</t>
  </si>
  <si>
    <t>parties that it will discharge those responsibilities.</t>
  </si>
  <si>
    <t>Short-term employee benefits</t>
  </si>
  <si>
    <t>Short-term employee benefits include items such as:</t>
  </si>
  <si>
    <t>Post-employment benefits</t>
  </si>
  <si>
    <t>Post-employment benefits: Defined contribution plans</t>
  </si>
  <si>
    <t>consistent with the currency and estimated term of the obligation.</t>
  </si>
  <si>
    <t>Post-employment benefits: Defined benefit plans</t>
  </si>
  <si>
    <t>benefits are one period closer to settlement.</t>
  </si>
  <si>
    <t>The amount recognised as a defined benefit liability is the net total of the following amounts:</t>
  </si>
  <si>
    <t>Any adjustments arising from the limit above is recognised in surplus or deficit.</t>
  </si>
  <si>
    <t>simultaneously.</t>
  </si>
  <si>
    <t>Actuarial assumptions</t>
  </si>
  <si>
    <t>Actuarial assumptions are unbiased and mutually compatible.</t>
  </si>
  <si>
    <t>Post-employment benefit obligations are measured on a basis that reflects:</t>
  </si>
  <si>
    <t>Non-cash-generating assets are assets other than cash-generating assets.</t>
  </si>
  <si>
    <t>Value in use of an asset is the present value of the asset’s remaining service potential.</t>
  </si>
  <si>
    <t>Depreciated replacement cost approach</t>
  </si>
  <si>
    <t>Restoration cost approach</t>
  </si>
  <si>
    <t>Service units approach</t>
  </si>
  <si>
    <t>Recognition and measurement</t>
  </si>
  <si>
    <t>Reversal of an impairment loss</t>
  </si>
  <si>
    <t>A comparable basis means that the budget and annual financial statements:</t>
  </si>
  <si>
    <t>Recognition of Assets</t>
  </si>
  <si>
    <t>A heritage asset is further recognised as an asset only if:</t>
  </si>
  <si>
    <t>Subsequent Measurement</t>
  </si>
  <si>
    <t>De-recognition of Asset</t>
  </si>
  <si>
    <t>The carrying amount of a heritage is de-recognised:</t>
  </si>
  <si>
    <t>2. New standards and interpretations</t>
  </si>
  <si>
    <t>2.1 Standards and interpretations issued, but not yet effective</t>
  </si>
  <si>
    <t>GRAP 18: Segment Reporting - Issued March 2005</t>
  </si>
  <si>
    <t>The effective date of the standard is for years beginning on or after 01 April 2011.</t>
  </si>
  <si>
    <t>GRAP 20: Related Party – Issued June 2011</t>
  </si>
  <si>
    <t>government</t>
  </si>
  <si>
    <t>At present the impact of the standard is not material.</t>
  </si>
  <si>
    <t>Issued November 2010"</t>
  </si>
  <si>
    <t>GRAP 107: Mergers – Issued November 2010</t>
  </si>
  <si>
    <t>A biological asset or agricultural produce is recognised when, and only when:</t>
  </si>
  <si>
    <t>Biological assets are measured at their fair value less estimated point-of-sale costs.</t>
  </si>
  <si>
    <t>The fair value of livestock is determined based on market prices of livestock of similar</t>
  </si>
  <si>
    <t>age, breed, and genetic merit. The fair value of milk is determined based on market</t>
  </si>
  <si>
    <t>prices in the local area. The fair value of the vine / pine plantations is based on the</t>
  </si>
  <si>
    <t>combined fair value of the land and the vines / pine trees. The fair value of the raw</t>
  </si>
  <si>
    <t>land and land improvements is then deducted from the combined fair value to</t>
  </si>
  <si>
    <t>determine the fair value of the vines / pine trees.</t>
  </si>
  <si>
    <t>A gain or loss arising on initial recognition of agricultural produce at fair value less</t>
  </si>
  <si>
    <t>estimated point-of-sale costs is included in profit or loss for the period in which it</t>
  </si>
  <si>
    <t>arises.</t>
  </si>
  <si>
    <t>value less estimated point-of-sale costs is recognised as income when the</t>
  </si>
  <si>
    <t>Depreciation is provided on biological assets where fair value cannot be determined,</t>
  </si>
  <si>
    <t>to write down the cost, less residual value. The annual depreciation rates are based</t>
  </si>
  <si>
    <t>The carrying amounts of the transferred asset are allocated between the rights or obligations</t>
  </si>
  <si>
    <t>Computer software, internally generated 3 - 5 years</t>
  </si>
  <si>
    <t>Computer software, other 3 - 5 years</t>
  </si>
  <si>
    <t>Related party relationships exist throughout the public sector, because:</t>
  </si>
  <si>
    <t>(a) The Municipalities is subject to the overall direction of an executive government or</t>
  </si>
  <si>
    <t>(c) Public entities enter into transactions with other government entities on a regular</t>
  </si>
  <si>
    <t>Basis, and</t>
  </si>
  <si>
    <t>The annual financial statements have been prepared in accordance with the Standards of</t>
  </si>
  <si>
    <t>Generally Recognised Accounting Practices (GRAP) prescribed by the Minister of Finance in</t>
  </si>
  <si>
    <t>A summary of the significant accounting policies, which have been consistently applied, are</t>
  </si>
  <si>
    <t>disclosed below.</t>
  </si>
  <si>
    <t>In preparing the annual financial statements, management is required to make estimates</t>
  </si>
  <si>
    <t>and assumptions that affect the amounts represented in the annual financial statements and</t>
  </si>
  <si>
    <t>in the formation of estimates. Actual results in the future could differ from these estimates</t>
  </si>
  <si>
    <t>The impairment for loans and receivables is calculated on a portfolio basis, based on</t>
  </si>
  <si>
    <t>historical loss ratios, adjusted for national and industry-specific economic conditions and</t>
  </si>
  <si>
    <t>other indicators present at the reporting date that correlate with defaults on the portfolio.</t>
  </si>
  <si>
    <t>These annual loss ratios are applied to loan balances in the portfolio and scaled to the</t>
  </si>
  <si>
    <t>estimated loss emergence period.</t>
  </si>
  <si>
    <t>An allowance for stock to write stock down to the lower of cost or net realisable value</t>
  </si>
  <si>
    <t>Management have made estimates of the selling price and direct cost to sell on certain</t>
  </si>
  <si>
    <t>inventory items.</t>
  </si>
  <si>
    <t>The fair value of financial instruments traded in active markets (such as trading and</t>
  </si>
  <si>
    <t>available-for-sale securities) is based on quoted market prices at the statement of financial</t>
  </si>
  <si>
    <t>position date. The quoted market price used for financial assets held by the municipality is</t>
  </si>
  <si>
    <t>the current bid price. The carrying value less impairment provision of trade receivables and</t>
  </si>
  <si>
    <t>payables are assumed to approximate their fair values. The fair value of financial liabilities</t>
  </si>
  <si>
    <t>for disclosure purposes is estimated by discounting the future contractual cash flows at the</t>
  </si>
  <si>
    <t>instruments.</t>
  </si>
  <si>
    <t>Provisions were raised and management determined an estimate based on the information</t>
  </si>
  <si>
    <t>Provisions.</t>
  </si>
  <si>
    <t>The municipality's management determines the estimated useful lives and related</t>
  </si>
  <si>
    <t>than previously estimated useful lives.</t>
  </si>
  <si>
    <t>The present value of the post retirement obligation depends on a number of factors that are</t>
  </si>
  <si>
    <t>determined on an actuarial basis using a number of assumptions. The assumptions used in</t>
  </si>
  <si>
    <t>determining the net cost (income) include the discount rate. Any changes in these</t>
  </si>
  <si>
    <t>assumptions will impact on the carrying amount of post retirement obligations.</t>
  </si>
  <si>
    <t>The municipality determines the appropriate discount rate at the end of each year. This is</t>
  </si>
  <si>
    <t>the interest rate that should be used to determine the present value of estimated future cash</t>
  </si>
  <si>
    <t>outflows expected to be required to settle the pension obligations. In determining the</t>
  </si>
  <si>
    <t>appropriate discount rate, the municipality considers the interest rates of high-quality</t>
  </si>
  <si>
    <t>corporate bonds that are denominated in the currency in which the benefits will be paid, and</t>
  </si>
  <si>
    <t>that have terms to maturity approximating the terms of the related pension liability.</t>
  </si>
  <si>
    <t>Other key assumptions for pension obligations are based on current market conditions.</t>
  </si>
  <si>
    <t>debtors carrying amount and the present value of estimated future cash flows discounted at</t>
  </si>
  <si>
    <t>These annual financial statements are presented in South African Rand which is the</t>
  </si>
  <si>
    <t>functional currency of the municipality.</t>
  </si>
  <si>
    <t>In terms of the accounting standard GRAP 1 paragraphs 27 to 30 the annual financial</t>
  </si>
  <si>
    <t>municipality to be considered as a going concern even though the municipality will be</t>
  </si>
  <si>
    <t>operational for extended periods with negative net assets.</t>
  </si>
  <si>
    <t>The Housing Development Fund was established in terms of the Housing Act, (Act No. 107</t>
  </si>
  <si>
    <t>of 1997). Loans from national and provincial government used to finance housing selling</t>
  </si>
  <si>
    <t>schemes undertaken by the municipality were terminated on 1 April 1998 and transferred to</t>
  </si>
  <si>
    <t>a Housing Development Fund. Housing selling scheme, both complete and in progress as at</t>
  </si>
  <si>
    <t>1 April 1998, were also transferred to the Housing Development Fund. In terms of the</t>
  </si>
  <si>
    <t>Housing Act, all proceeds from housing developments, which include rental income and</t>
  </si>
  <si>
    <t>sales of houses, must be paid into the Housing Development Fund. Monies standing to the</t>
  </si>
  <si>
    <t>credit of the Housing Development Fund can be used only to finance housing developments</t>
  </si>
  <si>
    <t>within the municipal area subject to the approval of the Provincial MEC responsible for</t>
  </si>
  <si>
    <t>housing.</t>
  </si>
  <si>
    <t>Property, plant and equipment are tangible non-current assets (including infrastructure</t>
  </si>
  <si>
    <t>assets) that are held for use in the production or supply of goods or services, rental to</t>
  </si>
  <si>
    <t>others, or for administrative purposes, and are expected to be used during more than one</t>
  </si>
  <si>
    <t>period.</t>
  </si>
  <si>
    <t>Property, plant and equipment is initially measured at cost. The cost of an item of property,</t>
  </si>
  <si>
    <t>plant and equipment is the purchase price and other costs attributable to bring the asset to</t>
  </si>
  <si>
    <t>the location and condition necessary for it to be capable of operating in the manner intended</t>
  </si>
  <si>
    <t>by management. Trade discounts and rebates are deducted in arriving at the cost.</t>
  </si>
  <si>
    <t>Where an asset is acquired at no cost, or for a nominal cost, its cost is its fair value as at</t>
  </si>
  <si>
    <t>date of acquisition. Where an item of property, plant and equipment is acquired in exchange</t>
  </si>
  <si>
    <t>for a non-monetary asset or monetary assets, or a combination of monetary and non-</t>
  </si>
  <si>
    <t>monetary assets, the asset acquired is initially measured at fair value (the cost). If the</t>
  </si>
  <si>
    <t>acquired item's fair value was not determinable, it's deemed cost is the carrying amount of</t>
  </si>
  <si>
    <t>the asset(s) given up.</t>
  </si>
  <si>
    <t>When significant components of an item of property, plant and equipment have different</t>
  </si>
  <si>
    <t>useful lives, they are accounted for as separate items (major components) of property, plant</t>
  </si>
  <si>
    <t>and equipment.</t>
  </si>
  <si>
    <t>Costs include costs incurred initially to acquire or construct an item of property, plant and</t>
  </si>
  <si>
    <t>equipment and costs incurred subsequently to add to, replace part of, or service it. If a</t>
  </si>
  <si>
    <t>replacement cost is recognised in the carrying amount of an item of property, plant and</t>
  </si>
  <si>
    <t>equipment, the carrying amount of the replaced part is derecognised.</t>
  </si>
  <si>
    <t>Recognition of costs in the carrying amount of an item of property, plant and equipment</t>
  </si>
  <si>
    <t>ceases when the item is in the location and condition necessary for it to be capable of</t>
  </si>
  <si>
    <t>operating in the manner intended by management.</t>
  </si>
  <si>
    <t>Major spare parts and stand by equipment which are expected to be used for more than one</t>
  </si>
  <si>
    <t>period are included in property, plant and equipment. In addition, spare parts and stand by</t>
  </si>
  <si>
    <t>equipment which can only be used in connection with an item of property, plant and</t>
  </si>
  <si>
    <t>equipment are accounted for as property, plant and equipment.</t>
  </si>
  <si>
    <t>Major inspection costs which are a condition of continuing use of an item of property, plant</t>
  </si>
  <si>
    <t>and equipment and which meet the recognition criteria above are included as a replacement</t>
  </si>
  <si>
    <t>in the cost of the item of property, plant and equipment. Any remaining inspection costs from</t>
  </si>
  <si>
    <t>the previous inspection are derecognised.</t>
  </si>
  <si>
    <t>Property, plant and equipment is carried at cost less accumulated depreciation and any</t>
  </si>
  <si>
    <t>impairment losses.</t>
  </si>
  <si>
    <t>When an item of property, plant and equipment is re-valued, any accumulated depreciation</t>
  </si>
  <si>
    <t>at the date of the revaluation is restated proportionately with the change in the gross carrying</t>
  </si>
  <si>
    <t>amount of the asset so that the carrying amount of the asset after re-valuation equals its re-</t>
  </si>
  <si>
    <t>valued amount.</t>
  </si>
  <si>
    <t>Any increase in an asset’s carrying amount, as a result of a revaluation, is credited directly to</t>
  </si>
  <si>
    <t>a re-valuation surplus. The increase is recognised in surplus or deficit to the extent that it</t>
  </si>
  <si>
    <t>reverses a revaluation decrease of the same asset previously recognised in surplus or</t>
  </si>
  <si>
    <t>deficit.</t>
  </si>
  <si>
    <t>Any decrease in an asset’s carrying amount, as a result of a revaluation, is recognised in</t>
  </si>
  <si>
    <t>surplus or deficit in the current period. The decrease is debited directly to a revaluation</t>
  </si>
  <si>
    <t>surplus to the extent of any credit balance existing in the revaluation surplus in respect of</t>
  </si>
  <si>
    <t>that asset. The revaluation surplus in equity related to a specific item of property, plant and</t>
  </si>
  <si>
    <t>equipment is transferred directly to retained earnings when the asset is derecognised.</t>
  </si>
  <si>
    <t>The revaluation surplus in equity related to a specific item of property, plant and equipment</t>
  </si>
  <si>
    <t>is transferred directly to retained earnings as the asset is used. The amount transferred is</t>
  </si>
  <si>
    <t>equal to the difference between depreciation based on the re-valued carrying amount and</t>
  </si>
  <si>
    <t>Property, plant and equipment are depreciated on the straight line basis over their expected</t>
  </si>
  <si>
    <t>The residual value, useful life and depreciation method of each asset are reviewed at the</t>
  </si>
  <si>
    <t>end of each reporting date. If the expectations differ from previous estimates, the change is</t>
  </si>
  <si>
    <t>accounted for as a change in accounting estimate. Each part of an item of property, plant</t>
  </si>
  <si>
    <t>and equipment with a cost that is significant in relation to the total cost of the item is</t>
  </si>
  <si>
    <t>The depreciation charge for each period is recognised in surplus or deficit unless it is</t>
  </si>
  <si>
    <t>included in the carrying amount of another asset.</t>
  </si>
  <si>
    <t>The cost at reporting date comprises of all costs of purchase, costs of conversion and other</t>
  </si>
  <si>
    <t>costs incurred in bringing the inventories to their present location and condition. The cost of</t>
  </si>
  <si>
    <t>used for all inventories having a similar nature and use to the entity.</t>
  </si>
  <si>
    <t>When inventories are sold, the carrying amount of those inventories is recognised as an</t>
  </si>
  <si>
    <t>expense in the period in which the related revenue is recognised. The amount of any write-</t>
  </si>
  <si>
    <t>down of inventories to net realisable value and all losses of inventories are recognised as an</t>
  </si>
  <si>
    <t>expense in the period the write-down or loss occurs. The amount of any reversal of any</t>
  </si>
  <si>
    <t>write-down of inventories, arising from an increase in net realisable value, are recognised as</t>
  </si>
  <si>
    <t>a reduction in the amount of inventories recognised as an expense in the period in which the</t>
  </si>
  <si>
    <t>reversal occurs.</t>
  </si>
  <si>
    <t>Redundant and slow-moving inventories are identified and written down from cost to net</t>
  </si>
  <si>
    <t>realisable value with regard to their estimated economic or realisable values.</t>
  </si>
  <si>
    <t>Unsold properties are at the lower cost and net realisable value. Direct cost are accumulated</t>
  </si>
  <si>
    <t>for each separately identifiable development. Cost also includes a portion of the overhead</t>
  </si>
  <si>
    <t>costs.</t>
  </si>
  <si>
    <t>A financial instrument is any contract that gives rise to a financial asset of one entity and a</t>
  </si>
  <si>
    <t>financial liability or a residual interest of another entity. The amortised cost of a financial</t>
  </si>
  <si>
    <t>asset or financial liability is the amount at which the financial asset or financial liability</t>
  </si>
  <si>
    <t>is measured at initial recognition minus principal repayments, plus or minus the cumulative</t>
  </si>
  <si>
    <t>amortisation using the effective interest method of any difference between that initial amount</t>
  </si>
  <si>
    <t>and the maturity amount, and minus any reduction (directly or through the use of an</t>
  </si>
  <si>
    <t>allowance account) for impairment or un-collectability.</t>
  </si>
  <si>
    <t>A concessionary loan is a loan granted to or received by an entity on terms that are not</t>
  </si>
  <si>
    <t>market related. Credit risk is the risk that one party to a financial instrument will cause a</t>
  </si>
  <si>
    <t>financial loss for the other party by failing to discharge an obligation. Currency risk is the risk</t>
  </si>
  <si>
    <t>that the fair value or future cash flows of a financial instrument will fluctuate because of</t>
  </si>
  <si>
    <t>De-recognition is the removal of a previously recognised financial asset or financial liability</t>
  </si>
  <si>
    <t>from an entity’s statement of financial position. The effective interest method is a method of</t>
  </si>
  <si>
    <t>calculating the amortised cost of a financial asset or a financial liability (or group of financial</t>
  </si>
  <si>
    <t>assets or financial liabilities) and of allocating the interest income or interest expense over</t>
  </si>
  <si>
    <t>the relevant period. The effective interest rate is the rate that exactly discounts estimated</t>
  </si>
  <si>
    <t>future cash payments or receipts through the expected life of the financial instrument or,</t>
  </si>
  <si>
    <t>when appropriate, a shorter period to the net carrying amount of the financial asset or</t>
  </si>
  <si>
    <t>financial liability. When calculating the effective interest rate, an entity shall estimate cash</t>
  </si>
  <si>
    <t>flows considering all contractual terms of the financial instrument (for example, prepayment,</t>
  </si>
  <si>
    <t>call and similar options) but shall not consider future credit losses. The calculation includes</t>
  </si>
  <si>
    <t>all fees and points paid or received between parties to the contract that are an integral part</t>
  </si>
  <si>
    <t>of the effective interest rate, (see the Standard of GRAP on Revenue from Exchange</t>
  </si>
  <si>
    <t>Transactions) transaction costs, and all other premiums or discounts. There is a presumption</t>
  </si>
  <si>
    <t>that the cash flows and the expected life of a group of similar financial instruments can be</t>
  </si>
  <si>
    <t>estimated reliably. However, in those rare cases when it is not possible to reliably estimate</t>
  </si>
  <si>
    <t>the cash flows or the expected life of a financial instrument (or group of financial</t>
  </si>
  <si>
    <t>instruments), the entity shall use the contractual cash flows over the full contractual term of</t>
  </si>
  <si>
    <t>the financial instrument (or group of financial instruments).</t>
  </si>
  <si>
    <t>Fair value is the amount for which an asset could be exchanged, or a liability settled,</t>
  </si>
  <si>
    <t>between knowledgeable willing parties in an arm’s length transaction.</t>
  </si>
  <si>
    <t>A financial guarantee contract is a contract that requires the issuer to make specified</t>
  </si>
  <si>
    <t>payments to reimburse the holder for a loss it incurs because a specified debtor fails to</t>
  </si>
  <si>
    <t>make payment when due in accordance with the original or modified terms of a debt</t>
  </si>
  <si>
    <t>instrument.</t>
  </si>
  <si>
    <t>Interest rate risk is the risk that the fair value or future cash flows of a financial instrument</t>
  </si>
  <si>
    <t>will fluctuate because of changes in market interest rates.</t>
  </si>
  <si>
    <t>Liquidity risk is the risk encountered by an entity in the event of difficulty in meeting</t>
  </si>
  <si>
    <t>obligations associated with financial liabilities that are settled by delivering cash or another</t>
  </si>
  <si>
    <t>financial asset. Loan commitment is a firm commitment to provide credit under pre-specified</t>
  </si>
  <si>
    <t>terms and conditions.</t>
  </si>
  <si>
    <t>Market risk is the risk that the fair value or future cash flows of a financial instrument will</t>
  </si>
  <si>
    <t>fluctuate because of changes in market prices. Market risk comprises three types of risk:</t>
  </si>
  <si>
    <t>currency risk, interest rate risk and other price risk. Other price risk is the risk that the fair</t>
  </si>
  <si>
    <t>value or future cash flows of a financial instrument will fluctuate because of changes in</t>
  </si>
  <si>
    <t>market prices (other than those arising from interest rate risk or currency risk), whether those</t>
  </si>
  <si>
    <t>changes are caused by factors specific to the individual financial instrument or its issuer, or</t>
  </si>
  <si>
    <t>factors affecting all similar financial instruments traded in the market.</t>
  </si>
  <si>
    <t>A financial asset is past due when a counterparty has failed to make a payment when</t>
  </si>
  <si>
    <t>contractually due. Transaction costs are incremental costs that are directly attributable to the</t>
  </si>
  <si>
    <t>acquisition, issue or disposal of a financial asset or financial liability. An incremental cost is</t>
  </si>
  <si>
    <t>one that would not have been incurred if the entity had not acquired, issued or disposed of</t>
  </si>
  <si>
    <t>the financial instrument.</t>
  </si>
  <si>
    <t>Financial instruments at amortised cost are non-derivative financial assets or non-derivative</t>
  </si>
  <si>
    <t>Financial instruments at cost are investments in residual interests that do not have a quoted</t>
  </si>
  <si>
    <t>market price in an active market, and whose fair value cannot be reliably measured.</t>
  </si>
  <si>
    <t>The municipality has the following types of financial assets (classes and category) as</t>
  </si>
  <si>
    <t>reflected on the face of the statement of financial position or in the notes thereto:</t>
  </si>
  <si>
    <t>The entity recognises a financial asset or a financial liability in its statement of financial</t>
  </si>
  <si>
    <t>position when the entity becomes a party to the contractual provisions of the instrument.</t>
  </si>
  <si>
    <t>The entity measures a financial asset and financial liability initially at its fair value plus</t>
  </si>
  <si>
    <t>transaction costs that are directly attributable to the acquisition or issue of the financial asset</t>
  </si>
  <si>
    <t>The entity measures all financial assets and financial liabilities after initial recognition using</t>
  </si>
  <si>
    <t>the following categories:</t>
  </si>
  <si>
    <t>The best evidence of fair value is quoted prices in an active market. If the market for a</t>
  </si>
  <si>
    <t>financial instrument is not active, the entity establishes fair value by using a valuation</t>
  </si>
  <si>
    <t>technique. The objective of using a valuation technique is to establish what the transaction</t>
  </si>
  <si>
    <t>price would have been on the measurement date in an arm’s length exchange motivated by</t>
  </si>
  <si>
    <t>normal operating considerations. Valuation techniques include using recent arm’s length</t>
  </si>
  <si>
    <t>market transactions between knowledgeable, willing parties, if available, reference to the</t>
  </si>
  <si>
    <t>current fair value of another instrument that is substantially the same, discounted cash flow</t>
  </si>
  <si>
    <t>analysis and option pricing models. If there is a valuation technique commonly used by</t>
  </si>
  <si>
    <t>market participants to price the instrument and that technique has been demonstrated to</t>
  </si>
  <si>
    <t>provide reliable estimates of prices obtained in actual market transactions, the entity uses</t>
  </si>
  <si>
    <t>that technique. The chosen valuation technique makes maximum use of market inputs and</t>
  </si>
  <si>
    <t>relies as little as possible on entity-specific inputs. It incorporates all factors that market</t>
  </si>
  <si>
    <t>participants would consider in setting a price and is consistent with accepted economic</t>
  </si>
  <si>
    <t>methodologies for pricing financial instruments. Periodically, an entity calibrates the</t>
  </si>
  <si>
    <t>valuation technique and tests it for validity using prices from any observable current market</t>
  </si>
  <si>
    <t>transactions in the same instrument (i.e. without modification or repackaging) or based on</t>
  </si>
  <si>
    <t>any available observable market data. The fair value of a financial liability with a demand</t>
  </si>
  <si>
    <t>feature (e.g. a demand deposit) is not less than the amount payable on demand, discounted</t>
  </si>
  <si>
    <t>from the first date that the amount could be required to be paid.</t>
  </si>
  <si>
    <t>Where the entity cannot reliably measure the fair value of an embedded derivative that has</t>
  </si>
  <si>
    <t>been separated from a host contract that is a financial instrument at a subsequent reporting</t>
  </si>
  <si>
    <t>date, it measures the combined instrument at fair value.</t>
  </si>
  <si>
    <t>If fair value can no longer be measured reliably for an investment in a residual interest</t>
  </si>
  <si>
    <t>measured at fair value, the entity reclassifies the investment from fair value to cost. The</t>
  </si>
  <si>
    <t>carrying amount at the date that fair value is no longer available becomes the cost.</t>
  </si>
  <si>
    <t>If a reliable measure becomes available for an investment in a residual interest for which a</t>
  </si>
  <si>
    <t>measure was previously not available, and the instrument would have been required to be</t>
  </si>
  <si>
    <t>measured at fair value, the entity reclassifies the instrument from cost to fair value.</t>
  </si>
  <si>
    <t>A gain or loss arising from a change in the fair value of a financial asset or financial liability</t>
  </si>
  <si>
    <t>measured at fair value is recognised in surplus or deficit. For financial assets and financial</t>
  </si>
  <si>
    <t>liabilities measured at amortised cost or cost, a gain or loss is recognised in surplus or</t>
  </si>
  <si>
    <t>deficit when the financial asset or financial liability is derecognised or impaired, or through</t>
  </si>
  <si>
    <t>the amortisation process.</t>
  </si>
  <si>
    <t>The entity assess at the end of each reporting period whether there is any objective</t>
  </si>
  <si>
    <t>evidence that a financial asset or group of financial assets is impaired.</t>
  </si>
  <si>
    <t>If there is objective evidence that an impairment loss on financial assets measured at</t>
  </si>
  <si>
    <t>amortised cost has been incurred, the amount of the loss is measured as the difference</t>
  </si>
  <si>
    <t>between the asset’s carrying amount and the present value of</t>
  </si>
  <si>
    <t>estimated future cash flows (excluding future credit losses that have not been incurred)</t>
  </si>
  <si>
    <t>discounted at the financial asset’s original effective interest rate. The carrying amount of the</t>
  </si>
  <si>
    <t>loss is recognised in surplus or deficit.</t>
  </si>
  <si>
    <t>If, in a subsequent period, the amount of the impairment loss decreases and the decrease</t>
  </si>
  <si>
    <t>can be related objectively to an event occurring after the impairment was recognised, the</t>
  </si>
  <si>
    <t>account. The reversal does not result in a carrying amount of the financial asset that</t>
  </si>
  <si>
    <t>exceeds what the amortised cost would have been had the impairment not been recognised</t>
  </si>
  <si>
    <t>at the date the impairment is reversed. The amount of the reversal is recognised in surplus</t>
  </si>
  <si>
    <t>or deficit.</t>
  </si>
  <si>
    <t>If there is objective evidence that an impairment loss has been incurred on an investment in</t>
  </si>
  <si>
    <t>a residual interest that is not measured at fair value because its fair value cannot be</t>
  </si>
  <si>
    <t>measured reliably, the amount of the impairment loss is measured as the difference between</t>
  </si>
  <si>
    <t>the carrying amount of the financial asset and the present value of estimated future cash</t>
  </si>
  <si>
    <t>flows discounted at the current market rate of return for a similar financial asset. Such</t>
  </si>
  <si>
    <t>impairment losses are not reversed.</t>
  </si>
  <si>
    <t>retained and those transferred on the basis of their relative fair values at the transfer date.</t>
  </si>
  <si>
    <t>Newly created rights and obligations are measured at their fair values at that date. Any</t>
  </si>
  <si>
    <t>difference between the consideration received and the amounts recognised and</t>
  </si>
  <si>
    <t>If the entity transfers a financial asset in a transfer that qualifies for de-recognition in its</t>
  </si>
  <si>
    <t>entirety and retains the right to service the financial asset for a fee, it recognise either a</t>
  </si>
  <si>
    <t>servicing asset or a servicing liability for that servicing contract. If the fee to be received is</t>
  </si>
  <si>
    <t>not expected to compensate the entity adequately for performing the servicing, a servicing</t>
  </si>
  <si>
    <t>expected to be more than adequate compensation for the servicing, a servicing asset is</t>
  </si>
  <si>
    <t>recognised for the servicing right at an amount determined on the basis of an allocation of</t>
  </si>
  <si>
    <t>the carrying amount of the larger financial asset.</t>
  </si>
  <si>
    <t>If, as a result of a transfer, a financial asset is derecognised in its entirety but the transfer</t>
  </si>
  <si>
    <t>results in the entity obtaining a new financial asset or assuming a new financial liability, or a</t>
  </si>
  <si>
    <t>servicing liability, the entity recognise the new financial asset, financial liability or servicing</t>
  </si>
  <si>
    <t>liability at fair value.</t>
  </si>
  <si>
    <t>On de-recognition of a financial asset in its entirety, the difference between the carrying</t>
  </si>
  <si>
    <t>amount and the sum of the consideration received is recognised in surplus or deficit.</t>
  </si>
  <si>
    <t>If the transferred asset is part of a larger financial asset and the part transferred qualifies for</t>
  </si>
  <si>
    <t>de-recognition in its entirety, the previous carrying amount of the larger financial asset is</t>
  </si>
  <si>
    <t>allocated between the part that continues to be recognised and the part that is</t>
  </si>
  <si>
    <t>derecognised, based on the relative fair values of those parts, on the date of the transfer.</t>
  </si>
  <si>
    <t>For this purpose, a retained servicing asset is treated as a part that continues to be</t>
  </si>
  <si>
    <t>recognised. The difference between the carrying amount allocated to the part derecognised</t>
  </si>
  <si>
    <t>and the sum of the consideration received for the part derecognised is recognised in</t>
  </si>
  <si>
    <t>If a transfer does not result in de-recognition because the entity has retained substantially all</t>
  </si>
  <si>
    <t>the risks and rewards of ownership of the transferred asset, the entity continue to recognise</t>
  </si>
  <si>
    <t>the transferred asset in its entirety and recognise a financial liability for the consideration</t>
  </si>
  <si>
    <t>received. In subsequent periods, the entity recognises any revenue on the transferred</t>
  </si>
  <si>
    <t>asset and any expense incurred on the financial liability. Neither the asset, and the</t>
  </si>
  <si>
    <t>associated liability nor the revenue, and the associated expenses are offset.</t>
  </si>
  <si>
    <t>The entity removes a financial liability (or a part of a financial liability) from its statement of</t>
  </si>
  <si>
    <t>financial position when it is extinguished i.e. when the obligation specified in the contract is</t>
  </si>
  <si>
    <t>discharged, cancelled, expires or waived.</t>
  </si>
  <si>
    <t>An exchange between an existing borrower and lender of debt instruments with substantially</t>
  </si>
  <si>
    <t>different terms is accounted for as having extinguished the original financial liability and a</t>
  </si>
  <si>
    <t>new financial liability is recognised. Similarly, a substantial modification of the terms of an</t>
  </si>
  <si>
    <t>existing financial liability or a part of it is accounted for as having extinguished the original</t>
  </si>
  <si>
    <t>The difference between the carrying amount of a financial liability (or part of a financial</t>
  </si>
  <si>
    <t>liability) extinguished or transferred to another party and the consideration paid, including</t>
  </si>
  <si>
    <t>any non-cash assets transferred or liabilities assumed, is recognised in surplus or deficit.</t>
  </si>
  <si>
    <t>Any liabilities that are waived, forgiven or assumed by another entity by way of a non-</t>
  </si>
  <si>
    <t>exchange transaction are accounted for in accordance with the Standard of GRAP on</t>
  </si>
  <si>
    <t>Revenue from Non-exchange Transactions (Taxes and Transfers).</t>
  </si>
  <si>
    <t>Interest relating to a financial instrument or a component that is a financial liability is</t>
  </si>
  <si>
    <t>recognised as revenue or expense in surplus or deficit.</t>
  </si>
  <si>
    <t>Dividends or similar distributions relating to a financial instrument or a component that is a</t>
  </si>
  <si>
    <t>financial liability is recognised as revenue or expense in surplus or deficit. Losses and gains</t>
  </si>
  <si>
    <t>relating to a financial instrument or a component that is a financial liability is recognised as</t>
  </si>
  <si>
    <t>revenue or expense in surplus or deficit.</t>
  </si>
  <si>
    <t>Distributions to holders of residual interests are debited by the entity directly to net assets,</t>
  </si>
  <si>
    <t>residual interests is accounted for as a deduction from net assets, net of any related income</t>
  </si>
  <si>
    <t>A financial asset and a financial liability are only offset and the net amount presented in the</t>
  </si>
  <si>
    <t>statement of financial position when the entity currently has a legally enforceable right to set</t>
  </si>
  <si>
    <t>off the recognised amounts and intends either to settle on a net basis, or to realise the asset</t>
  </si>
  <si>
    <t>and settle the liability simultaneously. In accounting for a transfer of a financial asset that</t>
  </si>
  <si>
    <t>does not qualify for de-recognition, the entity does not offset the transferred asset and the</t>
  </si>
  <si>
    <t>associated liability.</t>
  </si>
  <si>
    <t>Revenue is the gross inflow of economic benefits or service potential during the reporting</t>
  </si>
  <si>
    <t>period when those inflows result in an increase in net assets, other than increases relating to</t>
  </si>
  <si>
    <t>contributions from owners.</t>
  </si>
  <si>
    <t>An exchange transaction is one in which the municipality receives assets or services, or has</t>
  </si>
  <si>
    <t>liabilities extinguished, and directly gives approximately equal value (primarily in the form of</t>
  </si>
  <si>
    <t>goods, services or use of assets) to the other party in exchange.</t>
  </si>
  <si>
    <t>between knowledgeable, willing parties in an arm’s length transaction.</t>
  </si>
  <si>
    <t>Revenue is measured at the fair value of the consideration received or receivable, net of</t>
  </si>
  <si>
    <t>trade discounts and volume rebates.</t>
  </si>
  <si>
    <t>Revenue from the sale of goods is recognised when all the following conditions have been</t>
  </si>
  <si>
    <t>satisfied:</t>
  </si>
  <si>
    <t>When the outcome of a transaction involving the rendering of services can be estimated</t>
  </si>
  <si>
    <t>reliably, revenue associated with the transaction is recognised by reference to the stage of</t>
  </si>
  <si>
    <t>completion of the transaction at the reporting date. The outcome of a transaction can be</t>
  </si>
  <si>
    <t>estimated reliably when all the following conditions are satisfied:</t>
  </si>
  <si>
    <t>When services are performed by an indeterminate number of acts over a specified time</t>
  </si>
  <si>
    <t>frame, revenue is recognised on a straight line basis over the specified time frame unless</t>
  </si>
  <si>
    <t>there is evidence that some other method better represents the stage of completion. When a</t>
  </si>
  <si>
    <t>specific act is much more significant than any other acts, the recognition of revenue is</t>
  </si>
  <si>
    <t>When the outcome of the transaction involving the rendering of services cannot be estimated</t>
  </si>
  <si>
    <t>reliably, revenue is recognised only to the extent of the expenses recognised that are</t>
  </si>
  <si>
    <t>recoverable. Service revenue is recognised by reference to the stage of completion of the</t>
  </si>
  <si>
    <t>transaction at the reporting date. Stage of completion is determined by.</t>
  </si>
  <si>
    <t>Revenue arising from the use by others of entity assets yielding interest, royalties and</t>
  </si>
  <si>
    <t>dividends is recognised when:</t>
  </si>
  <si>
    <t>Royalties are recognised as they are earned in accordance with the substance of the</t>
  </si>
  <si>
    <t>relevant agreements.</t>
  </si>
  <si>
    <t>Dividends, or their equivalents are recognised, in surplus or deficit, when the municipality’s</t>
  </si>
  <si>
    <t>right to receive payment has been established.</t>
  </si>
  <si>
    <t>Service fees included in the price of the product are recognised as revenue over the period</t>
  </si>
  <si>
    <t>during which the service is performed.</t>
  </si>
  <si>
    <t>Revenue comprises gross inflows of economic benefits or service potential received and</t>
  </si>
  <si>
    <t>receivable by a municipality, which represents an increase in net assets, other than</t>
  </si>
  <si>
    <t>increases relating to contributions from owners.</t>
  </si>
  <si>
    <t>Conditions on transferred assets are stipulations that specify that the future economic</t>
  </si>
  <si>
    <t>benefits or service potential embodied in the asset is required to be consumed by the</t>
  </si>
  <si>
    <t>recipient as specified or future economic benefits or service potential must be returned to the</t>
  </si>
  <si>
    <t>transferor.</t>
  </si>
  <si>
    <t>Control of an asset arise when the municipality can use or otherwise benefit from the asset</t>
  </si>
  <si>
    <t>in pursuit of its objectives and can exclude or otherwise regulate the access of others to that</t>
  </si>
  <si>
    <t>benefit.</t>
  </si>
  <si>
    <t>Exchange transactions are transactions in which one entity receives assets or services, or</t>
  </si>
  <si>
    <t>has liabilities extinguished, and directly gives approximately equal value (primarily in the</t>
  </si>
  <si>
    <t>form of cash, goods, services, or use of assets) to another entity in exchange.</t>
  </si>
  <si>
    <t>Fines are economic benefits or service potential received or receivable by entities, as</t>
  </si>
  <si>
    <t>determined by a court or other law enforcement body, as a consequence of the breach of</t>
  </si>
  <si>
    <t>laws or regulations.</t>
  </si>
  <si>
    <t>Non-exchange transactions are transactions that are not exchange transactions. In a non-</t>
  </si>
  <si>
    <t>exchange transaction, an municipality either receives value from another municipality without</t>
  </si>
  <si>
    <t>directly giving approximately equal value in exchange, or gives value to another municipality</t>
  </si>
  <si>
    <t>without directly receiving approximately equal value in exchange.</t>
  </si>
  <si>
    <t>Restrictions on transferred assets are stipulations that limit or direct the purposes for which a</t>
  </si>
  <si>
    <t>transferred asset may be used, but do not specify that future economic benefits or service</t>
  </si>
  <si>
    <t>potential is required to be returned to the transferor if not deployed as specified. Stipulations</t>
  </si>
  <si>
    <t>on transferred assets are terms in laws or regulation, or a binding arrangement, imposed</t>
  </si>
  <si>
    <t>upon the use of a transferred asset by entities external to the reporting municipality.</t>
  </si>
  <si>
    <t>Taxes are economic benefits or service potential compulsorily paid or payable to entities, in</t>
  </si>
  <si>
    <t>accordance with laws and or regulations, established to provide revenue to government.</t>
  </si>
  <si>
    <t>Taxes do not include fines or other penalties imposed for breaches of the law.</t>
  </si>
  <si>
    <t>Transfers are inflows of future economic benefits or service potential from non-exchange</t>
  </si>
  <si>
    <t>transactions, other than taxes.</t>
  </si>
  <si>
    <t>An inflow of resources from a non-exchange transaction recognised as an asset is</t>
  </si>
  <si>
    <t>recognised as revenue, except to the extent that a liability is also recognised in respect of</t>
  </si>
  <si>
    <t>the same inflow.</t>
  </si>
  <si>
    <t>As the municipality satisfies a present obligation recognised as a liability in respect of an</t>
  </si>
  <si>
    <t>inflow of resources from a non-exchange transaction recognised as an asset, it reduces the</t>
  </si>
  <si>
    <t>carrying amount of the liability recognised and recognises an amount of revenue equal to</t>
  </si>
  <si>
    <t>that reduction.</t>
  </si>
  <si>
    <t>Revenue from a non-exchange transaction is measured at the amount of the increase in net</t>
  </si>
  <si>
    <t>assets recognised by the municipality. When, as a result of a non-exchange transaction, the</t>
  </si>
  <si>
    <t>municipality recognises an asset, it also recognises revenue equivalent to the amount of the</t>
  </si>
  <si>
    <t>asset measured at its fair value as at the date of acquisition, unless it is also required to</t>
  </si>
  <si>
    <t>recognise a liability. Where a liability is required to be recognised it will be measured as the</t>
  </si>
  <si>
    <t>best estimate of the amount required to settle the obligation at the reporting date, and the</t>
  </si>
  <si>
    <t>amount of the increase in net assets, if any, recognised as revenue. When a liability is</t>
  </si>
  <si>
    <t>subsequently reduced, because the taxable event occurs or a condition is satisfied, the</t>
  </si>
  <si>
    <t>amount of the reduction in the liability is recognised as revenue.</t>
  </si>
  <si>
    <t>Apart from Services in kind, which are not recognised, the municipality recognises an asset</t>
  </si>
  <si>
    <t>in respect of transfers when the transferred resources meet the definition of an asset and</t>
  </si>
  <si>
    <t>satisfy the criteria for recognition as an asset. The municipality recognises an asset in</t>
  </si>
  <si>
    <t>respect of transfers when the transferred resources meet the definition of an asset</t>
  </si>
  <si>
    <t>and satisfy the criteria for recognition as an asset. Transferred assets are measured at their</t>
  </si>
  <si>
    <t>fair value as at the date of acquisition.</t>
  </si>
  <si>
    <t>Fines are recognised as revenue when the receivable meets the definition of an asset and</t>
  </si>
  <si>
    <t>satisfies the criteria for recognition as an asset. Assets arising from fines are measured at</t>
  </si>
  <si>
    <t>the best estimate of the inflow of resources to the municipality. Where the municipality</t>
  </si>
  <si>
    <t>collects fines in the capacity of an agent, the fine will not be revenue of the collecting entity.</t>
  </si>
  <si>
    <t>Bequests that satisfy the definition of an asset are recognised as assets and revenue when it</t>
  </si>
  <si>
    <t>is probable that the future economic benefits or service potential will flow to the municipality,</t>
  </si>
  <si>
    <t>and the fair value of the assets can be measured reliably.</t>
  </si>
  <si>
    <t>Gifts and donations, including goods in kind, are recognised as assets and revenue when it</t>
  </si>
  <si>
    <t>is probable that the future economic benefits or service potential will flow to the municipality</t>
  </si>
  <si>
    <t>Revenue received from conditional grants, donations and funding are recognised as revenue</t>
  </si>
  <si>
    <t>to the extent that the municipality has complied with any of the criteria, conditions or</t>
  </si>
  <si>
    <t>obligations embodied in the agreement. To the extent that the criteria, conditions or</t>
  </si>
  <si>
    <t>obligations have not been met a liability is recognised.</t>
  </si>
  <si>
    <t>The amount of a provision is the best estimate of the expenditure expected to be required to</t>
  </si>
  <si>
    <t>settle the present obligation at the reporting date. Where the effect of time value of money is</t>
  </si>
  <si>
    <t>material, the amount of a provision is the present value of the expenditures expected to be</t>
  </si>
  <si>
    <t>required to settle the obligation. The discount rate is a pre-tax rate that reflects current</t>
  </si>
  <si>
    <t>market assessments of the time value of money and the risks specific to the liability.</t>
  </si>
  <si>
    <t>Where some or all of the expenditure required to settle a provision is expected to be</t>
  </si>
  <si>
    <t>reimbursed by another party, the reimbursement is recognised when, and only when, it is</t>
  </si>
  <si>
    <t>virtually certain that reimbursement will be received if the municipality settles the obligation.</t>
  </si>
  <si>
    <t>The reimbursement is treated as a separate asset. The amount recognised for the</t>
  </si>
  <si>
    <t>Provisions are reviewed at each reporting date and adjusted to reflect the current best</t>
  </si>
  <si>
    <t>estimate. Provisions are reversed if it is no longer probable that an outflow of resources</t>
  </si>
  <si>
    <t>embodying economic benefits or service potential will be required, to settle the obligation.</t>
  </si>
  <si>
    <t>Where discounting is used, the carrying amount of a provision increases in each period to</t>
  </si>
  <si>
    <t>reflect the passage of time. This increase is recognised as an interest expense.</t>
  </si>
  <si>
    <t>If an entity has a contract that is onerous, the present obligation (net of recoveries) under the</t>
  </si>
  <si>
    <t>contract is recognised and measured as a provision. No obligation arises as a consequence</t>
  </si>
  <si>
    <t>of the sale or transfer of an operation until the municipality is committed to the</t>
  </si>
  <si>
    <t>After their initial recognition contingent liabilities recognised in business combinations that</t>
  </si>
  <si>
    <t>are recognised separately are subsequently measured at the higher of:</t>
  </si>
  <si>
    <t>All expenditure relating to unauthorised expenditure is recognised as an expense in the</t>
  </si>
  <si>
    <t>statement of financial performance in the year that the expenditure was incurred. The</t>
  </si>
  <si>
    <t>expenditure is classified in accordance with the nature of the expense, and where recovered,</t>
  </si>
  <si>
    <t>it is subsequently accounted for as revenue in the statement of financial performance.</t>
  </si>
  <si>
    <t>Irregular expenditure is expenditure that is contrary to the Municipal Finance Management</t>
  </si>
  <si>
    <t>Act (Act No.56 of 2003), the Municipal Systems Act (Act No.32 of 2000), The Public Office</t>
  </si>
  <si>
    <t>Bearers Act (Act No. 20 of 1998) or is in contravention of the Municipality’s supply chain</t>
  </si>
  <si>
    <t>management policy. Irregular expenditure excludes unauthorised expenditure.</t>
  </si>
  <si>
    <t>Irregular expenditure is accounted for as expenditure in the Statement of Financial</t>
  </si>
  <si>
    <t>Performance and where recovered, it is subsequently accounted for as revenue in the</t>
  </si>
  <si>
    <t>Statement of Financial Performance.</t>
  </si>
  <si>
    <t>Fruitless expenditure means expenditure which was made in vain and would have been</t>
  </si>
  <si>
    <t>avoided had reasonable care been exercised. All expenditure relating to fruitless and</t>
  </si>
  <si>
    <t>wasteful expenditure is recognised as an expense in the statement of financial performance</t>
  </si>
  <si>
    <t>in the year that the expenditure was incurred. The expenditure is classified in accordance</t>
  </si>
  <si>
    <t>with the nature of the expense, and where recovered, it is subsequently accounted for as</t>
  </si>
  <si>
    <t>revenue in the statement of financial performance.</t>
  </si>
  <si>
    <t>Budgeted amounts have been included in the statement of comparison of budget and actual</t>
  </si>
  <si>
    <t>amounts for the current financial year only.</t>
  </si>
  <si>
    <t>When presentation or classification of items in the annual financial statements is amended,</t>
  </si>
  <si>
    <t>prior period comparative amounts are restated. The nature and reason for the</t>
  </si>
  <si>
    <t>reclassification is disclosed. Where there has been a change in accounting policy in the</t>
  </si>
  <si>
    <t>current year, the adjustment is made retrospectively as far as is practicable, and the prior</t>
  </si>
  <si>
    <t>year comparatives are restated accordingly.</t>
  </si>
  <si>
    <t>A lease is classified as a finance lease if it transfers substantially all the risks and rewards</t>
  </si>
  <si>
    <t>incidental to ownership. A lease is classified as an operating lease if it does not transfer</t>
  </si>
  <si>
    <t>substantially all the risks and rewards incidental to ownership.</t>
  </si>
  <si>
    <t>Finance leases are recognised as assets and liabilities in the statement of financial position</t>
  </si>
  <si>
    <t>at amounts equal to the fair value of the leased property or, if lower, the present value of the</t>
  </si>
  <si>
    <t>minimum lease payments. The corresponding liability to the lessor is included in the</t>
  </si>
  <si>
    <t>statement of financial position as a finance lease obligation.</t>
  </si>
  <si>
    <t>The discount rate used in calculating the present value of the minimum lease payments is</t>
  </si>
  <si>
    <t>the interest rate implicit in the lease. The lease payments are apportioned between the</t>
  </si>
  <si>
    <t>finance charge and reduction of the outstanding liability. The finance charge is allocated to</t>
  </si>
  <si>
    <t>each period during the lease term so as to produce a constant periodic rate of on the</t>
  </si>
  <si>
    <t>remaining balance of the liability.</t>
  </si>
  <si>
    <t>Operating lease income is recognised as an income on a straight-line basis over the lease</t>
  </si>
  <si>
    <t>term. Initial direct costs incurred in negotiating and arranging operating leases are added to</t>
  </si>
  <si>
    <t>the carrying amount of the leased asset and recognised as an expense over the lease term</t>
  </si>
  <si>
    <t>on the same basis as the lease income.</t>
  </si>
  <si>
    <t>Operating lease payments are recognised as an expense on a straight-line basis over the</t>
  </si>
  <si>
    <t>lease term. The difference between the amounts recognised as an expense and the</t>
  </si>
  <si>
    <t>discounted.</t>
  </si>
  <si>
    <t>. is capable of being separated or divided from an entity and sold, transferred,</t>
  </si>
  <si>
    <t>licensed, rented or exchanged, either individually or together with a related contract,</t>
  </si>
  <si>
    <t>assets or liability; or</t>
  </si>
  <si>
    <t>. arises from contractual rights or other legal rights, regardless whether those rights</t>
  </si>
  <si>
    <t>are transferable or separate from the municipality or from other rights and</t>
  </si>
  <si>
    <t>obligations.</t>
  </si>
  <si>
    <t>An intangible asset acquired at no or nominal cost, the cost shall be its fair value as at the</t>
  </si>
  <si>
    <t>date of acquisition.</t>
  </si>
  <si>
    <t>Expenditure on research (or on the research phase of an internal project) is recognised as</t>
  </si>
  <si>
    <t>an expense when it is incurred. An intangible asset arising from development (or from the</t>
  </si>
  <si>
    <t>development phase of an internal project) is recognised when:</t>
  </si>
  <si>
    <t>Intangible assets are carried at cost less any accumulated amortisation and any impairment</t>
  </si>
  <si>
    <t>losses. An intangible asset is regarded as having an indefinite useful life when, based on all</t>
  </si>
  <si>
    <t>relevant factors, there is no foreseeable limit to the period over which the asset is expected</t>
  </si>
  <si>
    <t>to generate net cash inflows. Amortisation is not provided for these property, plant and</t>
  </si>
  <si>
    <t>equipment. For all other intangible assets amortisation is provided on a straight line basis</t>
  </si>
  <si>
    <t>over their useful life.</t>
  </si>
  <si>
    <t>The amortisation period and the amortisation method for intangible assets are reviewed</t>
  </si>
  <si>
    <t>every period-end. Reassessing the useful life of an intangible asset with a definite useful life</t>
  </si>
  <si>
    <t>after it was classified as indefinite is an indicator that the asset may be impaired. As a result</t>
  </si>
  <si>
    <t>the asset is tested for impairment and the remaining carrying amount is amortised over its</t>
  </si>
  <si>
    <t>useful life.</t>
  </si>
  <si>
    <t>Internally generated brands, mastheads, publishing titles, customer lists and items similar in</t>
  </si>
  <si>
    <t>substance are not recognised as intangible assets.</t>
  </si>
  <si>
    <t>Amortisation is provided to write down the intangible assets, on a straight line basis, to their</t>
  </si>
  <si>
    <t>residual values as follows:</t>
  </si>
  <si>
    <t>Cash-generating assets are those assets held by the municipality with the primary objective</t>
  </si>
  <si>
    <t>of generating a commercial return. When an asset is deployed in a manner consistent with</t>
  </si>
  <si>
    <t>that adopted by a profit-orientated entity, it generates a commercial return.</t>
  </si>
  <si>
    <t>When the carrying amount of a cash-generating asset exceeds its recoverable amount, it is</t>
  </si>
  <si>
    <t>impaired. The municipality assesses at each reporting date whether there is any indication</t>
  </si>
  <si>
    <t>that a cash-generating asset may be impaired. If any such indication exists, the municipality</t>
  </si>
  <si>
    <t>estimates the recoverable amount of the asset.</t>
  </si>
  <si>
    <t>If there is any indication that an asset may be impaired, the recoverable amount is estimated</t>
  </si>
  <si>
    <t>for the individual asset. If it is not possible to estimate the recoverable amount of the</t>
  </si>
  <si>
    <t>individual asset, the municipality determines the recoverable amount of the cash-generating</t>
  </si>
  <si>
    <t>unit to which the asset belongs (the asset's cash-generating unit).</t>
  </si>
  <si>
    <t>The amount of the impairment loss that would otherwise have been allocated to the asset is</t>
  </si>
  <si>
    <t>allocated pro rata to the other cash-generating assets of the unit. Where a non-cash-</t>
  </si>
  <si>
    <t>generating asset contributes to a cash-generating unit, a proportion of the carrying amount</t>
  </si>
  <si>
    <t>of that noncash-generating asset is allocated to the carrying amount of the cash-generating</t>
  </si>
  <si>
    <t>unit prior to estimation of the recoverable amount of the cash-generating unit.</t>
  </si>
  <si>
    <t>The municipality assess at each reporting date whether there is any indication that an</t>
  </si>
  <si>
    <t>impairment loss recognised in prior periods for a cash-generating asset may no longer exist</t>
  </si>
  <si>
    <t>or may have decreased. If any such indication exists, the entity estimates the recoverable</t>
  </si>
  <si>
    <t>amount of that asset.</t>
  </si>
  <si>
    <t>asset’s revised carrying amount, less its residual value (if any), on a systematic basis over</t>
  </si>
  <si>
    <t>The re-designation of assets from a cash-generating asset to a non-cash-generating asset</t>
  </si>
  <si>
    <t>or from a non-cash-generating asset to a cash-generating asset only occur when there is</t>
  </si>
  <si>
    <t>clear evidence that such a re-designation is appropriate.</t>
  </si>
  <si>
    <t>Employee benefits are all forms of consideration given by an entity in exchange for service</t>
  </si>
  <si>
    <t>rendered by employees. A qualifying insurance policy is an insurance policy issued by an</t>
  </si>
  <si>
    <t>insurer that is not a related party (as defined in the Standard of GRAP on Related Party</t>
  </si>
  <si>
    <t>Disclosures) of the reporting entity, if the proceeds of the policy can be used only to pay or</t>
  </si>
  <si>
    <t>fund employee benefits under a defined benefit plan and are not available to the reporting</t>
  </si>
  <si>
    <t>entity’s own creditors (even in liquidation) and cannot be paid to the reporting entity, unless</t>
  </si>
  <si>
    <t>either:</t>
  </si>
  <si>
    <t>Other long-term employee benefits are employee benefits (other than post-employment</t>
  </si>
  <si>
    <t>benefits and termination benefits) that are not due to be settled within twelve months after</t>
  </si>
  <si>
    <t>the end of the period in which the employees render the related service.</t>
  </si>
  <si>
    <t>Vested employee benefits are employee benefits that are not conditional on future</t>
  </si>
  <si>
    <t>employment. Composite social security programmes are established by legislation and</t>
  </si>
  <si>
    <t>operate as multi-employer plans to provide post-employment benefits as well as to provide</t>
  </si>
  <si>
    <t>benefits that are not consideration in exchange for service rendered by employees.</t>
  </si>
  <si>
    <t>A constructive obligation is an obligation that derives from an entity’s actions where by an</t>
  </si>
  <si>
    <t>established pattern of past practice, published policies or a sufficiently specific current</t>
  </si>
  <si>
    <t>statement, the entity has indicated to other parties that it will accept certain responsibilities</t>
  </si>
  <si>
    <t>and as a result, the entity has created a valid expectation on the part of those other</t>
  </si>
  <si>
    <t>Short-term employee benefits are employee benefits (other than termination benefits) that</t>
  </si>
  <si>
    <t>are due to be settled within twelve months after the end of the period in which the employees</t>
  </si>
  <si>
    <t>render the related service.</t>
  </si>
  <si>
    <t>When an employee has rendered service to the entity during a reporting period, the entity</t>
  </si>
  <si>
    <t>recognise the undiscounted amount of short-term employee benefits expected to be paid in</t>
  </si>
  <si>
    <t>exchange for that service:</t>
  </si>
  <si>
    <t>The expected cost of compensated absences is recognised as an expense as the</t>
  </si>
  <si>
    <t>employees render services that increase their entitlement or, in the case of non-</t>
  </si>
  <si>
    <t>accumulating absences, when the absence occurs. The entity measure the expected cost of</t>
  </si>
  <si>
    <t>accumulating compensated absences as the additional amount that the entity expects to pay</t>
  </si>
  <si>
    <t>as a result of the unused entitlement that has accumulated at the reporting date.</t>
  </si>
  <si>
    <t>The entity recognise the expected cost of bonus, incentive and performance related</t>
  </si>
  <si>
    <t>payments when the entity has a present legal or constructive obligation to make such</t>
  </si>
  <si>
    <t>payments as a result of past events and a reliable estimate of the obligation can be made. A</t>
  </si>
  <si>
    <t>present obligation exists when the entity has no realistic alternative but to make the</t>
  </si>
  <si>
    <t>payments.</t>
  </si>
  <si>
    <t>Post-employment benefits are employee benefits (other than termination benefits) which are</t>
  </si>
  <si>
    <t>payable after the completion of employment. Post-employment benefit plans are formal or</t>
  </si>
  <si>
    <t>informal arrangements under which an entity provides post-employment benefits for one or</t>
  </si>
  <si>
    <t>more employees.</t>
  </si>
  <si>
    <t>Defined contribution plans are post-employment benefit plans under which an entity pays</t>
  </si>
  <si>
    <t>fixed contributions into a separate entity (a fund) and will have no legal or constructive</t>
  </si>
  <si>
    <t>obligation to pay further contributions if the fund does not hold sufficient assets to pay all</t>
  </si>
  <si>
    <t>employee benefits relating to employee service in the current and prior periods.</t>
  </si>
  <si>
    <t>recognise the contribution payable to a defined contribution plan in exchange for that</t>
  </si>
  <si>
    <t>service:</t>
  </si>
  <si>
    <t>Where contributions to a defined contribution plan do not fall due wholly within twelve</t>
  </si>
  <si>
    <t>months after the end of each reporting period in which the employees render the related</t>
  </si>
  <si>
    <t>service, they are discounted. The rate used to discount reflects the time value of money. The</t>
  </si>
  <si>
    <t>currency and term of the financial instrument selected to reflect the time value of money is</t>
  </si>
  <si>
    <t>Defined benefit plans are post-employment benefit plans other than defined contribution</t>
  </si>
  <si>
    <t>plans. Actuarial gains and losses comprise experience adjustments (the effects of</t>
  </si>
  <si>
    <t>differences between the previous actuarial assumptions and what has actually occurred) and</t>
  </si>
  <si>
    <t>the effects of changes in actuarial assumptions. In measuring its defined benefit liability the</t>
  </si>
  <si>
    <t>municipality recognise actuarial gains and losses in surplus or deficit in the reporting period</t>
  </si>
  <si>
    <t>in which they occur.</t>
  </si>
  <si>
    <t>Assets held by a long-term employee benefit fund are assets (other than non-transferable</t>
  </si>
  <si>
    <t>financial instruments issued by the reporting municipality) that are held by an municipality (a</t>
  </si>
  <si>
    <t>fund) that is legally separate from the reporting municipality and exists solely to pay or fund</t>
  </si>
  <si>
    <t>employee benefits and are available to be used only to pay or fund employee benefits, are</t>
  </si>
  <si>
    <t>not available to the reporting municipality’s own creditors (even in liquidation), and cannot be</t>
  </si>
  <si>
    <t>returned to the reporting municipality, unless either:</t>
  </si>
  <si>
    <t>Current service cost is the increase in the present value of the defined benefit obligation</t>
  </si>
  <si>
    <t>resulting from employee service in the current period. Interest cost is the increase during a</t>
  </si>
  <si>
    <t>period in the present value of a defined benefit obligation which arises because the</t>
  </si>
  <si>
    <t>Past service cost is the change in the present value of the defined benefit obligation for</t>
  </si>
  <si>
    <t>employee service in prior periods, resulting in the current period from the introduction of, or</t>
  </si>
  <si>
    <t>changes to, post-employment benefits or other long-term employee benefits. Past service</t>
  </si>
  <si>
    <t>cost may be either positive (when benefits are introduced or changed so that the present</t>
  </si>
  <si>
    <t>value of the defined benefit obligation increases) or negative (when existing benefits are</t>
  </si>
  <si>
    <t>changed so that the present value of the defined benefit obligation decreases). In measuring</t>
  </si>
  <si>
    <t>its defined benefit liability the entity recognise past service cost as an expense in the</t>
  </si>
  <si>
    <t>reporting period in which the plan is amended.</t>
  </si>
  <si>
    <t>Plan assets comprise assets held by a long-term employee benefit fund and qualifying</t>
  </si>
  <si>
    <t>insurance policies. The present value of a defined benefit obligation is the present value,</t>
  </si>
  <si>
    <t>without deducting any plan assets, of expected future payments required to settle the</t>
  </si>
  <si>
    <t>obligation resulting from employee service in the current and prior periods.</t>
  </si>
  <si>
    <t>The return on plan assets is interest, dividends and other revenue derived from the plan</t>
  </si>
  <si>
    <t>assets, together with realised and unrealised gains or losses on the plan assets, less any</t>
  </si>
  <si>
    <t>costs of administering the plan (other than those included in the actuarial assumptions used</t>
  </si>
  <si>
    <t>to measure the defined benefit obligation) and less any tax payable by the plan itself.</t>
  </si>
  <si>
    <t>The entity account not only for its legal obligation under the formal terms of a defined benefit</t>
  </si>
  <si>
    <t>plan, but also for any constructive obligation that arises from the municipality’s informal</t>
  </si>
  <si>
    <t>practices. Informal practices give rise to a constructive obligation where the municipality has</t>
  </si>
  <si>
    <t>no realistic alternative but to pay employee benefits. An example of a constructive obligation</t>
  </si>
  <si>
    <t>is where a change in the municipality’s informal practices would cause unacceptable</t>
  </si>
  <si>
    <t>damage to its relationship with employees.</t>
  </si>
  <si>
    <t>The amount determined as a defined benefit liability may be negative (an asset). The</t>
  </si>
  <si>
    <t>municipality measure the resulting asset at the lower of:</t>
  </si>
  <si>
    <t>The municipality determine the present value of defined benefit obligations and the fair value</t>
  </si>
  <si>
    <t>of any plan assets with sufficient regularity such that the amounts recognised in the annual</t>
  </si>
  <si>
    <t>financial statements do not differ materially from the amounts that would be determined at</t>
  </si>
  <si>
    <t>the reporting date. The municipality recognises the net total of the following amounts in</t>
  </si>
  <si>
    <t>surplus or deficit, except to the extent that another Standard requires or permits their</t>
  </si>
  <si>
    <t>inclusion in the cost of an asset:</t>
  </si>
  <si>
    <t>The municipality uses the Projected Unit Credit Method to determine the present value of its</t>
  </si>
  <si>
    <t>defined benefit obligations and the related current service cost and, where applicable, past</t>
  </si>
  <si>
    <t>service cost. The Projected Unit Credit Method (sometimes known as the accrued benefit</t>
  </si>
  <si>
    <t>method pro-rated on service or as the benefit/years of service method) sees each period of</t>
  </si>
  <si>
    <t>service as giving rise to an additional unit of benefit entitlement and measures each unit</t>
  </si>
  <si>
    <t>separately to build up the final obligation.</t>
  </si>
  <si>
    <t>In determining the present value of its defined benefit obligations and the related current</t>
  </si>
  <si>
    <t>service cost and, where applicable, past service cost, an municipality shall attribute benefit</t>
  </si>
  <si>
    <t>to periods of service under the plan’s benefit formula. However, if an employee’s service in</t>
  </si>
  <si>
    <t>shall attribute benefit on a straight-line basis from:</t>
  </si>
  <si>
    <t>Actuarial valuations are conducted on an annual basis by independent actuaries separately</t>
  </si>
  <si>
    <t>for each plan. The results of the valuation are updated for any material transactions and</t>
  </si>
  <si>
    <t>other material changes in circumstances (including changes in market prices and interest</t>
  </si>
  <si>
    <t>rates) up to the reporting date.</t>
  </si>
  <si>
    <t>The municipality recognises gains or losses on the curtailment or settlement of a defined</t>
  </si>
  <si>
    <t>benefit plan when the curtailment or settlement occurs. The gain or loss on a curtailment or</t>
  </si>
  <si>
    <t>settlement comprises:</t>
  </si>
  <si>
    <t>Before determining the effect of a curtailment or settlement, the municipality re-measure the</t>
  </si>
  <si>
    <t>obligation (and the related plan assets, if any) using current actuarial assumptions (including</t>
  </si>
  <si>
    <t>current market interest rates and other current market prices). When it is virtually certain that</t>
  </si>
  <si>
    <t>another party will reimburse some or all of the expenditure required to settle a defined</t>
  </si>
  <si>
    <t>benefit obligation, the right to reimbursement is recognised as a separate asset. The asset is</t>
  </si>
  <si>
    <t>measured at fair value. In all other respects, the asset is treated in the same way as plan</t>
  </si>
  <si>
    <t>assets. In surplus or deficit, the expense relating to a defined benefit plan is [OR is not]</t>
  </si>
  <si>
    <t>presented as the net of the amount recognised for a reimbursement.</t>
  </si>
  <si>
    <t>The municipality offsets an asset relating to one plan against a liability relating to another</t>
  </si>
  <si>
    <t>plan when the municipality has a legally enforceable right to use a surplus in one plan to</t>
  </si>
  <si>
    <t>settle obligations under the other plan and intends either to settle the obligations on a net</t>
  </si>
  <si>
    <t>basis, or to realise the surplus in one plan and settle its obligation under the other plan</t>
  </si>
  <si>
    <t>Financial assumptions are based on market expectations, at the reporting date, for the</t>
  </si>
  <si>
    <t>period over which the obligations are to be settled. The rate used to discount post-</t>
  </si>
  <si>
    <t>employment benefit obligations (both funded and unfunded) reflect the time value of money.</t>
  </si>
  <si>
    <t>The currency and term of the financial instrument selected to reflect the time value of money</t>
  </si>
  <si>
    <t>is consistent with the currency and estimated term of the post-employment benefit</t>
  </si>
  <si>
    <t>Assumptions about medical costs take account of estimated future changes in the cost of</t>
  </si>
  <si>
    <t>medical services, resulting from both inflation and specific changes in medical costs.</t>
  </si>
  <si>
    <t>The schemes are funded through payments to financial consultant companies or trustee-</t>
  </si>
  <si>
    <t>administered funds, determined by periodic actuarial calculations. The Municipality has both</t>
  </si>
  <si>
    <t>defined benefit and defined contribution plans. A defined benefit plan is a pension plan that</t>
  </si>
  <si>
    <t>defines an amount of pension benefit that an employee will receive on retirement, usually</t>
  </si>
  <si>
    <t>dependent on one or more factors such as age, years of service and compensation. A</t>
  </si>
  <si>
    <t>defined contribution plan is a pension plan under which the Municipality pays fixed</t>
  </si>
  <si>
    <t>contributions into a separate entity. The Municipality has no legal or constructive obligations</t>
  </si>
  <si>
    <t>to pay further contributions if the fund does not hold sufficient assets to pay all employees</t>
  </si>
  <si>
    <t>the benefits relating to employee service in the current and prior periods.</t>
  </si>
  <si>
    <t>For defined contribution plans, the Municipality pays contributions to publicly or privately</t>
  </si>
  <si>
    <t>administered pension insurance plans on a mandatory, contractual or voluntary basis. The</t>
  </si>
  <si>
    <t>Municipality has no further payment obligations once the contributions have been paid. The</t>
  </si>
  <si>
    <t>contributions are recognized as employee benefit expense when they are due. Prepaid</t>
  </si>
  <si>
    <t>contributions are recognised as an asset to the extent that a cash refund or a reduction in</t>
  </si>
  <si>
    <t>the future payments is available.</t>
  </si>
  <si>
    <t>Borrowing costs that are directly attributable to the acquisition, construction or production of</t>
  </si>
  <si>
    <t>a qualifying asset are capitalised as part of the cost of that asset until such time as the asset</t>
  </si>
  <si>
    <t>is ready for its intended use. The amount of borrowing costs eligible for capitalisation is</t>
  </si>
  <si>
    <t>determined as follows:</t>
  </si>
  <si>
    <t>The capitalisation of borrowing costs commences when all the following conditions have</t>
  </si>
  <si>
    <t>been met:</t>
  </si>
  <si>
    <t>When the carrying amount or the expected ultimate cost of the qualifying asset exceeds its</t>
  </si>
  <si>
    <t>recoverable amount or recoverable service amount or net realisable value, the carrying</t>
  </si>
  <si>
    <t>amount is written down or written off in accordance with the accounting policy on Impairment</t>
  </si>
  <si>
    <t>write-down or write-off is written back in accordance with the same accounting policy.</t>
  </si>
  <si>
    <t>Capitalisation is suspended during extended periods in which active development is</t>
  </si>
  <si>
    <t>interrupted. Capitalisation ceases when substantially all the activities necessary to prepare</t>
  </si>
  <si>
    <t>the qualifying asset for its intended use or sale are complete. All other borrowing costs are</t>
  </si>
  <si>
    <t>recognised as an expense in the period in which they are incurred.</t>
  </si>
  <si>
    <t>Assets, liabilities, revenue and expenses have not been offset except when offsetting is</t>
  </si>
  <si>
    <t>required or permitted by a Standard of GRAP.</t>
  </si>
  <si>
    <t>Where the carrying amount of an investment is greater than the estimated recoverable</t>
  </si>
  <si>
    <t>amount, it is written down immediately to its recoverable amount and an impairment loss is</t>
  </si>
  <si>
    <t>charged to the Statement of Financial Performance.</t>
  </si>
  <si>
    <t>The Polokwane Municipality transfers money to individuals, institutions and organisations.</t>
  </si>
  <si>
    <t>directly in return, as would be expected in a purchase or sale transaction Expect to be repaid</t>
  </si>
  <si>
    <t>in future; or Expect a financial return, as would be expected from an investment</t>
  </si>
  <si>
    <t>These transfers are recognised in the financial statements as expenses in the period that the</t>
  </si>
  <si>
    <t>events giving rise to the transfer occurred.</t>
  </si>
  <si>
    <t>The present value of the remaining service potential of an asset is determined using the</t>
  </si>
  <si>
    <t>following approach:</t>
  </si>
  <si>
    <t>The present value of the remaining service potential of a non-cash-generating asset is</t>
  </si>
  <si>
    <t>determined as the depreciated replacement cost of the asset. The replacement cost of an</t>
  </si>
  <si>
    <t>asset is the cost to replace the asset’s gross service potential. This cost is depreciated to</t>
  </si>
  <si>
    <t>reflect the asset in its used condition. An asset may be replaced either through reproduction</t>
  </si>
  <si>
    <t>(replication) of the existing asset or through replacement of its gross service potential. The</t>
  </si>
  <si>
    <t>depreciated replacement cost is measured as the reproduction or replacement cost of the</t>
  </si>
  <si>
    <t>asset, whichever is lower, less accumulated depreciation calculated on the basis of such</t>
  </si>
  <si>
    <t>cost, to reflect the already consumed or expired service potential of the asset.</t>
  </si>
  <si>
    <t>The replacement cost and reproduction cost of an asset is determined on an “optimised”</t>
  </si>
  <si>
    <t>basis. The rationale is that the municipality would not replace or reproduce the asset with a</t>
  </si>
  <si>
    <t>like asset if the asset to be replaced or reproduced is an overdesigned or overcapacity</t>
  </si>
  <si>
    <t>asset. Overdesigned assets contain features which are unnecessary for the goods or</t>
  </si>
  <si>
    <t>services the asset provides. Overcapacity assets are assets that have a greater capacity</t>
  </si>
  <si>
    <t>than is necessary to meet the demand for goods or services the asset provides. The</t>
  </si>
  <si>
    <t>determination of the replacement cost or reproduction cost of an asset on an optimised basis</t>
  </si>
  <si>
    <t>thus reflects the service potential required of the asset.</t>
  </si>
  <si>
    <t>Restoration cost is the cost of restoring the service potential of a cash-generating asset to its</t>
  </si>
  <si>
    <t>pre-impaired level. The present value of the remaining service potential of the asset is</t>
  </si>
  <si>
    <t>determined by subtracting the estimated restoration cost of the asset from the current cost of</t>
  </si>
  <si>
    <t>replacing the remaining service potential of the asset before impairment. The latter cost</t>
  </si>
  <si>
    <t>is determined as the depreciated reproduction or replacement cost of the asset, whichever is</t>
  </si>
  <si>
    <t>lower.</t>
  </si>
  <si>
    <t>The present value of the remaining service potential of the asset is determined by reducing</t>
  </si>
  <si>
    <t>the current cost of the remaining service potential of the asset before impairment, to conform</t>
  </si>
  <si>
    <t>to the reduced number of service units expected from the asset in its impaired state. The</t>
  </si>
  <si>
    <t>current cost of replacing the remaining service potential of the asset before impairment is</t>
  </si>
  <si>
    <t>determined as the depreciated reproduction or replacement cost of the asset before</t>
  </si>
  <si>
    <t>impairment, whichever is lower.</t>
  </si>
  <si>
    <t>If the recoverable service amount of a non-cash-generating asset is less than its carrying</t>
  </si>
  <si>
    <t>amount, the carrying amount of the asset is reduced to its recoverable service amount. This</t>
  </si>
  <si>
    <t>reduction is an impairment loss. An impairment loss is recognised immediately in surplus or</t>
  </si>
  <si>
    <t>deficit. Any impairment loss of a re-valued non-cash-generating asset is treated as a</t>
  </si>
  <si>
    <t>revaluation decrease. When the amount estimated for an impairment loss is greater than the</t>
  </si>
  <si>
    <t>carrying amount of the non-cash-generating asset to which it relates, the municipality</t>
  </si>
  <si>
    <t>recognises a liability only to the extent that is a requirement in the Standards of GRAP.</t>
  </si>
  <si>
    <t>After the recognition of an impairment loss, the depreciation (amortisation) charge for the</t>
  </si>
  <si>
    <t>non-cash-generating asset is adjusted in future periods to allocate the non-cash-generating</t>
  </si>
  <si>
    <t>its remaining useful life.</t>
  </si>
  <si>
    <t>impairment loss recognised in prior periods for a non-cash-generating asset may no longer</t>
  </si>
  <si>
    <t>exist or may have decreased. If any such indication exists, the municipality estimates the</t>
  </si>
  <si>
    <t>recoverable service amount of that asset.</t>
  </si>
  <si>
    <t>An impairment loss recognised in prior periods for a non-cash-generating asset is reversed if</t>
  </si>
  <si>
    <t>there has been a change in the estimates used to determine the asset’s recoverable service</t>
  </si>
  <si>
    <t>amount since the last impairment loss was recognised. The carrying amount of the asset is</t>
  </si>
  <si>
    <t>increased to its recoverable service amount. The increase is a reversal of an impairment</t>
  </si>
  <si>
    <t>loss. The increased carrying amount of an asset attributable to a reversal of an impairment</t>
  </si>
  <si>
    <t>loss does not exceed the carrying amount that would have been determined (net of</t>
  </si>
  <si>
    <t>depreciation or amortisation) had no impairment loss been recognised for the asset in prior</t>
  </si>
  <si>
    <t>periods.</t>
  </si>
  <si>
    <t>A reversal of an impairment loss for a non-cash-generating asset is recognised immediately</t>
  </si>
  <si>
    <t>in surplus or deficit. Any reversal of an impairment loss of a revalued non-cash-generating</t>
  </si>
  <si>
    <t>asset is treated as a revaluation increase. After a reversal of an impairment loss is</t>
  </si>
  <si>
    <t>recognised, the depreciation (amortisation) charge for the non-cash-generating asset is</t>
  </si>
  <si>
    <t>adjusted in future periods to allocate the non-cash-generating asset’s revised carrying</t>
  </si>
  <si>
    <t>amount, less its residual value (if any), on a systematic basis over its remaining useful life.</t>
  </si>
  <si>
    <t>The Municipality shall present a comparison of the budget amounts for which it is held</t>
  </si>
  <si>
    <t>publicly accountable and actual amounts either as a separate additional financial statement</t>
  </si>
  <si>
    <t>or as additional budget columns in the financial statements currently presented in</t>
  </si>
  <si>
    <t>accordance with Standards of GRAP. The comparison of budget and actual amounts shall</t>
  </si>
  <si>
    <t>present separately for each level of legislative oversight:</t>
  </si>
  <si>
    <t>Where an entity prepares its budget and annual financial statements on a comparable basis,</t>
  </si>
  <si>
    <t>it includes the comparison as an additional column in the primary annual financial</t>
  </si>
  <si>
    <t>statements. Where the budget and annual financial statements are not prepared on a</t>
  </si>
  <si>
    <t>comparable basis, a separate statement is prepared called the ‘Statement of Comparison of</t>
  </si>
  <si>
    <t>Budget and Actual Amounts’. This statement compares the budget amounts with the</t>
  </si>
  <si>
    <t>amounts in the annual financial statements adjusted to be comparable to the budget.</t>
  </si>
  <si>
    <t>The gain or loss arising from the de-recognition, of a heritage asset should be determined as</t>
  </si>
  <si>
    <t>the difference between the net disposal proceeds, if any, and the carrying amount of the</t>
  </si>
  <si>
    <t>heritage asset. Such difference is recognised in surplus or deficit when the heritage asset is</t>
  </si>
  <si>
    <t>derecognised.</t>
  </si>
  <si>
    <t>Segments are identified by the way in which information is reported to management, both for</t>
  </si>
  <si>
    <t>purposes of assessing performance and making decisions about how future resources will</t>
  </si>
  <si>
    <t>be allocated to the various activities undertaken by the entity. The major classifications of</t>
  </si>
  <si>
    <t>activities identified in budget documentation will usually reflect the segments for which an</t>
  </si>
  <si>
    <t>entity reports information to management.</t>
  </si>
  <si>
    <t>Segment information is either presented based on service or geographical segments.</t>
  </si>
  <si>
    <t>Service segments relate to a distinguishable component of an entity that provides specific</t>
  </si>
  <si>
    <t>outputs or achieves particular operating objectives that are in line with the entity’s overall</t>
  </si>
  <si>
    <t>mission. Geographical segments relate to specific outputs generated, or particular objectives</t>
  </si>
  <si>
    <t>achieved, by an entity within a particular region.</t>
  </si>
  <si>
    <t>This Standard has been approved by the Board but its effective date has not yet been</t>
  </si>
  <si>
    <t>determined by the Minister of Finance. The effective date indicated is a provisional date and</t>
  </si>
  <si>
    <t>could change depending on the decision of the Minister of Finance.</t>
  </si>
  <si>
    <t>The municipality expects to adopt the standard for the first time in the 2012 annual financial</t>
  </si>
  <si>
    <t>statements. It is unlikely that the standard will have a material impact on the municipality's</t>
  </si>
  <si>
    <t>annual financial statements.</t>
  </si>
  <si>
    <t>Council and ultimately, parliament, and operate together to achieve the policies of the</t>
  </si>
  <si>
    <t>(b) The Municipality conduct activities necessary for the achievement of different parts of</t>
  </si>
  <si>
    <t>their responsibilities and objectives through separate controlled entities, and through</t>
  </si>
  <si>
    <t>entities over which they have significant influence</t>
  </si>
  <si>
    <t>(d) Ministers, councillors or other elected or appointed members of the government and</t>
  </si>
  <si>
    <t>other members of management can exert significant influence over the operations of</t>
  </si>
  <si>
    <t>an entity.</t>
  </si>
  <si>
    <t>The mere existence of related party relationships means that one party can control, jointly</t>
  </si>
  <si>
    <t>control or significantly influence the activities of another party. This provides the opportunity</t>
  </si>
  <si>
    <t>for transactions to occur on a basis that may give one party an advantage at the expense of</t>
  </si>
  <si>
    <t>another. Therefore the disclosure of related party transactions, outstanding balances, and</t>
  </si>
  <si>
    <t>the relationship underlying those transactions is necessary for accountability purposes.</t>
  </si>
  <si>
    <t>Management could hold positions of responsibility within an entity and therefore members of</t>
  </si>
  <si>
    <t>management will be responsible for the strategic direction and operational management of</t>
  </si>
  <si>
    <t>an entity and are entrusted with significant authority. However, their responsibilities may</t>
  </si>
  <si>
    <t>enable them to influence the benefits of office that flow to them, or their related parties or</t>
  </si>
  <si>
    <t>parties that they represent on the governing body.</t>
  </si>
  <si>
    <t>Close members of the family of persons related to the entity may influence, or be influenced</t>
  </si>
  <si>
    <t>by them in their transactions with the entity.</t>
  </si>
  <si>
    <t>Disclosure of related party transactions, outstanding balances, including commitments, and</t>
  </si>
  <si>
    <t>relationships with related parties may affect users’ assessments of the financial position and</t>
  </si>
  <si>
    <t>performance of the reporting entity and its ability to deliver agreed services, including</t>
  </si>
  <si>
    <t>assessments of the risks and opportunities facing the entity. This disclosure also ensures</t>
  </si>
  <si>
    <t>that the reporting entity is transparent about its dealings with related parties.</t>
  </si>
  <si>
    <t>The municipality does not envisage the adoption of the standard until such time as it</t>
  </si>
  <si>
    <t>becomes applicable to the municipality's operation.</t>
  </si>
  <si>
    <t>"GRAP 105: Transfer of Functions between Entities under Common Control –</t>
  </si>
  <si>
    <t>"The compliance to the standard would have no effect on the present presentation of the</t>
  </si>
  <si>
    <t>Annual Financial Statement. However should in the future it be necessary to transfer</t>
  </si>
  <si>
    <t>functions between entities under common control will the accounting policy be amended to</t>
  </si>
  <si>
    <t>cater for such transfer."</t>
  </si>
  <si>
    <t>"GRAP 106: Transfer of Function between Entities Not Under Common Control –</t>
  </si>
  <si>
    <t>functions between entities not under common control will the accounting policy be amended</t>
  </si>
  <si>
    <t>to cater for such transfer."</t>
  </si>
  <si>
    <t>Annual Financial Statement. However should in the future there be a merger between</t>
  </si>
  <si>
    <t>entities will the accounting policy be amended to cater for such merger transactions and</t>
  </si>
  <si>
    <t>disclosure."</t>
  </si>
  <si>
    <t>Land is not depreciated as it is regarded as having an infinite useful life.</t>
  </si>
  <si>
    <t>The Standard Bank long term investment serves as guarantee for Eskom bulk purchases</t>
  </si>
  <si>
    <t>Non-current investments</t>
  </si>
  <si>
    <t xml:space="preserve">There were no advances paid to employees. </t>
  </si>
  <si>
    <t>Orignal Budget</t>
  </si>
  <si>
    <t>Actual Outcome</t>
  </si>
  <si>
    <t>Actual Outcome as % of Final Budget</t>
  </si>
  <si>
    <t>Actual Outcome as % of Original Budget</t>
  </si>
  <si>
    <t>Surplus/(Deficit) after capital transfer and contributions</t>
  </si>
  <si>
    <t>Capital expenditure and funds resources</t>
  </si>
  <si>
    <t xml:space="preserve">Capital Expenditure  </t>
  </si>
  <si>
    <t xml:space="preserve">  Borrowing</t>
  </si>
  <si>
    <t xml:space="preserve">Total sources of capital </t>
  </si>
  <si>
    <t>Cash Flows</t>
  </si>
  <si>
    <t>Cash/cash equivalents at the beginning of the year</t>
  </si>
  <si>
    <t>Cash/cash equivalents at the year end</t>
  </si>
  <si>
    <t>Investments in entity</t>
  </si>
  <si>
    <r>
      <rPr>
        <sz val="11"/>
        <color indexed="8"/>
        <rFont val="Calibri"/>
        <family val="2"/>
      </rPr>
      <t>→</t>
    </r>
    <r>
      <rPr>
        <sz val="11"/>
        <color indexed="8"/>
        <rFont val="Arial"/>
        <family val="2"/>
      </rPr>
      <t xml:space="preserve"> cash;</t>
    </r>
  </si>
  <si>
    <r>
      <rPr>
        <sz val="11"/>
        <color indexed="8"/>
        <rFont val="Calibri"/>
        <family val="2"/>
      </rPr>
      <t>→</t>
    </r>
    <r>
      <rPr>
        <sz val="11"/>
        <color indexed="8"/>
        <rFont val="Arial"/>
        <family val="2"/>
      </rPr>
      <t xml:space="preserve"> a residual interest of another entity; or</t>
    </r>
  </si>
  <si>
    <r>
      <rPr>
        <sz val="11"/>
        <color indexed="8"/>
        <rFont val="Calibri"/>
        <family val="2"/>
      </rPr>
      <t>→</t>
    </r>
    <r>
      <rPr>
        <sz val="11"/>
        <color indexed="8"/>
        <rFont val="Arial"/>
        <family val="2"/>
      </rPr>
      <t xml:space="preserve"> a contractual right to:</t>
    </r>
  </si>
  <si>
    <r>
      <rPr>
        <sz val="11"/>
        <color indexed="8"/>
        <rFont val="Calibri"/>
        <family val="2"/>
      </rPr>
      <t>→</t>
    </r>
    <r>
      <rPr>
        <sz val="11"/>
        <color indexed="8"/>
        <rFont val="Arial"/>
        <family val="2"/>
      </rPr>
      <t xml:space="preserve">   it is probable that future economic benefits or service potential associated</t>
    </r>
  </si>
  <si>
    <t xml:space="preserve">      with the item will flow to the municipality; and</t>
  </si>
  <si>
    <r>
      <rPr>
        <sz val="11"/>
        <color indexed="8"/>
        <rFont val="Calibri"/>
        <family val="2"/>
      </rPr>
      <t>→</t>
    </r>
    <r>
      <rPr>
        <sz val="11"/>
        <color indexed="8"/>
        <rFont val="Arial"/>
        <family val="2"/>
      </rPr>
      <t xml:space="preserve"> the municipality controls the asset as a result of past events;</t>
    </r>
  </si>
  <si>
    <r>
      <rPr>
        <sz val="11"/>
        <color indexed="8"/>
        <rFont val="Calibri"/>
        <family val="2"/>
      </rPr>
      <t>→</t>
    </r>
    <r>
      <rPr>
        <sz val="11"/>
        <color indexed="8"/>
        <rFont val="Arial"/>
        <family val="2"/>
      </rPr>
      <t xml:space="preserve"> it is probable that future economic benefits associated with the asset will flow</t>
    </r>
  </si>
  <si>
    <t xml:space="preserve">    to the municipality</t>
  </si>
  <si>
    <r>
      <rPr>
        <sz val="11"/>
        <color indexed="8"/>
        <rFont val="Calibri"/>
        <family val="2"/>
      </rPr>
      <t xml:space="preserve"> →</t>
    </r>
    <r>
      <rPr>
        <sz val="11"/>
        <color indexed="8"/>
        <rFont val="Arial"/>
        <family val="2"/>
      </rPr>
      <t>and the fair value or cost of the asset can be measured reliably.</t>
    </r>
  </si>
  <si>
    <r>
      <rPr>
        <sz val="11"/>
        <color indexed="8"/>
        <rFont val="Calibri"/>
        <family val="2"/>
      </rPr>
      <t>→</t>
    </r>
    <r>
      <rPr>
        <sz val="11"/>
        <color indexed="8"/>
        <rFont val="Arial"/>
        <family val="2"/>
      </rPr>
      <t xml:space="preserve"> receive cash or another financial asset from another entity; or</t>
    </r>
  </si>
  <si>
    <r>
      <rPr>
        <sz val="11"/>
        <color indexed="8"/>
        <rFont val="Calibri"/>
        <family val="2"/>
      </rPr>
      <t>→</t>
    </r>
    <r>
      <rPr>
        <sz val="11"/>
        <color indexed="8"/>
        <rFont val="Arial"/>
        <family val="2"/>
      </rPr>
      <t xml:space="preserve"> exchange financial assets or financial liabilities with another entity under</t>
    </r>
  </si>
  <si>
    <t xml:space="preserve">    conditions that are potentially favourable to the entity.</t>
  </si>
  <si>
    <r>
      <rPr>
        <sz val="11"/>
        <color indexed="8"/>
        <rFont val="Calibri"/>
        <family val="2"/>
      </rPr>
      <t>→</t>
    </r>
    <r>
      <rPr>
        <sz val="11"/>
        <color indexed="8"/>
        <rFont val="Arial"/>
        <family val="2"/>
      </rPr>
      <t xml:space="preserve"> deliver cash or another financial asset to another entity; or</t>
    </r>
  </si>
  <si>
    <r>
      <rPr>
        <sz val="11"/>
        <color indexed="8"/>
        <rFont val="Calibri"/>
        <family val="2"/>
      </rPr>
      <t>→</t>
    </r>
    <r>
      <rPr>
        <sz val="11"/>
        <color indexed="8"/>
        <rFont val="Arial"/>
        <family val="2"/>
      </rPr>
      <t xml:space="preserve"> exchange financial assets or financial liabilities under conditions that are potentially</t>
    </r>
  </si>
  <si>
    <t xml:space="preserve">     unfavourable to the entity.</t>
  </si>
  <si>
    <r>
      <rPr>
        <sz val="11"/>
        <color indexed="8"/>
        <rFont val="Calibri"/>
        <family val="2"/>
      </rPr>
      <t>→</t>
    </r>
    <r>
      <rPr>
        <sz val="11"/>
        <color indexed="8"/>
        <rFont val="Arial"/>
        <family val="2"/>
      </rPr>
      <t xml:space="preserve"> the entity designates at fair value at initial recognition; or</t>
    </r>
  </si>
  <si>
    <r>
      <rPr>
        <sz val="11"/>
        <color indexed="8"/>
        <rFont val="Calibri"/>
        <family val="2"/>
      </rPr>
      <t>→</t>
    </r>
    <r>
      <rPr>
        <sz val="11"/>
        <color indexed="8"/>
        <rFont val="Arial"/>
        <family val="2"/>
      </rPr>
      <t xml:space="preserve"> are held for trading.</t>
    </r>
  </si>
  <si>
    <r>
      <rPr>
        <sz val="11"/>
        <color indexed="8"/>
        <rFont val="Calibri"/>
        <family val="2"/>
      </rPr>
      <t>→</t>
    </r>
    <r>
      <rPr>
        <sz val="11"/>
        <color indexed="8"/>
        <rFont val="Arial"/>
        <family val="2"/>
      </rPr>
      <t xml:space="preserve"> derivatives;</t>
    </r>
  </si>
  <si>
    <r>
      <rPr>
        <sz val="11"/>
        <color indexed="8"/>
        <rFont val="Calibri"/>
        <family val="2"/>
      </rPr>
      <t>→</t>
    </r>
    <r>
      <rPr>
        <sz val="11"/>
        <color indexed="8"/>
        <rFont val="Arial"/>
        <family val="2"/>
      </rPr>
      <t xml:space="preserve"> combined instruments that are designated at fair value;</t>
    </r>
  </si>
  <si>
    <r>
      <rPr>
        <sz val="11"/>
        <color indexed="8"/>
        <rFont val="Calibri"/>
        <family val="2"/>
      </rPr>
      <t>→</t>
    </r>
    <r>
      <rPr>
        <sz val="11"/>
        <color indexed="8"/>
        <rFont val="Arial"/>
        <family val="2"/>
      </rPr>
      <t xml:space="preserve"> instruments held for trading. A financial instrument is held for trading if:</t>
    </r>
  </si>
  <si>
    <r>
      <rPr>
        <sz val="11"/>
        <color indexed="8"/>
        <rFont val="Calibri"/>
        <family val="2"/>
      </rPr>
      <t>→</t>
    </r>
    <r>
      <rPr>
        <sz val="11"/>
        <color indexed="8"/>
        <rFont val="Arial"/>
        <family val="2"/>
      </rPr>
      <t xml:space="preserve"> it is acquired or incurred principally for the purpose of selling or repurchasing it in</t>
    </r>
  </si>
  <si>
    <t xml:space="preserve">     the near-term; or</t>
  </si>
  <si>
    <r>
      <rPr>
        <sz val="11"/>
        <color indexed="8"/>
        <rFont val="Calibri"/>
        <family val="2"/>
      </rPr>
      <t>→</t>
    </r>
    <r>
      <rPr>
        <sz val="11"/>
        <color indexed="8"/>
        <rFont val="Arial"/>
        <family val="2"/>
      </rPr>
      <t xml:space="preserve"> on initial recognition it is part of a portfolio of identified financial instruments that are</t>
    </r>
  </si>
  <si>
    <t xml:space="preserve">     managed together and for which there is evidence of a recent actual pattern of short</t>
  </si>
  <si>
    <t xml:space="preserve">     term profit-taking;</t>
  </si>
  <si>
    <r>
      <rPr>
        <sz val="11"/>
        <color indexed="8"/>
        <rFont val="Calibri"/>
        <family val="2"/>
      </rPr>
      <t>→</t>
    </r>
    <r>
      <rPr>
        <sz val="11"/>
        <color indexed="8"/>
        <rFont val="Arial"/>
        <family val="2"/>
      </rPr>
      <t xml:space="preserve"> non-derivative financial assets or financial liabilities with fixed or determinable</t>
    </r>
  </si>
  <si>
    <t xml:space="preserve">     payments that are designated at fair value at initial recognition; and</t>
  </si>
  <si>
    <r>
      <rPr>
        <sz val="11"/>
        <color indexed="8"/>
        <rFont val="Calibri"/>
        <family val="2"/>
      </rPr>
      <t>→</t>
    </r>
    <r>
      <rPr>
        <sz val="11"/>
        <color indexed="8"/>
        <rFont val="Arial"/>
        <family val="2"/>
      </rPr>
      <t xml:space="preserve"> financial instruments that do not meet the definition of financial instruments at</t>
    </r>
  </si>
  <si>
    <t xml:space="preserve">    amortised cost or financial instruments at cost.</t>
  </si>
  <si>
    <r>
      <rPr>
        <sz val="11"/>
        <color indexed="8"/>
        <rFont val="Calibri"/>
        <family val="2"/>
      </rPr>
      <t>→</t>
    </r>
    <r>
      <rPr>
        <sz val="11"/>
        <color indexed="8"/>
        <rFont val="Arial"/>
        <family val="2"/>
      </rPr>
      <t xml:space="preserve"> Financial instruments at fair value.</t>
    </r>
  </si>
  <si>
    <r>
      <rPr>
        <sz val="11"/>
        <color indexed="8"/>
        <rFont val="Calibri"/>
        <family val="2"/>
      </rPr>
      <t>→</t>
    </r>
    <r>
      <rPr>
        <sz val="11"/>
        <color indexed="8"/>
        <rFont val="Arial"/>
        <family val="2"/>
      </rPr>
      <t xml:space="preserve"> Financial instruments at amortised cost.</t>
    </r>
  </si>
  <si>
    <r>
      <rPr>
        <sz val="11"/>
        <color indexed="8"/>
        <rFont val="Calibri"/>
        <family val="2"/>
      </rPr>
      <t>→</t>
    </r>
    <r>
      <rPr>
        <sz val="11"/>
        <color indexed="8"/>
        <rFont val="Arial"/>
        <family val="2"/>
      </rPr>
      <t xml:space="preserve"> Financial instruments at cost.</t>
    </r>
  </si>
  <si>
    <r>
      <rPr>
        <sz val="11"/>
        <color indexed="8"/>
        <rFont val="Calibri"/>
        <family val="2"/>
      </rPr>
      <t>→</t>
    </r>
    <r>
      <rPr>
        <sz val="11"/>
        <color indexed="8"/>
        <rFont val="Arial"/>
        <family val="2"/>
      </rPr>
      <t xml:space="preserve"> combined instrument that is required to be measured at fair value; or</t>
    </r>
  </si>
  <si>
    <r>
      <rPr>
        <sz val="11"/>
        <color indexed="8"/>
        <rFont val="Calibri"/>
        <family val="2"/>
      </rPr>
      <t>→</t>
    </r>
    <r>
      <rPr>
        <sz val="11"/>
        <color indexed="8"/>
        <rFont val="Arial"/>
        <family val="2"/>
      </rPr>
      <t xml:space="preserve"> an investment in a residual interest that meets the requirements for reclassification.</t>
    </r>
  </si>
  <si>
    <r>
      <rPr>
        <sz val="11"/>
        <color indexed="8"/>
        <rFont val="Calibri"/>
        <family val="2"/>
      </rPr>
      <t>→</t>
    </r>
    <r>
      <rPr>
        <sz val="11"/>
        <color indexed="8"/>
        <rFont val="Arial"/>
        <family val="2"/>
      </rPr>
      <t xml:space="preserve"> the contractual rights to the cash flows from the financial asset expire, are settled or</t>
    </r>
  </si>
  <si>
    <r>
      <rPr>
        <sz val="11"/>
        <color indexed="8"/>
        <rFont val="Calibri"/>
        <family val="2"/>
      </rPr>
      <t>→</t>
    </r>
    <r>
      <rPr>
        <sz val="11"/>
        <color indexed="8"/>
        <rFont val="Arial"/>
        <family val="2"/>
      </rPr>
      <t xml:space="preserve"> the entity transfers to another party substantially all of the risks and rewards of</t>
    </r>
  </si>
  <si>
    <r>
      <rPr>
        <sz val="11"/>
        <color indexed="8"/>
        <rFont val="Calibri"/>
        <family val="2"/>
      </rPr>
      <t>→</t>
    </r>
    <r>
      <rPr>
        <sz val="11"/>
        <color indexed="8"/>
        <rFont val="Arial"/>
        <family val="2"/>
      </rPr>
      <t xml:space="preserve"> the entity, despite having retained some significant risks and rewards of ownership of</t>
    </r>
  </si>
  <si>
    <t xml:space="preserve">    ownership of the financial asset; or</t>
  </si>
  <si>
    <t xml:space="preserve">    the financial asset, has transferred control of the asset to another party and the other</t>
  </si>
  <si>
    <t xml:space="preserve">    party has the practical ability to sell the asset in its entirety to an unrelated third party,</t>
  </si>
  <si>
    <t xml:space="preserve">    and is able to exercise that ability unilaterally and without needing to impose</t>
  </si>
  <si>
    <t>Date</t>
  </si>
  <si>
    <t>Type of case</t>
  </si>
  <si>
    <t>Summary of case</t>
  </si>
  <si>
    <t>Name of parties</t>
  </si>
  <si>
    <t xml:space="preserve">Authority that dealt with the case e.g. High Court </t>
  </si>
  <si>
    <t>Outcome</t>
  </si>
  <si>
    <t>Law firm used</t>
  </si>
  <si>
    <t>Date finalized</t>
  </si>
  <si>
    <t xml:space="preserve">Civil </t>
  </si>
  <si>
    <t>Plk Mag Court</t>
  </si>
  <si>
    <t>In progress</t>
  </si>
  <si>
    <t>Civil</t>
  </si>
  <si>
    <t xml:space="preserve">Damages </t>
  </si>
  <si>
    <t>Dr. O.R Tshikosi v Polokwane &amp; Others</t>
  </si>
  <si>
    <t>De Bruin Oberholzer Att</t>
  </si>
  <si>
    <t>Damages (Pothole)</t>
  </si>
  <si>
    <t>K.J Ngoasheng v Polokwane</t>
  </si>
  <si>
    <t>North Gauteng High Court</t>
  </si>
  <si>
    <t>Non-payment for services rendered</t>
  </si>
  <si>
    <t>E.C Deacon t/a P&amp;L Services v Polokwane</t>
  </si>
  <si>
    <t>Mohale Inc. Att.</t>
  </si>
  <si>
    <t xml:space="preserve">Non-payment for services rendered </t>
  </si>
  <si>
    <t>E.C Deacon t/a K T Services</t>
  </si>
  <si>
    <t>Damages (pain &amp; suffering)</t>
  </si>
  <si>
    <t>22/09/2011</t>
  </si>
  <si>
    <t>A D Friedendal v Polokwane</t>
  </si>
  <si>
    <t>Property, plant and equipment</t>
  </si>
  <si>
    <t>RENTAL OF FACILITIES AND EQUIPMENT</t>
  </si>
  <si>
    <t>Rental of facilities</t>
  </si>
  <si>
    <t>Rental of equipment</t>
  </si>
  <si>
    <t>Total rentals</t>
  </si>
  <si>
    <t>Intangible assets</t>
  </si>
  <si>
    <t xml:space="preserve">Investment property </t>
  </si>
  <si>
    <t>CHANGE IN ACCOUNTING POLICY</t>
  </si>
  <si>
    <t>Councillor’s arrear consumer accounts</t>
  </si>
  <si>
    <t>Outstanding less than 90 days</t>
  </si>
  <si>
    <t>Outstanding more than 90 days</t>
  </si>
  <si>
    <t>Total Councillor Arrear Consumer Accounts</t>
  </si>
  <si>
    <t>Highest Amount Outstanding</t>
  </si>
  <si>
    <t>Ageing Days</t>
  </si>
  <si>
    <t>At the reporting date the entity has outstanding commitments under operating leases which fall due as follows:</t>
  </si>
  <si>
    <t xml:space="preserve">Operating leases - lessee </t>
  </si>
  <si>
    <t>Within one year</t>
  </si>
  <si>
    <t>In the second to fifth year inclusive</t>
  </si>
  <si>
    <t>After five years</t>
  </si>
  <si>
    <t>Total future minimum sublease payment expected to be received under non-cancellable sublease</t>
  </si>
  <si>
    <t>Operating Leases consists of the following:</t>
  </si>
  <si>
    <t>Operating lease payments represent rentals payable by the municipality for certain of its office properties. Leases are negotiated for an average term of seven years and rentals are fixed for an average of three years. No contingent rent is payable / Contingent rent is payable based on x% of the municipality's sales.</t>
  </si>
  <si>
    <t xml:space="preserve">Operating leases – as lessor </t>
  </si>
  <si>
    <t>Minimum lease payments due</t>
  </si>
  <si>
    <t>In second to fifth year inclusive</t>
  </si>
  <si>
    <t>Certain of the municipality's equipment is held to generate rental income. Rental of equipment is expected to generate rental yields of -% on an ongoing basis. Lease agreements are non-cancellable and have terms from 3 to 6 years. There are no contingent rents receivable / Contingent rent is receivable based on x% of the municipality's sales which amounts to R -.</t>
  </si>
  <si>
    <t>COMPARISON WITH THE BUDGET</t>
  </si>
  <si>
    <t>Defined contribution and benefit plan</t>
  </si>
  <si>
    <t>The Council provides retirement benefits to employees by contributing to pension and provident Funds Membership of either pension or provident fund is compulsory for all permanent employees.</t>
  </si>
  <si>
    <t xml:space="preserve">The Joint Municipal Pension Fund </t>
  </si>
  <si>
    <t xml:space="preserve">Municipal Employees Pension Fund </t>
  </si>
  <si>
    <t>Post-Retirement medical aid contributions</t>
  </si>
  <si>
    <t xml:space="preserve">Service cost </t>
  </si>
  <si>
    <t xml:space="preserve">Interest cost </t>
  </si>
  <si>
    <t xml:space="preserve">Expected closing balance </t>
  </si>
  <si>
    <t xml:space="preserve">Actuarial (gain)/loss - </t>
  </si>
  <si>
    <t xml:space="preserve">Actual closing balance </t>
  </si>
  <si>
    <t>The amounts recognised in the statement of financial position are as follows:</t>
  </si>
  <si>
    <t>Carrying value</t>
  </si>
  <si>
    <t>Present value of the defined benefit obligation-</t>
  </si>
  <si>
    <t xml:space="preserve">Wholly unfunded </t>
  </si>
  <si>
    <t>Movements for the year</t>
  </si>
  <si>
    <t xml:space="preserve">Contributions - Current year </t>
  </si>
  <si>
    <t xml:space="preserve">Closing balance </t>
  </si>
  <si>
    <t>Key assumptions used</t>
  </si>
  <si>
    <t xml:space="preserve">Discount rates used </t>
  </si>
  <si>
    <t>Net effective discount rate</t>
  </si>
  <si>
    <t>Sensitivity analysis</t>
  </si>
  <si>
    <t>The impact of a 1% change in the medical aid inflation rate is reflected in the table underneath.</t>
  </si>
  <si>
    <t>Sensitivity to medical inflation</t>
  </si>
  <si>
    <t xml:space="preserve">Base </t>
  </si>
  <si>
    <t>The employees of the Council as well as the Council as employer, contribute to municipal medical aids as listed below</t>
  </si>
  <si>
    <t xml:space="preserve">Bonitas </t>
  </si>
  <si>
    <t>Hosmed</t>
  </si>
  <si>
    <t>Key Health</t>
  </si>
  <si>
    <t>LA Health</t>
  </si>
  <si>
    <t xml:space="preserve">Samwumed </t>
  </si>
  <si>
    <t>Other receivables from non-exchange transactions</t>
  </si>
  <si>
    <t>Inventories</t>
  </si>
  <si>
    <t>Current portion of receivables</t>
  </si>
  <si>
    <t>VAT receivable</t>
  </si>
  <si>
    <t>Total Current Assets</t>
  </si>
  <si>
    <t>Biological assets</t>
  </si>
  <si>
    <t>Total Non-current assets</t>
  </si>
  <si>
    <t>LIABILITIES</t>
  </si>
  <si>
    <t>Trade and other payables from exchange transactions</t>
  </si>
  <si>
    <t>Current portion of borrowings</t>
  </si>
  <si>
    <t>Total Current Liabilities</t>
  </si>
  <si>
    <t>Non-current borrowings</t>
  </si>
  <si>
    <t>Non-current finance lease liability</t>
  </si>
  <si>
    <t>Non-current Provisions</t>
  </si>
  <si>
    <t>Total Non-current Liabilities</t>
  </si>
  <si>
    <t>Total liabilities</t>
  </si>
  <si>
    <t>Net assets</t>
  </si>
  <si>
    <t>NET ASSETS</t>
  </si>
  <si>
    <t>Revaluation Reserves</t>
  </si>
  <si>
    <t>Total net assets</t>
  </si>
  <si>
    <t>Non-current assets held for sale</t>
  </si>
  <si>
    <t>Annual Financial Statements</t>
  </si>
  <si>
    <t>for</t>
  </si>
  <si>
    <t>for the year ended 30 June:</t>
  </si>
  <si>
    <t>Province:</t>
  </si>
  <si>
    <t>Limpopo</t>
  </si>
  <si>
    <t>AFS rounding:</t>
  </si>
  <si>
    <t>R  (i.e. only cents)</t>
  </si>
  <si>
    <t>Contact Information:</t>
  </si>
  <si>
    <t>Name of Municipal Manager:</t>
  </si>
  <si>
    <t>Name of Chief Financial Officer:</t>
  </si>
  <si>
    <t>Contact telephone number:</t>
  </si>
  <si>
    <t>Contact e-mail address:</t>
  </si>
  <si>
    <t>Name of contact at provincial treasury:</t>
  </si>
  <si>
    <t>Name of relevant Auditor:</t>
  </si>
  <si>
    <t>Name of contact at National Treasury:</t>
  </si>
  <si>
    <t>General information</t>
  </si>
  <si>
    <t xml:space="preserve">Members of the Council </t>
  </si>
  <si>
    <t>Grading of Local Authority</t>
  </si>
  <si>
    <t>Auditors</t>
  </si>
  <si>
    <t>Bankers</t>
  </si>
  <si>
    <t>Trade and other receivables past due but not impaired</t>
  </si>
  <si>
    <t>The ageing of amounts past due but not impaired is as follows:</t>
  </si>
  <si>
    <t>1 month past due</t>
  </si>
  <si>
    <t>2 months past due</t>
  </si>
  <si>
    <t>3 months past due</t>
  </si>
  <si>
    <t>Trade and other receivables impaired</t>
  </si>
  <si>
    <t>As of 30 June 2012, trade and other receivables of R - (2011: R -) were impaired and provided for.</t>
  </si>
  <si>
    <t>The amount of the provision was R - as of 30 June 2012(2011: R -).</t>
  </si>
  <si>
    <t>The ageing of these receivables is as follows:</t>
  </si>
  <si>
    <t>3 to 6 months</t>
  </si>
  <si>
    <t>Over 6 months</t>
  </si>
  <si>
    <t>The fair value of trade and other receivables approximates their carrying amounts.</t>
  </si>
  <si>
    <t>In-kind Benefits</t>
  </si>
  <si>
    <t>GOING CONCERN</t>
  </si>
  <si>
    <t>MC Mathiba</t>
  </si>
  <si>
    <t>MM Peta</t>
  </si>
  <si>
    <t>MJ Kaka</t>
  </si>
  <si>
    <t>MD Madikoto</t>
  </si>
  <si>
    <t>ME Maleka</t>
  </si>
  <si>
    <t>PJ Modikoa</t>
  </si>
  <si>
    <t>TJ Mogale</t>
  </si>
  <si>
    <t>RC Molepo</t>
  </si>
  <si>
    <t>LE Hardy</t>
  </si>
  <si>
    <t>MJ Ralefatane</t>
  </si>
  <si>
    <t>MK Teffo</t>
  </si>
  <si>
    <t>AH Botha</t>
  </si>
  <si>
    <t>HE Chauke</t>
  </si>
  <si>
    <t>FA Haas</t>
  </si>
  <si>
    <t>ME Khalo</t>
  </si>
  <si>
    <t>MF Kubjane</t>
  </si>
  <si>
    <t>LM Legodi</t>
  </si>
  <si>
    <t>MJ Lekota</t>
  </si>
  <si>
    <t>MM Lemekoana</t>
  </si>
  <si>
    <t>MW Letsoalo</t>
  </si>
  <si>
    <t>M Maake</t>
  </si>
  <si>
    <t>MG Mabelebele</t>
  </si>
  <si>
    <t>MM Mabitsela</t>
  </si>
  <si>
    <t>MT Mabutla</t>
  </si>
  <si>
    <t>NE Machaba</t>
  </si>
  <si>
    <t>TJ Magoro</t>
  </si>
  <si>
    <t>RT Makgabo</t>
  </si>
  <si>
    <t>KP Makgoba</t>
  </si>
  <si>
    <t>MP Maifala</t>
  </si>
  <si>
    <t>MM Mailula</t>
  </si>
  <si>
    <t>MM Maja</t>
  </si>
  <si>
    <t>SJ Malope</t>
  </si>
  <si>
    <t>CM Mamabolo</t>
  </si>
  <si>
    <t>ML Mamabolo</t>
  </si>
  <si>
    <t>SN Mamabolo</t>
  </si>
  <si>
    <t>MA Manong</t>
  </si>
  <si>
    <t>SM Mashabela</t>
  </si>
  <si>
    <t>MC Mashiane</t>
  </si>
  <si>
    <t>A Mashie</t>
  </si>
  <si>
    <t>MR Mashitisho</t>
  </si>
  <si>
    <t>MA Mathabatha</t>
  </si>
  <si>
    <t>JM Matlou</t>
  </si>
  <si>
    <t>MJ Manamela</t>
  </si>
  <si>
    <t>QN Mehlape</t>
  </si>
  <si>
    <t>ST Mehlape</t>
  </si>
  <si>
    <t>JA Moabelo</t>
  </si>
  <si>
    <t>MA Moakamedi</t>
  </si>
  <si>
    <t>TSP Mojapelo</t>
  </si>
  <si>
    <t>NJ Mokgokong</t>
  </si>
  <si>
    <t>JS Mokonyama</t>
  </si>
  <si>
    <t>MH Morwana</t>
  </si>
  <si>
    <t>M Mothiba</t>
  </si>
  <si>
    <t>ML Motshekga</t>
  </si>
  <si>
    <t>SE Nkadimeng</t>
  </si>
  <si>
    <t>MP Phadu</t>
  </si>
  <si>
    <t>RH Phoshoko</t>
  </si>
  <si>
    <t>MJ Raletjena</t>
  </si>
  <si>
    <t>CS Ramabu</t>
  </si>
  <si>
    <t>DM Ramakgwakgwa</t>
  </si>
  <si>
    <t>MJ Sedibane</t>
  </si>
  <si>
    <t>MR Sekgobela</t>
  </si>
  <si>
    <t>MJ Sello</t>
  </si>
  <si>
    <t>ND Setjie</t>
  </si>
  <si>
    <t>TC Shilajoe</t>
  </si>
  <si>
    <t>MMP Sono</t>
  </si>
  <si>
    <t>MS Tjale</t>
  </si>
  <si>
    <t>KG Tsheola</t>
  </si>
  <si>
    <t>MA Thobejane</t>
  </si>
  <si>
    <t>MJ Willemse</t>
  </si>
  <si>
    <t>Grade 10</t>
  </si>
  <si>
    <t>GENERAL INFORMATION</t>
  </si>
  <si>
    <t>Member of Council</t>
  </si>
  <si>
    <r>
      <rPr>
        <sz val="11"/>
        <color indexed="8"/>
        <rFont val="Calibri"/>
        <family val="2"/>
      </rPr>
      <t>→</t>
    </r>
    <r>
      <rPr>
        <sz val="11"/>
        <color indexed="8"/>
        <rFont val="Arial"/>
        <family val="2"/>
      </rPr>
      <t xml:space="preserve"> the municipality has transferred to the purchaser the significant risks and rewards of</t>
    </r>
  </si>
  <si>
    <t xml:space="preserve">    ownership of the goods;</t>
  </si>
  <si>
    <r>
      <rPr>
        <sz val="11"/>
        <color indexed="8"/>
        <rFont val="Calibri"/>
        <family val="2"/>
      </rPr>
      <t>→</t>
    </r>
    <r>
      <rPr>
        <sz val="11"/>
        <color indexed="8"/>
        <rFont val="Arial"/>
        <family val="2"/>
      </rPr>
      <t xml:space="preserve"> the municipality retains neither continuing managerial involvement to the degree</t>
    </r>
  </si>
  <si>
    <t xml:space="preserve">    usually associated with ownership nor effective control over the goods sold;</t>
  </si>
  <si>
    <t xml:space="preserve">    the amount of revenue can be measured reliably;</t>
  </si>
  <si>
    <r>
      <rPr>
        <sz val="11"/>
        <color indexed="8"/>
        <rFont val="Calibri"/>
        <family val="2"/>
      </rPr>
      <t>→</t>
    </r>
    <r>
      <rPr>
        <sz val="11"/>
        <color indexed="8"/>
        <rFont val="Arial"/>
        <family val="2"/>
      </rPr>
      <t xml:space="preserve"> it is probable that the economic benefits or service potential associated with the</t>
    </r>
  </si>
  <si>
    <t xml:space="preserve">    transaction will flow to the municipality; and</t>
  </si>
  <si>
    <r>
      <rPr>
        <sz val="11"/>
        <color indexed="8"/>
        <rFont val="Calibri"/>
        <family val="2"/>
      </rPr>
      <t>→</t>
    </r>
    <r>
      <rPr>
        <sz val="11"/>
        <color indexed="8"/>
        <rFont val="Arial"/>
        <family val="2"/>
      </rPr>
      <t xml:space="preserve"> the amount of revenue can be measured reliably;</t>
    </r>
  </si>
  <si>
    <t xml:space="preserve">    transaction will flow to the municipality;</t>
  </si>
  <si>
    <r>
      <rPr>
        <sz val="11"/>
        <color indexed="8"/>
        <rFont val="Calibri"/>
        <family val="2"/>
      </rPr>
      <t>→</t>
    </r>
    <r>
      <rPr>
        <sz val="11"/>
        <color indexed="8"/>
        <rFont val="Arial"/>
        <family val="2"/>
      </rPr>
      <t xml:space="preserve"> the stage of completion of the transaction at the reporting date can be measured</t>
    </r>
  </si>
  <si>
    <t xml:space="preserve">    reliably; and</t>
  </si>
  <si>
    <r>
      <rPr>
        <sz val="11"/>
        <color indexed="8"/>
        <rFont val="Calibri"/>
        <family val="2"/>
      </rPr>
      <t>→</t>
    </r>
    <r>
      <rPr>
        <sz val="11"/>
        <color indexed="8"/>
        <rFont val="Arial"/>
        <family val="2"/>
      </rPr>
      <t xml:space="preserve"> the costs incurred for the transaction and the costs to complete the transaction can</t>
    </r>
  </si>
  <si>
    <t xml:space="preserve">    be measured reliably.</t>
  </si>
  <si>
    <r>
      <rPr>
        <sz val="11"/>
        <color indexed="8"/>
        <rFont val="Calibri"/>
        <family val="2"/>
      </rPr>
      <t>→</t>
    </r>
    <r>
      <rPr>
        <sz val="11"/>
        <color indexed="8"/>
        <rFont val="Arial"/>
        <family val="2"/>
      </rPr>
      <t xml:space="preserve"> It is probable that the economic benefits or service potential associated with the</t>
    </r>
  </si>
  <si>
    <t xml:space="preserve">     transaction will flow to the municipality, and</t>
  </si>
  <si>
    <r>
      <rPr>
        <sz val="11"/>
        <color indexed="8"/>
        <rFont val="Calibri"/>
        <family val="2"/>
      </rPr>
      <t>→</t>
    </r>
    <r>
      <rPr>
        <sz val="11"/>
        <color indexed="8"/>
        <rFont val="Arial"/>
        <family val="2"/>
      </rPr>
      <t xml:space="preserve"> The amount of the revenue can be measured reliably.</t>
    </r>
  </si>
  <si>
    <r>
      <rPr>
        <sz val="11"/>
        <color indexed="8"/>
        <rFont val="Calibri"/>
        <family val="2"/>
      </rPr>
      <t>→</t>
    </r>
    <r>
      <rPr>
        <sz val="11"/>
        <color indexed="8"/>
        <rFont val="Arial"/>
        <family val="2"/>
      </rPr>
      <t xml:space="preserve"> the municipality has a present obligation as a result of a past event;</t>
    </r>
  </si>
  <si>
    <r>
      <rPr>
        <sz val="11"/>
        <color indexed="8"/>
        <rFont val="Calibri"/>
        <family val="2"/>
      </rPr>
      <t>→</t>
    </r>
    <r>
      <rPr>
        <sz val="11"/>
        <color indexed="8"/>
        <rFont val="Arial"/>
        <family val="2"/>
      </rPr>
      <t xml:space="preserve"> it is probable that an outflow of resources embodying economic benefits or service</t>
    </r>
  </si>
  <si>
    <t xml:space="preserve">    potential will be required to settle the obligation; and</t>
  </si>
  <si>
    <r>
      <rPr>
        <sz val="11"/>
        <color indexed="8"/>
        <rFont val="Calibri"/>
        <family val="2"/>
      </rPr>
      <t>→</t>
    </r>
    <r>
      <rPr>
        <sz val="11"/>
        <color indexed="8"/>
        <rFont val="Arial"/>
        <family val="2"/>
      </rPr>
      <t xml:space="preserve"> a reliable estimate can be made of the obligation.</t>
    </r>
  </si>
  <si>
    <r>
      <rPr>
        <sz val="11"/>
        <color indexed="8"/>
        <rFont val="Calibri"/>
        <family val="2"/>
      </rPr>
      <t>→</t>
    </r>
    <r>
      <rPr>
        <sz val="11"/>
        <color indexed="8"/>
        <rFont val="Arial"/>
        <family val="2"/>
      </rPr>
      <t xml:space="preserve"> the amount that would be recognised as a provision; and</t>
    </r>
  </si>
  <si>
    <r>
      <rPr>
        <sz val="11"/>
        <color indexed="8"/>
        <rFont val="Calibri"/>
        <family val="2"/>
      </rPr>
      <t>→</t>
    </r>
    <r>
      <rPr>
        <sz val="11"/>
        <color indexed="8"/>
        <rFont val="Arial"/>
        <family val="2"/>
      </rPr>
      <t xml:space="preserve"> the amount initially recognised less cumulative amortisation.</t>
    </r>
  </si>
  <si>
    <r>
      <rPr>
        <sz val="11"/>
        <color indexed="8"/>
        <rFont val="Calibri"/>
        <family val="2"/>
      </rPr>
      <t>→</t>
    </r>
    <r>
      <rPr>
        <sz val="11"/>
        <color indexed="8"/>
        <rFont val="Arial"/>
        <family val="2"/>
      </rPr>
      <t xml:space="preserve"> overspending of a vote or a main division within a vote;</t>
    </r>
  </si>
  <si>
    <r>
      <rPr>
        <sz val="11"/>
        <color indexed="8"/>
        <rFont val="Calibri"/>
        <family val="2"/>
      </rPr>
      <t>→</t>
    </r>
    <r>
      <rPr>
        <sz val="11"/>
        <color indexed="8"/>
        <rFont val="Arial"/>
        <family val="2"/>
      </rPr>
      <t xml:space="preserve"> expenditure not in accordance with the purpose of a vote or, in the case of a main</t>
    </r>
  </si>
  <si>
    <t xml:space="preserve">    division, not in accordance with the purpose of the main division.</t>
  </si>
  <si>
    <r>
      <rPr>
        <sz val="11"/>
        <color indexed="8"/>
        <rFont val="Calibri"/>
        <family val="2"/>
      </rPr>
      <t>→</t>
    </r>
    <r>
      <rPr>
        <sz val="11"/>
        <color indexed="8"/>
        <rFont val="Arial"/>
        <family val="2"/>
      </rPr>
      <t xml:space="preserve"> it is probable that the expected future economic benefits that are attributable to the</t>
    </r>
  </si>
  <si>
    <t xml:space="preserve">    asset will flow to the entity; and</t>
  </si>
  <si>
    <r>
      <rPr>
        <sz val="11"/>
        <color indexed="8"/>
        <rFont val="Calibri"/>
        <family val="2"/>
      </rPr>
      <t>→</t>
    </r>
    <r>
      <rPr>
        <sz val="11"/>
        <color indexed="8"/>
        <rFont val="Arial"/>
        <family val="2"/>
      </rPr>
      <t xml:space="preserve"> the cost of the asset can be measured reliably.</t>
    </r>
  </si>
  <si>
    <r>
      <rPr>
        <sz val="11"/>
        <color indexed="8"/>
        <rFont val="Calibri"/>
        <family val="2"/>
      </rPr>
      <t>→</t>
    </r>
    <r>
      <rPr>
        <sz val="11"/>
        <color indexed="8"/>
        <rFont val="Arial"/>
        <family val="2"/>
      </rPr>
      <t xml:space="preserve"> it is technically feasible to complete the asset so that it will be available for use or</t>
    </r>
  </si>
  <si>
    <t xml:space="preserve">    sale.</t>
  </si>
  <si>
    <r>
      <rPr>
        <sz val="11"/>
        <color indexed="8"/>
        <rFont val="Calibri"/>
        <family val="2"/>
      </rPr>
      <t>→</t>
    </r>
    <r>
      <rPr>
        <sz val="11"/>
        <color indexed="8"/>
        <rFont val="Arial"/>
        <family val="2"/>
      </rPr>
      <t xml:space="preserve"> there is an intention to complete and use or sell it.</t>
    </r>
  </si>
  <si>
    <r>
      <rPr>
        <sz val="11"/>
        <color indexed="8"/>
        <rFont val="Calibri"/>
        <family val="2"/>
      </rPr>
      <t>→</t>
    </r>
    <r>
      <rPr>
        <sz val="11"/>
        <color indexed="8"/>
        <rFont val="Arial"/>
        <family val="2"/>
      </rPr>
      <t xml:space="preserve"> there is an ability to use or sell it.</t>
    </r>
  </si>
  <si>
    <r>
      <rPr>
        <sz val="11"/>
        <color indexed="8"/>
        <rFont val="Calibri"/>
        <family val="2"/>
      </rPr>
      <t>→</t>
    </r>
    <r>
      <rPr>
        <sz val="11"/>
        <color indexed="8"/>
        <rFont val="Arial"/>
        <family val="2"/>
      </rPr>
      <t xml:space="preserve"> it will generate probable future economic benefits.</t>
    </r>
  </si>
  <si>
    <r>
      <rPr>
        <sz val="11"/>
        <color indexed="8"/>
        <rFont val="Calibri"/>
        <family val="2"/>
      </rPr>
      <t>→</t>
    </r>
    <r>
      <rPr>
        <sz val="11"/>
        <color indexed="8"/>
        <rFont val="Arial"/>
        <family val="2"/>
      </rPr>
      <t xml:space="preserve"> there are available technical, financial and other resources to complete the</t>
    </r>
  </si>
  <si>
    <t xml:space="preserve">    development and to use or sell the asset.</t>
  </si>
  <si>
    <r>
      <rPr>
        <sz val="11"/>
        <color indexed="8"/>
        <rFont val="Calibri"/>
        <family val="2"/>
      </rPr>
      <t>→</t>
    </r>
    <r>
      <rPr>
        <sz val="11"/>
        <color indexed="8"/>
        <rFont val="Arial"/>
        <family val="2"/>
      </rPr>
      <t xml:space="preserve"> the expenditure attributable to the asset during its development can be measured</t>
    </r>
  </si>
  <si>
    <t xml:space="preserve">    reliably.</t>
  </si>
  <si>
    <r>
      <rPr>
        <sz val="11"/>
        <color indexed="8"/>
        <rFont val="Calibri"/>
        <family val="2"/>
      </rPr>
      <t>→</t>
    </r>
    <r>
      <rPr>
        <sz val="11"/>
        <color indexed="8"/>
        <rFont val="Arial"/>
        <family val="2"/>
      </rPr>
      <t xml:space="preserve"> on disposal; or</t>
    </r>
  </si>
  <si>
    <r>
      <rPr>
        <sz val="11"/>
        <color indexed="8"/>
        <rFont val="Calibri"/>
        <family val="2"/>
      </rPr>
      <t>→</t>
    </r>
    <r>
      <rPr>
        <sz val="11"/>
        <color indexed="8"/>
        <rFont val="Arial"/>
        <family val="2"/>
      </rPr>
      <t xml:space="preserve"> when no future economic benefits or service potential are expected from its use or</t>
    </r>
  </si>
  <si>
    <t xml:space="preserve">    disposal.</t>
  </si>
  <si>
    <r>
      <rPr>
        <sz val="11"/>
        <color indexed="8"/>
        <rFont val="Calibri"/>
        <family val="2"/>
      </rPr>
      <t>→</t>
    </r>
    <r>
      <rPr>
        <sz val="11"/>
        <color indexed="8"/>
        <rFont val="Arial"/>
        <family val="2"/>
      </rPr>
      <t xml:space="preserve"> the proceeds represent surplus assets that are not needed for the policy to meet all</t>
    </r>
  </si>
  <si>
    <t xml:space="preserve">    the related employee benefit obligations; or</t>
  </si>
  <si>
    <r>
      <rPr>
        <sz val="11"/>
        <color indexed="8"/>
        <rFont val="Calibri"/>
        <family val="2"/>
      </rPr>
      <t>→</t>
    </r>
    <r>
      <rPr>
        <sz val="11"/>
        <color indexed="8"/>
        <rFont val="Arial"/>
        <family val="2"/>
      </rPr>
      <t xml:space="preserve"> the proceeds are returned to the reporting entity to reimburse it for employee benefits</t>
    </r>
  </si>
  <si>
    <t xml:space="preserve">    already paid.</t>
  </si>
  <si>
    <r>
      <rPr>
        <sz val="11"/>
        <color indexed="8"/>
        <rFont val="Calibri"/>
        <family val="2"/>
      </rPr>
      <t>→</t>
    </r>
    <r>
      <rPr>
        <sz val="11"/>
        <color indexed="8"/>
        <rFont val="Arial"/>
        <family val="2"/>
      </rPr>
      <t xml:space="preserve"> an entity’s decision to terminate an employee’s employment before the normal</t>
    </r>
  </si>
  <si>
    <t xml:space="preserve">    retirement date; or</t>
  </si>
  <si>
    <r>
      <rPr>
        <sz val="11"/>
        <color indexed="8"/>
        <rFont val="Calibri"/>
        <family val="2"/>
      </rPr>
      <t>→</t>
    </r>
    <r>
      <rPr>
        <sz val="11"/>
        <color indexed="8"/>
        <rFont val="Arial"/>
        <family val="2"/>
      </rPr>
      <t xml:space="preserve"> an employee’s decision to accept voluntary redundancy in exchange for those</t>
    </r>
  </si>
  <si>
    <t xml:space="preserve">    benefits.</t>
  </si>
  <si>
    <r>
      <rPr>
        <sz val="11"/>
        <color indexed="8"/>
        <rFont val="Calibri"/>
        <family val="2"/>
      </rPr>
      <t>→</t>
    </r>
    <r>
      <rPr>
        <sz val="11"/>
        <color indexed="8"/>
        <rFont val="Arial"/>
        <family val="2"/>
      </rPr>
      <t xml:space="preserve"> wages, salaries and social security contributions;</t>
    </r>
  </si>
  <si>
    <r>
      <rPr>
        <sz val="11"/>
        <color indexed="8"/>
        <rFont val="Calibri"/>
        <family val="2"/>
      </rPr>
      <t>→</t>
    </r>
    <r>
      <rPr>
        <sz val="11"/>
        <color indexed="8"/>
        <rFont val="Arial"/>
        <family val="2"/>
      </rPr>
      <t xml:space="preserve"> short-term compensated absences (such as paid annual leave and paid sick leave)</t>
    </r>
  </si>
  <si>
    <t xml:space="preserve">    where the compensation for the absences is due to be settled within twelve months</t>
  </si>
  <si>
    <t xml:space="preserve">    after the end of the reporting period in which the employees render the related</t>
  </si>
  <si>
    <t xml:space="preserve">    employee service;</t>
  </si>
  <si>
    <r>
      <rPr>
        <sz val="11"/>
        <color indexed="8"/>
        <rFont val="Calibri"/>
        <family val="2"/>
      </rPr>
      <t>→</t>
    </r>
    <r>
      <rPr>
        <sz val="11"/>
        <color indexed="8"/>
        <rFont val="Arial"/>
        <family val="2"/>
      </rPr>
      <t xml:space="preserve"> bonus, incentive and performance related payments payable within twelve months</t>
    </r>
  </si>
  <si>
    <t xml:space="preserve">     the end of the reporting period in which the employees render the related</t>
  </si>
  <si>
    <t xml:space="preserve">    service; and</t>
  </si>
  <si>
    <r>
      <rPr>
        <sz val="11"/>
        <color indexed="8"/>
        <rFont val="Calibri"/>
        <family val="2"/>
      </rPr>
      <t>→</t>
    </r>
    <r>
      <rPr>
        <sz val="11"/>
        <color indexed="8"/>
        <rFont val="Arial"/>
        <family val="2"/>
      </rPr>
      <t xml:space="preserve"> non-monetary benefits (for example, medical care, and free or subsidised goods or</t>
    </r>
  </si>
  <si>
    <t xml:space="preserve">    services such as housing, cars and cell phones) for current employees.</t>
  </si>
  <si>
    <r>
      <rPr>
        <sz val="11"/>
        <color indexed="8"/>
        <rFont val="Calibri"/>
        <family val="2"/>
      </rPr>
      <t>→</t>
    </r>
    <r>
      <rPr>
        <sz val="11"/>
        <color indexed="8"/>
        <rFont val="Arial"/>
        <family val="2"/>
      </rPr>
      <t xml:space="preserve"> as a liability (accrued expense), after deducting any amount already paid. If the</t>
    </r>
  </si>
  <si>
    <t xml:space="preserve">    mount already paid exceeds the undiscounted amount of the benefits, the entity</t>
  </si>
  <si>
    <t xml:space="preserve">    recognise that excess as an asset (prepaid expense) to the extent that the</t>
  </si>
  <si>
    <t xml:space="preserve">    prepayment will lead to, for example, a reduction in future payments or a cash</t>
  </si>
  <si>
    <t xml:space="preserve">    refund; and</t>
  </si>
  <si>
    <r>
      <rPr>
        <sz val="11"/>
        <color indexed="8"/>
        <rFont val="Calibri"/>
        <family val="2"/>
      </rPr>
      <t>→</t>
    </r>
    <r>
      <rPr>
        <sz val="11"/>
        <color indexed="8"/>
        <rFont val="Arial"/>
        <family val="2"/>
      </rPr>
      <t xml:space="preserve"> as an expense, unless another Standard requires or permits the inclusion of the</t>
    </r>
  </si>
  <si>
    <t xml:space="preserve">    benefits in the cost of an asset.</t>
  </si>
  <si>
    <r>
      <rPr>
        <sz val="11"/>
        <color indexed="8"/>
        <rFont val="Calibri"/>
        <family val="2"/>
      </rPr>
      <t>→</t>
    </r>
    <r>
      <rPr>
        <sz val="11"/>
        <color indexed="8"/>
        <rFont val="Arial"/>
        <family val="2"/>
      </rPr>
      <t xml:space="preserve"> as a liability (accrued expense), after deducting any contribution already paid. If the</t>
    </r>
  </si>
  <si>
    <t xml:space="preserve">    contribution already paid exceeds the contribution due for service before the</t>
  </si>
  <si>
    <t xml:space="preserve">    reporting date, an entity recognise that excess as an asset (prepaid expense) to the</t>
  </si>
  <si>
    <t xml:space="preserve">    extent that the prepayment will lead to, for example, a reduction in future payments</t>
  </si>
  <si>
    <t xml:space="preserve">    or a cash refund; and</t>
  </si>
  <si>
    <t xml:space="preserve">    contribution in the cost of an asset.</t>
  </si>
  <si>
    <r>
      <rPr>
        <sz val="11"/>
        <color indexed="8"/>
        <rFont val="Calibri"/>
        <family val="2"/>
      </rPr>
      <t>→</t>
    </r>
    <r>
      <rPr>
        <sz val="11"/>
        <color indexed="8"/>
        <rFont val="Arial"/>
        <family val="2"/>
      </rPr>
      <t xml:space="preserve"> the remaining assets of the fund are sufficient to meet all the related employee</t>
    </r>
  </si>
  <si>
    <t xml:space="preserve">    benefit obligations of the plan or the reporting municipality; or</t>
  </si>
  <si>
    <r>
      <rPr>
        <sz val="11"/>
        <color indexed="8"/>
        <rFont val="Calibri"/>
        <family val="2"/>
      </rPr>
      <t>→</t>
    </r>
    <r>
      <rPr>
        <sz val="11"/>
        <color indexed="8"/>
        <rFont val="Arial"/>
        <family val="2"/>
      </rPr>
      <t xml:space="preserve"> the assets are returned to the reporting municipality to reimburse it for employee</t>
    </r>
  </si>
  <si>
    <t xml:space="preserve">    benefits already paid.</t>
  </si>
  <si>
    <r>
      <rPr>
        <sz val="11"/>
        <color indexed="8"/>
        <rFont val="Calibri"/>
        <family val="2"/>
      </rPr>
      <t>→</t>
    </r>
    <r>
      <rPr>
        <sz val="11"/>
        <color indexed="8"/>
        <rFont val="Arial"/>
        <family val="2"/>
      </rPr>
      <t xml:space="preserve"> the present value of the defined benefit obligation at the reporting date;</t>
    </r>
  </si>
  <si>
    <r>
      <rPr>
        <sz val="11"/>
        <color indexed="8"/>
        <rFont val="Calibri"/>
        <family val="2"/>
      </rPr>
      <t>→</t>
    </r>
    <r>
      <rPr>
        <sz val="11"/>
        <color indexed="8"/>
        <rFont val="Arial"/>
        <family val="2"/>
      </rPr>
      <t xml:space="preserve"> minus the fair value at the reporting date of plan assets (if any) out of which the</t>
    </r>
  </si>
  <si>
    <t xml:space="preserve">    obligations are to be settled directly;</t>
  </si>
  <si>
    <r>
      <rPr>
        <sz val="11"/>
        <color indexed="8"/>
        <rFont val="Calibri"/>
        <family val="2"/>
      </rPr>
      <t>→</t>
    </r>
    <r>
      <rPr>
        <sz val="11"/>
        <color indexed="8"/>
        <rFont val="Arial"/>
        <family val="2"/>
      </rPr>
      <t xml:space="preserve"> plus any liability that may arise as a result of a minimum funding requirement</t>
    </r>
  </si>
  <si>
    <r>
      <rPr>
        <sz val="11"/>
        <color indexed="8"/>
        <rFont val="Calibri"/>
        <family val="2"/>
      </rPr>
      <t>→</t>
    </r>
    <r>
      <rPr>
        <sz val="11"/>
        <color indexed="8"/>
        <rFont val="Arial"/>
        <family val="2"/>
      </rPr>
      <t xml:space="preserve"> the amount determined above; and</t>
    </r>
  </si>
  <si>
    <r>
      <rPr>
        <sz val="11"/>
        <color indexed="8"/>
        <rFont val="Calibri"/>
        <family val="2"/>
      </rPr>
      <t>→</t>
    </r>
    <r>
      <rPr>
        <sz val="11"/>
        <color indexed="8"/>
        <rFont val="Arial"/>
        <family val="2"/>
      </rPr>
      <t xml:space="preserve"> the present value of any economic benefits available in the form of refunds from the</t>
    </r>
  </si>
  <si>
    <t xml:space="preserve">    plan or reductions in future contributions to the plan. The present value of these</t>
  </si>
  <si>
    <t xml:space="preserve">    economic benefits is determined using a discount rate which reflects the time value</t>
  </si>
  <si>
    <t xml:space="preserve">    of money.</t>
  </si>
  <si>
    <r>
      <rPr>
        <sz val="11"/>
        <color indexed="8"/>
        <rFont val="Calibri"/>
        <family val="2"/>
      </rPr>
      <t>→</t>
    </r>
    <r>
      <rPr>
        <sz val="11"/>
        <color indexed="8"/>
        <rFont val="Arial"/>
        <family val="2"/>
      </rPr>
      <t xml:space="preserve"> current service cost;</t>
    </r>
  </si>
  <si>
    <r>
      <rPr>
        <sz val="11"/>
        <color indexed="8"/>
        <rFont val="Calibri"/>
        <family val="2"/>
      </rPr>
      <t>→</t>
    </r>
    <r>
      <rPr>
        <sz val="11"/>
        <color indexed="8"/>
        <rFont val="Arial"/>
        <family val="2"/>
      </rPr>
      <t xml:space="preserve"> interest cost;</t>
    </r>
  </si>
  <si>
    <r>
      <rPr>
        <sz val="11"/>
        <color indexed="8"/>
        <rFont val="Calibri"/>
        <family val="2"/>
      </rPr>
      <t>→</t>
    </r>
    <r>
      <rPr>
        <sz val="11"/>
        <color indexed="8"/>
        <rFont val="Arial"/>
        <family val="2"/>
      </rPr>
      <t xml:space="preserve"> the expected return on any plan assets and on any reimbursement rights;</t>
    </r>
  </si>
  <si>
    <r>
      <rPr>
        <sz val="11"/>
        <color indexed="8"/>
        <rFont val="Calibri"/>
        <family val="2"/>
      </rPr>
      <t>→</t>
    </r>
    <r>
      <rPr>
        <sz val="11"/>
        <color indexed="8"/>
        <rFont val="Arial"/>
        <family val="2"/>
      </rPr>
      <t xml:space="preserve"> actuarial gains and losses;</t>
    </r>
  </si>
  <si>
    <r>
      <rPr>
        <sz val="11"/>
        <color indexed="8"/>
        <rFont val="Calibri"/>
        <family val="2"/>
      </rPr>
      <t>→</t>
    </r>
    <r>
      <rPr>
        <sz val="11"/>
        <color indexed="8"/>
        <rFont val="Arial"/>
        <family val="2"/>
      </rPr>
      <t xml:space="preserve"> past service cost;</t>
    </r>
  </si>
  <si>
    <r>
      <rPr>
        <sz val="11"/>
        <color indexed="8"/>
        <rFont val="Calibri"/>
        <family val="2"/>
      </rPr>
      <t>→</t>
    </r>
    <r>
      <rPr>
        <sz val="11"/>
        <color indexed="8"/>
        <rFont val="Arial"/>
        <family val="2"/>
      </rPr>
      <t xml:space="preserve"> the effect of any curtailments or settlements; and</t>
    </r>
  </si>
  <si>
    <r>
      <rPr>
        <sz val="11"/>
        <color indexed="8"/>
        <rFont val="Calibri"/>
        <family val="2"/>
      </rPr>
      <t>→</t>
    </r>
    <r>
      <rPr>
        <sz val="11"/>
        <color indexed="8"/>
        <rFont val="Arial"/>
        <family val="2"/>
      </rPr>
      <t xml:space="preserve"> the effect of applying the limit on a defined benefit asset (negative defined benefit liability)</t>
    </r>
  </si>
  <si>
    <r>
      <rPr>
        <sz val="11"/>
        <color indexed="8"/>
        <rFont val="Calibri"/>
        <family val="2"/>
      </rPr>
      <t>→</t>
    </r>
    <r>
      <rPr>
        <sz val="11"/>
        <color indexed="8"/>
        <rFont val="Arial"/>
        <family val="2"/>
      </rPr>
      <t xml:space="preserve"> the date when service by the employee first leads to benefits under the plan (whether</t>
    </r>
  </si>
  <si>
    <t xml:space="preserve">    or not the benefits are conditional on further service); until</t>
  </si>
  <si>
    <r>
      <rPr>
        <sz val="11"/>
        <color indexed="8"/>
        <rFont val="Calibri"/>
        <family val="2"/>
      </rPr>
      <t>→</t>
    </r>
    <r>
      <rPr>
        <sz val="11"/>
        <color indexed="8"/>
        <rFont val="Arial"/>
        <family val="2"/>
      </rPr>
      <t xml:space="preserve"> the date when further service by the employee will lead to no material amount of</t>
    </r>
  </si>
  <si>
    <t xml:space="preserve">    further benefits under the plan, other than from further salary increases.</t>
  </si>
  <si>
    <r>
      <rPr>
        <sz val="11"/>
        <color indexed="8"/>
        <rFont val="Calibri"/>
        <family val="2"/>
      </rPr>
      <t>→</t>
    </r>
    <r>
      <rPr>
        <sz val="11"/>
        <color indexed="8"/>
        <rFont val="Arial"/>
        <family val="2"/>
      </rPr>
      <t xml:space="preserve"> any resulting change in the present value of the defined benefit obligation; and</t>
    </r>
  </si>
  <si>
    <r>
      <rPr>
        <sz val="11"/>
        <color indexed="8"/>
        <rFont val="Calibri"/>
        <family val="2"/>
      </rPr>
      <t>→</t>
    </r>
    <r>
      <rPr>
        <sz val="11"/>
        <color indexed="8"/>
        <rFont val="Arial"/>
        <family val="2"/>
      </rPr>
      <t xml:space="preserve"> any resulting change in the fair value of the plan assets.</t>
    </r>
  </si>
  <si>
    <r>
      <rPr>
        <sz val="11"/>
        <color indexed="8"/>
        <rFont val="Calibri"/>
        <family val="2"/>
      </rPr>
      <t>→</t>
    </r>
    <r>
      <rPr>
        <sz val="11"/>
        <color indexed="8"/>
        <rFont val="Arial"/>
        <family val="2"/>
      </rPr>
      <t xml:space="preserve"> estimated future salary increases;</t>
    </r>
  </si>
  <si>
    <r>
      <rPr>
        <sz val="11"/>
        <color indexed="8"/>
        <rFont val="Calibri"/>
        <family val="2"/>
      </rPr>
      <t>→</t>
    </r>
    <r>
      <rPr>
        <sz val="11"/>
        <color indexed="8"/>
        <rFont val="Arial"/>
        <family val="2"/>
      </rPr>
      <t xml:space="preserve"> the benefits set out in the terms of the plan (or resulting from any constructive</t>
    </r>
  </si>
  <si>
    <t xml:space="preserve">    obligation that goes beyond those terms) at the reporting date; and</t>
  </si>
  <si>
    <r>
      <rPr>
        <sz val="11"/>
        <color indexed="8"/>
        <rFont val="Calibri"/>
        <family val="2"/>
      </rPr>
      <t>→</t>
    </r>
    <r>
      <rPr>
        <sz val="11"/>
        <color indexed="8"/>
        <rFont val="Arial"/>
        <family val="2"/>
      </rPr>
      <t xml:space="preserve"> estimated future changes in the level of any state benefits that affect the benefits</t>
    </r>
  </si>
  <si>
    <t xml:space="preserve">    payable under a defined benefit plan, if, and only if, either:</t>
  </si>
  <si>
    <r>
      <rPr>
        <sz val="11"/>
        <color indexed="8"/>
        <rFont val="Calibri"/>
        <family val="2"/>
      </rPr>
      <t>→</t>
    </r>
    <r>
      <rPr>
        <sz val="11"/>
        <color indexed="8"/>
        <rFont val="Arial"/>
        <family val="2"/>
      </rPr>
      <t xml:space="preserve"> those changes were enacted before the reporting date; or</t>
    </r>
  </si>
  <si>
    <r>
      <rPr>
        <sz val="11"/>
        <color indexed="8"/>
        <rFont val="Calibri"/>
        <family val="2"/>
      </rPr>
      <t>→</t>
    </r>
    <r>
      <rPr>
        <sz val="11"/>
        <color indexed="8"/>
        <rFont val="Arial"/>
        <family val="2"/>
      </rPr>
      <t xml:space="preserve"> past history, or other reliable evidence, indicates that those state benefits will change</t>
    </r>
  </si>
  <si>
    <t xml:space="preserve">    in some predictable manner, for example, in line with future changes in general price</t>
  </si>
  <si>
    <t xml:space="preserve">    levels or general salary levels.</t>
  </si>
  <si>
    <r>
      <rPr>
        <sz val="11"/>
        <color indexed="8"/>
        <rFont val="Calibri"/>
        <family val="2"/>
      </rPr>
      <t>→</t>
    </r>
    <r>
      <rPr>
        <sz val="11"/>
        <color indexed="8"/>
        <rFont val="Arial"/>
        <family val="2"/>
      </rPr>
      <t xml:space="preserve"> Actual borrowing costs on funds specifically borrowed for the purpose of obtaining a</t>
    </r>
  </si>
  <si>
    <t xml:space="preserve">    qualifying asset less any investment income on the temporary investment of those</t>
  </si>
  <si>
    <t xml:space="preserve">    borrowings.</t>
  </si>
  <si>
    <r>
      <rPr>
        <sz val="11"/>
        <color indexed="8"/>
        <rFont val="Calibri"/>
        <family val="2"/>
      </rPr>
      <t>→</t>
    </r>
    <r>
      <rPr>
        <sz val="11"/>
        <color indexed="8"/>
        <rFont val="Arial"/>
        <family val="2"/>
      </rPr>
      <t xml:space="preserve"> Weighted average of the borrowing costs applicable to the municipality on funds</t>
    </r>
  </si>
  <si>
    <t xml:space="preserve">    generally borrowed for the purpose of obtaining a qualifying asset. The borrowing</t>
  </si>
  <si>
    <t xml:space="preserve">    costs capitalised do not exceed the total borrowing costs incurred.</t>
  </si>
  <si>
    <r>
      <rPr>
        <sz val="11"/>
        <color indexed="8"/>
        <rFont val="Calibri"/>
        <family val="2"/>
      </rPr>
      <t>→</t>
    </r>
    <r>
      <rPr>
        <sz val="11"/>
        <color indexed="8"/>
        <rFont val="Arial"/>
        <family val="2"/>
      </rPr>
      <t xml:space="preserve"> expenditures for the asset have been incurred;</t>
    </r>
  </si>
  <si>
    <r>
      <rPr>
        <sz val="11"/>
        <color indexed="8"/>
        <rFont val="Calibri"/>
        <family val="2"/>
      </rPr>
      <t>→</t>
    </r>
    <r>
      <rPr>
        <sz val="11"/>
        <color indexed="8"/>
        <rFont val="Arial"/>
        <family val="2"/>
      </rPr>
      <t xml:space="preserve"> borrowing costs have been incurred; and</t>
    </r>
  </si>
  <si>
    <r>
      <rPr>
        <sz val="11"/>
        <color indexed="8"/>
        <rFont val="Calibri"/>
        <family val="2"/>
      </rPr>
      <t>→</t>
    </r>
    <r>
      <rPr>
        <sz val="11"/>
        <color indexed="8"/>
        <rFont val="Arial"/>
        <family val="2"/>
      </rPr>
      <t xml:space="preserve"> activities that are necessary to prepare the asset for its intended use or sale are</t>
    </r>
  </si>
  <si>
    <t xml:space="preserve">    undertaken.</t>
  </si>
  <si>
    <r>
      <rPr>
        <sz val="11"/>
        <color indexed="8"/>
        <rFont val="Calibri"/>
        <family val="2"/>
      </rPr>
      <t>→</t>
    </r>
    <r>
      <rPr>
        <sz val="11"/>
        <color indexed="8"/>
        <rFont val="Arial"/>
        <family val="2"/>
      </rPr>
      <t xml:space="preserve"> the approved and final budget amounts;</t>
    </r>
  </si>
  <si>
    <r>
      <rPr>
        <sz val="11"/>
        <color indexed="8"/>
        <rFont val="Calibri"/>
        <family val="2"/>
      </rPr>
      <t>→</t>
    </r>
    <r>
      <rPr>
        <sz val="11"/>
        <color indexed="8"/>
        <rFont val="Arial"/>
        <family val="2"/>
      </rPr>
      <t xml:space="preserve"> the actual amounts on a comparable basis; and</t>
    </r>
  </si>
  <si>
    <r>
      <rPr>
        <sz val="11"/>
        <color indexed="8"/>
        <rFont val="Calibri"/>
        <family val="2"/>
      </rPr>
      <t>→</t>
    </r>
    <r>
      <rPr>
        <sz val="11"/>
        <color indexed="8"/>
        <rFont val="Arial"/>
        <family val="2"/>
      </rPr>
      <t xml:space="preserve"> by way of note disclosure, an explanation of material differences between the budget</t>
    </r>
  </si>
  <si>
    <t xml:space="preserve">    for which the entity is held publicly accountable and actual amounts, unless such</t>
  </si>
  <si>
    <t xml:space="preserve">    explanation is included in other public documents issued in conjunction with the</t>
  </si>
  <si>
    <t xml:space="preserve">    financial statements, and a cross reference to those documents is made in the notes.</t>
  </si>
  <si>
    <r>
      <rPr>
        <sz val="11"/>
        <color indexed="8"/>
        <rFont val="Calibri"/>
        <family val="2"/>
      </rPr>
      <t>→</t>
    </r>
    <r>
      <rPr>
        <sz val="11"/>
        <color indexed="8"/>
        <rFont val="Arial"/>
        <family val="2"/>
      </rPr>
      <t xml:space="preserve"> are prepared using the same basis of accounting i.e. either cash or accrual;</t>
    </r>
  </si>
  <si>
    <r>
      <rPr>
        <sz val="11"/>
        <color indexed="8"/>
        <rFont val="Calibri"/>
        <family val="2"/>
      </rPr>
      <t>→</t>
    </r>
    <r>
      <rPr>
        <sz val="11"/>
        <color indexed="8"/>
        <rFont val="Arial"/>
        <family val="2"/>
      </rPr>
      <t xml:space="preserve"> include the same activities and entities;</t>
    </r>
  </si>
  <si>
    <r>
      <rPr>
        <sz val="11"/>
        <color indexed="8"/>
        <rFont val="Calibri"/>
        <family val="2"/>
      </rPr>
      <t>→</t>
    </r>
    <r>
      <rPr>
        <sz val="11"/>
        <color indexed="8"/>
        <rFont val="Arial"/>
        <family val="2"/>
      </rPr>
      <t xml:space="preserve"> use the same classification system; and</t>
    </r>
  </si>
  <si>
    <r>
      <rPr>
        <sz val="11"/>
        <color indexed="8"/>
        <rFont val="Calibri"/>
        <family val="2"/>
      </rPr>
      <t>→</t>
    </r>
    <r>
      <rPr>
        <sz val="11"/>
        <color indexed="8"/>
        <rFont val="Arial"/>
        <family val="2"/>
      </rPr>
      <t xml:space="preserve"> are prepared for the same period.</t>
    </r>
  </si>
  <si>
    <r>
      <rPr>
        <sz val="11"/>
        <color indexed="8"/>
        <rFont val="Calibri"/>
        <family val="2"/>
      </rPr>
      <t>→</t>
    </r>
    <r>
      <rPr>
        <sz val="11"/>
        <color indexed="8"/>
        <rFont val="Arial"/>
        <family val="2"/>
      </rPr>
      <t xml:space="preserve"> it is probable that future economic benefits or service potential associated with the</t>
    </r>
  </si>
  <si>
    <t xml:space="preserve">    asset will to the municipality; and</t>
  </si>
  <si>
    <r>
      <rPr>
        <sz val="11"/>
        <color indexed="8"/>
        <rFont val="Calibri"/>
        <family val="2"/>
      </rPr>
      <t>→</t>
    </r>
    <r>
      <rPr>
        <sz val="11"/>
        <color indexed="8"/>
        <rFont val="Arial"/>
        <family val="2"/>
      </rPr>
      <t xml:space="preserve"> the cost of fair value of the asset can be measured reliably.</t>
    </r>
  </si>
  <si>
    <r>
      <rPr>
        <sz val="11"/>
        <color indexed="8"/>
        <rFont val="Calibri"/>
        <family val="2"/>
      </rPr>
      <t>→</t>
    </r>
    <r>
      <rPr>
        <sz val="11"/>
        <color indexed="8"/>
        <rFont val="Arial"/>
        <family val="2"/>
      </rPr>
      <t xml:space="preserve"> on disposal, or</t>
    </r>
  </si>
  <si>
    <t>RATIFICATION OF DEVIATIONS FROM BREACHES IN PROCUREMENT PROCESSES</t>
  </si>
  <si>
    <t>FINANCE LEASE COMMITMENTS</t>
  </si>
  <si>
    <t>EMPLOYEE BENEFIT OBLIGATIONS</t>
  </si>
  <si>
    <t>The Municipality did not have operating leases in the current or previous year</t>
  </si>
  <si>
    <t>Samwu National Provident Fund</t>
  </si>
  <si>
    <t>National Fund For Municipal Workers</t>
  </si>
  <si>
    <t xml:space="preserve">Finance lease </t>
  </si>
  <si>
    <t>G</t>
  </si>
  <si>
    <t>SCHEDULE OF CONTINGENT LIABILITIES</t>
  </si>
  <si>
    <t>7</t>
  </si>
  <si>
    <t>Polokwane Local Municipality</t>
  </si>
  <si>
    <t>Net gains and losses not recognised in the statement of financial performance</t>
  </si>
  <si>
    <t>liability for the servicing obligation is recognised at its fair value. If the fee to be received is</t>
  </si>
  <si>
    <t>later years will lead to a materially higher level of benefit than in earlier years, an municipality</t>
  </si>
  <si>
    <t>Municipal Infrastructure Grant</t>
  </si>
  <si>
    <t>Plus outstanding RD cheques</t>
  </si>
  <si>
    <t>The grant was used to fund projects in order to mitigate the risk of load shedding and supply interruptions .</t>
  </si>
  <si>
    <t>Laboratory tests</t>
  </si>
  <si>
    <t>Under spending/ contract less than budget amount</t>
  </si>
  <si>
    <t>Roads &amp; Storm water</t>
  </si>
  <si>
    <t>I certify that the salaries, allowances and benefits of Councillors as disclosed in note 25 of these annual financial statements are within the upper limits of the framework envisaged in Section 219 of the Constitution, read with the Remuneration of Public Officer Bearers Act and the Minister of Cooperative Governance and Traditional Affairs determination in accordance with this Act.</t>
  </si>
  <si>
    <t>1.1 Significant judgments and sources of estimation uncertainty</t>
  </si>
  <si>
    <t>related disclosures. Use of available information and the application of judgment is inherent</t>
  </si>
  <si>
    <t>which may be material to the annual financial statements. Significant judgments include:</t>
  </si>
  <si>
    <t>Prior year adjustments -acquisitions</t>
  </si>
  <si>
    <t>Prior year adjustments -depreciation</t>
  </si>
  <si>
    <t>Retention forfeited</t>
  </si>
  <si>
    <t>The above legal matters are ongoing and have not yet been finalized.</t>
  </si>
  <si>
    <t>Unauthorized expenditure</t>
  </si>
  <si>
    <t>Reconciliation of unauthorized expenditure</t>
  </si>
  <si>
    <t xml:space="preserve">   Unauthorized expenditure current year</t>
  </si>
  <si>
    <t xml:space="preserve">   Unauthorized expenditure awaiting authorization</t>
  </si>
  <si>
    <t>Unrecognised actuarial gains/(losses)</t>
  </si>
  <si>
    <t>Actuarial (Gain)/Loss</t>
  </si>
  <si>
    <t>Net Periodic Cost Recognised in P&amp;L</t>
  </si>
  <si>
    <t>-Additional 10,20 and 30 leave days for 10,15 and each 5 years after 15 years of service respectively</t>
  </si>
  <si>
    <t>Water distribution losses In KL</t>
  </si>
  <si>
    <t>RECEIVABLES</t>
  </si>
  <si>
    <t>Surplus on revaluation of property, plant and equipment</t>
  </si>
  <si>
    <t>Transfers to/ from accumulated surplus</t>
  </si>
  <si>
    <t>Surplus for the period</t>
  </si>
  <si>
    <t>Cash generated from  operations</t>
  </si>
  <si>
    <t>FINANCE LEASES</t>
  </si>
  <si>
    <t xml:space="preserve"> loan is in fact a loan. On initial recognition, the entity analyses a concessionary loan into its component</t>
  </si>
  <si>
    <t xml:space="preserve"> parts and accounts for each component separately.</t>
  </si>
  <si>
    <t>Financial assets measured at cost</t>
  </si>
  <si>
    <r>
      <rPr>
        <sz val="11"/>
        <color indexed="8"/>
        <rFont val="Calibri"/>
        <family val="2"/>
      </rPr>
      <t>→</t>
    </r>
    <r>
      <rPr>
        <sz val="11"/>
        <color indexed="8"/>
        <rFont val="Arial"/>
        <family val="2"/>
      </rPr>
      <t xml:space="preserve"> the costs incurred or to be incurred in respect of the transaction can be measured reliably.</t>
    </r>
  </si>
  <si>
    <t>BORROWINGS</t>
  </si>
  <si>
    <t>Non-Current  Borrowings</t>
  </si>
  <si>
    <t>Current Portion of Borrowings</t>
  </si>
  <si>
    <t>TRADE AND OTHER PAYABLES FROM EXCHANGE TRANSACTIONS</t>
  </si>
  <si>
    <t>CURRENT UNSPENT CONDITIONAL GRANTS FROM GOVERNMENT AND PUBLIC DONATIONS</t>
  </si>
  <si>
    <t>Non-Current  Portion of Receivables</t>
  </si>
  <si>
    <t xml:space="preserve">IMPAIRMENT LOSS </t>
  </si>
  <si>
    <t xml:space="preserve">Total Impairment loss </t>
  </si>
  <si>
    <t>Relationships</t>
  </si>
  <si>
    <t>Related party transactions</t>
  </si>
  <si>
    <t xml:space="preserve">Funds, of which 3 (The Municipal Employees Pension Fund, Municipal Gratuity Fund and </t>
  </si>
  <si>
    <t>Samwu National Provident Fund) cater for the majority of the staff. The Joint Municipal Pension</t>
  </si>
  <si>
    <t>Fund, Municipal Employees Pension Fund, Municipal Gratuity Fund, Samwu National Provident Fund,</t>
  </si>
  <si>
    <t>Overtime paid in contravention of the Basic Conditions of Employment</t>
  </si>
  <si>
    <r>
      <t xml:space="preserve">or financial liability.   The entity first assesses whether the  substance of a concessionary </t>
    </r>
    <r>
      <rPr>
        <sz val="11"/>
        <color indexed="10"/>
        <rFont val="Arial"/>
        <family val="2"/>
      </rPr>
      <t>its</t>
    </r>
  </si>
  <si>
    <t>Grant - PHA</t>
  </si>
  <si>
    <t>Loss: Impairment of Assets</t>
  </si>
  <si>
    <t xml:space="preserve">   Interest paid to Lepelle Northern Water</t>
  </si>
  <si>
    <r>
      <rPr>
        <sz val="11"/>
        <color indexed="8"/>
        <rFont val="Calibri"/>
        <family val="2"/>
      </rPr>
      <t xml:space="preserve">→  </t>
    </r>
    <r>
      <rPr>
        <sz val="11"/>
        <color indexed="8"/>
        <rFont val="Arial"/>
        <family val="2"/>
      </rPr>
      <t xml:space="preserve"> the cost of the item can be measured reliably</t>
    </r>
  </si>
  <si>
    <r>
      <rPr>
        <sz val="11"/>
        <color indexed="8"/>
        <rFont val="Calibri"/>
        <family val="2"/>
      </rPr>
      <t>→</t>
    </r>
    <r>
      <rPr>
        <sz val="11"/>
        <color indexed="8"/>
        <rFont val="Arial"/>
        <family val="2"/>
      </rPr>
      <t xml:space="preserve"> a social benefit in accordance with the Framework for the Preparation and</t>
    </r>
  </si>
  <si>
    <r>
      <rPr>
        <sz val="11"/>
        <color indexed="8"/>
        <rFont val="Calibri"/>
        <family val="2"/>
      </rPr>
      <t xml:space="preserve"> →</t>
    </r>
    <r>
      <rPr>
        <sz val="11"/>
        <color indexed="8"/>
        <rFont val="Arial"/>
        <family val="2"/>
      </rPr>
      <t xml:space="preserve"> non-exchange revenue, in accordance with the Standard of GRAP on Revenue from</t>
    </r>
  </si>
  <si>
    <t xml:space="preserve">     Non exchange Transactions (Taxes and Transfers), where it is the recipient of the  loan.</t>
  </si>
  <si>
    <t xml:space="preserve">     Presentation of Financial Statements, where it is the issuer of the loan; or</t>
  </si>
  <si>
    <t xml:space="preserve">    waived;</t>
  </si>
  <si>
    <t xml:space="preserve">    additional restrictions on the transfer. In this case, the entity derecognise the asset and</t>
  </si>
  <si>
    <t xml:space="preserve">    recognise separately any rights and obligations created or retained in the transfer.</t>
  </si>
  <si>
    <t>financial liabilities that have fixed or determinable payments, excluding those instruments that:</t>
  </si>
  <si>
    <t xml:space="preserve">    Sport loans</t>
  </si>
  <si>
    <t xml:space="preserve">   Commitment fee paid to DBSA</t>
  </si>
  <si>
    <t>Refer to note 35.2</t>
  </si>
  <si>
    <t>CONTRIBUTIONS</t>
  </si>
  <si>
    <t>Leave bonus provision</t>
  </si>
  <si>
    <t>Monetary value</t>
  </si>
  <si>
    <t>Water distribution losses</t>
  </si>
  <si>
    <t xml:space="preserve">Electricity distribution losses </t>
  </si>
  <si>
    <t>Prior Year Adjustment :Surplus on revaluation of property, plant and equipment</t>
  </si>
  <si>
    <t>Prior Year Adjustment</t>
  </si>
  <si>
    <t>Prior year irregular expenditure identified in the current year</t>
  </si>
  <si>
    <t>2</t>
  </si>
  <si>
    <t xml:space="preserve">Final Closing Balance </t>
  </si>
  <si>
    <t>30 June 2013</t>
  </si>
  <si>
    <t>2012/13</t>
  </si>
  <si>
    <t>2013</t>
  </si>
  <si>
    <t>INSURANCE CLAIMS</t>
  </si>
  <si>
    <t>Balance at 30 June 2013</t>
  </si>
  <si>
    <t>DWA</t>
  </si>
  <si>
    <t>GRANT - OTHER(INFRSTR SKILLS DEV)</t>
  </si>
  <si>
    <t xml:space="preserve">Adj Budget </t>
  </si>
  <si>
    <t>HAWHER FACILITIES</t>
  </si>
  <si>
    <t>LIFTS</t>
  </si>
  <si>
    <t>OPERATIONAL PLANNING</t>
  </si>
  <si>
    <t>MARKETING &amp; COMMUNICATIONS</t>
  </si>
  <si>
    <t>TRANSITION ADVISORY</t>
  </si>
  <si>
    <t>ENVIRONMENTAL MANAGEMENT SERVICES</t>
  </si>
  <si>
    <t>INFRASTRUCTURE PLANNING</t>
  </si>
  <si>
    <t>LEGAL SERVICES</t>
  </si>
  <si>
    <t>VAT CONVERTION</t>
  </si>
  <si>
    <t>PROJECT MANAGEMENT</t>
  </si>
  <si>
    <t>Infrastructure skills development grant</t>
  </si>
  <si>
    <t>Neighbourhood development grant</t>
  </si>
  <si>
    <t>Year end creditors</t>
  </si>
  <si>
    <t>Bad debt provision</t>
  </si>
  <si>
    <t>0080</t>
  </si>
  <si>
    <t>Motors provincial</t>
  </si>
  <si>
    <t>0088</t>
  </si>
  <si>
    <t>SARS dispute VAT</t>
  </si>
  <si>
    <t>0023</t>
  </si>
  <si>
    <t>0025</t>
  </si>
  <si>
    <t>Tax on bonuses</t>
  </si>
  <si>
    <t>Debtors control L950</t>
  </si>
  <si>
    <t>Polokwane Housing Assosiation</t>
  </si>
  <si>
    <t>Carrying values at 30 June 2013</t>
  </si>
  <si>
    <t>Surplus for the year</t>
  </si>
  <si>
    <t>Surcharge excess water consumption</t>
  </si>
  <si>
    <t>Skills Development Fund</t>
  </si>
  <si>
    <t>The grant was paid over to Lepelle  Northern Water Board accordance a 3 party agreement with National Treasury.</t>
  </si>
  <si>
    <t>Resolution Health</t>
  </si>
  <si>
    <t>Government Employees Pension Fund</t>
  </si>
  <si>
    <t>Municipal Councillors Pension Fund</t>
  </si>
  <si>
    <t>Government Employees Medical Scheme</t>
  </si>
  <si>
    <t>Director Community  Services</t>
  </si>
  <si>
    <t>Director Community Development</t>
  </si>
  <si>
    <t>Director Transportation Services</t>
  </si>
  <si>
    <r>
      <t>The municipality and its employees contribute to</t>
    </r>
    <r>
      <rPr>
        <b/>
        <sz val="10"/>
        <color indexed="8"/>
        <rFont val="Arial"/>
        <family val="2"/>
      </rPr>
      <t xml:space="preserve"> 7</t>
    </r>
    <r>
      <rPr>
        <sz val="10"/>
        <color indexed="8"/>
        <rFont val="Arial"/>
        <family val="2"/>
      </rPr>
      <t xml:space="preserve"> different Pension Funds, of which </t>
    </r>
    <r>
      <rPr>
        <b/>
        <sz val="10"/>
        <color indexed="8"/>
        <rFont val="Arial"/>
        <family val="2"/>
      </rPr>
      <t>3</t>
    </r>
    <r>
      <rPr>
        <sz val="10"/>
        <color indexed="8"/>
        <rFont val="Arial"/>
        <family val="2"/>
      </rPr>
      <t xml:space="preserve"> (The Municipal Employees Pension Fund, Municipal Gratuity Fund and Samwu National Provident Fund ) cater for the majority of the staff. The Joint Municipal Pension Fund, Municipal Employees Pension Fund, Municipal Gratuity Fund ,Samwu National Provident Fund and National Fund for Municipal Workers are defined benefit funds. </t>
    </r>
  </si>
  <si>
    <t>Total cash receipts</t>
  </si>
  <si>
    <t>Taxation (Property rates)</t>
  </si>
  <si>
    <t>Licences and permits</t>
  </si>
  <si>
    <t>Other income</t>
  </si>
  <si>
    <t>Government grants and subsidies</t>
  </si>
  <si>
    <t>Increase in Housing fund</t>
  </si>
  <si>
    <t>Payments suppliers</t>
  </si>
  <si>
    <t>(Increase) decrease in debtors</t>
  </si>
  <si>
    <t>(Decrease)/ Increase in payables</t>
  </si>
  <si>
    <t>90+</t>
  </si>
  <si>
    <t>RURAL HOUSEHOLD SANITATION</t>
  </si>
  <si>
    <t>RURAL HOUSEHOLD ELECTRIFICATION</t>
  </si>
  <si>
    <t>VAT on sales</t>
  </si>
  <si>
    <t>Bank recon items 2012/13</t>
  </si>
  <si>
    <t>Rural House hold sanitation</t>
  </si>
  <si>
    <t>Rural House hold electrification</t>
  </si>
  <si>
    <t>IRPTN Project</t>
  </si>
  <si>
    <t>VAT Convertion</t>
  </si>
  <si>
    <t>Fleet management</t>
  </si>
  <si>
    <t>Working capital</t>
  </si>
  <si>
    <t>Bad debt</t>
  </si>
  <si>
    <t>Decrease in Housing fund</t>
  </si>
  <si>
    <t>Operating surplus before working capital</t>
  </si>
  <si>
    <t>(Increase) /decrease in inventory</t>
  </si>
  <si>
    <t>Increase/(decrease) in provision</t>
  </si>
  <si>
    <t>(Increase) decrease in other receivables</t>
  </si>
  <si>
    <t>(Increase) decrease in VAT</t>
  </si>
  <si>
    <t>Increase (decrease) in unspent grants</t>
  </si>
  <si>
    <t>Compensation to councillors</t>
  </si>
  <si>
    <t>The grant was utilised in the planning phase of the Convention Centre</t>
  </si>
  <si>
    <t>Transfers to/ from accumulated surplus (provisions)</t>
  </si>
  <si>
    <t>Net gains and losses not recognised in the statement of financial performance (Housing Dev Fund)</t>
  </si>
  <si>
    <t xml:space="preserve">Net Periodic Cost Recognised </t>
  </si>
  <si>
    <t>Actuarial (Gain)/loss recognised</t>
  </si>
  <si>
    <t>Net Periodic Cost Recognised</t>
  </si>
  <si>
    <t>STATEMENT OF COMPARISONS OF BUDGET vs ACTUAL AMOUNTS</t>
  </si>
  <si>
    <t>The municipality operates on 7 accredited medical aid schemes, namely Bonitas, Hosmed, Key-Health, LA Health and Samwumed, Resolution Health, and Government Emplyees Medical Scheme. Pensioners may continue on the option they belonged to on the day of their retirement.</t>
  </si>
  <si>
    <t>Other assumptions; Post retirement mortality PA (90-1) Retirement age 63 years</t>
  </si>
  <si>
    <t>Damages suffered as a result of exposure  to inhalation of gases, chemicals and dust</t>
  </si>
  <si>
    <t>Mmanyaka Patrick Machaba/ Polokwane Municipality</t>
  </si>
  <si>
    <t>Matter still pending in court</t>
  </si>
  <si>
    <t>Mohale Incorporated</t>
  </si>
  <si>
    <t>Motor collision</t>
  </si>
  <si>
    <t>N Mohale Incorporated</t>
  </si>
  <si>
    <t>Termination of agreement</t>
  </si>
  <si>
    <t>Phuthinare Traders cc/ Polokwane Municipality</t>
  </si>
  <si>
    <t>Matter still pending</t>
  </si>
  <si>
    <t>Personal damages as a result of accident</t>
  </si>
  <si>
    <t>Godknows Tshuma/ Polokwane municipality</t>
  </si>
  <si>
    <t>A. M. Carrim Attorneys</t>
  </si>
  <si>
    <t>Damage as a result of storm water</t>
  </si>
  <si>
    <t>J.H.S Bester &amp; another/ Polokwane Municipality</t>
  </si>
  <si>
    <t>See Annexure G for full detail on Contingent Liabilities</t>
  </si>
  <si>
    <t>Gain / (loss) on fair value adjustment</t>
  </si>
  <si>
    <t>Gain/loss fair value</t>
  </si>
  <si>
    <t>SALE OF VEHICLES</t>
  </si>
  <si>
    <t>Refer to Appendix B for more detail on property, plant &amp; equipment, including the capital under construction.</t>
  </si>
  <si>
    <t>Business addres</t>
  </si>
  <si>
    <t>Civic Centre</t>
  </si>
  <si>
    <t xml:space="preserve">Polokwane </t>
  </si>
  <si>
    <t>0699</t>
  </si>
  <si>
    <t>C/O Landdros Mare and Bodenstein Street</t>
  </si>
  <si>
    <t>Postal address</t>
  </si>
  <si>
    <t>P O Box 111</t>
  </si>
  <si>
    <t>Polokwane</t>
  </si>
  <si>
    <t>0700</t>
  </si>
  <si>
    <t>Quarterly receipts                                                                                                                                                                R</t>
  </si>
  <si>
    <t>Quarterly Expenditure for the  Year                                                                                                                                             R</t>
  </si>
  <si>
    <t>SM Motseo</t>
  </si>
  <si>
    <t>Member of the Mayoral Committee</t>
  </si>
  <si>
    <t xml:space="preserve">Municipal infrastructure grant </t>
  </si>
  <si>
    <t>GRANTS - MISCELLANEOUS(SPCA)</t>
  </si>
  <si>
    <t>Parks &amp; Open areas</t>
  </si>
  <si>
    <t>Capital Work in Progress</t>
  </si>
  <si>
    <t>Carrying Value Opening Balance</t>
  </si>
  <si>
    <t>Carrying Value Closing Balance</t>
  </si>
  <si>
    <t>Changes in fair value adjustments</t>
  </si>
  <si>
    <t>Accumulated amortisation</t>
  </si>
  <si>
    <t xml:space="preserve">Prior Year </t>
  </si>
  <si>
    <t>Adjustments on assets -prior year</t>
  </si>
  <si>
    <t>Not budget for</t>
  </si>
  <si>
    <t>Gain / loss on disposal of assets</t>
  </si>
  <si>
    <t>Library Books</t>
  </si>
  <si>
    <t>Intangible Assets</t>
  </si>
  <si>
    <t>All biological assets relate to game.</t>
  </si>
  <si>
    <t>8.2.</t>
  </si>
  <si>
    <t>Impairment loss</t>
  </si>
  <si>
    <t>A process was followed whereby impairment meetings was held with the relevant managers. After consideration and review it was decided not to impair the assets for the year under review.</t>
  </si>
  <si>
    <t>FAIR VALUE ADJUSTMENT</t>
  </si>
  <si>
    <t>Carrying value   Opening Balance</t>
  </si>
  <si>
    <t>Carrying value   Closing Balance</t>
  </si>
  <si>
    <t>Aerial photographs</t>
  </si>
  <si>
    <t>Amortisation</t>
  </si>
  <si>
    <t>prime interest rate that is available to the municipality for similar financial</t>
  </si>
  <si>
    <t>The municipality reviews and tests the carrying value of assets when events or changes in circumstances suggest that the carrying amount may not be recoverable.</t>
  </si>
  <si>
    <t>The municipality has identified all its capital assets, excluding Investment Property, as non-cash generating assets as it’s the municipality's view that the primary objective of these assets are to provide a service and not to generate a commercial return.</t>
  </si>
  <si>
    <t>Useful lives of assets</t>
  </si>
  <si>
    <t>depreciation charges. Management will increase the depreciation charge where useful lives are less</t>
  </si>
  <si>
    <t>An impairment loss is recognised in surplus and deficit when there is objective</t>
  </si>
  <si>
    <t>evidence that is irrecoverable. The impairment is measured as the difference between the</t>
  </si>
  <si>
    <t>The cost also includes the necessary costs of dismantling and removing the asset and restoring the site on which it is located.</t>
  </si>
  <si>
    <t>Heritage assets are assets that have a cultural, environmental, historical, natural, scientific, technological or artistic significance and are held indefinitely for the benefit of present and future generations.</t>
  </si>
  <si>
    <t xml:space="preserve">Heritage assets which are shown at cost, are not depreciated due to the uncertainty regarding their estimated useful lives, as reflected below: </t>
  </si>
  <si>
    <t xml:space="preserve">    Memorials &amp; Statues                                        - indefinite life</t>
  </si>
  <si>
    <t xml:space="preserve">    Heritage Sites                                                   - indefinite life</t>
  </si>
  <si>
    <t xml:space="preserve">    Museums                                                          - indefinite life</t>
  </si>
  <si>
    <t xml:space="preserve">    Art Works                                                          - indefinite life</t>
  </si>
  <si>
    <t>Although a heritage asset is not depreciated, the asset is assessed for impairment at each reporting date to disclose whether there is an indication that it may be impaired.</t>
  </si>
  <si>
    <t>Initial recognition and measurement</t>
  </si>
  <si>
    <t>Investment property includes property held to earn rentals and/or for capital appreciation, rather than held to meet service delivery objectives, the production or supply of goods or services or the sale of an asset in the ordinary course of operations.</t>
  </si>
  <si>
    <t>Investment Property is initially recognised when future economic benefits or service potential are probable and the cost or fair value can be determined reliably.</t>
  </si>
  <si>
    <t xml:space="preserve">At initial recognition, the entity measures investment property at cost including transaction costs once it meets the definition of investment property. </t>
  </si>
  <si>
    <t>Where an investment property was acquired through a non-exchange transaction (i.e. where it acquired the investment property for no or a nominal value), its cost is its fair value as at the date of acquisition.</t>
  </si>
  <si>
    <t>The cost of self-constructed investment property is the cost at date of completion.</t>
  </si>
  <si>
    <t>Transfers are made to or from investment property only when there is a change in use. For a transfer from investment property to owner occupied property (property, plant and equipment), the deemed cost for subsequent accounting is the fair value at the date of change in use. If owner occupied property becomes an investment property, the entity accounts for such property in accordance with the policy stated under property, plant and equipment up to the date of change in use.</t>
  </si>
  <si>
    <t>The cost of day to day servicing of investment property is recognised in the Statement of Financial Performance as incurred.</t>
  </si>
  <si>
    <t>Subsequent measurement</t>
  </si>
  <si>
    <t>Fair value model</t>
  </si>
  <si>
    <t>Investment property is measured using the fair value model. This entails determining the fair value of investment properties on a regular basis. To the extent that the fair value model is applied investment property is not depreciated. Fair value gains / losses that result from the revaluation are recognised in the Statement of Financial Performance.</t>
  </si>
  <si>
    <t>Impairments</t>
  </si>
  <si>
    <t>Derecognition</t>
  </si>
  <si>
    <t>An Investment Property is derecognised when there is a disposal or no future economic benefits or service potential are to be derived from the property. All gains or losses, which result from the derecognition, are recognised in the Statement of Financial Performance.</t>
  </si>
  <si>
    <t>1.20 Leases</t>
  </si>
  <si>
    <t>1.21 Intangible assets</t>
  </si>
  <si>
    <t>The entity tests for impairment where there is an indication that an asset may be impaired. An assessment of whether there is an indication of possible impairment is done at each reporting date. Where the carrying amount of an item of property, plant and equipment is greater than the estimated recoverable amount (or recoverable service amount), it is written down immediately to its recoverable amount (or recoverable service amount) and an impairment loss is charged to the Statement of Financial Performance.</t>
  </si>
  <si>
    <t>Where items of property, plant and equipment have been impaired, the carrying value is adjusted by the impairment loss, which is recognised as an expense in the Statement of Financial Performance in the period that the impairment is identified.</t>
  </si>
  <si>
    <t>An impairment is reversed only to the extent that the asset’s carrying amount does not exceed the carrying amount that would have been determined had no impairment been recognised.  A reversal of the impairment is recognised in the Statement of Financial Performance.</t>
  </si>
  <si>
    <t xml:space="preserve">The municipality has not applied the following standards and interpretations. </t>
  </si>
  <si>
    <t>Revenue from Exchange Transactions unless specified otherwise</t>
  </si>
  <si>
    <t>Property rates - Non Exchange Transactions</t>
  </si>
  <si>
    <t>Fines - Non Exchange Transactions</t>
  </si>
  <si>
    <t>Government grants recognised - operating - Non Exchange Transactions</t>
  </si>
  <si>
    <t>Government grants  recognised - capital - Non Exchange Transactions</t>
  </si>
  <si>
    <t>Where the carrying amount of an item of property, plant and equipment is greater than the estimated recoverable amount (or recoverable service amount), it is written down immediately to its recoverable amount (or recoverable service amount) and an impairment loss is charged to the Statement of Financial Performance.</t>
  </si>
  <si>
    <t>The entity tests for impairment where there is an indication that an asset may be impaired. An assessment of whether there is an indication of possible impairment is done at each reporting date. In assessing whether there is an indication that an asset may be impaired, management considers both external and internal indicators (sources of information).</t>
  </si>
  <si>
    <t>inventories is assigned using the weighted average method. The same cost formula is</t>
  </si>
  <si>
    <t>Amortisation begins when the asset is available for use.</t>
  </si>
  <si>
    <t>Inventories are initially measured at cost except where inventories are acquired at no cost, or for nominal consideration, then their costs are their fair valued as at the date of acquisition.</t>
  </si>
  <si>
    <t>LIST OF OTHER EXPENDITURE</t>
  </si>
  <si>
    <t>H</t>
  </si>
  <si>
    <t>Staff Debtors</t>
  </si>
  <si>
    <t>APPENDICES (UNAUDITED)</t>
  </si>
  <si>
    <t>Restated</t>
  </si>
  <si>
    <t xml:space="preserve">                                       Interest rate    Tenure</t>
  </si>
  <si>
    <t>Tickets (COMPUTICET)</t>
  </si>
  <si>
    <t>Computicet</t>
  </si>
  <si>
    <t>SARS dispute on VAT</t>
  </si>
  <si>
    <t>Total cash and cash equivalents</t>
  </si>
  <si>
    <t>Motor car allowance</t>
  </si>
  <si>
    <t>Assets are not pledged as collateral</t>
  </si>
  <si>
    <t xml:space="preserve">Long term loan commitments: </t>
  </si>
  <si>
    <t>Adjustments on expenditure -prior year</t>
  </si>
  <si>
    <t>Correction -prior year</t>
  </si>
  <si>
    <t>The municipality future lease commitments on vehicles and their present values</t>
  </si>
  <si>
    <t>The management of the municipality is of the opinion that the carrying value of Long-term Liabilities recorded at amortised cost in the Annual Financial Statements approximate their fair values.</t>
  </si>
  <si>
    <t>Fair value</t>
  </si>
  <si>
    <t>The comparison of the Municipality’s actual financial performance with that budgeted is set out in Appendix E.1</t>
  </si>
  <si>
    <t>FINANCE COST (DEBTORS DISCOUNTING)</t>
  </si>
  <si>
    <t>Debtors discount allowance</t>
  </si>
  <si>
    <t>Less Debtors discount allowance</t>
  </si>
  <si>
    <t>0086</t>
  </si>
  <si>
    <t>30 June 2014</t>
  </si>
  <si>
    <t>Balance at 30 June 2014</t>
  </si>
  <si>
    <t>2014</t>
  </si>
  <si>
    <t>2013/2014</t>
  </si>
  <si>
    <t>Carrying values at 30 June 2014</t>
  </si>
  <si>
    <t xml:space="preserve">OriginalBudget </t>
  </si>
  <si>
    <t>GRANT - EPWP OPEX</t>
  </si>
  <si>
    <t>GRANT - MIG OPEX</t>
  </si>
  <si>
    <t>GRANT - PTIG OPEX</t>
  </si>
  <si>
    <t>FREE BASIC SERVICES WATER</t>
  </si>
  <si>
    <t>CATERING</t>
  </si>
  <si>
    <t>CHAN GAMES</t>
  </si>
  <si>
    <t>STRATEGIC PLANNING SESSION</t>
  </si>
  <si>
    <t>TRAINING LGSETA</t>
  </si>
  <si>
    <t>CRR</t>
  </si>
  <si>
    <t>DEPT ENVIRONMENTAL AFFAIRS</t>
  </si>
  <si>
    <t>CONSUMER CONNECTIONS</t>
  </si>
  <si>
    <t>Slow spending</t>
  </si>
  <si>
    <t>Transaction reversed- Previous year expenditure</t>
  </si>
  <si>
    <t>The employees of the Council as well as the Council as employer, contribute to municipal pension, retirement and various provident funds as listed below:</t>
  </si>
  <si>
    <t>This grant was utilised for sport related operating expenses including CHAN Games.  The conditions of the grant were met and no funds have been withheld.</t>
  </si>
  <si>
    <t>The grant was utilised to subsidise water &amp; sewer schemes transferred by DWAF.</t>
  </si>
  <si>
    <t>Balance unspent at beginning of year (Lottery)</t>
  </si>
  <si>
    <t>Current year receipts (German Bank)</t>
  </si>
  <si>
    <t>Conditions met – transferred to revenue (Lottery)</t>
  </si>
  <si>
    <t>Conditions met – transferred to revenue (German Bank)</t>
  </si>
  <si>
    <t>These loans attract interest rates at 9% and were given over a period of 30 years.</t>
  </si>
  <si>
    <t>These  loans  were granted  to the community for the purchase of stands. The loans attract interest rates at 9% over a period of 5 years.</t>
  </si>
  <si>
    <t>Water and electricity &amp; other</t>
  </si>
  <si>
    <t>90-</t>
  </si>
  <si>
    <t>Transferred to revenue</t>
  </si>
  <si>
    <t>KFW German Bank</t>
  </si>
  <si>
    <t>Department Sport &amp; Recreation</t>
  </si>
  <si>
    <t>Other grants</t>
  </si>
  <si>
    <t>KFW German bank</t>
  </si>
  <si>
    <t>LOCAL GOVERNMENT TRANSITION GRANT</t>
  </si>
  <si>
    <t>LOCAL GOVERNMENT RESTRUCTURING GRANT</t>
  </si>
  <si>
    <t>Local govt restructuring grant</t>
  </si>
  <si>
    <t>Local govt transition grant</t>
  </si>
  <si>
    <t>Local govt economic development grant</t>
  </si>
  <si>
    <t>GOVERNMENT GRANTS &amp; SUBSIDIES &amp; PUBLIC CONTRIBUTIONS</t>
  </si>
  <si>
    <t xml:space="preserve">Total Unspent government grants &amp; Subsidies &amp; Public Contributions </t>
  </si>
  <si>
    <t>Total Government Grants &amp; Subsidies &amp;Public Contributions</t>
  </si>
  <si>
    <t>Operating Grants from Government</t>
  </si>
  <si>
    <t>Capital Grants from Government</t>
  </si>
  <si>
    <t>Capital Grants from Public Contributions</t>
  </si>
  <si>
    <t>Debtors Control L425</t>
  </si>
  <si>
    <t>Debtors Control L800</t>
  </si>
  <si>
    <t>Debtors Control L325</t>
  </si>
  <si>
    <t>Nett salary suspense</t>
  </si>
  <si>
    <t>Debtors transfer control</t>
  </si>
  <si>
    <t>0201</t>
  </si>
  <si>
    <t>Bank account grants</t>
  </si>
  <si>
    <t>0105</t>
  </si>
  <si>
    <t>Amounts paid in advance</t>
  </si>
  <si>
    <t>UNIDENTIFIED RECEIPTS</t>
  </si>
  <si>
    <t>GAIN/LOSS FAIR VALUE</t>
  </si>
  <si>
    <t>DEBT INCENTIVE</t>
  </si>
  <si>
    <t>Non cash items</t>
  </si>
  <si>
    <t>Gain/ (Loss) Disposal of assets</t>
  </si>
  <si>
    <t>Decrease in housind fund</t>
  </si>
  <si>
    <t>Transfer from surplus</t>
  </si>
  <si>
    <t>Fraud case RTMC Eson pre-paid sales</t>
  </si>
  <si>
    <t>Tender deposits</t>
  </si>
  <si>
    <t>Burial fees</t>
  </si>
  <si>
    <t>Commitments in respect of expenditure:</t>
  </si>
  <si>
    <t>Total Revenue (Exclulding capital transfers and contributions)</t>
  </si>
  <si>
    <t xml:space="preserve">Fines </t>
  </si>
  <si>
    <t>Agency services</t>
  </si>
  <si>
    <t>Transfers recognised - operational</t>
  </si>
  <si>
    <t>Gain on disposal of assets</t>
  </si>
  <si>
    <t>Service Charges-electricity revenue</t>
  </si>
  <si>
    <t>Service Charges-water revenue</t>
  </si>
  <si>
    <t>Service Charges-sanitation revenue</t>
  </si>
  <si>
    <t>Service Charges-refuse revenue</t>
  </si>
  <si>
    <t>Employee Costs</t>
  </si>
  <si>
    <t>Remuneration of Councillors</t>
  </si>
  <si>
    <t>Debt Impairment</t>
  </si>
  <si>
    <t>Depreciation and asset impairment</t>
  </si>
  <si>
    <t>Finance Charges</t>
  </si>
  <si>
    <t>Other materials</t>
  </si>
  <si>
    <t>Other Expenditure</t>
  </si>
  <si>
    <t>Lloss on disposal of assets</t>
  </si>
  <si>
    <t>Transfer Recognised - capital</t>
  </si>
  <si>
    <t>Unauthorised expendityre</t>
  </si>
  <si>
    <t>Reported unauthorised expenditure</t>
  </si>
  <si>
    <t>Expenditure authorised ito section 32 of MFMA</t>
  </si>
  <si>
    <t>Blance to be recovered</t>
  </si>
  <si>
    <t>Restated Audited Outcome</t>
  </si>
  <si>
    <t>Contributions Recognised - capital &amp;  contributed assets</t>
  </si>
  <si>
    <t>Debtors Control L266</t>
  </si>
  <si>
    <t>Debtors Control L950</t>
  </si>
  <si>
    <t>Traffic fines</t>
  </si>
  <si>
    <t>00021</t>
  </si>
  <si>
    <t>Outstanding fines</t>
  </si>
  <si>
    <t>New vote</t>
  </si>
  <si>
    <t>Provision outstanding traffic fines</t>
  </si>
  <si>
    <t>PROVISION OUTSTANDING TRAFFIC FINES</t>
  </si>
  <si>
    <t>Finance lease obligation</t>
  </si>
  <si>
    <t xml:space="preserve"> - within one year</t>
  </si>
  <si>
    <t xml:space="preserve"> - in second to fifth year inclusive</t>
  </si>
  <si>
    <t xml:space="preserve"> - late than five years</t>
  </si>
  <si>
    <t>Less: future finance charges</t>
  </si>
  <si>
    <t>Present value of minimum lease payments</t>
  </si>
  <si>
    <t>Non-current</t>
  </si>
  <si>
    <t>Provision for outstanding fines</t>
  </si>
  <si>
    <t>Adjustments on revenue -prior year Fines</t>
  </si>
  <si>
    <t>Costs to the Municipality</t>
  </si>
  <si>
    <t>R76 237.80</t>
  </si>
  <si>
    <t>R133 042.58</t>
  </si>
  <si>
    <t>Plk Mag court</t>
  </si>
  <si>
    <t>R47 532.30</t>
  </si>
  <si>
    <t>No invoice submitted</t>
  </si>
  <si>
    <t>Damages as a result of motor collision</t>
  </si>
  <si>
    <t>Matter handled internally</t>
  </si>
  <si>
    <t>Mogoma Samuel Seabi/ Plk Municipality</t>
  </si>
  <si>
    <t>Claimant rejected offer from the Insurance and issued summons</t>
  </si>
  <si>
    <t>Carrim Attorneys</t>
  </si>
  <si>
    <t>R 5 399.00</t>
  </si>
  <si>
    <t>Judgment for rescission of judgment reserved</t>
  </si>
  <si>
    <t>15/07/2010</t>
  </si>
  <si>
    <t xml:space="preserve">Motor vehicle collision </t>
  </si>
  <si>
    <t>E Phooko v Polokwane</t>
  </si>
  <si>
    <t>R15 760.00</t>
  </si>
  <si>
    <t>Pothole collision</t>
  </si>
  <si>
    <t>Ramadimetja Melda Chabangu/ Polokwane Municipality</t>
  </si>
  <si>
    <t>Internal intervention</t>
  </si>
  <si>
    <t>Awaiting Departmental report from Roads &amp; Storm Water</t>
  </si>
  <si>
    <t>Storm water damage</t>
  </si>
  <si>
    <t>Tess Jerkins. Polokwane Municipality</t>
  </si>
  <si>
    <t>Awaiting report from the Insurance</t>
  </si>
  <si>
    <t>Open hole injury</t>
  </si>
  <si>
    <t>Soufo Mampshe Jacob/ Polokwane Municipality</t>
  </si>
  <si>
    <t>No names mentioned in the claim</t>
  </si>
  <si>
    <t>Polokwane Magistrate Court</t>
  </si>
  <si>
    <t>Joel Makgata/ Polokwane Municipality</t>
  </si>
  <si>
    <t>Charles Errol Hlupekha/ Polokwane Municipality</t>
  </si>
  <si>
    <t>Magistrate Court Mankweng</t>
  </si>
  <si>
    <t>Maboku Mangena Attorneys</t>
  </si>
  <si>
    <t xml:space="preserve">Defamation of character </t>
  </si>
  <si>
    <t>Mers Lerake Motshekga/ Polokwane Municipality</t>
  </si>
  <si>
    <t>Polokwane Regional Court</t>
  </si>
  <si>
    <t xml:space="preserve">Pule Incorporated </t>
  </si>
  <si>
    <t>Awaiting report from Roads and Storm Water</t>
  </si>
  <si>
    <t>Damages for falling into a ditch</t>
  </si>
  <si>
    <t>J.P Neethling/ Polokwane Municipality</t>
  </si>
  <si>
    <t>High Court</t>
  </si>
  <si>
    <t>Rental agreement</t>
  </si>
  <si>
    <t>Pietersburg Police Social Club/ Polokwane Municipality</t>
  </si>
  <si>
    <t>W. De Jongh/Polokwane Municipality</t>
  </si>
  <si>
    <t>DP Service centre/ Polokwane Municipality</t>
  </si>
  <si>
    <t>None- Internal</t>
  </si>
  <si>
    <t>Restated depreciation -Prior year</t>
  </si>
  <si>
    <t>CoGHSTA</t>
  </si>
  <si>
    <t>Current year receipts (CoGHSTA)</t>
  </si>
  <si>
    <t>Conditions met – transferred to revenue (CoGHSTA)</t>
  </si>
  <si>
    <t>Explanations for material variances of the Municipality’s actual financial performance with the budgeted is set out in Appendix E.1</t>
  </si>
  <si>
    <t>Under budgeted. New service provider applied revaluation model</t>
  </si>
  <si>
    <t>Under budgeted due to non payment of consumer debtors</t>
  </si>
  <si>
    <t>On target-Under 10%- No explanation required</t>
  </si>
  <si>
    <t>Operator registration</t>
  </si>
  <si>
    <t xml:space="preserve">  120+       days</t>
  </si>
  <si>
    <t>Refuse</t>
  </si>
  <si>
    <t>The analysis and ageing of consumer debtors per service.</t>
  </si>
  <si>
    <t xml:space="preserve"> Aerial photographs</t>
  </si>
  <si>
    <t>Amortisation/Transfer</t>
  </si>
  <si>
    <t>Finance Lease Liabilities relates to Vehicles with lease terms of 5 years. The effective interest rate on Finance Leases is 8.5%. Capitalised Lease Liabilities are secured over the items of vehicles leased.</t>
  </si>
  <si>
    <t>The Municipality has incurred the following distribution losses as result of supply of electricity and water</t>
  </si>
  <si>
    <t xml:space="preserve">Jeff Mathabatha Attorneys. </t>
  </si>
  <si>
    <t>INSURANCE - UIF</t>
  </si>
  <si>
    <t>Item</t>
  </si>
  <si>
    <t>The grant was used for various restructuring initiatives. The remaining portion was transfered to revenue</t>
  </si>
  <si>
    <t>The grant was used to fund local economic development processes. The remaining portion was transfered to revenue</t>
  </si>
  <si>
    <r>
      <t>Trade and other receivables which are less than 3 months</t>
    </r>
    <r>
      <rPr>
        <sz val="10"/>
        <color indexed="40"/>
        <rFont val="Arial"/>
        <family val="2"/>
      </rPr>
      <t xml:space="preserve"> </t>
    </r>
    <r>
      <rPr>
        <sz val="10"/>
        <rFont val="Arial"/>
        <family val="2"/>
      </rPr>
      <t>past due are not considered to be impaired. At 30 June 2012, R - (2011: R -) were past due but not impaired.</t>
    </r>
  </si>
  <si>
    <t xml:space="preserve">statements are prepared on a going concern basis. The assumption is based on the fact </t>
  </si>
  <si>
    <t>terms of General Notice 991 and 992 of 2005. MFMA Section 122(3) also prescribes GRAP.</t>
  </si>
  <si>
    <t>are in accordance with historical cost convention unless specified otherwise.</t>
  </si>
  <si>
    <t>The municipality assesses its loans and receivables for impairment at each reporting period.</t>
  </si>
  <si>
    <t>The municipality makes judgments as to whether there is observable data indicating a measurable</t>
  </si>
  <si>
    <t>decrease in the estimated future cash flows from a financial asset/liability</t>
  </si>
  <si>
    <t>1.4 Comparative figures</t>
  </si>
  <si>
    <t>1.5 Offsetting</t>
  </si>
  <si>
    <t>1.6.1 Housing development fund</t>
  </si>
  <si>
    <t>1.6.2 Revaluation Reserve</t>
  </si>
  <si>
    <t>1.7 Property, plant and equipment</t>
  </si>
  <si>
    <t>1.7.1 Initial recognition</t>
  </si>
  <si>
    <t>1.7.2 Subsequent recognition</t>
  </si>
  <si>
    <t xml:space="preserve">depreciation based on the original cost of the asset. If a revaluation is necessary, all assets of </t>
  </si>
  <si>
    <t>that class are revalued.</t>
  </si>
  <si>
    <t>1.7.3 Depreciation</t>
  </si>
  <si>
    <t xml:space="preserve">useful lives to their estimated residual value. </t>
  </si>
  <si>
    <t>Item useful life range</t>
  </si>
  <si>
    <r>
      <rPr>
        <sz val="11"/>
        <rFont val="Calibri"/>
        <family val="2"/>
      </rPr>
      <t>→</t>
    </r>
    <r>
      <rPr>
        <sz val="11"/>
        <rFont val="Arial"/>
        <family val="2"/>
      </rPr>
      <t xml:space="preserve"> Roads and stormwater                                                                                 5-80 years</t>
    </r>
  </si>
  <si>
    <r>
      <rPr>
        <sz val="11"/>
        <rFont val="Calibri"/>
        <family val="2"/>
      </rPr>
      <t xml:space="preserve">→ </t>
    </r>
    <r>
      <rPr>
        <sz val="11"/>
        <rFont val="Arial"/>
        <family val="2"/>
      </rPr>
      <t xml:space="preserve"> Electricity                                                                                                      3-50 years</t>
    </r>
  </si>
  <si>
    <r>
      <rPr>
        <sz val="11"/>
        <rFont val="Calibri"/>
        <family val="2"/>
      </rPr>
      <t>→</t>
    </r>
    <r>
      <rPr>
        <sz val="11"/>
        <rFont val="Arial"/>
        <family val="2"/>
      </rPr>
      <t xml:space="preserve"> Sanitation                                                                                                     15-100 years</t>
    </r>
  </si>
  <si>
    <r>
      <rPr>
        <sz val="11"/>
        <rFont val="Calibri"/>
        <family val="2"/>
      </rPr>
      <t xml:space="preserve">→ </t>
    </r>
    <r>
      <rPr>
        <sz val="11"/>
        <rFont val="Arial"/>
        <family val="2"/>
      </rPr>
      <t>Water                                                                                                            5-80 years</t>
    </r>
  </si>
  <si>
    <r>
      <rPr>
        <sz val="11"/>
        <rFont val="Calibri"/>
        <family val="2"/>
      </rPr>
      <t>→</t>
    </r>
    <r>
      <rPr>
        <sz val="11"/>
        <rFont val="Arial"/>
        <family val="2"/>
      </rPr>
      <t xml:space="preserve"> Housing                                                                                                        3-50 years</t>
    </r>
  </si>
  <si>
    <r>
      <rPr>
        <sz val="11"/>
        <rFont val="Calibri"/>
        <family val="2"/>
      </rPr>
      <t>→</t>
    </r>
    <r>
      <rPr>
        <sz val="11"/>
        <rFont val="Arial"/>
        <family val="2"/>
      </rPr>
      <t xml:space="preserve"> Landfill sites                                                                                                 15-50 years</t>
    </r>
  </si>
  <si>
    <r>
      <rPr>
        <sz val="11"/>
        <rFont val="Calibri"/>
        <family val="2"/>
      </rPr>
      <t>→</t>
    </r>
    <r>
      <rPr>
        <sz val="11"/>
        <rFont val="Arial"/>
        <family val="2"/>
      </rPr>
      <t xml:space="preserve"> Sport and recreation</t>
    </r>
    <r>
      <rPr>
        <strike/>
        <sz val="11"/>
        <rFont val="Arial"/>
        <family val="2"/>
      </rPr>
      <t>al</t>
    </r>
    <r>
      <rPr>
        <sz val="11"/>
        <rFont val="Arial"/>
        <family val="2"/>
      </rPr>
      <t xml:space="preserve"> facilities                                                                    5 - 50 years</t>
    </r>
  </si>
  <si>
    <r>
      <rPr>
        <sz val="11"/>
        <rFont val="Calibri"/>
        <family val="2"/>
      </rPr>
      <t>→</t>
    </r>
    <r>
      <rPr>
        <sz val="11"/>
        <rFont val="Arial"/>
        <family val="2"/>
      </rPr>
      <t xml:space="preserve"> Cemeteries                                                                                                   5 - 50 years</t>
    </r>
  </si>
  <si>
    <r>
      <rPr>
        <sz val="11"/>
        <rFont val="Calibri"/>
        <family val="2"/>
      </rPr>
      <t>→</t>
    </r>
    <r>
      <rPr>
        <sz val="11"/>
        <rFont val="Arial"/>
        <family val="2"/>
      </rPr>
      <t xml:space="preserve"> Halls                                                                                                              5 - 50 years</t>
    </r>
  </si>
  <si>
    <r>
      <rPr>
        <sz val="11"/>
        <rFont val="Calibri"/>
        <family val="2"/>
      </rPr>
      <t>→</t>
    </r>
    <r>
      <rPr>
        <sz val="11"/>
        <rFont val="Arial"/>
        <family val="2"/>
      </rPr>
      <t xml:space="preserve"> Libraries                                                                                                        5 - 50 years</t>
    </r>
  </si>
  <si>
    <r>
      <rPr>
        <sz val="11"/>
        <rFont val="Calibri"/>
        <family val="2"/>
      </rPr>
      <t>→</t>
    </r>
    <r>
      <rPr>
        <sz val="11"/>
        <rFont val="Arial"/>
        <family val="2"/>
      </rPr>
      <t xml:space="preserve"> Parks                                                                                                            5 - 50 years   </t>
    </r>
  </si>
  <si>
    <r>
      <rPr>
        <sz val="11"/>
        <rFont val="Calibri"/>
        <family val="2"/>
      </rPr>
      <t>→</t>
    </r>
    <r>
      <rPr>
        <sz val="11"/>
        <rFont val="Arial"/>
        <family val="2"/>
      </rPr>
      <t xml:space="preserve"> Fire / Ambulance stations                                                                            5 - 50 years </t>
    </r>
  </si>
  <si>
    <r>
      <rPr>
        <sz val="11"/>
        <rFont val="Calibri"/>
        <family val="2"/>
      </rPr>
      <t>→</t>
    </r>
    <r>
      <rPr>
        <sz val="11"/>
        <rFont val="Arial"/>
        <family val="2"/>
      </rPr>
      <t xml:space="preserve"> Clinics                                                                                                          5 - 50 years</t>
    </r>
  </si>
  <si>
    <r>
      <rPr>
        <sz val="11"/>
        <rFont val="Calibri"/>
        <family val="2"/>
      </rPr>
      <t>→</t>
    </r>
    <r>
      <rPr>
        <sz val="11"/>
        <rFont val="Arial"/>
        <family val="2"/>
      </rPr>
      <t xml:space="preserve"> Sport fields                                                                                                  15 - 30 years</t>
    </r>
  </si>
  <si>
    <r>
      <rPr>
        <sz val="11"/>
        <rFont val="Calibri"/>
        <family val="2"/>
      </rPr>
      <t>→</t>
    </r>
    <r>
      <rPr>
        <sz val="11"/>
        <rFont val="Arial"/>
        <family val="2"/>
      </rPr>
      <t xml:space="preserve"> Stadium                                                                                                       50 years</t>
    </r>
  </si>
  <si>
    <r>
      <rPr>
        <sz val="11"/>
        <rFont val="Calibri"/>
        <family val="2"/>
      </rPr>
      <t>→</t>
    </r>
    <r>
      <rPr>
        <sz val="11"/>
        <rFont val="Arial"/>
        <family val="2"/>
      </rPr>
      <t xml:space="preserve"> Transport assets                                                                                         5-15 years</t>
    </r>
  </si>
  <si>
    <r>
      <rPr>
        <sz val="11"/>
        <rFont val="Calibri"/>
        <family val="2"/>
      </rPr>
      <t>→</t>
    </r>
    <r>
      <rPr>
        <sz val="11"/>
        <rFont val="Arial"/>
        <family val="2"/>
      </rPr>
      <t xml:space="preserve"> Machinery and equipment                                                                           2-15 years</t>
    </r>
  </si>
  <si>
    <r>
      <rPr>
        <sz val="11"/>
        <rFont val="Calibri"/>
        <family val="2"/>
      </rPr>
      <t>→</t>
    </r>
    <r>
      <rPr>
        <sz val="11"/>
        <rFont val="Arial"/>
        <family val="2"/>
      </rPr>
      <t xml:space="preserve"> Computer equipment                                                                                  3-7 years</t>
    </r>
  </si>
  <si>
    <r>
      <rPr>
        <sz val="11"/>
        <rFont val="Calibri"/>
        <family val="2"/>
      </rPr>
      <t>→</t>
    </r>
    <r>
      <rPr>
        <sz val="11"/>
        <rFont val="Arial"/>
        <family val="2"/>
      </rPr>
      <t xml:space="preserve"> Office equipment                                                                                        3-10 years</t>
    </r>
  </si>
  <si>
    <r>
      <rPr>
        <sz val="11"/>
        <rFont val="Calibri"/>
        <family val="2"/>
      </rPr>
      <t>→</t>
    </r>
    <r>
      <rPr>
        <sz val="11"/>
        <rFont val="Arial"/>
        <family val="2"/>
      </rPr>
      <t xml:space="preserve"> Library books                                                                                             10 years</t>
    </r>
  </si>
  <si>
    <t>1.8 Biological Assets</t>
  </si>
  <si>
    <t>1.9 Heritage Assets</t>
  </si>
  <si>
    <t>1.10 Investment Property</t>
  </si>
  <si>
    <t>1.11 Inventories</t>
  </si>
  <si>
    <t>1.12 Financial instruments</t>
  </si>
  <si>
    <t>1.13 Revenue from exchange transactions</t>
  </si>
  <si>
    <t>1.14 Revenue from non-exchange transactions</t>
  </si>
  <si>
    <t>1.16 Provisions and contingencies</t>
  </si>
  <si>
    <t>1.17 Unauthorised expenditure</t>
  </si>
  <si>
    <t>1.18 Irregular expenditure</t>
  </si>
  <si>
    <t>1.19 Fruitless and wasteful expenditure</t>
  </si>
  <si>
    <t>contractual payments are recognised as an operating lease asset or liability. This liability is not</t>
  </si>
  <si>
    <t>Please also make reference to GRAP 32 - Service Concession Agreements - Grantor AND GRAP 108 - Statutory Receivables</t>
  </si>
  <si>
    <t>original</t>
  </si>
  <si>
    <t>now</t>
  </si>
  <si>
    <t>Nett assets</t>
  </si>
  <si>
    <t xml:space="preserve">Fair value adjustment </t>
  </si>
  <si>
    <t>Investment Property</t>
  </si>
  <si>
    <t>I am responsible for the preparation of these annual financial statements, which are set out on pages 2 to 62, in terms of Section 126(1) of the Municipal Finance Management Act and which I have signed on behalf of the Municipality.</t>
  </si>
  <si>
    <t>Prior year fines</t>
  </si>
  <si>
    <t>On i/e</t>
  </si>
  <si>
    <t>Interest external</t>
  </si>
  <si>
    <t>Interest internal</t>
  </si>
  <si>
    <t>Historical Cost</t>
  </si>
  <si>
    <t>Capital under construction</t>
  </si>
  <si>
    <t>Additions for the year</t>
  </si>
  <si>
    <t>Revaluation</t>
  </si>
  <si>
    <t>Closing balance</t>
  </si>
  <si>
    <t>Depreciation for the year</t>
  </si>
  <si>
    <t>Impairment for the year</t>
  </si>
  <si>
    <t>COMMUNITY ASSETS</t>
  </si>
  <si>
    <t>Community facilities</t>
  </si>
  <si>
    <t>Sport and recreation facilities</t>
  </si>
  <si>
    <t>INFRASTRUCTURE ASSETS</t>
  </si>
  <si>
    <t>Infrastructure Assets</t>
  </si>
  <si>
    <t>Electricity network</t>
  </si>
  <si>
    <t>Information and communications network</t>
  </si>
  <si>
    <t>Roads and Stormwater Network</t>
  </si>
  <si>
    <t>Sanitation Network</t>
  </si>
  <si>
    <t>Water supply network</t>
  </si>
  <si>
    <t>Other Assets</t>
  </si>
  <si>
    <t>Operational Buildings</t>
  </si>
  <si>
    <t>OTHER and MOVABLE</t>
  </si>
  <si>
    <t>Furniture and Office Equipment</t>
  </si>
  <si>
    <t>Machinery and Equipment</t>
  </si>
  <si>
    <t>Transport Assets</t>
  </si>
  <si>
    <t>Cellphones and Tablets</t>
  </si>
  <si>
    <t>Heritage Assets</t>
  </si>
  <si>
    <t>Leased Assets</t>
  </si>
  <si>
    <t>Grand Total</t>
  </si>
  <si>
    <t>Irregular expenditure current year</t>
  </si>
  <si>
    <t>Subsequent to initial recognition, items of property, plant and equipment are measured at cost less accumulated depreciation and accumulated impairment losses, except for land, community assets and infrastructure assets which are carried at revaluation amount being the fair value at the date of revaluation less any subsequent accumulated depreciation and subsequent accumulated impairment losses. Land is not depreciated as itis deemed to have an indefinite useful life.</t>
  </si>
  <si>
    <t>Revaluations are made with suffcient regularity such that the carrying value does not differ materially from</t>
  </si>
  <si>
    <t>that which it would be determined using fair value at the end of the reporting period.</t>
  </si>
  <si>
    <t>Assets are not pledged as collateral.</t>
  </si>
  <si>
    <t>have any legal claim to ownership.</t>
  </si>
  <si>
    <t xml:space="preserve">records. These properties are represented by ex R 293 and other land parcels, vacant and improved, over which the municipality does not execute any form of control or </t>
  </si>
  <si>
    <t>No intangible assets were pledged as security.</t>
  </si>
  <si>
    <t>A register containing the information required by section 63 of the Municipal Finance Management Act is available for inspection at the registered office of the municipality.</t>
  </si>
  <si>
    <t>No Investment Properties were pledged as security.</t>
  </si>
  <si>
    <t>There are no restrictions on investment properties.</t>
  </si>
  <si>
    <t xml:space="preserve">The values were determined by an external Professional  Valuer registered with the South African </t>
  </si>
  <si>
    <t>The value of investment property, comprising of land and buildings was determined by using a</t>
  </si>
  <si>
    <t>specific property based on their nature, use and comparable market transactions.</t>
  </si>
  <si>
    <t>Historical cost</t>
  </si>
  <si>
    <t>Opening Cost / Revaluation</t>
  </si>
  <si>
    <t>Donations received</t>
  </si>
  <si>
    <t>Derecognition/Disposals for the year</t>
  </si>
  <si>
    <t>Closing Cost /Revaluation</t>
  </si>
  <si>
    <t>Acc Depreciation on Derecognition/Disposal</t>
  </si>
  <si>
    <t>Council</t>
  </si>
  <si>
    <t>Council General</t>
  </si>
  <si>
    <t xml:space="preserve">Directorate Budget &amp; Treasury </t>
  </si>
  <si>
    <t xml:space="preserve">Budget and Treasury </t>
  </si>
  <si>
    <t>Supply Chain Management</t>
  </si>
  <si>
    <t>Directorate Community Development</t>
  </si>
  <si>
    <t>Cultural Services</t>
  </si>
  <si>
    <t>Facility Management</t>
  </si>
  <si>
    <t>Sports &amp; Recreation</t>
  </si>
  <si>
    <t>Directorate Community Services</t>
  </si>
  <si>
    <t>Community Health Services</t>
  </si>
  <si>
    <t>Director Community Services</t>
  </si>
  <si>
    <t>Disaster Management</t>
  </si>
  <si>
    <t>Environmental Management</t>
  </si>
  <si>
    <t>Security Services</t>
  </si>
  <si>
    <t>Traffic and Licensing</t>
  </si>
  <si>
    <t xml:space="preserve">Directorate Corporate and Shared Services </t>
  </si>
  <si>
    <t>Legal Services</t>
  </si>
  <si>
    <t xml:space="preserve">Mechanical Services </t>
  </si>
  <si>
    <t>Secretariat</t>
  </si>
  <si>
    <t>Directorate Engineering Services</t>
  </si>
  <si>
    <t>Energy services</t>
  </si>
  <si>
    <t>Road Transport Infrastructure Services</t>
  </si>
  <si>
    <t>Sanitation Services</t>
  </si>
  <si>
    <t>Water Services</t>
  </si>
  <si>
    <t>Directorate Planning &amp; Economic Development</t>
  </si>
  <si>
    <t>Building Regulations</t>
  </si>
  <si>
    <t>City &amp; Regional Development</t>
  </si>
  <si>
    <t>Economic Development &amp; Tourism</t>
  </si>
  <si>
    <t>Directorate Strategic Planning, Monitoring and Evaluation</t>
  </si>
  <si>
    <t>Performance Management</t>
  </si>
  <si>
    <t>Directorate Transport Operations</t>
  </si>
  <si>
    <t>Transport Operations</t>
  </si>
  <si>
    <t>Office of the Municipal Manager</t>
  </si>
  <si>
    <t>Communications &amp; Marketing</t>
  </si>
  <si>
    <t>Internal Audit</t>
  </si>
  <si>
    <t>Risk Management</t>
  </si>
  <si>
    <t>Cluster Offices</t>
  </si>
  <si>
    <t>Capital under Construction</t>
  </si>
  <si>
    <t>9</t>
  </si>
  <si>
    <t>66</t>
  </si>
  <si>
    <t>Statement of Financial Position</t>
  </si>
  <si>
    <t>Statement of Changes in Net Assets</t>
  </si>
  <si>
    <t>Investment Properties</t>
  </si>
  <si>
    <t>Statement of Financial Performance</t>
  </si>
  <si>
    <t>Movable Assets</t>
  </si>
  <si>
    <t>Investment in municipal entity (PHA)</t>
  </si>
  <si>
    <t xml:space="preserve">Current year's unauthorised expenditure is attributed to the </t>
  </si>
  <si>
    <t>Fair Value</t>
  </si>
  <si>
    <t>that the municipality a constitutional mandate to  levy additional rates or taxes to enable the</t>
  </si>
  <si>
    <t>Ned Bank                            6.1  %            3 months</t>
  </si>
  <si>
    <t>Community Facilities</t>
  </si>
  <si>
    <t>Prior period adjustment</t>
  </si>
  <si>
    <t>Accummulated Impairment</t>
  </si>
  <si>
    <t>Impairment</t>
  </si>
  <si>
    <t>Impairment of assets</t>
  </si>
  <si>
    <t>Revaluation reserve realised on the derecognition of PPE</t>
  </si>
  <si>
    <t>Investment Property and biological assets were fair valued at year end.</t>
  </si>
  <si>
    <t>Gain on fair value adjustment</t>
  </si>
  <si>
    <t>Accumulated Impairment</t>
  </si>
  <si>
    <t>Revaluation of Land</t>
  </si>
  <si>
    <t>Realisation of Revaluation Reserve - Derecognition</t>
  </si>
  <si>
    <t xml:space="preserve"> - Balance Beginning of the Year</t>
  </si>
  <si>
    <t>Restatement - Change in Accounting Policy</t>
  </si>
  <si>
    <t xml:space="preserve">Correction of error </t>
  </si>
  <si>
    <t>Restated 2012</t>
  </si>
  <si>
    <t>Net Gains and Losses not recognised in the statement of financial performance (Housing Development Fund</t>
  </si>
  <si>
    <t>June 2012 Adjustments</t>
  </si>
  <si>
    <t>June 2013 Adjustments</t>
  </si>
  <si>
    <t>Reworked 2012 Balance</t>
  </si>
  <si>
    <t>Reworked 2013 Balance</t>
  </si>
  <si>
    <t>Netin impact on 2014 Opening</t>
  </si>
  <si>
    <t>Reworked 2014 Balance</t>
  </si>
  <si>
    <t>Journal 9</t>
  </si>
  <si>
    <t>Journal 10</t>
  </si>
  <si>
    <t>June 2013 Adjustments (Net)</t>
  </si>
  <si>
    <t>I/E 2013</t>
  </si>
  <si>
    <t>June 2012 Adjustments (Net)</t>
  </si>
  <si>
    <t>Lease Repayment</t>
  </si>
  <si>
    <t>2012 AFS After Adjustments in 2013 by PWC</t>
  </si>
  <si>
    <t>Accumulated surplus (2013 I/E)</t>
  </si>
  <si>
    <t>Lease Payments</t>
  </si>
  <si>
    <t>Check 2012</t>
  </si>
  <si>
    <t>Check 2013</t>
  </si>
  <si>
    <t>Diff 2013</t>
  </si>
  <si>
    <t>Diff 2012</t>
  </si>
  <si>
    <t xml:space="preserve">Heritage </t>
  </si>
  <si>
    <t>Investment Props</t>
  </si>
  <si>
    <t>Land and Buildings</t>
  </si>
  <si>
    <t>FAR 2012</t>
  </si>
  <si>
    <t>OTHER</t>
  </si>
  <si>
    <t>The municipality did not have Non-current assets held for sale in the  prior financial year.</t>
  </si>
  <si>
    <t>TRADE AND OTHER RECEIVABLES FROM EXCHANGE TRANSCATIONS UNLESS SPECIFIED OTHERWISE</t>
  </si>
  <si>
    <t>Property Rates - Non Exchange Transactions</t>
  </si>
  <si>
    <t>Trade and other receivables from exchange transactions unless specified otherwise</t>
  </si>
  <si>
    <t xml:space="preserve">Provision Landfill Site </t>
  </si>
  <si>
    <t>Provisions Land fill Prev Year</t>
  </si>
  <si>
    <t>VAT - EXCHANGE TRANSACTIONS</t>
  </si>
  <si>
    <t xml:space="preserve">Current Year </t>
  </si>
  <si>
    <t>Prior Year</t>
  </si>
  <si>
    <t>Total outstanding</t>
  </si>
  <si>
    <t>COMAF 162</t>
  </si>
  <si>
    <t>S Mofokeng</t>
  </si>
  <si>
    <t>Chairperson</t>
  </si>
  <si>
    <t>SJ Masite</t>
  </si>
  <si>
    <t>Member</t>
  </si>
  <si>
    <t>MP Mongalo</t>
  </si>
  <si>
    <t xml:space="preserve">S Kholong </t>
  </si>
  <si>
    <t>HG Hlomane</t>
  </si>
  <si>
    <t xml:space="preserve">Members of the Audit and Performance Audit Committee </t>
  </si>
  <si>
    <t xml:space="preserve">    - Internally generated funds</t>
  </si>
  <si>
    <t>Adjustment debtors impairment prior year</t>
  </si>
  <si>
    <t>the simple interest rate, computed at initial recognition.</t>
  </si>
  <si>
    <t>Interest rate</t>
  </si>
  <si>
    <t>Capital commitments-approved and contracted for</t>
  </si>
  <si>
    <t xml:space="preserve"> Infrastructure</t>
  </si>
  <si>
    <t>Operational commitments</t>
  </si>
  <si>
    <t>Total commitments</t>
  </si>
  <si>
    <t>Items are classified as commitment where the municipality commits itself to future transactions that will normally results in the outflow of resources. Commitments are not recognised in the Statement of Financial Position as a liability, but are included in the disclosure notes in the following cases:</t>
  </si>
  <si>
    <t>-approved and contracted commitments;</t>
  </si>
  <si>
    <t>-where the expenditure has been approved and contract has been awarded at the reporting date; and</t>
  </si>
  <si>
    <t>-where disclosure is required by specific standard of GRAP.</t>
  </si>
  <si>
    <t>The Financial Statements have been prepared in accordance with Standards of Generally Recognised Accounting Practice on a basis consistent with prior year except for the adoption of the following new standards:</t>
  </si>
  <si>
    <t>GRAP 25 Employee benefits</t>
  </si>
  <si>
    <t xml:space="preserve">Correction of error-Intangible assets </t>
  </si>
  <si>
    <t>Correction of error-Land</t>
  </si>
  <si>
    <t>Correction of error-Investment properties</t>
  </si>
  <si>
    <t>Correction of error-Leased assets/Liabilties</t>
  </si>
  <si>
    <t>Restated carrying value as at 1 July 2012</t>
  </si>
  <si>
    <t xml:space="preserve">Accumulated deprecation </t>
  </si>
  <si>
    <t>Less:</t>
  </si>
  <si>
    <t>Previously stated Carrying value as at 1 July 2012</t>
  </si>
  <si>
    <t>Increase / (Decrease) in PPE as at 1 July 2012</t>
  </si>
  <si>
    <t>Correction of error-Other assets</t>
  </si>
  <si>
    <t>Information services</t>
  </si>
  <si>
    <t>Adjustment debtors prior year amounts received in advance</t>
  </si>
  <si>
    <t>Amounts received in advance -correction</t>
  </si>
  <si>
    <t>30 June 2015</t>
  </si>
  <si>
    <t>2015</t>
  </si>
  <si>
    <t>Carrying values at 30 June 2015</t>
  </si>
  <si>
    <t>Reconcilation of Intangible Assets - 2015</t>
  </si>
  <si>
    <t>Computer infrastructure/systems</t>
  </si>
  <si>
    <t>ALLOWANCE: DATA CARDS</t>
  </si>
  <si>
    <t>(CONTR FROM CRR Book Transaction)</t>
  </si>
  <si>
    <t>Debtors Control L300</t>
  </si>
  <si>
    <t>Bulk services control</t>
  </si>
  <si>
    <t xml:space="preserve"> Amount involved </t>
  </si>
  <si>
    <t>Matter still pending, no further step taken after filing of plea</t>
  </si>
  <si>
    <t>Matter still pending in court, expert witnesses to hold pre trial conference</t>
  </si>
  <si>
    <t>R14 990.80</t>
  </si>
  <si>
    <t xml:space="preserve">Matter handled internally </t>
  </si>
  <si>
    <t>Matter referred to the Insurance.</t>
  </si>
  <si>
    <t>Referral to the Insurance.</t>
  </si>
  <si>
    <t>Awaiting trial date</t>
  </si>
  <si>
    <t>Invoice to be submitted</t>
  </si>
  <si>
    <t>Kgadimotso Chemical  Suppliers/ Polokwane Municipality</t>
  </si>
  <si>
    <t>Mathabathe Magdalene Mokoale/ Polokwane Municipality</t>
  </si>
  <si>
    <t>Referral to the Insurance</t>
  </si>
  <si>
    <t xml:space="preserve">Jeff Mathabatha/ Polokwane Municipality </t>
  </si>
  <si>
    <t>Handled internally</t>
  </si>
  <si>
    <t>Makonde Bethuel Phaswane/ Polokwane Municipality</t>
  </si>
  <si>
    <t>Damages suffered for death as a result of electrocution</t>
  </si>
  <si>
    <t>Johannes Skele Mogashoa/ Polokwane Municipality</t>
  </si>
  <si>
    <t>James Mohale Maake/ Polokwane Municipality</t>
  </si>
  <si>
    <t>Damages suffered</t>
  </si>
  <si>
    <t>Andries Tefu/ Polokwane Municipality</t>
  </si>
  <si>
    <t>Seshego Magistrate Court</t>
  </si>
  <si>
    <t>Service rendered</t>
  </si>
  <si>
    <t>Segabeng Trading Enterprise/ Polokwane Municipality</t>
  </si>
  <si>
    <t>Ezekiel Lediga/ Polokwane Municipality</t>
  </si>
  <si>
    <t>TP Nkadimeng</t>
  </si>
  <si>
    <t xml:space="preserve">D Kwenaite </t>
  </si>
  <si>
    <t>RF Lourens</t>
  </si>
  <si>
    <t>SM Mahlatji</t>
  </si>
  <si>
    <t>HF Marx</t>
  </si>
  <si>
    <t>M Pretorius</t>
  </si>
  <si>
    <t xml:space="preserve">Acting Municipal Manager </t>
  </si>
  <si>
    <t>MFA Moja</t>
  </si>
  <si>
    <t>Balance unspent at beginning of year (German Bank)</t>
  </si>
  <si>
    <t>An interest free loan was given to the Polokwane Housing Association. The loan was written off during the year.</t>
  </si>
  <si>
    <t>7/11/2013</t>
  </si>
  <si>
    <t>Year ended 30 June 2015</t>
  </si>
  <si>
    <t>The Lottery funds were partialy utilised during the year.</t>
  </si>
  <si>
    <t xml:space="preserve">The last post-employment health care benefits actuarial valuation in terms of GRAP 25 was done by ZAQ Consultants and Actuaries for the period ending 30 June 2015. </t>
  </si>
  <si>
    <t>A reconciliation of Polokwane accrued liability for the year ending 30 June 2015 is set out below:</t>
  </si>
  <si>
    <t>Stock adjustments</t>
  </si>
  <si>
    <t>ACTING MUNICIPAL MANAGER                                                    DATE</t>
  </si>
  <si>
    <t xml:space="preserve">combination of valuation approaches. Each of these approaches assesed the relevance of each </t>
  </si>
  <si>
    <t>Yield Curve</t>
  </si>
  <si>
    <t>CPI +1%</t>
  </si>
  <si>
    <t xml:space="preserve">According to the last valuation did, the accrued liability amount to            R 155 576 000 as at 30 June 2015. </t>
  </si>
  <si>
    <t xml:space="preserve">VAT is payable on cash  basis. </t>
  </si>
  <si>
    <t>Surplus (deficit) for the period</t>
  </si>
  <si>
    <t>Balance at 30 June 2015</t>
  </si>
  <si>
    <t>Share of Surplus/Deficit of associate</t>
  </si>
  <si>
    <t>Transfers recognised - Capital</t>
  </si>
  <si>
    <t>Public Contributions and Donations</t>
  </si>
  <si>
    <t>Internally generated funds</t>
  </si>
  <si>
    <t>Net Cash from (Used) operating</t>
  </si>
  <si>
    <t>Net Cash from (Used) Investing</t>
  </si>
  <si>
    <t>Net Cash from (Used) Financing</t>
  </si>
  <si>
    <t>Economic Development &amp;Planning</t>
  </si>
  <si>
    <t>Town Planning/Building Inspections</t>
  </si>
  <si>
    <t>Transportation</t>
  </si>
  <si>
    <t xml:space="preserve">Medical inflation </t>
  </si>
  <si>
    <t>Cost of sales</t>
  </si>
  <si>
    <t>Gain / (loss) on fair value adjustment(Investment Property)</t>
  </si>
  <si>
    <t>Gain / (loss) on disposal/impairment of assets-Movable Assets</t>
  </si>
  <si>
    <t>PROFIT ON SALE OF ASSETS/donated assets</t>
  </si>
  <si>
    <t>Transfer</t>
  </si>
  <si>
    <t>Restated Assets Prior year</t>
  </si>
  <si>
    <t>Note 8.2</t>
  </si>
  <si>
    <t>Where practical, heritage assets were valued on the replacement value method and retrospectively restated on 1 July 2012 in accordance with the transitional provision applicable to GRAP 103. As a result, the following restatement of comparative figures were required:</t>
  </si>
  <si>
    <t>No effect</t>
  </si>
  <si>
    <t>Increase / (Decrease) in Accumulated Surplus - 30 June 2013</t>
  </si>
  <si>
    <t>• R74921 Tank</t>
  </si>
  <si>
    <t>• 2x Cannon - Pro Gloria Et Patria 1897</t>
  </si>
  <si>
    <t>PRIOR PERIOD ADJUSTMENT</t>
  </si>
  <si>
    <t>Fair value adjustments</t>
  </si>
  <si>
    <t>Change in Accounting Policy</t>
  </si>
  <si>
    <t>Correction of error</t>
  </si>
  <si>
    <t>Restated 2013</t>
  </si>
  <si>
    <t>Restated 2014 opening</t>
  </si>
  <si>
    <t>Impairment of assets- Community</t>
  </si>
  <si>
    <t>Gain / (loss) on disposal/impairment of assets-Infrastruture</t>
  </si>
  <si>
    <t>Net gains and (losses) not recognised in the statement of financial performance (Housing Development Fund)</t>
  </si>
  <si>
    <r>
      <t xml:space="preserve">Budget Adjustments </t>
    </r>
    <r>
      <rPr>
        <sz val="10"/>
        <rFont val="Arial"/>
        <family val="2"/>
      </rPr>
      <t>(i.t.o. s28 and s31 of MFMA)</t>
    </r>
  </si>
  <si>
    <r>
      <t xml:space="preserve">Virement 
</t>
    </r>
    <r>
      <rPr>
        <sz val="10"/>
        <rFont val="Arial"/>
        <family val="2"/>
      </rPr>
      <t>(i.t.o Council approved policy)</t>
    </r>
  </si>
  <si>
    <t>Public contributions, donated and contributed property, plant and equipment - Non Exchange</t>
  </si>
  <si>
    <t>PROFIT/LOSS ON TRANSFER OF INVESTMENT PROPERTY</t>
  </si>
  <si>
    <t>STOCK LOSSES/DONATION OF ASSETS</t>
  </si>
  <si>
    <t>Donations /Cost of sales</t>
  </si>
  <si>
    <t>PROFIT/LOSS ON TRANSFER OF ASSETS</t>
  </si>
  <si>
    <t>Donation of assets - Investment poperties</t>
  </si>
  <si>
    <t>6 years</t>
  </si>
  <si>
    <t>available. Additional disclosure of these estimates of provisions is included in note 35 -</t>
  </si>
  <si>
    <t>Contingent assets and contingent liabilities are not recognised. Contingencies are disclosed in note 33.</t>
  </si>
  <si>
    <t>Additional information is disclosed in Note 44.</t>
  </si>
  <si>
    <t>There are no contractual obligations to purchase, construct or develop  investment property or for repairs, maintenance or enhancements.</t>
  </si>
  <si>
    <t>Standard Bank                    6.55 %           3 months</t>
  </si>
  <si>
    <t>The Fair value of all long term loans approximates their book value.</t>
  </si>
  <si>
    <t>See note 19 and 20 for reconciliation of unspent grants.  These amounts are invested until utilised.</t>
  </si>
  <si>
    <t>on the weighted average calculation method.</t>
  </si>
  <si>
    <t>The grant was used to fund the local government transitional phase. The remaining portion was transfered to revenue.</t>
  </si>
  <si>
    <t>No other payments are paid outside contractual employment payments from employment. Refer to note 23 for remuneration.</t>
  </si>
  <si>
    <t>Payments to councillors are for allowances as gazetted. No other payments are made to councillors. Refer to note 24 for remuneration of councillors.</t>
  </si>
  <si>
    <t>See Annexure H for full information on Other expenditure.</t>
  </si>
  <si>
    <t>Rental of the Peter Mokaba Stadium  to the amount of R9 million did not materialize</t>
  </si>
  <si>
    <t xml:space="preserve">Provision for bad debt insufficient due to new impairment policy. </t>
  </si>
  <si>
    <t>Adjustments Non current receivables (PHA)</t>
  </si>
  <si>
    <t>Adjustment investments (PHA)</t>
  </si>
  <si>
    <t>Adjustments Trade and other receivables from exchange transactions</t>
  </si>
  <si>
    <t>Adjustments Trade and other payables</t>
  </si>
  <si>
    <t>Investments are held to maturity.</t>
  </si>
  <si>
    <t>Primary account</t>
  </si>
  <si>
    <t>Grant account</t>
  </si>
  <si>
    <t>4/4/2011</t>
  </si>
  <si>
    <t>Motor vehicle collision</t>
  </si>
  <si>
    <t>Bb Hatlief/ Thabo Witness Mojela &amp; Polokwane Municipality</t>
  </si>
  <si>
    <t>Letter of demand</t>
  </si>
  <si>
    <t xml:space="preserve">Matter referred to the Insurance </t>
  </si>
  <si>
    <t>Damages as a result of storm water</t>
  </si>
  <si>
    <t>Bamby Francinah Manamela/ Polokwane Municpality</t>
  </si>
  <si>
    <t>Matter referred to the Insurance</t>
  </si>
  <si>
    <t>SARS</t>
  </si>
  <si>
    <t>Stock adjustments- Non exchange</t>
  </si>
  <si>
    <t>Fines - Non exchange</t>
  </si>
  <si>
    <t>OTHER RECEIVABLES FROM EXCHANGE TRANSACTIONS UNLESS SPECIFIED OTHERWISE</t>
  </si>
  <si>
    <t>OTHER REVENUE  FROM EXCHANGE TRANSACTIONS</t>
  </si>
  <si>
    <t>Adjustments Investments (PHA)</t>
  </si>
  <si>
    <t>IMPAIRMENT RECEIVABLES (PHA)</t>
  </si>
  <si>
    <t>Recovery Black Leopards</t>
  </si>
  <si>
    <t>Impairment PHA Loan</t>
  </si>
  <si>
    <t>Black Leopards</t>
  </si>
  <si>
    <t>DISCLOSURE OF GRANTS AND SUBSIDIES</t>
  </si>
  <si>
    <t>67</t>
  </si>
  <si>
    <t>Gain / (loss) on fair value adjustment/disposal/impairment of assets/Investment property</t>
  </si>
  <si>
    <t>This came as a result of the imlementation of the new valuation which undervalued some properties as compared to the previous valuation roll.</t>
  </si>
  <si>
    <t>Termination settlement</t>
  </si>
  <si>
    <t>Total Receivables</t>
  </si>
  <si>
    <t>Current Portion Transferred to Current Receivables</t>
  </si>
  <si>
    <t>Historic leave</t>
  </si>
  <si>
    <t>Maboya TF</t>
  </si>
  <si>
    <t>The Municipal Manager resigned in June 2015 and was paid a settlement for 10 months. Historic leave was also paid out concurrently.</t>
  </si>
  <si>
    <t>GRAP 32:  Service Concession Agreement – Issued November 2013</t>
  </si>
  <si>
    <t xml:space="preserve">Annual Financial Statement. However should in the future there be  service concession agreements </t>
  </si>
  <si>
    <t>involving the entity will the accounting policy be amended to cater for such transactions and</t>
  </si>
  <si>
    <t>GRAP 108:  Statutory Receivables – Issued September 2013</t>
  </si>
  <si>
    <t>Annual Financial Statement. However should in the future there be a statutory receivables</t>
  </si>
  <si>
    <t>involving the entity will the accounting policy be amended to cater for such  transactions and</t>
  </si>
  <si>
    <t>GRAP 109:  Accounting by Principals and Agents – Issued July 2015</t>
  </si>
  <si>
    <t xml:space="preserve">Annual Financial Statement. However should in the future there be principal-agent relationships </t>
  </si>
  <si>
    <t>Furthermore, based on the current solvency and liquidity ratio’s tests performed, the</t>
  </si>
  <si>
    <t>municipality's ability to operate as a going concern is not under threat.</t>
  </si>
  <si>
    <t>any intention to cease funding the municipality</t>
  </si>
  <si>
    <t>The municipality’s budget is substantially funded by the government which has not announced</t>
  </si>
  <si>
    <t>Debtors prior year</t>
  </si>
  <si>
    <t>Auditor General South Africa</t>
  </si>
  <si>
    <t>NET SURPLUS / (DEFICIT) FOR THE YEAR</t>
  </si>
  <si>
    <t>Municipal Councillors Pension Fund, Government Employees Ponsion Fund and National Fund for Municipal Workers are defined contribution funds.</t>
  </si>
  <si>
    <t>Pension Obligations: The municipality and its employees contribute to 7 different Pension</t>
  </si>
  <si>
    <t>Account number: 251753846</t>
  </si>
  <si>
    <t>No loans  are secured against any assets of the Municipality</t>
  </si>
  <si>
    <t>Residual value</t>
  </si>
  <si>
    <t>The estimated value of an asset at the end of its useful life, or the value that remains at the end of the analysis period where the asset useful life exceeds the analysis period.  The residual value is considered as a benefit (cash inflow) in the final year of the analysis period.</t>
  </si>
  <si>
    <t>COMAF18.8</t>
  </si>
  <si>
    <t>Heritage asset is measured at its cost value and should it be acquired through a non-exchange transaction will it be measured at its fair value as at the date of acquisition and is carried at its cost less any accumulated impairment losses.</t>
  </si>
  <si>
    <t>COMAF18.9</t>
  </si>
  <si>
    <t>COMAF18.10</t>
  </si>
  <si>
    <t>COMAF 18.13</t>
  </si>
  <si>
    <t>1.22 Impairment of cash-generating assets</t>
  </si>
  <si>
    <t>1.23 Impairment of non-cash-generating assets</t>
  </si>
  <si>
    <t>1.24 Employee benefits</t>
  </si>
  <si>
    <t>1.25 Borrowing costs</t>
  </si>
  <si>
    <t>1.26 Investments</t>
  </si>
  <si>
    <t>1.27 Grants in aid</t>
  </si>
  <si>
    <t>1.28 Presentation of Budget Information in the Financial Statements</t>
  </si>
  <si>
    <t>1.29 Commitments</t>
  </si>
  <si>
    <t>1.30 Changes in accounting policy</t>
  </si>
  <si>
    <t>Unsold properties are taken at fair value on the date when the intention to dispose land has arrisen to inventory from investment property on initial recognition.</t>
  </si>
  <si>
    <t>Assumptions used:</t>
  </si>
  <si>
    <t>The expense relating to the provision is included under note 28: General Expenses.</t>
  </si>
  <si>
    <t>Capital work in progress: The following table indicates the opening balances and yearly movements:</t>
  </si>
  <si>
    <t>Community assets</t>
  </si>
  <si>
    <t>Opening balance at 1 July 2014</t>
  </si>
  <si>
    <t>Additional cost</t>
  </si>
  <si>
    <t>Transfers to asset register</t>
  </si>
  <si>
    <t>Closing balance as at 30 June 2015</t>
  </si>
  <si>
    <t>Refer to note 29 for the disclosure of the effect of the prior period adjustment.</t>
  </si>
  <si>
    <t>Moveable assets: During the asset verification movable assets were identifed which were not previsouly included in the asset register. These assets were fair valued.  The fair value of an asset is represented by a depreciated replacement cost, which in turn is a product of the assessed condition of the asset and comparable prices within an active markets of identical/similar assets.</t>
  </si>
  <si>
    <t xml:space="preserve">Nett VAT refundable by SARS </t>
  </si>
  <si>
    <t>Since July 2012 VAT is payable on cash basis. Nett  VAT input receivables and VAT output payable are shown in note 14. All VAT returns have been submitted by the due date throughout the year.</t>
  </si>
  <si>
    <t>CPI (Consumer Price Inflation</t>
  </si>
  <si>
    <t>Difference between nominal and real yield curve</t>
  </si>
  <si>
    <t>Normal salary increase</t>
  </si>
  <si>
    <t>Equal to CPI + 1%</t>
  </si>
  <si>
    <t>Yield Curve Based</t>
  </si>
  <si>
    <t>Short Term Investments</t>
  </si>
  <si>
    <t>COMAF 12</t>
  </si>
  <si>
    <t>Renenue- estimation of meter readings</t>
  </si>
  <si>
    <t>1.15 Grants and receipts</t>
  </si>
  <si>
    <t>Unconditional Grants</t>
  </si>
  <si>
    <t>Conditional Grants</t>
  </si>
  <si>
    <t>upon receipt.</t>
  </si>
  <si>
    <t xml:space="preserve">Revenue received from unconditional grants have no conditions attached and are recognised as revenue  </t>
  </si>
  <si>
    <t>The effective date of the standard has not yet been determined.</t>
  </si>
  <si>
    <t>The City of Polokwane is a category B local authority established in terms of section 151 of the Constitution of the Republic of South Africa ( Act 108 of 1996)</t>
  </si>
  <si>
    <t>The principal activities of the City are to:</t>
  </si>
  <si>
    <t>&gt; provide democratic and accountable government to the local communities;</t>
  </si>
  <si>
    <t>&gt; ensure sustainable service delivery to communities;</t>
  </si>
  <si>
    <t>&gt; promote social and economic development;</t>
  </si>
  <si>
    <t>&gt; promote a safe and healthy environment; and</t>
  </si>
  <si>
    <t>&gt; encourage the involvement of communities and           community organisations in the matters of local government</t>
  </si>
  <si>
    <t>Reporting entity's mandate</t>
  </si>
  <si>
    <t>The City's operations are governed by the Local Government: Municipal Finance Management Act (Act 56 of 2003), the Municipal Systems Act (Act 32 of 2000), the Municipal Structures Act (Act 117 of 1998) and various other acts and regulations.</t>
  </si>
  <si>
    <t>Legal form of the entity</t>
  </si>
  <si>
    <t>Local Municipality</t>
  </si>
  <si>
    <t>Jurisdiction</t>
  </si>
  <si>
    <t>Polokwane Local Municipality demarcated area</t>
  </si>
  <si>
    <t>No inventory is pledged as security</t>
  </si>
  <si>
    <t>Inventory were corrected and consist of the following:</t>
  </si>
  <si>
    <t>The Housing Fund is represented by the following assets:</t>
  </si>
  <si>
    <t>Loans extinguished by Government on 1 April 1998</t>
  </si>
  <si>
    <t>The preferred valuation methodology applied to vacant land was that of comparable market related sales,</t>
  </si>
  <si>
    <t>Per accounting policy note 1.10, the municipality is on the fair value model for investment property.</t>
  </si>
  <si>
    <t>Employee Number</t>
  </si>
  <si>
    <t>Position</t>
  </si>
  <si>
    <t>Name</t>
  </si>
  <si>
    <t>Pension Contribution</t>
  </si>
  <si>
    <t>Medical Aid Contribution</t>
  </si>
  <si>
    <t>Cellphone Allowance</t>
  </si>
  <si>
    <t>Basic Salary</t>
  </si>
  <si>
    <t>Travel Allowance</t>
  </si>
  <si>
    <t>Mayor</t>
  </si>
  <si>
    <t>Mayoral Committee</t>
  </si>
  <si>
    <t>L Hardy</t>
  </si>
  <si>
    <t>Ordinary Councillors</t>
  </si>
  <si>
    <t>K Tsheola</t>
  </si>
  <si>
    <t>MM Sono</t>
  </si>
  <si>
    <t>JM Lekota</t>
  </si>
  <si>
    <t>PJ Modikwa</t>
  </si>
  <si>
    <t>LM Motshekga</t>
  </si>
  <si>
    <t>RK Makgabo</t>
  </si>
  <si>
    <t>MJ Raletjema</t>
  </si>
  <si>
    <t>VA Mashie</t>
  </si>
  <si>
    <t>MJ Maja</t>
  </si>
  <si>
    <t>LM Mothiba</t>
  </si>
  <si>
    <t>TM Mabutla</t>
  </si>
  <si>
    <t>MS Mahlatji</t>
  </si>
  <si>
    <t>LD Kwenaite</t>
  </si>
  <si>
    <t>MR Mamabolo</t>
  </si>
  <si>
    <t>DC Maja</t>
  </si>
  <si>
    <t>MG Makgoba</t>
  </si>
  <si>
    <t>VM Mamabolo</t>
  </si>
  <si>
    <t>Refer to Annexure I for full details.</t>
  </si>
  <si>
    <t xml:space="preserve">Credit risk </t>
  </si>
  <si>
    <t xml:space="preserve">Credit risk is the risk of financial loss to the municipality if customers or counterparties to financial instruments fail to meet their contractual obligations, and arises principally from investments, loans, receivables and cash and cash equivalents. </t>
  </si>
  <si>
    <t>The carrying amount of financial assets represents the maximum credit exposure. The maximum exposure to credit risk as at 30 June is as follows:</t>
  </si>
  <si>
    <t>Liabilities</t>
  </si>
  <si>
    <t>Up to 1 year</t>
  </si>
  <si>
    <t>Capital repayments</t>
  </si>
  <si>
    <t>1-5 Years</t>
  </si>
  <si>
    <t>&gt;5 years</t>
  </si>
  <si>
    <t>Fair values</t>
  </si>
  <si>
    <t>The table below analyses financial instruments carried at fair value at the end  of the reporting period, by level of fair value hierchy. The different levels are based on the extent to which quoted prices are used in the calculation of the fair value of the financial instruments and have been defined as follows:</t>
  </si>
  <si>
    <t>Level 1</t>
  </si>
  <si>
    <t>Fair values are bases on quoted market prices in active markets for an identical instrument.</t>
  </si>
  <si>
    <t>Level 2</t>
  </si>
  <si>
    <t>Fair values are calculated using valuation techniques based on observable inputs. This category includes instruments valued using quoted market prices in active markets for similar instruments.</t>
  </si>
  <si>
    <t>Level 3</t>
  </si>
  <si>
    <t>Fair values are based on valuation techniques using significant unobservable inputs. This category includes all instruments where the valuation technique includes inputs not based on observable data and the unobservable inputs have a significant effect on the instrument's valuation</t>
  </si>
  <si>
    <t>Investments in banks - Standard Bank (Credit rating BBB-)</t>
  </si>
  <si>
    <t>Standard Bank (Credit rating BBB-)</t>
  </si>
  <si>
    <t>Investments and cash and equivalents</t>
  </si>
  <si>
    <t xml:space="preserve">The Municipality limits its exposure to credit risk by investing only with reputable financial institutions that have a sound credit rating and within guidelines set in accordance with Councils approved investment policy. The municipality does not consider there to be any significant exposure to credit risk. </t>
  </si>
  <si>
    <t>Receivables</t>
  </si>
  <si>
    <t>Receivables are amounts owing by consumers and are presented net of impairment losses.The Municipality is compelled in terms of its constitutional mandate to provide all its residents with basic minimum services without recourse to an assessment of creditworthiness. Deposits are required for service connections  serving as a guarantee. Policies and processes are in place to manage risk.</t>
  </si>
  <si>
    <t>Refer to note 12 and 13 for additional information relating to the analysis of receivables.</t>
  </si>
  <si>
    <t>Reversal of previously recognised impairment</t>
  </si>
  <si>
    <t>Tax on bonuses (Other)</t>
  </si>
  <si>
    <t xml:space="preserve">Adjustment debtors </t>
  </si>
  <si>
    <t>Operational grant - Paid to PHA</t>
  </si>
  <si>
    <r>
      <rPr>
        <b/>
        <sz val="10"/>
        <color indexed="8"/>
        <rFont val="Arial"/>
        <family val="2"/>
      </rPr>
      <t>Add</t>
    </r>
    <r>
      <rPr>
        <sz val="10"/>
        <color indexed="8"/>
        <rFont val="Arial"/>
        <family val="2"/>
      </rPr>
      <t>: Current year Expenditure (Subsequent Event Adjustment)</t>
    </r>
  </si>
  <si>
    <t>Adjusted Fruitless and Wasteful Expenditure</t>
  </si>
  <si>
    <t xml:space="preserve">Irregular expenditue as per submitted draft AFS- </t>
  </si>
  <si>
    <t>Irregular expenditure per submitted AFS</t>
  </si>
  <si>
    <t>Amortisation and impairment– based on cost</t>
  </si>
  <si>
    <t>Impairment of receivables (PHA Loan)</t>
  </si>
  <si>
    <t>Kgatla Incorporated</t>
  </si>
  <si>
    <t>Mogaswa Attorneys</t>
  </si>
  <si>
    <t>The surplus arising from the revaluation of land and buildings is credited to a revaluation reserve.   The</t>
  </si>
  <si>
    <t>revaluation surplus is realised  through a transfer from the revaluation reserve to the accumulated</t>
  </si>
  <si>
    <t xml:space="preserve">surplus/(deficit) on disposal, the net revaluation surplus is transferred to the accumulated surplus/(deficit) </t>
  </si>
  <si>
    <t>while gains or losses on disposal, based on re-valued amounts, are credited or charged to the Statement</t>
  </si>
  <si>
    <t>of Financial Performance.</t>
  </si>
  <si>
    <t>The movement in the current year was just the unwinding of the interest</t>
  </si>
  <si>
    <t>and nothing changed in the structural nature of the waste site.</t>
  </si>
  <si>
    <t xml:space="preserve">The Projected Unit Credit funding method has been used to determine the past-service liabilities at the valuation date and the projected annual expense in the year following the valuation date. </t>
  </si>
  <si>
    <t xml:space="preserve">Post-employment Medical Aid Liabilities </t>
  </si>
  <si>
    <t xml:space="preserve">The expected value of each employee and their spouse’s future medical aid subsidies is projected by allowing for future medical inflation. The calculated values are then discounted at the assumed discount interest rate to the present date of valuation (calculation). We also allowed for mortality, retirements and withdrawals from service as set out below. The accrued liability is determined on the basis that each employee’s medical aid benefit accrues uniformly over the working life of an employee up until retirement. Further it is assumed that the current policy for awarding medical aid subsidies remains unchanged in the future. We assumed that 100% of all active members on medical aid will remain on medical aid once they retire. We also assumed that all active members will remain on the same medical aid option at retirement. </t>
  </si>
  <si>
    <t xml:space="preserve">Valuation of Assets </t>
  </si>
  <si>
    <t>As at the valuation date, the medical aid liability of the Municipality was unfunded, i.e. no dedicated assets have been set aside to meet this liability. We therefore did not consider any assets as part of our valuation.</t>
  </si>
  <si>
    <t>Valuation Method</t>
  </si>
  <si>
    <t>We also assumed that 22.5% of in-service members not currently on a</t>
  </si>
  <si>
    <t xml:space="preserve">valuation. </t>
  </si>
  <si>
    <t>medical aid would join the Key-Health Silver medical aid scheme by</t>
  </si>
  <si>
    <t>retirement. This assumption is consistent with that used in the preceding</t>
  </si>
  <si>
    <t>Condoned during the year</t>
  </si>
  <si>
    <t>Lawyers</t>
  </si>
  <si>
    <t>Pule Incorporated</t>
  </si>
  <si>
    <t>Matabane Incorporated</t>
  </si>
  <si>
    <t>AM Carrims Attorneys</t>
  </si>
  <si>
    <t>Noko Maimela Incorporated</t>
  </si>
  <si>
    <t>Rachoene Attorneys</t>
  </si>
  <si>
    <t>VAT payable</t>
  </si>
  <si>
    <t>8 993 163 (33%)</t>
  </si>
  <si>
    <t>Current year irregular expenditure has been made of the following transactions.</t>
  </si>
  <si>
    <t xml:space="preserve">Irregular expenditure occurred as result of non compliance to supply chain regulation, regulation 22 and 29. </t>
  </si>
  <si>
    <t>,PPR 4(4) &amp; PPR 5(2)</t>
  </si>
  <si>
    <t>Irregular expenditure occurred as result of non compliance to MFMA  section 116(3)</t>
  </si>
  <si>
    <t>30 June 2016</t>
  </si>
  <si>
    <t xml:space="preserve">ANNUAL FINANCIAL STATEMENTS                                                                                                                                                             FOR THE YEAR ENDED                                                                                                                                                                                30 JUNE 2016                                      UNAUDITED                                                    </t>
  </si>
  <si>
    <t>ACTUAL OPERATING VERSUS BUDGET FOR THE YEAR ENDED 30 JUNE 2016(Unaudited)</t>
  </si>
  <si>
    <t>2016</t>
  </si>
  <si>
    <t>2015/2016</t>
  </si>
  <si>
    <t>SCHEDULE OF EXTERNAL LOANS AS AT 30 JUNE 2016 (Unaudited)</t>
  </si>
  <si>
    <t>2016             Actual</t>
  </si>
  <si>
    <t>2016                         Budget</t>
  </si>
  <si>
    <t>2016         Variance</t>
  </si>
  <si>
    <t>2016 Variance</t>
  </si>
  <si>
    <t>FOR THE YEAR ENDED 30 JUNE 2016(Unaudited)</t>
  </si>
  <si>
    <t>DISCLOSURE OF GRANTS AND SUBSIDIES FOR THE YEAR ENDED 30 JUNE 2016(Unaudited)</t>
  </si>
  <si>
    <t>Carrying values at 30 June 2016</t>
  </si>
  <si>
    <t>Reconcilation of Intangible Assets - 2016</t>
  </si>
  <si>
    <t>Balance at 30 June 2016</t>
  </si>
  <si>
    <t>The following Councillors had arrear accounts outstanding for more than 90 days at 30 June 2016</t>
  </si>
  <si>
    <t xml:space="preserve"> Balance at                    30 June 2015</t>
  </si>
  <si>
    <t>Balance at            30 June 2016</t>
  </si>
  <si>
    <t>2017/18</t>
  </si>
  <si>
    <t>TRAFFIC REGISTER NUMBER CERTIFICATE</t>
  </si>
  <si>
    <t>CONTRIBUTION TO HOUSING DEVELOMENT FUND</t>
  </si>
  <si>
    <t>REGRAVELLING ROADS</t>
  </si>
  <si>
    <t>REHABILITATION ROADS</t>
  </si>
  <si>
    <t>RURAL HOUSEHOLD ELECTRIFICATION DBSA</t>
  </si>
  <si>
    <t>OTHER GRANTS (Loan DBSA)</t>
  </si>
  <si>
    <t>.</t>
  </si>
  <si>
    <t>- After 10 years of continuous service an amount of R748.63 (2015:R712.98) (adjusted annually) per each year of service.</t>
  </si>
  <si>
    <t xml:space="preserve">- After 20 years of continuous service a watch to the value of R6 772.26 (2015: R6 449.77) (adjusted annually).   </t>
  </si>
  <si>
    <t>These loans were given to sporting bodies at an interest rate of 10% repayable over 20 years. The remaining loans are repayable in 2016.</t>
  </si>
  <si>
    <t>This grant is an unconditional grant and is partially utilized for the provision of indigent support through free basic services.  Registered indigents receive a maximum monthly subsidy of R220.00 (2014/15: R205.00)  which is funded from this grant.</t>
  </si>
  <si>
    <t>The Municipality had entered into a loan agreement with the Development Bank of Southern Africa in February 2011 to borrow R320 million at a  interest rate of 8.875%  over 10 years. The last installment is repayable on 30 June 2021.</t>
  </si>
  <si>
    <t>The Municipality had entered into a loan agreement with the Development Bank of Southern Africa in February 2011 to borrow R50 million at a  interest rate of 11.52%  over 10 years. The last installment is repayable on 30 June 2020.</t>
  </si>
  <si>
    <t>Closing balance as at 30 June 2016</t>
  </si>
  <si>
    <t>Banks- Accrued Interest</t>
  </si>
  <si>
    <t>Employees qualify for the following awards:</t>
  </si>
  <si>
    <t>The Director resigned on 31 November 2015 and was paid a settlement for 3 months. Historic leave was also paid out concurrently.</t>
  </si>
  <si>
    <t>The CFO resigned on 31 March 2016 and was paid a settlement for 8 months. Historic leave was also paid out concurrently.</t>
  </si>
  <si>
    <t>DM Sebati</t>
  </si>
  <si>
    <t>Ramakgwakgwa (Terminated)</t>
  </si>
  <si>
    <t>See note 24 Remuneration of Councillors</t>
  </si>
  <si>
    <t xml:space="preserve">Municipal Gratuity Fund </t>
  </si>
  <si>
    <t>0200</t>
  </si>
  <si>
    <t>Bank account DBSA</t>
  </si>
  <si>
    <t>Current account (DBSA)</t>
  </si>
  <si>
    <t>Account number: 80472818</t>
  </si>
  <si>
    <t>Current account (Conditional Grants)</t>
  </si>
  <si>
    <t xml:space="preserve">Current Account (People Housing Project) </t>
  </si>
  <si>
    <t>Call Account: 338711465(001)</t>
  </si>
  <si>
    <t>Standard current account</t>
  </si>
  <si>
    <t>Note 38</t>
  </si>
  <si>
    <t>Note 35</t>
  </si>
  <si>
    <t xml:space="preserve">                R</t>
  </si>
  <si>
    <t>Included under Other Expenditure (for 2014/15 financial year) is a transfer  to the amount of R70 572 657 relating to completed roads projects which have been implemented on routes demarcated under the custodianship of RAL through Government Gazette 2372.  The transfer has been done for no consideration.This transfer has been approved by Council through the approval of the Capital budget for the 2014/15 financial year and the Council resolution 10/08/2015 dated 27 August 2015.</t>
  </si>
  <si>
    <t xml:space="preserve">74 613 379(10%)  </t>
  </si>
  <si>
    <t>12 425 776(39%)</t>
  </si>
  <si>
    <t>MATHABATHA MA</t>
  </si>
  <si>
    <t>MOABELO JA</t>
  </si>
  <si>
    <t>SELLO MJ</t>
  </si>
  <si>
    <t>PETA MM</t>
  </si>
  <si>
    <t>LETSOALO MW</t>
  </si>
  <si>
    <t>THOBEJANE MA</t>
  </si>
  <si>
    <t>MOJAPELO TSP</t>
  </si>
  <si>
    <t>SEDIBANE MD</t>
  </si>
  <si>
    <t>MOKGOKONG NJ</t>
  </si>
  <si>
    <t>105 726 349 (14%)</t>
  </si>
  <si>
    <t>0074</t>
  </si>
  <si>
    <t>Return payments</t>
  </si>
  <si>
    <t>Standard bank current account</t>
  </si>
  <si>
    <t>Unidentified receipts transferred to revenue</t>
  </si>
  <si>
    <t>Other Consumer Receivables</t>
  </si>
  <si>
    <t>Employer benefit payments (Estimate)</t>
  </si>
  <si>
    <t>Discount rate used is CPI +2% (2015: 10.25%)</t>
  </si>
  <si>
    <r>
      <t>Irregular expenditure occurred as result of n</t>
    </r>
    <r>
      <rPr>
        <b/>
        <sz val="10"/>
        <color indexed="8"/>
        <rFont val="Arial"/>
        <family val="2"/>
      </rPr>
      <t>o</t>
    </r>
    <r>
      <rPr>
        <sz val="10"/>
        <color indexed="8"/>
        <rFont val="Arial"/>
        <family val="2"/>
      </rPr>
      <t>n compliance to Preferential Procurement Policy Framework regulation of 2011</t>
    </r>
  </si>
  <si>
    <t>Estimated employer benefits payments</t>
  </si>
  <si>
    <t>The projected unit credit method is used as the standard valuation methodology for the valuation done during the 2015/2016 financial period. Plan assets were valued at current market value as required by GRAP 25.</t>
  </si>
  <si>
    <t>Assumptions used on last valuation on 30 June 2016.</t>
  </si>
  <si>
    <t>Tax -VAT payable</t>
  </si>
  <si>
    <t>Recieve (repayment) of long term borrowing</t>
  </si>
  <si>
    <t>Receive (repayment) of finance lease liability</t>
  </si>
  <si>
    <t>Receive (repayment) of consumer deposits</t>
  </si>
  <si>
    <t>Tax -VAT (receivable) payable</t>
  </si>
  <si>
    <t>Finance cost paid</t>
  </si>
  <si>
    <t>Correction depreciation -Prior year</t>
  </si>
  <si>
    <t>SUMMARY OTHER EXPENDITURE</t>
  </si>
  <si>
    <t>FEES - EASY PAY SYSTEM</t>
  </si>
  <si>
    <t>ENTRANCE CONTROL (ACCESS CONTROL)</t>
  </si>
  <si>
    <t xml:space="preserve">Awaiting trial date  </t>
  </si>
  <si>
    <r>
      <t xml:space="preserve">matter postponed </t>
    </r>
    <r>
      <rPr>
        <i/>
        <sz val="10"/>
        <color rgb="FF000000"/>
        <rFont val="Arial"/>
        <family val="2"/>
      </rPr>
      <t>sine die</t>
    </r>
  </si>
  <si>
    <t>Services rendered</t>
  </si>
  <si>
    <t>Phenyo In Media Consultancy/ Polokwane Municpality</t>
  </si>
  <si>
    <t>Meeting to be handled between all stake holders</t>
  </si>
  <si>
    <t>Interest on SDL</t>
  </si>
  <si>
    <t>Dispute lodged by the Municipality</t>
  </si>
  <si>
    <t xml:space="preserve">In progress    </t>
  </si>
  <si>
    <t>Business Connexion (Pty)Ltd / Polokwane municipality</t>
  </si>
  <si>
    <t>Polokwane High Court</t>
  </si>
  <si>
    <t>R79 528.60</t>
  </si>
  <si>
    <t>Vehicle damage waste from truck falling onto the car</t>
  </si>
  <si>
    <t>Hendrick Van Zyl / Polokwane Municipality</t>
  </si>
  <si>
    <t>Awaiting report from the insurance</t>
  </si>
  <si>
    <t>None-internal</t>
  </si>
  <si>
    <t>Referral to the insurance</t>
  </si>
  <si>
    <t>Khutso Jappie Sibanda / Polokwane Municipality</t>
  </si>
  <si>
    <t>Tshepega Engineering (Pty) Ltd / Polokwane Municipality</t>
  </si>
  <si>
    <t xml:space="preserve">Damage due to municipal pipes </t>
  </si>
  <si>
    <t>William Mashilo Sebetoa / Polokwane Municipality</t>
  </si>
  <si>
    <t>Damage for falling into an open hole</t>
  </si>
  <si>
    <t>Ramashitja Gladys / Polokwane Municipality</t>
  </si>
  <si>
    <t>Interrnal intervention</t>
  </si>
  <si>
    <t>Collision with a pothole</t>
  </si>
  <si>
    <t>Moshe Johannes Ramothwala / Polokwane Municipality</t>
  </si>
  <si>
    <t>Damaged suffered for registration of property</t>
  </si>
  <si>
    <t>Mashoto Matthews Rangoanasha / Polokwane Municipality</t>
  </si>
  <si>
    <t>Matters still pending in court</t>
  </si>
  <si>
    <t>Noko Maimela</t>
  </si>
  <si>
    <t>TM Consulting Civil Engineers/ Polokwane Municipality</t>
  </si>
  <si>
    <t>Motor Collision</t>
  </si>
  <si>
    <t> Barbara Hartfield/ Polokwane Municipality</t>
  </si>
  <si>
    <t> In progress</t>
  </si>
  <si>
    <r>
      <t>African blue Eagles Development Engineers/ Polokwane Municipality</t>
    </r>
    <r>
      <rPr>
        <sz val="10"/>
        <color theme="1"/>
        <rFont val="Arial"/>
        <family val="2"/>
      </rPr>
      <t> </t>
    </r>
  </si>
  <si>
    <t> Civil</t>
  </si>
  <si>
    <t> Polokwane Magistrate Court</t>
  </si>
  <si>
    <t> Matter still pending in court</t>
  </si>
  <si>
    <t>  None-internal</t>
  </si>
  <si>
    <t>  Referral to the insurance</t>
  </si>
  <si>
    <t>22/2/2012</t>
  </si>
  <si>
    <t>4/12/2012</t>
  </si>
  <si>
    <t>12/6/2012</t>
  </si>
  <si>
    <t>20/6/2013</t>
  </si>
  <si>
    <t>6/9/2013</t>
  </si>
  <si>
    <t>3/12/2013</t>
  </si>
  <si>
    <t>21/11/2013</t>
  </si>
  <si>
    <t>11/11/2013</t>
  </si>
  <si>
    <t>22/1/2014</t>
  </si>
  <si>
    <t>5/3/2014</t>
  </si>
  <si>
    <t>19/2/2014</t>
  </si>
  <si>
    <t>1/8/2014</t>
  </si>
  <si>
    <t>8/11/2013</t>
  </si>
  <si>
    <t>29/4/2014</t>
  </si>
  <si>
    <t>8/9/2014</t>
  </si>
  <si>
    <t>5/12/2014</t>
  </si>
  <si>
    <t>30/1/2015</t>
  </si>
  <si>
    <t>18/2/2015</t>
  </si>
  <si>
    <t>23/4/2015</t>
  </si>
  <si>
    <t>25/5/2015</t>
  </si>
  <si>
    <t>10/6/2015</t>
  </si>
  <si>
    <t>30/5/2012</t>
  </si>
  <si>
    <t>22/4/2015</t>
  </si>
  <si>
    <t>23/6/2015</t>
  </si>
  <si>
    <t>20/4/2015</t>
  </si>
  <si>
    <t>20/7/2015</t>
  </si>
  <si>
    <t>3/8/2015</t>
  </si>
  <si>
    <t>21/8/2015</t>
  </si>
  <si>
    <t>14/9/2015</t>
  </si>
  <si>
    <t>19/10/2015</t>
  </si>
  <si>
    <t>20/1/2016</t>
  </si>
  <si>
    <t>1/2/2016</t>
  </si>
  <si>
    <t>29/2/2016</t>
  </si>
  <si>
    <t>20/7/2016</t>
  </si>
  <si>
    <t>21/2/2012</t>
  </si>
  <si>
    <t>16/1/2013</t>
  </si>
  <si>
    <t>Surplus inventory to the value of R1 546</t>
  </si>
  <si>
    <t>Shortages to the value of (R51 092)</t>
  </si>
  <si>
    <t>Damaged stock written off (R55 743)</t>
  </si>
  <si>
    <t>Stolen cables written off (R86 148)</t>
  </si>
  <si>
    <t>Transformers transferred to PPE (R3 830 731)</t>
  </si>
  <si>
    <t>Fuel shortages and other corrections to the value of (R371 116)</t>
  </si>
  <si>
    <t>Mun Systems Improvement Grant</t>
  </si>
  <si>
    <t>Mun Infrastructure Grant</t>
  </si>
  <si>
    <t>Water Services Operating Subsidy Grant(o&amp;m/sal)</t>
  </si>
  <si>
    <t>Water Services Operating Subsidy Grant(refurb)</t>
  </si>
  <si>
    <t>Public Transport Infrastructure Grant</t>
  </si>
  <si>
    <t>Extended publics work programme</t>
  </si>
  <si>
    <t>Integrated National Electrification Programme</t>
  </si>
  <si>
    <t>Energy Efficiency &amp; Demand Management Grant</t>
  </si>
  <si>
    <t>Neighbourhood Dev Partnership Grant</t>
  </si>
  <si>
    <t>Infrastructure Skills Development</t>
  </si>
  <si>
    <t>Civic centre</t>
  </si>
  <si>
    <t>Safety &amp; security</t>
  </si>
  <si>
    <t>Community Health services</t>
  </si>
  <si>
    <t>Adjustments  Water revenue</t>
  </si>
  <si>
    <t>Adjustments other revenue (water surcharges)</t>
  </si>
  <si>
    <t>Adjustments Electricity revenue</t>
  </si>
  <si>
    <t>Adjustments  Assessment rates revenue</t>
  </si>
  <si>
    <t>Adjustments Leased Assets</t>
  </si>
  <si>
    <t>Adjustments Leased Assets (depreciation)</t>
  </si>
  <si>
    <t>Adjustments Lease Liability</t>
  </si>
  <si>
    <t>Gain (loss) on fair value adjustment</t>
  </si>
  <si>
    <t>N Essa</t>
  </si>
  <si>
    <t>Over budgeted due to underspending of grant expenditure</t>
  </si>
  <si>
    <t>Over budgeted due to new implementation of doubt full fines provision.</t>
  </si>
  <si>
    <t>Over budgeted of revenue</t>
  </si>
  <si>
    <t>Did not implement projects</t>
  </si>
  <si>
    <t>Refer to note 28</t>
  </si>
  <si>
    <t>Adjustments Heritage Assets</t>
  </si>
  <si>
    <t>Adjustments Infrastructure -cost</t>
  </si>
  <si>
    <t>Adjustments Infrastructure -depreciation</t>
  </si>
  <si>
    <t>Capital Work in Progress-Prior year</t>
  </si>
  <si>
    <t>Adjustments buildings -cost</t>
  </si>
  <si>
    <t>Adjustments buildings -depreciation</t>
  </si>
  <si>
    <t>Adjustments interest</t>
  </si>
  <si>
    <t>Adjustments movable -cost</t>
  </si>
  <si>
    <t>Adjustments movable -depreciation</t>
  </si>
  <si>
    <t>Impairment/derecognition</t>
  </si>
  <si>
    <t>Profit/Loss on disposal of assets -Infrastructure</t>
  </si>
  <si>
    <t>Adjustments amounts payable-CBX</t>
  </si>
  <si>
    <t xml:space="preserve"> - Derecognition/ impairment</t>
  </si>
  <si>
    <t>Increase due to passage of time</t>
  </si>
  <si>
    <t>Increase due to change in provision</t>
  </si>
  <si>
    <t>Amortisation - based on cost</t>
  </si>
  <si>
    <t>Opening Balance at 1 July 2015</t>
  </si>
  <si>
    <t xml:space="preserve">Land: Properties to the value of R725 452 000 for which title deeds are registered under the name of the Municipality, have not been included in the Municipality's financial </t>
  </si>
  <si>
    <t>Seconded Acting Chief Financial Officer</t>
  </si>
  <si>
    <t xml:space="preserve">These annnual financial statements have been prepared on an accrual basis of accounting and </t>
  </si>
  <si>
    <t xml:space="preserve">statements are prepared on a going concern basis ie. The assumption that the Municipality will continue </t>
  </si>
  <si>
    <t>to operate as a going concern for at least the next 12 months. Refer to note 46</t>
  </si>
  <si>
    <t xml:space="preserve">* Where readings are not available other than as a result of a meter fault, estimations are done by using the  consumption of the readings of he same period the preceeding year, or an avarage of  any consecutive two months. </t>
  </si>
  <si>
    <t>* Where Council or the owner are of the opinion that the meter are at fault, such a meter must be replaced and send for testing.  The results of the testing of the meters will determine the correction of the account as prescribed in the respective year's Tariff of Charges Policy.</t>
  </si>
  <si>
    <t>Where meter readings are not available, the readings are estimated as follows: _</t>
  </si>
  <si>
    <t>asset is reduced directly or through the use of an allowance account. The amount of the</t>
  </si>
  <si>
    <t>previously recognised impairment loss is reversed directly or by adjusting an allowance</t>
  </si>
  <si>
    <t>of Assets as per accounting policy number 1.22. In certain circumstances, the amount of the</t>
  </si>
  <si>
    <t>When making these transfers, The Municipality does not receive any goods or services</t>
  </si>
  <si>
    <t>The change in  accounting policy did not have any effect on the financial statements for the year ended 30 June 2016.</t>
  </si>
  <si>
    <t xml:space="preserve">Council took a decision to pay (NHFC)  Polokwane Housing Agency Loan which </t>
  </si>
  <si>
    <t>was funded through Housing Developmnet Fund</t>
  </si>
  <si>
    <t>The Municipality had entered into a loan agreement with the Development Bank of Southern Africa in February 2016 to borrow R42,8 million at a  interest rate of 9.00%  over 1.96 years. The last installment is repayable on 30 June 2018. The loan will be funded through Integrated National Electrification Programme Grant.</t>
  </si>
  <si>
    <t>The Stock loans are from different sporting bodies at an interest rate of 10% repayable over 20 years. The last loans are repayable in 2016.</t>
  </si>
  <si>
    <t>Valuations on property are performed every four years and the last general valuation come into effect on 1 July 2014. The basic rate on residential vacant land for 2015/16 was .02115c (2014/15:.01935) in the Rand on the market value of the property. Different rebates are granted to owners depended on the category of the rateble property.</t>
  </si>
  <si>
    <t>Local Government Elections were held on the 3rd August 2016</t>
  </si>
  <si>
    <t>There were 1,162 game at year end. (2015: 1,789)</t>
  </si>
  <si>
    <t>Correction depreciation</t>
  </si>
  <si>
    <t>Restated 2015 opening</t>
  </si>
  <si>
    <t>29.1</t>
  </si>
  <si>
    <t xml:space="preserve">In addition to the revaluation of Infrastructure and Community Assets,  the municipality also embarked on a process to review all asset portfolios.   This process resulted in the identification of a number of errors relating to completeness and existence which were corrected retrospectively. 
</t>
  </si>
  <si>
    <t>The nature of each correction has been listed per asset / liability:</t>
  </si>
  <si>
    <t>During the review of this asset portfolio, it was identified that certain pieces of museum artwork was not previously included in the register.  As a result, comparative figures had to be restated for this correction.</t>
  </si>
  <si>
    <t>During the review of this asset portfolio, the extent of a land partial was identified to be incorrectly captured within the land register. As a result, comparative figures had to be restated to reflect the financial impact of the change.</t>
  </si>
  <si>
    <t>Additional assets included in the asset register</t>
  </si>
  <si>
    <t>Movable and other assets</t>
  </si>
  <si>
    <t>During the current financial period a physical verification process was performed, resulting in a number of assets identified which were not previously recognised in the asset register.  As a result comparitive figures had to be restated to reflect the financial impact of the change.</t>
  </si>
  <si>
    <t>During the review of the asset class, certain inaccuracies were identified relating to amongst others, cost of projects, classification, completeness and existence.  As a result, comparative figures had to be restated to reflect the financial impact of the changes.</t>
  </si>
  <si>
    <t>Reallocation of AUC projects between Opex and Capex, and corrections to project cost</t>
  </si>
  <si>
    <t>Depreciation changes</t>
  </si>
  <si>
    <t>Impairment changes due to restated revaluation</t>
  </si>
  <si>
    <t>AUC projects completed before revaluation date</t>
  </si>
  <si>
    <t>Reclassification between Community Facilities and Infrastructure Assets</t>
  </si>
  <si>
    <t>Changes in disposal due to additional projects capitalised</t>
  </si>
  <si>
    <t>Corrections of control panels</t>
  </si>
  <si>
    <t>Change in revaluation reserve due to restated revaluation</t>
  </si>
  <si>
    <t xml:space="preserve">                                      Reallocation of AUC projects between Opex and Capex, and corrections to project cost</t>
  </si>
  <si>
    <t>Finance lease asset and liability</t>
  </si>
  <si>
    <t>During the 2014/15 audit, it was noted that interest relating to the leased assets were calculated using the payment at the beginning of the period as supposed to the at the end of the period.  As a result, comparative figures had to be restated to reflect these corrections.</t>
  </si>
  <si>
    <t>Finance lease asset</t>
  </si>
  <si>
    <t>Correction in value</t>
  </si>
  <si>
    <t>During the review of the Infrastructure Assets portfolio, it was noted that costs incurred during the 2015/16 period relating to a project completed and capitalised during the 2014/15 financial period. As a result, comparative figures had to be restated to reflect the corrected value.</t>
  </si>
  <si>
    <t>Accrue for costs incurred</t>
  </si>
  <si>
    <t>Accumulated Surpluses</t>
  </si>
  <si>
    <t>Balance previously stated - 30 June 2014</t>
  </si>
  <si>
    <t xml:space="preserve">Heritage assets </t>
  </si>
  <si>
    <t xml:space="preserve">Finance lease assets </t>
  </si>
  <si>
    <t xml:space="preserve">Movable and other assets </t>
  </si>
  <si>
    <t xml:space="preserve">Community Facility assets </t>
  </si>
  <si>
    <t xml:space="preserve">Infrastructure assets </t>
  </si>
  <si>
    <t>Restated balance - 30 June 2014</t>
  </si>
  <si>
    <t>Restated Opening balance - 30 June 2015</t>
  </si>
  <si>
    <t>Restated Surplus / (Deficit) for the year as per audited financial statements</t>
  </si>
  <si>
    <t>Restated closing balance - 30 June 2015</t>
  </si>
  <si>
    <t>Statement of Financial Performance 2015</t>
  </si>
  <si>
    <t>Surplus / (Deficit) for the year as per audited financial statements</t>
  </si>
  <si>
    <t>Accumulated depreciation adjusted</t>
  </si>
  <si>
    <t>General expenditure</t>
  </si>
  <si>
    <t>Total changes to the Statement of Financial Performance 2015</t>
  </si>
  <si>
    <t>Restated surpluses for 2015</t>
  </si>
  <si>
    <t>Previously reported</t>
  </si>
  <si>
    <t>Movable assets</t>
  </si>
  <si>
    <t>Finance leased assets</t>
  </si>
  <si>
    <t>Infrastructure assets</t>
  </si>
  <si>
    <t>TOTAL adjustment</t>
  </si>
  <si>
    <t>The effect of the changes above on net assets are:</t>
  </si>
  <si>
    <t>Donation Investment property</t>
  </si>
  <si>
    <t>Transfers to/ from accumulated surplus (reserves)</t>
  </si>
  <si>
    <t>Valuation reserve</t>
  </si>
  <si>
    <t>Unqualifying Indigents</t>
  </si>
  <si>
    <t xml:space="preserve">Opening Balance </t>
  </si>
  <si>
    <t>Contributions</t>
  </si>
  <si>
    <t>Transfer to revenue</t>
  </si>
  <si>
    <t>As at 30 June 2016 all impaired assets are carried at value in use.</t>
  </si>
  <si>
    <t>Council for the Property Valuers Profession, Registration No. 5000/05</t>
  </si>
  <si>
    <t>available, the discounted cash flow methodology was used based on market related rentals</t>
  </si>
  <si>
    <t>for similar properties.</t>
  </si>
  <si>
    <t>based on use, location and extent. In cases where no reasonable comparable sales were</t>
  </si>
  <si>
    <t>registration number: (SACPVP) - Valuer: 4973.</t>
  </si>
  <si>
    <t xml:space="preserve">Investment Properties were fair valued by Zack van der Merve, a registered professional valuer, </t>
  </si>
  <si>
    <r>
      <t xml:space="preserve">Where practical, heritage assets were valued on the replacement value method and retrospectively restated on 1 July 2012 in accordance with the transitional </t>
    </r>
    <r>
      <rPr>
        <sz val="10"/>
        <color rgb="FF000000"/>
        <rFont val="Arial"/>
        <family val="2"/>
      </rPr>
      <t>provision applicable to GRAP 103.  However, due to the nature of certain heritage assets, it is not possible or practical to establish a fair value associated with these assets and have been recognised in accordance with GRAP 103.94.</t>
    </r>
  </si>
  <si>
    <t xml:space="preserve">Prior year adjustments: </t>
  </si>
  <si>
    <t>Realisation of reserve through derecognition / impairment</t>
  </si>
  <si>
    <t>Contribution from accumulated surplus during the adjustment buget (R125 million) was not necessary.</t>
  </si>
  <si>
    <t>Over budgeted for finance leas cost</t>
  </si>
  <si>
    <t>Over spent Assets funded from FMG Grant</t>
  </si>
  <si>
    <t>Gain / (loss) on fair value/ disposal/impairment of assets to the amount of R81.1 million and R42.4 million for debt incentive which was not budgeted for. Actuarial valuations on leave reserva and rehabilitation of landfill sites  were overspent by R30.2 million</t>
  </si>
  <si>
    <t>DEBTORS TRANSFER CONTROL</t>
  </si>
  <si>
    <t>Other Movable Assets</t>
  </si>
  <si>
    <t xml:space="preserve">Provision for outstanding traffic fines </t>
  </si>
  <si>
    <t>Defer Compensasion</t>
  </si>
  <si>
    <t>The Municipality was amalgamated with a portion og  Aganang Municipality with effect from the 4th August 2016</t>
  </si>
  <si>
    <t>47 832 508</t>
  </si>
  <si>
    <t>Fruitless and wasteful expenditure current year:</t>
  </si>
  <si>
    <t>Condoned or written off by Council</t>
  </si>
  <si>
    <t xml:space="preserve">Fruitless and Wasteful Expenditue as per submitted  AFS </t>
  </si>
  <si>
    <t>Acting allowance</t>
  </si>
  <si>
    <t xml:space="preserve">The Director Community Development and Director SPME acted in the position for 12 months. </t>
  </si>
  <si>
    <t>The Manager Roads and Stormwater acted in the position for 2 months</t>
  </si>
  <si>
    <t>The Manager IDP  and Manager PMS acted in the position for 5 months.</t>
  </si>
  <si>
    <t xml:space="preserve">The Deputy CFO  and a seconded official from Provincial Treasury acted in the position for 9 months. </t>
  </si>
  <si>
    <t>Polokwane Municipality has a 100% controlling interest in PHA. The subsidiary provide social housing to the community.</t>
  </si>
  <si>
    <t>Property rates received from related parties (PHA)</t>
  </si>
  <si>
    <t>The Municipality has exempted PHA from paying rates though utilities are still payable</t>
  </si>
  <si>
    <t>The Municipality  paid an amount of R10 million  to PHA in order to settle the NHFC  loan</t>
  </si>
  <si>
    <t>CHANGE IN ESTIMATE</t>
  </si>
  <si>
    <t>Property, plant and Equipment</t>
  </si>
  <si>
    <t>During the current finanacial year, the useful lives of intangible asset items were reviewed and adjusted to more accurately reflect the period of economic benefits or service potentialderived from these assets.  The effect of the review decreased the depreciation charges for the current period by R560 330.</t>
  </si>
  <si>
    <t>net of any related income tax benefit . Transaction costs incurred on</t>
  </si>
  <si>
    <t>tax benefit .</t>
  </si>
  <si>
    <t>Derecognition of assets</t>
  </si>
  <si>
    <t>DERECOGNITION OF ASSETS</t>
  </si>
  <si>
    <t>Loss on disposal/derecognition of assets</t>
  </si>
  <si>
    <t>Acquisitions Investment property</t>
  </si>
  <si>
    <t>Acquisitions Intangible assets</t>
  </si>
  <si>
    <t>Gain / (loss) on disposal/derocognition of assets</t>
  </si>
  <si>
    <t xml:space="preserve">During the current financial year, the useful lives of all asset classes were reviewed and adjusted to more accurately reflect the period of economic benefits or service potential derived from these assets.  The effect of the review decreased the depreciation charges for the current period by R41 359 401.     </t>
  </si>
  <si>
    <t xml:space="preserve">For the purpose of calculating unauthorised expenditure on depreciation, the depreciation portion on the revalued component of assets are deducted from the real overspending. </t>
  </si>
  <si>
    <t>Loss on disposal of PPE</t>
  </si>
  <si>
    <t>Reflected in Statement of Financial Performance</t>
  </si>
  <si>
    <t>Correction to realisation of Revaluation Reserve- Derecognition</t>
  </si>
  <si>
    <t>Adjustments on amounts payable</t>
  </si>
  <si>
    <t>Adjustments on amounts receivable</t>
  </si>
  <si>
    <t>Acquisitions Property Plant &amp; Equipment</t>
  </si>
  <si>
    <t>Debt incentive</t>
  </si>
  <si>
    <t>Provision for rehabilitation of landfill site</t>
  </si>
  <si>
    <t>Provision for leave</t>
  </si>
  <si>
    <t>fact that the actual expenditure exceeded the budget on the foillowing items :</t>
  </si>
  <si>
    <t>Profit/loss on fair value adjustments</t>
  </si>
  <si>
    <t>Increase/(decrease) in receivables</t>
  </si>
  <si>
    <t>The opening balance on unaauthorized has already been subjected to MPAC investigation and it is awaiting condonation by Council. The current year unauthorized expenditure will also be subjected to Council before the audit is finalized</t>
  </si>
  <si>
    <t>Current year  irregular expenditure has been invetigated by Municipal Public Account Committee(MPAC) and is awaiting Council decisison on whether to condone or not in terms of the MFMA.</t>
  </si>
  <si>
    <t>Debtors suspence account</t>
  </si>
  <si>
    <t>0060</t>
  </si>
  <si>
    <t>The balance of the Fund was transferred to revenue during the 2015/16 Adjustment Budget. The funds were then transferred to Polokwane Housing Agency. Refer to note 27</t>
  </si>
  <si>
    <t>ANNUITY LOAN( INEP FRONT-LOADING) @ 9.00%</t>
  </si>
  <si>
    <t>ANNUITY LOAN (DBSA) @ 10.60%</t>
  </si>
  <si>
    <t>ANNUITY LOAN (DBSA) @ 11.52%</t>
  </si>
  <si>
    <t>R thousands</t>
  </si>
  <si>
    <t>Revenue - Standard</t>
  </si>
  <si>
    <t>Governance and administration</t>
  </si>
  <si>
    <t>Executive and council</t>
  </si>
  <si>
    <t>Budget and treasury office</t>
  </si>
  <si>
    <t>Corporate services</t>
  </si>
  <si>
    <t>Community and public safety</t>
  </si>
  <si>
    <t>Community and social services</t>
  </si>
  <si>
    <t>Sport and recreation</t>
  </si>
  <si>
    <t>Public safety</t>
  </si>
  <si>
    <t>Health</t>
  </si>
  <si>
    <t>Economic and environmental services</t>
  </si>
  <si>
    <t>Planning and development</t>
  </si>
  <si>
    <t>Road transport</t>
  </si>
  <si>
    <t>Environmental protection</t>
  </si>
  <si>
    <t>Trading services</t>
  </si>
  <si>
    <t>Waste water management</t>
  </si>
  <si>
    <t>Waste management</t>
  </si>
  <si>
    <t>Total Revenue - Standard</t>
  </si>
  <si>
    <t>Expenditure - Standard</t>
  </si>
  <si>
    <t>Total Expenditure - Standard</t>
  </si>
  <si>
    <t>Surplus/ (Deficit) for the year</t>
  </si>
  <si>
    <t>Ref</t>
  </si>
  <si>
    <t>Audited Outcome</t>
  </si>
  <si>
    <t>Adjusted Budget</t>
  </si>
  <si>
    <t>YearTD actual</t>
  </si>
  <si>
    <t>YTD variance</t>
  </si>
  <si>
    <t/>
  </si>
  <si>
    <t>2014/2015</t>
  </si>
  <si>
    <t>Infrastructure  and Community Assets:  Annual review meetings were conducted with all Strategic Business Units during which impairment triggers and asset performance indicators were discussed and none were noted. In addition, physical field assessments were conducted where information pertaining to the condition and performance of these assets were recorded and further analysed.</t>
  </si>
  <si>
    <t>During the year Remaining Useful Lives were reviewed on all depreciciable assets and adjusted where neccassary. Refer to note 45 for the effect of the change in estimate.</t>
  </si>
  <si>
    <t>Depreciation/Amortisation</t>
  </si>
  <si>
    <t>Consumable stores are disclosed at the lower of cost or net realisable value in line with the accounting policy</t>
  </si>
  <si>
    <t>Proceeds on sale of stands</t>
  </si>
  <si>
    <t xml:space="preserve">                                                                Changes in opening balances due to changes necessitated by the realighnment with government gazette</t>
  </si>
  <si>
    <t>During the review of this asset class, certain inaccuracies were identified relating to amongst others, changes required through the publication of the extra ordinary gazettes dealing with the declaration of provincial roads (Gazette no,2372 and Gazette no.2417), clarity provided by RAL during September 2016 on the exact boundaries for the declared roads, classification, completeness and existence.  As a result, comparative figures had to be restated to reflect the financial impact of the changes.</t>
  </si>
  <si>
    <t>CASH FLOW FROM INVESTING ACTIVITIES</t>
  </si>
  <si>
    <t>The amount for 2014/15 is R287 269 083 and for 2015/16 R286 964 008. This was done in accordance with National Treasury Circular 58</t>
  </si>
  <si>
    <t>I</t>
  </si>
  <si>
    <t>70</t>
  </si>
  <si>
    <t>71</t>
  </si>
  <si>
    <t>72</t>
  </si>
  <si>
    <t>73</t>
  </si>
  <si>
    <t>77</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</si>
</sst>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 #,##0.00_ ;_ * \-#,##0.00_ ;_ * &quot;-&quot;??_ ;_ @_ "/>
    <numFmt numFmtId="164" formatCode="_(* #,##0_);_(* \(#,##0\);_(* &quot;-&quot;_);_(@_)"/>
    <numFmt numFmtId="165" formatCode="_(* #,##0.00_);_(* \(#,##0.00\);_(* &quot;-&quot;??_);_(@_)"/>
    <numFmt numFmtId="166" formatCode="_-* #,##0.00_-;\-* #,##0.00_-;_-* &quot;-&quot;??_-;_-@_-"/>
    <numFmt numFmtId="167" formatCode="_(&quot;R&quot;* #,##0.00_);_(&quot;R&quot;* \(#,##0.00\);_(&quot;R&quot;* &quot;-&quot;??_);_(@_)"/>
    <numFmt numFmtId="168" formatCode="_ * #,##0_ ;_ * \-#,##0_ ;_ * &quot;-&quot;??_ ;_ @_ "/>
    <numFmt numFmtId="169" formatCode="#\ ###\ ##0;\(#\ ###\ ##0\)"/>
    <numFmt numFmtId="170" formatCode="_(* #,##0_);_(* \(#,##0\);_(* &quot;-&quot;??_);_(@_)"/>
    <numFmt numFmtId="171" formatCode="[$-1C09]dd\ mmmm\ yyyy;@"/>
    <numFmt numFmtId="172" formatCode="_(* #\ ###\ ##0_);_(* \(#\ ###\ ##0\);_(* &quot;-&quot;??_);_(@_)"/>
    <numFmt numFmtId="173" formatCode="#\ ###\ ##0_);\(#\ ###\ ##0\)"/>
    <numFmt numFmtId="174" formatCode="0.0"/>
    <numFmt numFmtId="175" formatCode="_(* ##\ ###\ ##0_);_(* \(#\ ###\ ##0\);_(* &quot;-&quot;_);_(@_)"/>
    <numFmt numFmtId="176" formatCode="#,##0.0"/>
    <numFmt numFmtId="177" formatCode="#\ ###\ ###\ ##0_);\(#\ ###\ ##0\)"/>
    <numFmt numFmtId="178" formatCode="_ * #,##0.0_ ;_ * \-#,##0.0_ ;_ * &quot;-&quot;?_ ;_ @_ "/>
    <numFmt numFmtId="179" formatCode="\ #\ ###\ ###\ ##0;\(#\ ###\ ##0\)"/>
    <numFmt numFmtId="180" formatCode="#\ ###\ ###\ ##0;\(#\ ###\ ##0\)"/>
    <numFmt numFmtId="181" formatCode="_ * #,##0_ ;_ * \(#,##0\)_ ;_ * &quot;-&quot;??_ ;_ @_ "/>
    <numFmt numFmtId="182" formatCode="_ [$€-2]\ * #,##0.00_ ;_ [$€-2]\ * \-#,##0.00_ ;_ [$€-2]\ * &quot;-&quot;??_ "/>
    <numFmt numFmtId="183" formatCode="[$R-436]\ #,##0"/>
    <numFmt numFmtId="184" formatCode="_ * #,##0_ ;_ * \-#,##0_ ;_ * &quot;-&quot;?_ ;_ @_ "/>
    <numFmt numFmtId="185" formatCode="&quot;R&quot;\ #,##0.00"/>
    <numFmt numFmtId="186" formatCode="_-* #,##0_-;\-* #,##0_-;_-* &quot;-&quot;??_-;_-@_-"/>
    <numFmt numFmtId="187" formatCode="0;[Red]0"/>
    <numFmt numFmtId="188" formatCode="yy/mm/dd;@"/>
    <numFmt numFmtId="189" formatCode="_(* #,##0,_);_(* \(#,##0,\);_(* &quot;–&quot;?_);_(@_)"/>
    <numFmt numFmtId="190" formatCode="0.0%"/>
  </numFmts>
  <fonts count="91" x14ac:knownFonts="1">
    <font>
      <sz val="11"/>
      <color theme="1"/>
      <name val="Calibri"/>
      <family val="2"/>
      <scheme val="minor"/>
    </font>
    <font>
      <sz val="10"/>
      <color indexed="8"/>
      <name val="Arial"/>
      <family val="2"/>
    </font>
    <font>
      <b/>
      <sz val="10"/>
      <color indexed="8"/>
      <name val="Arial"/>
      <family val="2"/>
    </font>
    <font>
      <sz val="11"/>
      <color indexed="8"/>
      <name val="Calibri"/>
      <family val="2"/>
    </font>
    <font>
      <sz val="12"/>
      <color indexed="8"/>
      <name val="Arial"/>
      <family val="2"/>
    </font>
    <font>
      <b/>
      <sz val="10"/>
      <color indexed="8"/>
      <name val="Arial"/>
      <family val="2"/>
    </font>
    <font>
      <sz val="10"/>
      <color indexed="8"/>
      <name val="Arial"/>
      <family val="2"/>
    </font>
    <font>
      <sz val="11"/>
      <color indexed="8"/>
      <name val="Arial"/>
      <family val="2"/>
    </font>
    <font>
      <sz val="9.5"/>
      <color indexed="8"/>
      <name val="Arial"/>
      <family val="2"/>
    </font>
    <font>
      <b/>
      <sz val="9.5"/>
      <color indexed="8"/>
      <name val="Arial"/>
      <family val="2"/>
    </font>
    <font>
      <b/>
      <sz val="9"/>
      <color indexed="8"/>
      <name val="Arial"/>
      <family val="2"/>
    </font>
    <font>
      <b/>
      <sz val="11"/>
      <color indexed="8"/>
      <name val="Arial"/>
      <family val="2"/>
    </font>
    <font>
      <sz val="10"/>
      <color indexed="8"/>
      <name val="Arial"/>
      <family val="2"/>
    </font>
    <font>
      <b/>
      <sz val="10"/>
      <color indexed="8"/>
      <name val="Arial"/>
      <family val="2"/>
    </font>
    <font>
      <u/>
      <sz val="11"/>
      <color indexed="12"/>
      <name val="Calibri"/>
      <family val="2"/>
    </font>
    <font>
      <sz val="8"/>
      <name val="Calibri"/>
      <family val="2"/>
    </font>
    <font>
      <sz val="10"/>
      <name val="Arial"/>
      <family val="2"/>
    </font>
    <font>
      <b/>
      <sz val="10"/>
      <name val="Arial"/>
      <family val="2"/>
    </font>
    <font>
      <sz val="10"/>
      <name val="Arial"/>
      <family val="2"/>
    </font>
    <font>
      <sz val="10"/>
      <color indexed="8"/>
      <name val="Arial"/>
      <family val="2"/>
    </font>
    <font>
      <sz val="14"/>
      <name val="Arial"/>
      <family val="2"/>
    </font>
    <font>
      <b/>
      <sz val="8"/>
      <name val="Arial"/>
      <family val="2"/>
    </font>
    <font>
      <b/>
      <sz val="20"/>
      <name val="Arial"/>
      <family val="2"/>
    </font>
    <font>
      <b/>
      <sz val="36"/>
      <color indexed="8"/>
      <name val="Calibri"/>
      <family val="2"/>
    </font>
    <font>
      <b/>
      <sz val="36"/>
      <color indexed="8"/>
      <name val="Arial"/>
      <family val="2"/>
    </font>
    <font>
      <sz val="11"/>
      <name val="Arial"/>
      <family val="2"/>
    </font>
    <font>
      <b/>
      <sz val="11"/>
      <name val="Arial"/>
      <family val="2"/>
    </font>
    <font>
      <b/>
      <sz val="12"/>
      <name val="Arial"/>
      <family val="2"/>
    </font>
    <font>
      <sz val="10"/>
      <color indexed="8"/>
      <name val="Calibri"/>
      <family val="2"/>
    </font>
    <font>
      <b/>
      <sz val="10"/>
      <name val="Arial"/>
      <family val="2"/>
    </font>
    <font>
      <i/>
      <sz val="10"/>
      <name val="Arial"/>
      <family val="2"/>
    </font>
    <font>
      <sz val="10"/>
      <name val="Arial Narrow"/>
      <family val="2"/>
    </font>
    <font>
      <sz val="10"/>
      <color indexed="10"/>
      <name val="Arial"/>
      <family val="2"/>
    </font>
    <font>
      <b/>
      <sz val="10"/>
      <name val="Arial Narrow"/>
      <family val="2"/>
    </font>
    <font>
      <b/>
      <sz val="9"/>
      <name val="Arial"/>
      <family val="2"/>
    </font>
    <font>
      <sz val="9"/>
      <color indexed="8"/>
      <name val="Arial"/>
      <family val="2"/>
    </font>
    <font>
      <sz val="9.5"/>
      <color indexed="8"/>
      <name val="Calibri"/>
      <family val="2"/>
    </font>
    <font>
      <b/>
      <sz val="9.5"/>
      <name val="Arial"/>
      <family val="2"/>
    </font>
    <font>
      <b/>
      <sz val="11"/>
      <color indexed="8"/>
      <name val="Calibri"/>
      <family val="2"/>
    </font>
    <font>
      <b/>
      <sz val="18"/>
      <name val="Arial"/>
      <family val="2"/>
    </font>
    <font>
      <b/>
      <u/>
      <sz val="10"/>
      <name val="Arial"/>
      <family val="2"/>
    </font>
    <font>
      <sz val="10"/>
      <color indexed="10"/>
      <name val="Arial"/>
      <family val="2"/>
    </font>
    <font>
      <b/>
      <i/>
      <sz val="10"/>
      <name val="Arial"/>
      <family val="2"/>
    </font>
    <font>
      <b/>
      <sz val="10"/>
      <color indexed="8"/>
      <name val="Arial"/>
      <family val="2"/>
    </font>
    <font>
      <sz val="10"/>
      <color indexed="8"/>
      <name val="Arial"/>
      <family val="2"/>
    </font>
    <font>
      <b/>
      <sz val="9"/>
      <color indexed="81"/>
      <name val="Tahoma"/>
      <family val="2"/>
    </font>
    <font>
      <sz val="9"/>
      <color indexed="81"/>
      <name val="Tahoma"/>
      <family val="2"/>
    </font>
    <font>
      <sz val="9.5"/>
      <name val="Arial"/>
      <family val="2"/>
    </font>
    <font>
      <sz val="16"/>
      <name val="Arial"/>
      <family val="2"/>
    </font>
    <font>
      <b/>
      <i/>
      <sz val="14"/>
      <name val="Arial"/>
      <family val="2"/>
    </font>
    <font>
      <b/>
      <i/>
      <sz val="9.5"/>
      <name val="Arial"/>
      <family val="2"/>
    </font>
    <font>
      <sz val="8"/>
      <name val="Arial Narrow"/>
      <family val="2"/>
    </font>
    <font>
      <sz val="11"/>
      <color indexed="10"/>
      <name val="Arial"/>
      <family val="2"/>
    </font>
    <font>
      <sz val="11"/>
      <name val="Calibri"/>
      <family val="2"/>
    </font>
    <font>
      <sz val="10"/>
      <color indexed="40"/>
      <name val="Arial"/>
      <family val="2"/>
    </font>
    <font>
      <sz val="10"/>
      <color indexed="8"/>
      <name val="Arabic Typesetting"/>
      <family val="4"/>
    </font>
    <font>
      <strike/>
      <sz val="11"/>
      <name val="Arial"/>
      <family val="2"/>
    </font>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sz val="10"/>
      <color theme="1"/>
      <name val="Arial"/>
      <family val="2"/>
    </font>
    <font>
      <b/>
      <sz val="10"/>
      <color theme="1"/>
      <name val="Arial"/>
      <family val="2"/>
    </font>
    <font>
      <sz val="11"/>
      <color theme="1"/>
      <name val="Arial"/>
      <family val="2"/>
    </font>
    <font>
      <b/>
      <sz val="11"/>
      <color theme="1"/>
      <name val="Arial"/>
      <family val="2"/>
    </font>
    <font>
      <b/>
      <sz val="10"/>
      <color theme="1"/>
      <name val="Verdana"/>
      <family val="2"/>
    </font>
    <font>
      <b/>
      <sz val="10"/>
      <color rgb="FFFF0000"/>
      <name val="Arial"/>
      <family val="2"/>
    </font>
    <font>
      <sz val="11"/>
      <name val="Calibri"/>
      <family val="2"/>
      <scheme val="minor"/>
    </font>
    <font>
      <sz val="11"/>
      <color rgb="FFFF0000"/>
      <name val="Arial"/>
      <family val="2"/>
    </font>
    <font>
      <sz val="10"/>
      <color rgb="FFFF0000"/>
      <name val="Arial"/>
      <family val="2"/>
    </font>
    <font>
      <b/>
      <sz val="11"/>
      <color rgb="FFFF0000"/>
      <name val="Arial"/>
      <family val="2"/>
    </font>
    <font>
      <b/>
      <sz val="10"/>
      <color rgb="FF000000"/>
      <name val="Arial"/>
      <family val="2"/>
    </font>
    <font>
      <sz val="10"/>
      <color theme="1"/>
      <name val="Calibri"/>
      <family val="2"/>
      <scheme val="minor"/>
    </font>
    <font>
      <sz val="10"/>
      <color rgb="FF000000"/>
      <name val="Arial"/>
      <family val="2"/>
    </font>
    <font>
      <b/>
      <sz val="11"/>
      <color rgb="FF000000"/>
      <name val="Arial"/>
      <family val="2"/>
    </font>
    <font>
      <sz val="11"/>
      <color rgb="FF000000"/>
      <name val="Arial"/>
      <family val="2"/>
    </font>
    <font>
      <b/>
      <u/>
      <sz val="10"/>
      <color theme="1"/>
      <name val="Arial"/>
      <family val="2"/>
    </font>
    <font>
      <u/>
      <sz val="10"/>
      <color theme="1"/>
      <name val="Arial"/>
      <family val="2"/>
    </font>
    <font>
      <b/>
      <sz val="10"/>
      <color theme="3" tint="0.39997558519241921"/>
      <name val="Arial"/>
      <family val="2"/>
    </font>
    <font>
      <sz val="10"/>
      <color theme="3" tint="0.39997558519241921"/>
      <name val="Arial"/>
      <family val="2"/>
    </font>
    <font>
      <sz val="10"/>
      <color rgb="FF000000"/>
      <name val="Century Gothic"/>
      <family val="2"/>
    </font>
    <font>
      <b/>
      <sz val="11"/>
      <color rgb="FF000000"/>
      <name val="Calibri"/>
      <family val="2"/>
      <scheme val="minor"/>
    </font>
    <font>
      <b/>
      <sz val="10"/>
      <color theme="1"/>
      <name val="Calibri"/>
      <family val="2"/>
      <scheme val="minor"/>
    </font>
    <font>
      <i/>
      <sz val="10"/>
      <color rgb="FF000000"/>
      <name val="Arial"/>
      <family val="2"/>
    </font>
    <font>
      <b/>
      <sz val="8"/>
      <color theme="1"/>
      <name val="Verdana"/>
      <family val="2"/>
    </font>
    <font>
      <i/>
      <sz val="10"/>
      <color theme="1"/>
      <name val="Arial"/>
      <family val="2"/>
    </font>
    <font>
      <b/>
      <sz val="8"/>
      <name val="Arial Narrow"/>
      <family val="2"/>
    </font>
    <font>
      <b/>
      <u/>
      <sz val="8"/>
      <name val="Arial Narrow"/>
      <family val="2"/>
    </font>
    <font>
      <b/>
      <i/>
      <sz val="8"/>
      <name val="Arial Narrow"/>
      <family val="2"/>
    </font>
    <font>
      <u/>
      <sz val="8"/>
      <name val="Arial Narrow"/>
      <family val="2"/>
    </font>
    <font>
      <i/>
      <sz val="8"/>
      <name val="Arial Narrow"/>
      <family val="2"/>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rgb="FF0070C0"/>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7030A0"/>
        <bgColor indexed="64"/>
      </patternFill>
    </fill>
    <fill>
      <patternFill patternType="solid">
        <fgColor rgb="FFD9D9D9"/>
        <bgColor indexed="64"/>
      </patternFill>
    </fill>
  </fills>
  <borders count="108">
    <border>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medium">
        <color indexed="64"/>
      </right>
      <top style="medium">
        <color indexed="64"/>
      </top>
      <bottom/>
      <diagonal/>
    </border>
    <border>
      <left style="thin">
        <color indexed="64"/>
      </left>
      <right style="double">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medium">
        <color indexed="64"/>
      </bottom>
      <diagonal/>
    </border>
    <border>
      <left/>
      <right/>
      <top style="double">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theme="4" tint="0.39997558519241921"/>
      </bottom>
      <diagonal/>
    </border>
    <border>
      <left style="medium">
        <color indexed="64"/>
      </left>
      <right/>
      <top/>
      <bottom style="thin">
        <color theme="4" tint="0.39997558519241921"/>
      </bottom>
      <diagonal/>
    </border>
    <border>
      <left/>
      <right style="medium">
        <color indexed="64"/>
      </right>
      <top/>
      <bottom style="thin">
        <color theme="4" tint="0.3999755851924192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3">
    <xf numFmtId="0" fontId="0"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6" fillId="0" borderId="0" applyFont="0" applyFill="0" applyBorder="0" applyAlignment="0" applyProtection="0"/>
    <xf numFmtId="182" fontId="16" fillId="0" borderId="0" applyFont="0" applyFill="0" applyBorder="0" applyAlignment="0" applyProtection="0"/>
    <xf numFmtId="0" fontId="14" fillId="0" borderId="0" applyNumberFormat="0" applyFill="0" applyBorder="0" applyAlignment="0" applyProtection="0">
      <alignment vertical="top"/>
      <protection locked="0"/>
    </xf>
    <xf numFmtId="0" fontId="57" fillId="0" borderId="0"/>
    <xf numFmtId="0" fontId="16" fillId="0" borderId="0"/>
    <xf numFmtId="0" fontId="57" fillId="0" borderId="0"/>
    <xf numFmtId="0" fontId="18" fillId="0" borderId="0"/>
    <xf numFmtId="9" fontId="57" fillId="0" borderId="0" applyFont="0" applyFill="0" applyBorder="0" applyAlignment="0" applyProtection="0"/>
    <xf numFmtId="43" fontId="16" fillId="0" borderId="0" applyFont="0" applyFill="0" applyBorder="0" applyAlignment="0" applyProtection="0"/>
  </cellStyleXfs>
  <cellXfs count="1895">
    <xf numFmtId="0" fontId="0" fillId="0" borderId="0" xfId="0"/>
    <xf numFmtId="0" fontId="5" fillId="0" borderId="0" xfId="0" applyFont="1" applyFill="1" applyBorder="1" applyAlignment="1"/>
    <xf numFmtId="170" fontId="5" fillId="0" borderId="1" xfId="1" applyNumberFormat="1" applyFont="1" applyFill="1" applyBorder="1" applyAlignment="1">
      <alignment horizontal="center" vertical="top" wrapText="1"/>
    </xf>
    <xf numFmtId="0" fontId="6" fillId="0" borderId="0" xfId="0" applyFont="1" applyAlignment="1"/>
    <xf numFmtId="170" fontId="6" fillId="0" borderId="1" xfId="1" applyNumberFormat="1" applyFont="1" applyBorder="1" applyAlignment="1">
      <alignment vertical="top" wrapText="1"/>
    </xf>
    <xf numFmtId="0" fontId="6" fillId="0" borderId="0" xfId="0" applyFont="1"/>
    <xf numFmtId="0" fontId="5" fillId="0" borderId="0" xfId="0" applyFont="1" applyFill="1" applyBorder="1" applyAlignment="1">
      <alignment horizontal="center"/>
    </xf>
    <xf numFmtId="0" fontId="6" fillId="0" borderId="0" xfId="0" applyFont="1" applyFill="1"/>
    <xf numFmtId="170" fontId="6" fillId="0" borderId="0" xfId="1" applyNumberFormat="1" applyFont="1" applyFill="1"/>
    <xf numFmtId="170" fontId="6" fillId="0" borderId="0" xfId="1" applyNumberFormat="1" applyFont="1" applyFill="1" applyBorder="1"/>
    <xf numFmtId="0" fontId="6" fillId="0" borderId="0" xfId="0" applyFont="1" applyFill="1" applyBorder="1"/>
    <xf numFmtId="0" fontId="6" fillId="0" borderId="0" xfId="0" applyFont="1" applyAlignment="1">
      <alignment horizontal="left"/>
    </xf>
    <xf numFmtId="165" fontId="6" fillId="0" borderId="0" xfId="1" applyFont="1"/>
    <xf numFmtId="170" fontId="6" fillId="0" borderId="0" xfId="1" applyNumberFormat="1" applyFont="1"/>
    <xf numFmtId="0" fontId="8" fillId="0" borderId="0" xfId="0" applyFont="1" applyBorder="1" applyAlignment="1">
      <alignment vertical="top"/>
    </xf>
    <xf numFmtId="0" fontId="9" fillId="0" borderId="0" xfId="0" applyFont="1" applyBorder="1" applyAlignment="1">
      <alignment vertical="top"/>
    </xf>
    <xf numFmtId="170" fontId="8" fillId="0" borderId="0" xfId="1" applyNumberFormat="1" applyFont="1" applyBorder="1" applyAlignment="1">
      <alignment horizontal="right" vertical="top"/>
    </xf>
    <xf numFmtId="0" fontId="9" fillId="0" borderId="0" xfId="0" applyFont="1" applyBorder="1" applyAlignment="1">
      <alignment horizontal="left" vertical="top"/>
    </xf>
    <xf numFmtId="170" fontId="9" fillId="0" borderId="0" xfId="1" applyNumberFormat="1" applyFont="1" applyBorder="1" applyAlignment="1">
      <alignment horizontal="center" vertical="top"/>
    </xf>
    <xf numFmtId="0" fontId="8" fillId="0" borderId="0" xfId="0" applyFont="1" applyBorder="1" applyAlignment="1">
      <alignment horizontal="left" vertical="top"/>
    </xf>
    <xf numFmtId="170" fontId="8" fillId="0" borderId="0" xfId="1" applyNumberFormat="1" applyFont="1" applyBorder="1" applyAlignment="1">
      <alignment vertical="top"/>
    </xf>
    <xf numFmtId="0" fontId="8" fillId="0" borderId="0" xfId="0" applyFont="1" applyBorder="1" applyAlignment="1">
      <alignment horizontal="center" vertical="top"/>
    </xf>
    <xf numFmtId="0" fontId="6" fillId="0" borderId="0" xfId="0" applyFont="1" applyFill="1" applyBorder="1" applyAlignment="1"/>
    <xf numFmtId="0" fontId="6" fillId="0" borderId="0" xfId="0" applyFont="1" applyFill="1" applyBorder="1" applyAlignment="1">
      <alignment vertical="center"/>
    </xf>
    <xf numFmtId="170" fontId="6" fillId="0" borderId="0" xfId="1" applyNumberFormat="1" applyFont="1" applyFill="1" applyBorder="1" applyAlignment="1"/>
    <xf numFmtId="0" fontId="6" fillId="0" borderId="0" xfId="0" applyFont="1" applyFill="1" applyAlignment="1">
      <alignment horizontal="center"/>
    </xf>
    <xf numFmtId="0" fontId="4" fillId="0" borderId="0" xfId="0" applyFont="1" applyFill="1"/>
    <xf numFmtId="170" fontId="6" fillId="0" borderId="1" xfId="1" applyNumberFormat="1" applyFont="1" applyBorder="1" applyAlignment="1">
      <alignment horizontal="right" vertical="top" wrapText="1"/>
    </xf>
    <xf numFmtId="165" fontId="6" fillId="0" borderId="1" xfId="1" applyFont="1" applyBorder="1" applyAlignment="1">
      <alignment horizontal="right" vertical="top" wrapText="1"/>
    </xf>
    <xf numFmtId="170" fontId="5" fillId="0" borderId="1" xfId="1" applyNumberFormat="1" applyFont="1" applyBorder="1" applyAlignment="1">
      <alignment horizontal="right" vertical="top" wrapText="1"/>
    </xf>
    <xf numFmtId="0" fontId="5" fillId="0" borderId="1" xfId="0" applyFont="1" applyBorder="1" applyAlignment="1">
      <alignment horizontal="center" wrapText="1"/>
    </xf>
    <xf numFmtId="165" fontId="6" fillId="0" borderId="1" xfId="1" applyNumberFormat="1" applyFont="1" applyBorder="1" applyAlignment="1">
      <alignment horizontal="right" vertical="top" wrapText="1"/>
    </xf>
    <xf numFmtId="15" fontId="6" fillId="0" borderId="0" xfId="0" applyNumberFormat="1" applyFont="1" applyFill="1" applyBorder="1" applyAlignment="1">
      <alignment horizontal="center"/>
    </xf>
    <xf numFmtId="0" fontId="1" fillId="0" borderId="0" xfId="0" applyFont="1"/>
    <xf numFmtId="0" fontId="1" fillId="0" borderId="0" xfId="0" applyFont="1" applyFill="1" applyBorder="1" applyAlignment="1">
      <alignment horizontal="justify" vertical="justify" wrapText="1"/>
    </xf>
    <xf numFmtId="170" fontId="4" fillId="0" borderId="0" xfId="1" applyNumberFormat="1" applyFont="1" applyFill="1" applyBorder="1"/>
    <xf numFmtId="0" fontId="1" fillId="0" borderId="0" xfId="0" applyFont="1" applyFill="1" applyBorder="1" applyAlignment="1">
      <alignment vertical="top" wrapText="1"/>
    </xf>
    <xf numFmtId="0" fontId="2" fillId="0" borderId="0" xfId="0" applyFont="1" applyFill="1" applyBorder="1"/>
    <xf numFmtId="0" fontId="20" fillId="0" borderId="0" xfId="0" applyFont="1" applyBorder="1" applyAlignment="1">
      <alignment horizontal="center" vertical="top" wrapText="1"/>
    </xf>
    <xf numFmtId="0" fontId="2" fillId="0" borderId="0" xfId="0" quotePrefix="1" applyFont="1" applyFill="1" applyBorder="1" applyAlignment="1">
      <alignment horizontal="center"/>
    </xf>
    <xf numFmtId="0" fontId="2" fillId="0" borderId="0" xfId="0" applyFont="1" applyFill="1" applyBorder="1" applyAlignment="1">
      <alignment horizontal="center"/>
    </xf>
    <xf numFmtId="0" fontId="6" fillId="0" borderId="0" xfId="0" applyFont="1" applyFill="1" applyBorder="1" applyAlignment="1">
      <alignment horizontal="center"/>
    </xf>
    <xf numFmtId="0" fontId="29" fillId="0" borderId="0" xfId="0" applyFont="1"/>
    <xf numFmtId="0" fontId="18" fillId="0" borderId="0" xfId="0" applyFont="1"/>
    <xf numFmtId="3" fontId="17" fillId="0" borderId="0" xfId="0" applyNumberFormat="1" applyFont="1"/>
    <xf numFmtId="0" fontId="32" fillId="0" borderId="0" xfId="0" applyFont="1"/>
    <xf numFmtId="3" fontId="32" fillId="0" borderId="0" xfId="0" applyNumberFormat="1" applyFont="1"/>
    <xf numFmtId="176" fontId="32" fillId="0" borderId="0" xfId="0" applyNumberFormat="1" applyFont="1"/>
    <xf numFmtId="0" fontId="17" fillId="0" borderId="0" xfId="10" applyFont="1" applyAlignment="1">
      <alignment horizontal="center"/>
    </xf>
    <xf numFmtId="0" fontId="28" fillId="0" borderId="0" xfId="0" applyFont="1"/>
    <xf numFmtId="0" fontId="28" fillId="0" borderId="0" xfId="0" applyFont="1" applyAlignment="1">
      <alignment horizontal="center"/>
    </xf>
    <xf numFmtId="0" fontId="17" fillId="0" borderId="0" xfId="0" applyFont="1"/>
    <xf numFmtId="0" fontId="16" fillId="0" borderId="0" xfId="0" applyFont="1"/>
    <xf numFmtId="0" fontId="18" fillId="0" borderId="0" xfId="0" applyFont="1" applyAlignment="1">
      <alignment horizontal="center"/>
    </xf>
    <xf numFmtId="0" fontId="18" fillId="0" borderId="0" xfId="0" applyFont="1" applyAlignment="1">
      <alignment horizontal="left" indent="15"/>
    </xf>
    <xf numFmtId="1" fontId="28" fillId="0" borderId="0" xfId="0" applyNumberFormat="1" applyFont="1"/>
    <xf numFmtId="3" fontId="16" fillId="0" borderId="0" xfId="0" applyNumberFormat="1" applyFont="1"/>
    <xf numFmtId="4" fontId="16" fillId="0" borderId="0" xfId="0" applyNumberFormat="1" applyFont="1"/>
    <xf numFmtId="3" fontId="16" fillId="0" borderId="0" xfId="0" applyNumberFormat="1" applyFont="1" applyFill="1"/>
    <xf numFmtId="3" fontId="28" fillId="0" borderId="0" xfId="0" applyNumberFormat="1" applyFont="1"/>
    <xf numFmtId="1" fontId="16" fillId="0" borderId="0" xfId="0" applyNumberFormat="1" applyFont="1"/>
    <xf numFmtId="4" fontId="28" fillId="2" borderId="0" xfId="0" applyNumberFormat="1" applyFont="1" applyFill="1" applyAlignment="1"/>
    <xf numFmtId="4" fontId="28" fillId="0" borderId="0" xfId="0" applyNumberFormat="1" applyFont="1"/>
    <xf numFmtId="173" fontId="6" fillId="0" borderId="0" xfId="0" applyNumberFormat="1" applyFont="1" applyFill="1" applyBorder="1" applyAlignment="1"/>
    <xf numFmtId="173" fontId="5" fillId="0" borderId="0" xfId="0" applyNumberFormat="1" applyFont="1" applyFill="1" applyBorder="1" applyAlignment="1"/>
    <xf numFmtId="177" fontId="5" fillId="0" borderId="0" xfId="1" applyNumberFormat="1" applyFont="1" applyFill="1" applyBorder="1" applyAlignment="1"/>
    <xf numFmtId="177" fontId="2" fillId="0" borderId="0" xfId="0" applyNumberFormat="1" applyFont="1" applyFill="1" applyBorder="1" applyAlignment="1"/>
    <xf numFmtId="165" fontId="35" fillId="0" borderId="2" xfId="1" applyNumberFormat="1" applyFont="1" applyFill="1" applyBorder="1"/>
    <xf numFmtId="0" fontId="0" fillId="0" borderId="0" xfId="0" applyBorder="1"/>
    <xf numFmtId="0" fontId="24" fillId="0" borderId="0" xfId="0" applyFont="1" applyBorder="1" applyAlignment="1">
      <alignment horizontal="center"/>
    </xf>
    <xf numFmtId="0" fontId="23" fillId="0" borderId="0" xfId="0" applyFont="1" applyBorder="1" applyAlignment="1">
      <alignment horizontal="center"/>
    </xf>
    <xf numFmtId="0" fontId="21" fillId="0" borderId="0" xfId="0" applyFont="1" applyBorder="1"/>
    <xf numFmtId="0" fontId="35" fillId="0" borderId="1" xfId="0" applyFont="1" applyFill="1" applyBorder="1"/>
    <xf numFmtId="0" fontId="37" fillId="0" borderId="0" xfId="0" applyFont="1" applyBorder="1"/>
    <xf numFmtId="177" fontId="37" fillId="0" borderId="0" xfId="0" applyNumberFormat="1" applyFont="1" applyBorder="1"/>
    <xf numFmtId="173" fontId="8" fillId="0" borderId="0" xfId="1" applyNumberFormat="1" applyFont="1" applyBorder="1" applyAlignment="1">
      <alignment horizontal="right" vertical="top"/>
    </xf>
    <xf numFmtId="170" fontId="9" fillId="0" borderId="3" xfId="1" applyNumberFormat="1" applyFont="1" applyBorder="1" applyAlignment="1">
      <alignment horizontal="right" vertical="top"/>
    </xf>
    <xf numFmtId="169" fontId="9" fillId="0" borderId="3" xfId="1" applyNumberFormat="1" applyFont="1" applyBorder="1" applyAlignment="1">
      <alignment horizontal="right" vertical="top"/>
    </xf>
    <xf numFmtId="0" fontId="6" fillId="0" borderId="1" xfId="0" applyFont="1" applyBorder="1"/>
    <xf numFmtId="177" fontId="6" fillId="0" borderId="0" xfId="1" applyNumberFormat="1" applyFont="1" applyFill="1" applyBorder="1" applyAlignment="1"/>
    <xf numFmtId="177" fontId="6" fillId="0" borderId="0" xfId="0" applyNumberFormat="1" applyFont="1" applyFill="1" applyBorder="1" applyAlignment="1"/>
    <xf numFmtId="177" fontId="1" fillId="0" borderId="0" xfId="1" applyNumberFormat="1" applyFont="1" applyFill="1" applyBorder="1" applyAlignment="1"/>
    <xf numFmtId="177" fontId="6" fillId="0" borderId="1" xfId="1" applyNumberFormat="1" applyFont="1" applyFill="1" applyBorder="1" applyAlignment="1"/>
    <xf numFmtId="15" fontId="7" fillId="0" borderId="0" xfId="0" applyNumberFormat="1" applyFont="1" applyFill="1" applyBorder="1" applyAlignment="1">
      <alignment horizontal="center"/>
    </xf>
    <xf numFmtId="0" fontId="11" fillId="0" borderId="0"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169" fontId="7" fillId="0" borderId="0" xfId="1" applyNumberFormat="1" applyFont="1" applyFill="1" applyBorder="1" applyAlignment="1">
      <alignment horizontal="center"/>
    </xf>
    <xf numFmtId="177" fontId="16" fillId="0" borderId="0" xfId="0" applyNumberFormat="1" applyFont="1"/>
    <xf numFmtId="173" fontId="31" fillId="0" borderId="4" xfId="0" applyNumberFormat="1" applyFont="1" applyBorder="1" applyAlignment="1">
      <alignment horizontal="right" vertical="top" wrapText="1"/>
    </xf>
    <xf numFmtId="173" fontId="31" fillId="0" borderId="1" xfId="0" applyNumberFormat="1" applyFont="1" applyBorder="1" applyAlignment="1">
      <alignment horizontal="right" vertical="top" wrapText="1"/>
    </xf>
    <xf numFmtId="0" fontId="31" fillId="0" borderId="1" xfId="0" applyFont="1" applyBorder="1" applyAlignment="1">
      <alignment vertical="top" wrapText="1"/>
    </xf>
    <xf numFmtId="173" fontId="31" fillId="0" borderId="1" xfId="0" applyNumberFormat="1" applyFont="1" applyFill="1" applyBorder="1" applyAlignment="1">
      <alignment horizontal="right" vertical="top" wrapText="1"/>
    </xf>
    <xf numFmtId="177" fontId="6" fillId="0" borderId="5" xfId="1" applyNumberFormat="1" applyFont="1" applyFill="1" applyBorder="1" applyAlignment="1"/>
    <xf numFmtId="177" fontId="2" fillId="0" borderId="0" xfId="1" applyNumberFormat="1" applyFont="1" applyFill="1" applyBorder="1" applyAlignment="1"/>
    <xf numFmtId="171" fontId="5" fillId="0" borderId="0" xfId="1" quotePrefix="1" applyNumberFormat="1" applyFont="1" applyFill="1" applyBorder="1" applyAlignment="1">
      <alignment horizontal="center"/>
    </xf>
    <xf numFmtId="170" fontId="5" fillId="0" borderId="0" xfId="1" applyNumberFormat="1" applyFont="1" applyFill="1" applyBorder="1" applyAlignment="1">
      <alignment horizontal="center"/>
    </xf>
    <xf numFmtId="0" fontId="5" fillId="0" borderId="0" xfId="0" applyFont="1" applyFill="1" applyBorder="1" applyAlignment="1">
      <alignment horizontal="center" vertical="center"/>
    </xf>
    <xf numFmtId="177" fontId="5" fillId="0" borderId="0" xfId="1" applyNumberFormat="1" applyFont="1" applyFill="1" applyBorder="1" applyAlignment="1">
      <alignment vertical="center"/>
    </xf>
    <xf numFmtId="0" fontId="5" fillId="0" borderId="8" xfId="0" applyFont="1" applyFill="1" applyBorder="1" applyAlignment="1">
      <alignment horizontal="center"/>
    </xf>
    <xf numFmtId="177" fontId="5" fillId="0" borderId="9" xfId="1" applyNumberFormat="1" applyFont="1" applyFill="1" applyBorder="1" applyAlignment="1"/>
    <xf numFmtId="177" fontId="5" fillId="0" borderId="10" xfId="1" applyNumberFormat="1" applyFont="1" applyFill="1" applyBorder="1" applyAlignment="1"/>
    <xf numFmtId="0" fontId="6" fillId="0" borderId="11" xfId="0" applyFont="1" applyFill="1" applyBorder="1" applyAlignment="1">
      <alignment horizontal="center"/>
    </xf>
    <xf numFmtId="177" fontId="6" fillId="0" borderId="2" xfId="1" applyNumberFormat="1" applyFont="1" applyFill="1" applyBorder="1" applyAlignment="1"/>
    <xf numFmtId="0" fontId="6" fillId="0" borderId="12" xfId="0" applyFont="1" applyFill="1" applyBorder="1" applyAlignment="1">
      <alignment horizontal="center"/>
    </xf>
    <xf numFmtId="177" fontId="6" fillId="0" borderId="6" xfId="1" applyNumberFormat="1" applyFont="1" applyFill="1" applyBorder="1" applyAlignment="1"/>
    <xf numFmtId="177" fontId="6" fillId="0" borderId="13" xfId="1" applyNumberFormat="1" applyFont="1" applyFill="1" applyBorder="1" applyAlignment="1"/>
    <xf numFmtId="177" fontId="5" fillId="0" borderId="4" xfId="1" applyNumberFormat="1" applyFont="1" applyFill="1" applyBorder="1" applyAlignment="1"/>
    <xf numFmtId="177" fontId="5" fillId="0" borderId="3" xfId="1" applyNumberFormat="1" applyFont="1" applyFill="1" applyBorder="1" applyAlignment="1">
      <alignment vertical="center"/>
    </xf>
    <xf numFmtId="0" fontId="6" fillId="0" borderId="14" xfId="0" applyFont="1" applyFill="1" applyBorder="1" applyAlignment="1">
      <alignment horizontal="center"/>
    </xf>
    <xf numFmtId="170" fontId="6" fillId="0" borderId="14" xfId="1" applyNumberFormat="1" applyFont="1" applyFill="1" applyBorder="1" applyAlignment="1"/>
    <xf numFmtId="0" fontId="11" fillId="0" borderId="0" xfId="0" applyFont="1" applyFill="1" applyBorder="1" applyAlignment="1"/>
    <xf numFmtId="170" fontId="11" fillId="0" borderId="0" xfId="1" applyNumberFormat="1" applyFont="1" applyFill="1" applyBorder="1" applyAlignment="1">
      <alignment horizontal="center"/>
    </xf>
    <xf numFmtId="0" fontId="7" fillId="0" borderId="0" xfId="0" applyFont="1" applyFill="1" applyBorder="1" applyAlignment="1"/>
    <xf numFmtId="170" fontId="2" fillId="0" borderId="1" xfId="1" applyNumberFormat="1" applyFont="1" applyBorder="1" applyAlignment="1">
      <alignment horizontal="right" vertical="top" wrapText="1"/>
    </xf>
    <xf numFmtId="180" fontId="6" fillId="0" borderId="1" xfId="1" applyNumberFormat="1" applyFont="1" applyFill="1" applyBorder="1" applyAlignment="1">
      <alignment horizontal="right" vertical="top" wrapText="1"/>
    </xf>
    <xf numFmtId="173" fontId="31" fillId="0" borderId="0" xfId="0" applyNumberFormat="1" applyFont="1" applyBorder="1" applyAlignment="1">
      <alignment horizontal="right" vertical="top" wrapText="1"/>
    </xf>
    <xf numFmtId="173" fontId="31" fillId="0" borderId="0" xfId="0" applyNumberFormat="1" applyFont="1" applyFill="1" applyBorder="1" applyAlignment="1">
      <alignment horizontal="right" vertical="top" wrapText="1"/>
    </xf>
    <xf numFmtId="177" fontId="31" fillId="0" borderId="0" xfId="0" applyNumberFormat="1" applyFont="1" applyBorder="1" applyAlignment="1">
      <alignment horizontal="right" vertical="top" wrapText="1"/>
    </xf>
    <xf numFmtId="173" fontId="31" fillId="0" borderId="9" xfId="0" applyNumberFormat="1" applyFont="1" applyBorder="1" applyAlignment="1">
      <alignment horizontal="right" vertical="top" wrapText="1"/>
    </xf>
    <xf numFmtId="177" fontId="31" fillId="0" borderId="0" xfId="0" applyNumberFormat="1" applyFont="1" applyFill="1" applyBorder="1" applyAlignment="1">
      <alignment horizontal="right" vertical="top" wrapText="1"/>
    </xf>
    <xf numFmtId="0" fontId="31" fillId="0" borderId="4" xfId="0" applyFont="1" applyBorder="1" applyAlignment="1">
      <alignment vertical="top" wrapText="1"/>
    </xf>
    <xf numFmtId="173" fontId="36" fillId="0" borderId="0" xfId="1" applyNumberFormat="1" applyFont="1" applyBorder="1" applyAlignment="1">
      <alignment horizontal="right" vertical="top"/>
    </xf>
    <xf numFmtId="15" fontId="7" fillId="0" borderId="15" xfId="0" applyNumberFormat="1" applyFont="1" applyFill="1" applyBorder="1" applyAlignment="1">
      <alignment horizontal="center"/>
    </xf>
    <xf numFmtId="0" fontId="7" fillId="0" borderId="14" xfId="0" applyFont="1" applyFill="1" applyBorder="1" applyAlignment="1">
      <alignment horizontal="center"/>
    </xf>
    <xf numFmtId="15" fontId="39" fillId="0" borderId="0" xfId="0" quotePrefix="1" applyNumberFormat="1" applyFont="1" applyBorder="1" applyAlignment="1">
      <alignment horizontal="center"/>
    </xf>
    <xf numFmtId="0" fontId="22" fillId="0" borderId="16" xfId="0" applyFont="1" applyBorder="1" applyAlignment="1">
      <alignment horizontal="center" vertical="top" wrapText="1"/>
    </xf>
    <xf numFmtId="173" fontId="6" fillId="0" borderId="1" xfId="1" applyNumberFormat="1" applyFont="1" applyFill="1" applyBorder="1" applyAlignment="1"/>
    <xf numFmtId="173" fontId="6" fillId="0" borderId="11" xfId="1" applyNumberFormat="1" applyFont="1" applyFill="1" applyBorder="1" applyAlignment="1"/>
    <xf numFmtId="1" fontId="5" fillId="0" borderId="11" xfId="0" applyNumberFormat="1" applyFont="1" applyFill="1" applyBorder="1" applyAlignment="1">
      <alignment horizontal="left" vertical="top"/>
    </xf>
    <xf numFmtId="173" fontId="6" fillId="0" borderId="11" xfId="0" applyNumberFormat="1" applyFont="1" applyFill="1" applyBorder="1" applyAlignment="1">
      <alignment vertical="top"/>
    </xf>
    <xf numFmtId="173" fontId="5" fillId="0" borderId="11" xfId="0" applyNumberFormat="1" applyFont="1" applyFill="1" applyBorder="1" applyAlignment="1">
      <alignment vertical="top"/>
    </xf>
    <xf numFmtId="173" fontId="2" fillId="0" borderId="0" xfId="0" applyNumberFormat="1" applyFont="1" applyFill="1" applyBorder="1" applyAlignment="1"/>
    <xf numFmtId="170" fontId="6" fillId="0" borderId="11" xfId="1" applyNumberFormat="1" applyFont="1" applyFill="1" applyBorder="1" applyAlignment="1"/>
    <xf numFmtId="170" fontId="5" fillId="0" borderId="11" xfId="1" applyNumberFormat="1" applyFont="1" applyFill="1" applyBorder="1" applyAlignment="1"/>
    <xf numFmtId="170" fontId="6" fillId="0" borderId="1" xfId="1" applyNumberFormat="1" applyFont="1" applyFill="1" applyBorder="1" applyAlignment="1"/>
    <xf numFmtId="170" fontId="6" fillId="0" borderId="5" xfId="1" applyNumberFormat="1" applyFont="1" applyFill="1" applyBorder="1" applyAlignment="1"/>
    <xf numFmtId="170" fontId="5" fillId="0" borderId="12" xfId="1" applyNumberFormat="1" applyFont="1" applyFill="1" applyBorder="1" applyAlignment="1"/>
    <xf numFmtId="170" fontId="2" fillId="0" borderId="1" xfId="1" applyNumberFormat="1" applyFont="1" applyFill="1" applyBorder="1" applyAlignment="1"/>
    <xf numFmtId="170" fontId="5" fillId="0" borderId="4" xfId="1" applyNumberFormat="1" applyFont="1" applyFill="1" applyBorder="1" applyAlignment="1"/>
    <xf numFmtId="0" fontId="1" fillId="0" borderId="0" xfId="0" applyFont="1" applyFill="1"/>
    <xf numFmtId="170" fontId="1" fillId="0" borderId="0" xfId="1" applyNumberFormat="1" applyFont="1" applyFill="1"/>
    <xf numFmtId="170" fontId="1" fillId="0" borderId="11" xfId="1" applyNumberFormat="1" applyFont="1" applyFill="1" applyBorder="1" applyAlignment="1"/>
    <xf numFmtId="173" fontId="1" fillId="0" borderId="1" xfId="0" applyNumberFormat="1" applyFont="1" applyFill="1" applyBorder="1" applyAlignment="1">
      <alignment vertical="top"/>
    </xf>
    <xf numFmtId="170" fontId="1" fillId="0" borderId="1" xfId="1" applyNumberFormat="1" applyFont="1" applyFill="1" applyBorder="1" applyAlignment="1"/>
    <xf numFmtId="169" fontId="6" fillId="0" borderId="0" xfId="1" applyNumberFormat="1" applyFont="1" applyFill="1" applyBorder="1" applyAlignment="1"/>
    <xf numFmtId="0" fontId="6" fillId="0" borderId="17" xfId="0" applyFont="1" applyFill="1" applyBorder="1" applyAlignment="1"/>
    <xf numFmtId="0" fontId="6" fillId="0" borderId="15" xfId="0" applyFont="1" applyFill="1" applyBorder="1" applyAlignment="1"/>
    <xf numFmtId="170" fontId="6" fillId="0" borderId="15" xfId="1" applyNumberFormat="1" applyFont="1" applyFill="1" applyBorder="1" applyAlignment="1"/>
    <xf numFmtId="169" fontId="6" fillId="0" borderId="15" xfId="1" applyNumberFormat="1" applyFont="1" applyFill="1" applyBorder="1" applyAlignment="1"/>
    <xf numFmtId="0" fontId="6" fillId="0" borderId="18" xfId="0" applyFont="1" applyFill="1" applyBorder="1" applyAlignment="1"/>
    <xf numFmtId="0" fontId="6" fillId="0" borderId="19" xfId="0" applyFont="1" applyFill="1" applyBorder="1" applyAlignment="1"/>
    <xf numFmtId="169" fontId="5" fillId="0" borderId="0" xfId="1" applyNumberFormat="1" applyFont="1" applyFill="1" applyBorder="1" applyAlignment="1">
      <alignment horizontal="center"/>
    </xf>
    <xf numFmtId="0" fontId="6" fillId="0" borderId="20" xfId="0" applyFont="1" applyFill="1" applyBorder="1" applyAlignment="1"/>
    <xf numFmtId="0" fontId="5" fillId="0" borderId="0" xfId="0" applyFont="1" applyFill="1" applyBorder="1" applyAlignment="1">
      <alignment vertical="top"/>
    </xf>
    <xf numFmtId="0" fontId="5" fillId="0" borderId="19" xfId="0" applyFont="1" applyFill="1" applyBorder="1" applyAlignment="1">
      <alignment vertical="center"/>
    </xf>
    <xf numFmtId="0" fontId="5" fillId="0" borderId="0" xfId="0" applyFont="1" applyFill="1" applyBorder="1" applyAlignment="1">
      <alignment vertical="center"/>
    </xf>
    <xf numFmtId="0" fontId="5" fillId="0" borderId="20" xfId="0" applyFont="1" applyFill="1" applyBorder="1" applyAlignment="1">
      <alignment vertical="center"/>
    </xf>
    <xf numFmtId="0" fontId="5" fillId="0" borderId="19" xfId="0" applyFont="1" applyFill="1" applyBorder="1" applyAlignment="1"/>
    <xf numFmtId="177" fontId="5" fillId="0" borderId="8" xfId="1" applyNumberFormat="1" applyFont="1" applyFill="1" applyBorder="1" applyAlignment="1"/>
    <xf numFmtId="0" fontId="5" fillId="0" borderId="20" xfId="0" applyFont="1" applyFill="1" applyBorder="1" applyAlignment="1"/>
    <xf numFmtId="0" fontId="6" fillId="0" borderId="0" xfId="0" applyFont="1" applyFill="1" applyBorder="1" applyAlignment="1">
      <alignment vertical="top"/>
    </xf>
    <xf numFmtId="177" fontId="6" fillId="0" borderId="11" xfId="1" applyNumberFormat="1" applyFont="1" applyFill="1" applyBorder="1" applyAlignment="1"/>
    <xf numFmtId="177" fontId="6" fillId="0" borderId="12" xfId="1" applyNumberFormat="1" applyFont="1" applyFill="1" applyBorder="1" applyAlignment="1"/>
    <xf numFmtId="0" fontId="1" fillId="0" borderId="0" xfId="0" applyFont="1" applyFill="1" applyBorder="1" applyAlignment="1">
      <alignment vertical="top"/>
    </xf>
    <xf numFmtId="0" fontId="2" fillId="0" borderId="0" xfId="0" applyFont="1" applyFill="1" applyBorder="1" applyAlignment="1">
      <alignment vertical="center"/>
    </xf>
    <xf numFmtId="0" fontId="6" fillId="0" borderId="21" xfId="0" applyFont="1" applyFill="1" applyBorder="1" applyAlignment="1"/>
    <xf numFmtId="0" fontId="6" fillId="0" borderId="14" xfId="0" applyFont="1" applyFill="1" applyBorder="1" applyAlignment="1"/>
    <xf numFmtId="169" fontId="6" fillId="0" borderId="14" xfId="1" applyNumberFormat="1" applyFont="1" applyFill="1" applyBorder="1" applyAlignment="1"/>
    <xf numFmtId="0" fontId="6" fillId="0" borderId="22" xfId="0" applyFont="1" applyFill="1" applyBorder="1" applyAlignment="1"/>
    <xf numFmtId="0" fontId="7" fillId="0" borderId="14" xfId="0" applyFont="1" applyFill="1" applyBorder="1" applyAlignment="1"/>
    <xf numFmtId="0" fontId="7" fillId="0" borderId="17" xfId="0" applyFont="1" applyFill="1" applyBorder="1"/>
    <xf numFmtId="0" fontId="7" fillId="0" borderId="18" xfId="0" applyFont="1" applyFill="1" applyBorder="1"/>
    <xf numFmtId="0" fontId="7" fillId="0" borderId="0" xfId="0" applyFont="1" applyFill="1"/>
    <xf numFmtId="0" fontId="7" fillId="0" borderId="19" xfId="0" applyFont="1" applyFill="1" applyBorder="1"/>
    <xf numFmtId="15" fontId="11" fillId="0" borderId="0" xfId="0" quotePrefix="1" applyNumberFormat="1" applyFont="1" applyFill="1" applyBorder="1" applyAlignment="1">
      <alignment horizontal="center"/>
    </xf>
    <xf numFmtId="0" fontId="7" fillId="0" borderId="20" xfId="0" applyFont="1" applyFill="1" applyBorder="1"/>
    <xf numFmtId="0" fontId="7" fillId="0" borderId="0" xfId="0" applyFont="1" applyFill="1" applyBorder="1"/>
    <xf numFmtId="0" fontId="11" fillId="0" borderId="19" xfId="0" applyFont="1" applyFill="1" applyBorder="1"/>
    <xf numFmtId="0" fontId="11" fillId="0" borderId="0" xfId="0" applyFont="1" applyFill="1" applyBorder="1"/>
    <xf numFmtId="0" fontId="11" fillId="0" borderId="20" xfId="0" applyFont="1" applyFill="1" applyBorder="1"/>
    <xf numFmtId="0" fontId="11" fillId="0" borderId="0" xfId="0" applyFont="1" applyFill="1"/>
    <xf numFmtId="170" fontId="7" fillId="0" borderId="0" xfId="1" applyNumberFormat="1" applyFont="1" applyFill="1"/>
    <xf numFmtId="0" fontId="7" fillId="0" borderId="21" xfId="0" applyFont="1" applyFill="1" applyBorder="1"/>
    <xf numFmtId="0" fontId="7" fillId="0" borderId="22" xfId="0" applyFont="1" applyFill="1" applyBorder="1"/>
    <xf numFmtId="0" fontId="16" fillId="0" borderId="0" xfId="0" applyFont="1" applyFill="1"/>
    <xf numFmtId="0" fontId="17" fillId="0" borderId="0" xfId="0" applyFont="1" applyFill="1" applyBorder="1"/>
    <xf numFmtId="0" fontId="18" fillId="0" borderId="0" xfId="0" applyFont="1" applyFill="1" applyBorder="1"/>
    <xf numFmtId="0" fontId="1" fillId="0" borderId="0" xfId="0" applyFont="1" applyBorder="1"/>
    <xf numFmtId="177" fontId="1" fillId="0" borderId="0" xfId="0" applyNumberFormat="1" applyFont="1" applyBorder="1"/>
    <xf numFmtId="173" fontId="1" fillId="0" borderId="0" xfId="1" applyNumberFormat="1" applyFont="1" applyBorder="1" applyAlignment="1">
      <alignment horizontal="right" vertical="top"/>
    </xf>
    <xf numFmtId="173" fontId="1" fillId="0" borderId="0" xfId="1" applyNumberFormat="1" applyFont="1" applyBorder="1" applyAlignment="1">
      <alignment vertical="top"/>
    </xf>
    <xf numFmtId="177" fontId="1" fillId="0" borderId="6" xfId="0" applyNumberFormat="1" applyFont="1" applyBorder="1"/>
    <xf numFmtId="173" fontId="1" fillId="0" borderId="6" xfId="1" applyNumberFormat="1" applyFont="1" applyBorder="1" applyAlignment="1">
      <alignment horizontal="right" vertical="top"/>
    </xf>
    <xf numFmtId="173" fontId="1" fillId="0" borderId="6" xfId="1" applyNumberFormat="1" applyFont="1" applyBorder="1" applyAlignment="1">
      <alignment vertical="top"/>
    </xf>
    <xf numFmtId="177" fontId="2" fillId="0" borderId="0" xfId="0" applyNumberFormat="1" applyFont="1" applyBorder="1"/>
    <xf numFmtId="173" fontId="2" fillId="0" borderId="0" xfId="1" applyNumberFormat="1" applyFont="1" applyBorder="1" applyAlignment="1">
      <alignment horizontal="right" vertical="top"/>
    </xf>
    <xf numFmtId="177" fontId="1" fillId="0" borderId="0" xfId="0" applyNumberFormat="1" applyFont="1" applyFill="1" applyBorder="1" applyAlignment="1"/>
    <xf numFmtId="177" fontId="1" fillId="0" borderId="0" xfId="0" applyNumberFormat="1" applyFont="1" applyFill="1" applyBorder="1"/>
    <xf numFmtId="177" fontId="2" fillId="0" borderId="0" xfId="0" applyNumberFormat="1" applyFont="1" applyBorder="1" applyAlignment="1">
      <alignment horizontal="center"/>
    </xf>
    <xf numFmtId="0" fontId="31" fillId="0" borderId="1" xfId="0" applyFont="1" applyFill="1" applyBorder="1" applyAlignment="1">
      <alignment vertical="top" wrapText="1"/>
    </xf>
    <xf numFmtId="0" fontId="31" fillId="0" borderId="1" xfId="0" applyFont="1" applyFill="1" applyBorder="1" applyAlignment="1">
      <alignment horizontal="left" vertical="top" wrapText="1"/>
    </xf>
    <xf numFmtId="173" fontId="2" fillId="0" borderId="11" xfId="0" applyNumberFormat="1" applyFont="1" applyFill="1" applyBorder="1" applyAlignment="1">
      <alignment vertical="top"/>
    </xf>
    <xf numFmtId="177" fontId="5" fillId="0" borderId="1" xfId="1" applyNumberFormat="1" applyFont="1" applyFill="1" applyBorder="1" applyAlignment="1"/>
    <xf numFmtId="170" fontId="2" fillId="0" borderId="11" xfId="1" applyNumberFormat="1" applyFont="1" applyFill="1" applyBorder="1" applyAlignment="1"/>
    <xf numFmtId="177" fontId="5" fillId="0" borderId="23" xfId="1" applyNumberFormat="1" applyFont="1" applyFill="1" applyBorder="1" applyAlignment="1"/>
    <xf numFmtId="170" fontId="5" fillId="0" borderId="9" xfId="1" applyNumberFormat="1" applyFont="1" applyFill="1" applyBorder="1" applyAlignment="1"/>
    <xf numFmtId="170" fontId="1" fillId="0" borderId="0" xfId="1" applyNumberFormat="1" applyFont="1" applyFill="1" applyBorder="1" applyAlignment="1"/>
    <xf numFmtId="177" fontId="1" fillId="0" borderId="1" xfId="1" applyNumberFormat="1" applyFont="1" applyFill="1" applyBorder="1" applyAlignment="1"/>
    <xf numFmtId="0" fontId="1" fillId="0" borderId="0" xfId="0" quotePrefix="1" applyFont="1" applyBorder="1" applyAlignment="1">
      <alignment horizontal="right"/>
    </xf>
    <xf numFmtId="0" fontId="1" fillId="0" borderId="0" xfId="0" applyFont="1" applyBorder="1" applyAlignment="1">
      <alignment horizontal="right"/>
    </xf>
    <xf numFmtId="0" fontId="0" fillId="0" borderId="0" xfId="0" applyFill="1"/>
    <xf numFmtId="4" fontId="0" fillId="0" borderId="24" xfId="0" applyNumberFormat="1" applyFill="1" applyBorder="1"/>
    <xf numFmtId="4" fontId="0" fillId="0" borderId="7" xfId="0" applyNumberFormat="1" applyFill="1" applyBorder="1"/>
    <xf numFmtId="0" fontId="0" fillId="0" borderId="7" xfId="0" applyFill="1" applyBorder="1"/>
    <xf numFmtId="0" fontId="2" fillId="0" borderId="7" xfId="0" applyFont="1" applyFill="1" applyBorder="1" applyAlignment="1">
      <alignment vertical="top" wrapText="1"/>
    </xf>
    <xf numFmtId="173" fontId="6" fillId="0" borderId="5" xfId="0" applyNumberFormat="1" applyFont="1" applyFill="1" applyBorder="1" applyAlignment="1">
      <alignment vertical="top"/>
    </xf>
    <xf numFmtId="170" fontId="6" fillId="0" borderId="6" xfId="1" applyNumberFormat="1" applyFont="1" applyFill="1" applyBorder="1" applyAlignment="1"/>
    <xf numFmtId="170" fontId="5" fillId="0" borderId="6" xfId="1" applyNumberFormat="1" applyFont="1" applyFill="1" applyBorder="1" applyAlignment="1"/>
    <xf numFmtId="177" fontId="5" fillId="0" borderId="5" xfId="1" applyNumberFormat="1" applyFont="1" applyFill="1" applyBorder="1" applyAlignment="1"/>
    <xf numFmtId="177" fontId="1" fillId="0" borderId="5" xfId="1" applyNumberFormat="1" applyFont="1" applyFill="1" applyBorder="1" applyAlignment="1"/>
    <xf numFmtId="171" fontId="2" fillId="0" borderId="0" xfId="1" quotePrefix="1" applyNumberFormat="1" applyFont="1" applyFill="1" applyBorder="1" applyAlignment="1">
      <alignment horizontal="center"/>
    </xf>
    <xf numFmtId="0" fontId="16" fillId="0" borderId="0" xfId="0" applyFont="1" applyFill="1" applyBorder="1" applyAlignment="1">
      <alignment horizontal="left" vertical="top" wrapText="1"/>
    </xf>
    <xf numFmtId="0" fontId="2" fillId="0" borderId="0" xfId="0" applyFont="1" applyFill="1" applyBorder="1" applyAlignment="1">
      <alignment vertical="top" wrapText="1"/>
    </xf>
    <xf numFmtId="177" fontId="2" fillId="0" borderId="9" xfId="0" applyNumberFormat="1" applyFont="1" applyBorder="1"/>
    <xf numFmtId="0" fontId="0" fillId="0" borderId="7" xfId="0" applyFill="1" applyBorder="1" applyAlignment="1">
      <alignment horizontal="left"/>
    </xf>
    <xf numFmtId="173" fontId="31" fillId="0" borderId="4" xfId="0" applyNumberFormat="1" applyFont="1" applyBorder="1" applyAlignment="1">
      <alignment horizontal="center" vertical="top" wrapText="1"/>
    </xf>
    <xf numFmtId="173" fontId="31" fillId="0" borderId="1" xfId="0" applyNumberFormat="1" applyFont="1" applyBorder="1" applyAlignment="1">
      <alignment horizontal="center" vertical="top" wrapText="1"/>
    </xf>
    <xf numFmtId="0" fontId="31" fillId="0" borderId="4" xfId="0" applyFont="1" applyBorder="1" applyAlignment="1">
      <alignment horizontal="center" vertical="top" wrapText="1"/>
    </xf>
    <xf numFmtId="0" fontId="31" fillId="0" borderId="1" xfId="0" applyFont="1" applyBorder="1" applyAlignment="1">
      <alignment horizontal="center" vertical="top" wrapText="1"/>
    </xf>
    <xf numFmtId="172" fontId="31" fillId="0" borderId="1" xfId="0" applyNumberFormat="1" applyFont="1" applyBorder="1" applyAlignment="1">
      <alignment horizontal="right" vertical="top" wrapText="1"/>
    </xf>
    <xf numFmtId="181" fontId="17" fillId="0" borderId="3" xfId="1" applyNumberFormat="1" applyFont="1" applyFill="1" applyBorder="1"/>
    <xf numFmtId="0" fontId="16" fillId="0" borderId="0" xfId="0" applyFont="1" applyFill="1" applyBorder="1"/>
    <xf numFmtId="0" fontId="1" fillId="0" borderId="0" xfId="0" applyFont="1" applyFill="1" applyBorder="1"/>
    <xf numFmtId="3" fontId="1" fillId="0" borderId="1" xfId="1" applyNumberFormat="1" applyFont="1" applyFill="1" applyBorder="1"/>
    <xf numFmtId="3" fontId="1" fillId="0" borderId="5" xfId="1" applyNumberFormat="1" applyFont="1" applyFill="1" applyBorder="1"/>
    <xf numFmtId="0" fontId="58" fillId="0" borderId="0" xfId="0" applyFont="1" applyFill="1"/>
    <xf numFmtId="0" fontId="0" fillId="0" borderId="0" xfId="0" applyFill="1" applyAlignment="1">
      <alignment horizontal="left"/>
    </xf>
    <xf numFmtId="0" fontId="17" fillId="0" borderId="7" xfId="0" applyFont="1" applyFill="1" applyBorder="1"/>
    <xf numFmtId="0" fontId="16" fillId="0" borderId="7" xfId="0" applyFont="1" applyFill="1" applyBorder="1"/>
    <xf numFmtId="0" fontId="1" fillId="0" borderId="7" xfId="0" applyFont="1" applyFill="1" applyBorder="1" applyAlignment="1">
      <alignment vertical="top" wrapText="1"/>
    </xf>
    <xf numFmtId="0" fontId="1" fillId="0" borderId="7" xfId="0" applyFont="1" applyFill="1" applyBorder="1" applyAlignment="1"/>
    <xf numFmtId="170" fontId="2" fillId="0" borderId="0" xfId="1" applyNumberFormat="1" applyFont="1" applyFill="1" applyBorder="1" applyAlignment="1">
      <alignment horizontal="center"/>
    </xf>
    <xf numFmtId="170" fontId="2" fillId="0" borderId="0" xfId="1" quotePrefix="1" applyNumberFormat="1" applyFont="1" applyFill="1" applyBorder="1" applyAlignment="1">
      <alignment horizontal="center"/>
    </xf>
    <xf numFmtId="0" fontId="2" fillId="0" borderId="0" xfId="0" applyFont="1" applyFill="1" applyBorder="1" applyAlignment="1">
      <alignment vertical="top"/>
    </xf>
    <xf numFmtId="0" fontId="2" fillId="0" borderId="0" xfId="0" applyFont="1" applyFill="1" applyBorder="1" applyAlignment="1"/>
    <xf numFmtId="170" fontId="2" fillId="0" borderId="0" xfId="1" applyNumberFormat="1" applyFont="1" applyFill="1" applyBorder="1" applyAlignment="1"/>
    <xf numFmtId="170" fontId="2" fillId="0" borderId="0" xfId="1" applyNumberFormat="1" applyFont="1" applyFill="1" applyAlignment="1"/>
    <xf numFmtId="0" fontId="2" fillId="0" borderId="0" xfId="0" applyFont="1" applyFill="1" applyAlignment="1"/>
    <xf numFmtId="0" fontId="1" fillId="0" borderId="0" xfId="0" applyFont="1" applyFill="1" applyBorder="1" applyAlignment="1"/>
    <xf numFmtId="177" fontId="1" fillId="0" borderId="4" xfId="1" applyNumberFormat="1" applyFont="1" applyFill="1" applyBorder="1" applyAlignment="1"/>
    <xf numFmtId="170" fontId="1" fillId="0" borderId="0" xfId="1" applyNumberFormat="1" applyFont="1" applyFill="1" applyAlignment="1"/>
    <xf numFmtId="0" fontId="1" fillId="0" borderId="0" xfId="0" applyFont="1" applyFill="1" applyAlignment="1"/>
    <xf numFmtId="170" fontId="2" fillId="0" borderId="0" xfId="0" applyNumberFormat="1" applyFont="1" applyFill="1" applyBorder="1" applyAlignment="1"/>
    <xf numFmtId="170" fontId="2" fillId="0" borderId="0" xfId="1" applyNumberFormat="1" applyFont="1" applyFill="1" applyAlignment="1">
      <alignment horizontal="center"/>
    </xf>
    <xf numFmtId="0" fontId="16" fillId="0" borderId="0" xfId="0" applyFont="1" applyFill="1" applyAlignment="1"/>
    <xf numFmtId="4" fontId="16" fillId="0" borderId="0" xfId="0" applyNumberFormat="1" applyFont="1" applyFill="1" applyBorder="1" applyAlignment="1">
      <alignment horizontal="left" vertical="top" wrapText="1"/>
    </xf>
    <xf numFmtId="0" fontId="17" fillId="0" borderId="0" xfId="0" applyFont="1" applyFill="1" applyBorder="1" applyAlignment="1">
      <alignment wrapText="1"/>
    </xf>
    <xf numFmtId="0" fontId="18" fillId="0" borderId="0" xfId="0" applyFont="1" applyFill="1"/>
    <xf numFmtId="170" fontId="17" fillId="0" borderId="3" xfId="1" applyNumberFormat="1" applyFont="1" applyFill="1" applyBorder="1"/>
    <xf numFmtId="0" fontId="17" fillId="0" borderId="0" xfId="0" applyFont="1" applyFill="1"/>
    <xf numFmtId="0" fontId="40" fillId="0" borderId="0" xfId="0" applyFont="1" applyFill="1"/>
    <xf numFmtId="0" fontId="16" fillId="0" borderId="0" xfId="0" applyFont="1" applyFill="1" applyAlignment="1">
      <alignment vertical="top"/>
    </xf>
    <xf numFmtId="181" fontId="17" fillId="0" borderId="0" xfId="1" applyNumberFormat="1" applyFont="1" applyFill="1" applyBorder="1"/>
    <xf numFmtId="3" fontId="18" fillId="0" borderId="0" xfId="0" applyNumberFormat="1" applyFont="1" applyFill="1"/>
    <xf numFmtId="0" fontId="17" fillId="0" borderId="0" xfId="0" applyFont="1" applyFill="1" applyAlignment="1">
      <alignment wrapText="1"/>
    </xf>
    <xf numFmtId="0" fontId="41" fillId="0" borderId="0" xfId="0" applyFont="1" applyFill="1"/>
    <xf numFmtId="0" fontId="16" fillId="0" borderId="0" xfId="0" applyFont="1" applyFill="1" applyAlignment="1">
      <alignment wrapText="1"/>
    </xf>
    <xf numFmtId="0" fontId="0" fillId="0" borderId="0" xfId="0" applyNumberFormat="1" applyFill="1"/>
    <xf numFmtId="170" fontId="0" fillId="0" borderId="0" xfId="0" applyNumberFormat="1" applyFill="1"/>
    <xf numFmtId="170" fontId="57" fillId="0" borderId="0" xfId="1" applyNumberFormat="1" applyFont="1" applyFill="1"/>
    <xf numFmtId="170" fontId="18" fillId="0" borderId="0" xfId="0" applyNumberFormat="1" applyFont="1" applyFill="1"/>
    <xf numFmtId="0" fontId="30" fillId="0" borderId="0" xfId="0" applyFont="1" applyFill="1"/>
    <xf numFmtId="0" fontId="60" fillId="0" borderId="0" xfId="0" applyFont="1" applyFill="1"/>
    <xf numFmtId="170" fontId="16" fillId="0" borderId="0" xfId="1" applyNumberFormat="1" applyFont="1" applyFill="1"/>
    <xf numFmtId="170" fontId="60" fillId="0" borderId="0" xfId="1" applyNumberFormat="1" applyFont="1" applyFill="1"/>
    <xf numFmtId="3" fontId="17" fillId="0" borderId="3" xfId="0" applyNumberFormat="1" applyFont="1" applyFill="1" applyBorder="1"/>
    <xf numFmtId="0" fontId="34" fillId="0" borderId="0" xfId="0" applyFont="1" applyFill="1"/>
    <xf numFmtId="0" fontId="35" fillId="0" borderId="0" xfId="0" applyFont="1" applyFill="1"/>
    <xf numFmtId="165" fontId="35" fillId="0" borderId="0" xfId="0" applyNumberFormat="1" applyFont="1" applyFill="1"/>
    <xf numFmtId="3" fontId="35" fillId="0" borderId="0" xfId="0" applyNumberFormat="1" applyFont="1" applyFill="1"/>
    <xf numFmtId="3" fontId="1" fillId="0" borderId="0" xfId="0" applyNumberFormat="1" applyFont="1" applyFill="1"/>
    <xf numFmtId="4" fontId="1" fillId="0" borderId="0" xfId="0" applyNumberFormat="1" applyFont="1" applyFill="1"/>
    <xf numFmtId="4" fontId="35" fillId="0" borderId="0" xfId="0" applyNumberFormat="1" applyFont="1" applyFill="1"/>
    <xf numFmtId="0" fontId="10" fillId="0" borderId="0" xfId="0" applyFont="1" applyFill="1"/>
    <xf numFmtId="0" fontId="35" fillId="0" borderId="7" xfId="0" applyFont="1" applyFill="1" applyBorder="1"/>
    <xf numFmtId="165" fontId="35" fillId="0" borderId="7" xfId="0" applyNumberFormat="1" applyFont="1" applyFill="1" applyBorder="1"/>
    <xf numFmtId="3" fontId="35" fillId="0" borderId="7" xfId="0" applyNumberFormat="1" applyFont="1" applyFill="1" applyBorder="1"/>
    <xf numFmtId="3" fontId="2" fillId="0" borderId="7" xfId="0" quotePrefix="1" applyNumberFormat="1" applyFont="1" applyFill="1" applyBorder="1" applyAlignment="1">
      <alignment horizontal="center"/>
    </xf>
    <xf numFmtId="0" fontId="10" fillId="0" borderId="7" xfId="0" applyFont="1" applyFill="1" applyBorder="1"/>
    <xf numFmtId="3" fontId="10" fillId="0" borderId="7" xfId="0" applyNumberFormat="1" applyFont="1" applyFill="1" applyBorder="1"/>
    <xf numFmtId="3" fontId="2" fillId="0" borderId="7" xfId="0" applyNumberFormat="1" applyFont="1" applyFill="1" applyBorder="1" applyAlignment="1">
      <alignment horizontal="center"/>
    </xf>
    <xf numFmtId="3" fontId="2" fillId="0" borderId="7" xfId="0" applyNumberFormat="1" applyFont="1" applyFill="1" applyBorder="1"/>
    <xf numFmtId="4" fontId="2" fillId="0" borderId="7" xfId="0" quotePrefix="1" applyNumberFormat="1" applyFont="1" applyFill="1" applyBorder="1" applyAlignment="1">
      <alignment horizontal="center"/>
    </xf>
    <xf numFmtId="4" fontId="10" fillId="0" borderId="7" xfId="0" quotePrefix="1" applyNumberFormat="1" applyFont="1" applyFill="1" applyBorder="1" applyAlignment="1">
      <alignment horizontal="center"/>
    </xf>
    <xf numFmtId="0" fontId="34" fillId="0" borderId="7" xfId="0" applyFont="1" applyFill="1" applyBorder="1"/>
    <xf numFmtId="4" fontId="35" fillId="0" borderId="7" xfId="0" applyNumberFormat="1" applyFont="1" applyFill="1" applyBorder="1"/>
    <xf numFmtId="4" fontId="2" fillId="0" borderId="7" xfId="0" applyNumberFormat="1" applyFont="1" applyFill="1" applyBorder="1"/>
    <xf numFmtId="4" fontId="10" fillId="0" borderId="7" xfId="0" applyNumberFormat="1" applyFont="1" applyFill="1" applyBorder="1"/>
    <xf numFmtId="165" fontId="35" fillId="0" borderId="2" xfId="0" applyNumberFormat="1" applyFont="1" applyFill="1" applyBorder="1"/>
    <xf numFmtId="0" fontId="10" fillId="0" borderId="7" xfId="0" applyFont="1" applyFill="1" applyBorder="1" applyAlignment="1">
      <alignment vertical="top" wrapText="1"/>
    </xf>
    <xf numFmtId="0" fontId="35" fillId="0" borderId="7" xfId="0" applyFont="1" applyFill="1" applyBorder="1" applyAlignment="1">
      <alignment vertical="top" wrapText="1"/>
    </xf>
    <xf numFmtId="165" fontId="10" fillId="0" borderId="7" xfId="0" applyNumberFormat="1" applyFont="1" applyFill="1" applyBorder="1"/>
    <xf numFmtId="4" fontId="38" fillId="0" borderId="7" xfId="0" applyNumberFormat="1" applyFont="1" applyFill="1" applyBorder="1"/>
    <xf numFmtId="4" fontId="6" fillId="0" borderId="7" xfId="0" applyNumberFormat="1" applyFont="1" applyFill="1" applyBorder="1"/>
    <xf numFmtId="0" fontId="1" fillId="0" borderId="0" xfId="0" applyFont="1" applyFill="1" applyBorder="1" applyAlignment="1">
      <alignment horizontal="center"/>
    </xf>
    <xf numFmtId="4" fontId="0" fillId="0" borderId="0" xfId="0" applyNumberFormat="1" applyFill="1"/>
    <xf numFmtId="4" fontId="1" fillId="0" borderId="7" xfId="1" applyNumberFormat="1" applyFont="1" applyFill="1" applyBorder="1" applyAlignment="1"/>
    <xf numFmtId="0" fontId="17" fillId="0" borderId="0" xfId="0" applyFont="1" applyFill="1" applyAlignment="1">
      <alignment horizontal="left"/>
    </xf>
    <xf numFmtId="0" fontId="16" fillId="0" borderId="0" xfId="0" applyFont="1" applyFill="1" applyAlignment="1">
      <alignment horizontal="left"/>
    </xf>
    <xf numFmtId="0" fontId="2" fillId="0" borderId="0" xfId="0" applyFont="1" applyFill="1"/>
    <xf numFmtId="0" fontId="16" fillId="0" borderId="0" xfId="0" applyFont="1" applyFill="1" applyAlignment="1">
      <alignment vertical="top" wrapText="1"/>
    </xf>
    <xf numFmtId="3" fontId="6" fillId="0" borderId="0" xfId="0" applyNumberFormat="1" applyFont="1" applyFill="1" applyBorder="1" applyAlignment="1"/>
    <xf numFmtId="3" fontId="5" fillId="0" borderId="0" xfId="0" applyNumberFormat="1" applyFont="1" applyFill="1" applyBorder="1" applyAlignment="1"/>
    <xf numFmtId="170" fontId="1" fillId="0" borderId="0" xfId="1" applyNumberFormat="1" applyFont="1" applyFill="1" applyBorder="1"/>
    <xf numFmtId="170" fontId="1" fillId="0" borderId="5" xfId="1" applyNumberFormat="1" applyFont="1" applyFill="1" applyBorder="1"/>
    <xf numFmtId="175" fontId="6" fillId="0" borderId="1" xfId="1" applyNumberFormat="1" applyFont="1" applyFill="1" applyBorder="1" applyAlignment="1"/>
    <xf numFmtId="168" fontId="16" fillId="0" borderId="0" xfId="1" applyNumberFormat="1" applyFont="1" applyFill="1"/>
    <xf numFmtId="0" fontId="61" fillId="0" borderId="0" xfId="0" applyFont="1" applyFill="1"/>
    <xf numFmtId="0" fontId="32" fillId="0" borderId="0" xfId="0" applyFont="1" applyFill="1"/>
    <xf numFmtId="165" fontId="35" fillId="0" borderId="0" xfId="1" applyFont="1" applyFill="1"/>
    <xf numFmtId="0" fontId="10" fillId="0" borderId="4" xfId="0" applyFont="1" applyFill="1" applyBorder="1"/>
    <xf numFmtId="165" fontId="10" fillId="0" borderId="4" xfId="1" applyFont="1" applyFill="1" applyBorder="1"/>
    <xf numFmtId="165" fontId="10" fillId="0" borderId="25" xfId="1" applyFont="1" applyFill="1" applyBorder="1"/>
    <xf numFmtId="165" fontId="10" fillId="0" borderId="10" xfId="0" applyNumberFormat="1" applyFont="1" applyFill="1" applyBorder="1"/>
    <xf numFmtId="3" fontId="10" fillId="0" borderId="0" xfId="0" applyNumberFormat="1" applyFont="1" applyFill="1"/>
    <xf numFmtId="4" fontId="17" fillId="0" borderId="26" xfId="0" applyNumberFormat="1" applyFont="1" applyFill="1" applyBorder="1"/>
    <xf numFmtId="4" fontId="10" fillId="0" borderId="7" xfId="1" applyNumberFormat="1" applyFont="1" applyFill="1" applyBorder="1" applyAlignment="1">
      <alignment horizontal="center"/>
    </xf>
    <xf numFmtId="4" fontId="10" fillId="0" borderId="7" xfId="1" applyNumberFormat="1" applyFont="1" applyFill="1" applyBorder="1"/>
    <xf numFmtId="0" fontId="10" fillId="0" borderId="1" xfId="0" applyFont="1" applyFill="1" applyBorder="1" applyAlignment="1">
      <alignment horizontal="center"/>
    </xf>
    <xf numFmtId="165" fontId="10" fillId="0" borderId="1" xfId="1" applyFont="1" applyFill="1" applyBorder="1" applyAlignment="1">
      <alignment horizontal="center"/>
    </xf>
    <xf numFmtId="165" fontId="10" fillId="0" borderId="27" xfId="1" applyFont="1" applyFill="1" applyBorder="1" applyAlignment="1">
      <alignment horizontal="center"/>
    </xf>
    <xf numFmtId="165" fontId="10" fillId="0" borderId="2" xfId="0" applyNumberFormat="1" applyFont="1" applyFill="1" applyBorder="1" applyAlignment="1">
      <alignment horizontal="center"/>
    </xf>
    <xf numFmtId="3" fontId="2" fillId="0" borderId="4" xfId="0" applyNumberFormat="1" applyFont="1" applyFill="1" applyBorder="1"/>
    <xf numFmtId="3" fontId="2" fillId="0" borderId="4" xfId="0" applyNumberFormat="1" applyFont="1" applyFill="1" applyBorder="1" applyAlignment="1">
      <alignment horizontal="center"/>
    </xf>
    <xf numFmtId="4" fontId="17" fillId="0" borderId="28" xfId="0" applyNumberFormat="1" applyFont="1" applyFill="1" applyBorder="1"/>
    <xf numFmtId="4" fontId="10" fillId="0" borderId="4" xfId="0" quotePrefix="1" applyNumberFormat="1" applyFont="1" applyFill="1" applyBorder="1" applyAlignment="1">
      <alignment horizontal="center"/>
    </xf>
    <xf numFmtId="165" fontId="35" fillId="0" borderId="7" xfId="1" applyFont="1" applyFill="1" applyBorder="1"/>
    <xf numFmtId="3" fontId="6" fillId="0" borderId="7" xfId="0" applyNumberFormat="1" applyFont="1" applyFill="1" applyBorder="1"/>
    <xf numFmtId="3" fontId="13" fillId="0" borderId="7" xfId="0" applyNumberFormat="1" applyFont="1" applyFill="1" applyBorder="1"/>
    <xf numFmtId="4" fontId="13" fillId="0" borderId="7" xfId="0" applyNumberFormat="1" applyFont="1" applyFill="1" applyBorder="1"/>
    <xf numFmtId="3" fontId="19" fillId="0" borderId="7" xfId="0" applyNumberFormat="1" applyFont="1" applyFill="1" applyBorder="1"/>
    <xf numFmtId="4" fontId="19" fillId="0" borderId="7" xfId="0" applyNumberFormat="1" applyFont="1" applyFill="1" applyBorder="1"/>
    <xf numFmtId="3" fontId="43" fillId="0" borderId="7" xfId="0" applyNumberFormat="1" applyFont="1" applyFill="1" applyBorder="1"/>
    <xf numFmtId="4" fontId="43" fillId="0" borderId="7" xfId="0" applyNumberFormat="1" applyFont="1" applyFill="1" applyBorder="1"/>
    <xf numFmtId="3" fontId="44" fillId="0" borderId="7" xfId="0" applyNumberFormat="1" applyFont="1" applyFill="1" applyBorder="1"/>
    <xf numFmtId="4" fontId="44" fillId="0" borderId="7" xfId="0" applyNumberFormat="1" applyFont="1" applyFill="1" applyBorder="1"/>
    <xf numFmtId="165" fontId="35" fillId="0" borderId="1" xfId="1" applyFont="1" applyFill="1" applyBorder="1"/>
    <xf numFmtId="165" fontId="35" fillId="0" borderId="27" xfId="1" applyFont="1" applyFill="1" applyBorder="1"/>
    <xf numFmtId="3" fontId="6" fillId="0" borderId="0" xfId="0" applyNumberFormat="1" applyFont="1" applyFill="1"/>
    <xf numFmtId="4" fontId="6" fillId="0" borderId="0" xfId="0" applyNumberFormat="1" applyFont="1" applyFill="1"/>
    <xf numFmtId="4" fontId="10" fillId="0" borderId="0" xfId="0" applyNumberFormat="1" applyFont="1" applyFill="1"/>
    <xf numFmtId="165" fontId="10" fillId="0" borderId="0" xfId="0" applyNumberFormat="1" applyFont="1" applyFill="1"/>
    <xf numFmtId="3" fontId="29" fillId="0" borderId="7" xfId="0" applyNumberFormat="1" applyFont="1" applyFill="1" applyBorder="1"/>
    <xf numFmtId="4" fontId="58" fillId="0" borderId="7" xfId="0" applyNumberFormat="1" applyFont="1" applyFill="1" applyBorder="1"/>
    <xf numFmtId="165" fontId="10" fillId="0" borderId="7" xfId="1" applyFont="1" applyFill="1" applyBorder="1"/>
    <xf numFmtId="4" fontId="6" fillId="0" borderId="0" xfId="0" quotePrefix="1" applyNumberFormat="1" applyFont="1" applyFill="1"/>
    <xf numFmtId="0" fontId="17" fillId="0" borderId="17" xfId="0" applyFont="1" applyFill="1" applyBorder="1"/>
    <xf numFmtId="0" fontId="17" fillId="0" borderId="15" xfId="0" applyFont="1" applyFill="1" applyBorder="1"/>
    <xf numFmtId="0" fontId="17" fillId="0" borderId="26" xfId="0" applyFont="1" applyFill="1" applyBorder="1" applyAlignment="1">
      <alignment horizontal="left"/>
    </xf>
    <xf numFmtId="4" fontId="17" fillId="0" borderId="15" xfId="0" applyNumberFormat="1" applyFont="1" applyFill="1" applyBorder="1"/>
    <xf numFmtId="165" fontId="10" fillId="0" borderId="25" xfId="1" applyFont="1" applyFill="1" applyBorder="1" applyAlignment="1">
      <alignment horizontal="center"/>
    </xf>
    <xf numFmtId="0" fontId="17" fillId="0" borderId="21" xfId="0" applyFont="1" applyFill="1" applyBorder="1"/>
    <xf numFmtId="0" fontId="17" fillId="0" borderId="14" xfId="0" applyFont="1" applyFill="1" applyBorder="1"/>
    <xf numFmtId="0" fontId="17" fillId="0" borderId="29" xfId="0" applyFont="1" applyFill="1" applyBorder="1" applyAlignment="1">
      <alignment horizontal="left"/>
    </xf>
    <xf numFmtId="4" fontId="17" fillId="0" borderId="14" xfId="0" applyNumberFormat="1" applyFont="1" applyFill="1" applyBorder="1"/>
    <xf numFmtId="4" fontId="17" fillId="0" borderId="29" xfId="0" applyNumberFormat="1" applyFont="1" applyFill="1" applyBorder="1"/>
    <xf numFmtId="4" fontId="10" fillId="0" borderId="0" xfId="0" quotePrefix="1" applyNumberFormat="1" applyFont="1" applyFill="1" applyAlignment="1">
      <alignment horizontal="center"/>
    </xf>
    <xf numFmtId="0" fontId="17" fillId="0" borderId="5" xfId="0" applyFont="1" applyFill="1" applyBorder="1"/>
    <xf numFmtId="0" fontId="0" fillId="0" borderId="5" xfId="0" applyFill="1" applyBorder="1" applyAlignment="1">
      <alignment horizontal="left"/>
    </xf>
    <xf numFmtId="4" fontId="0" fillId="0" borderId="5" xfId="0" applyNumberFormat="1" applyFill="1" applyBorder="1"/>
    <xf numFmtId="4" fontId="0" fillId="0" borderId="12" xfId="0" applyNumberFormat="1" applyFill="1" applyBorder="1"/>
    <xf numFmtId="4" fontId="0" fillId="0" borderId="7" xfId="0" applyNumberFormat="1" applyFill="1" applyBorder="1" applyAlignment="1">
      <alignment horizontal="right"/>
    </xf>
    <xf numFmtId="4" fontId="17" fillId="0" borderId="7" xfId="0" applyNumberFormat="1" applyFont="1" applyFill="1" applyBorder="1"/>
    <xf numFmtId="4" fontId="17" fillId="0" borderId="24" xfId="0" applyNumberFormat="1" applyFont="1" applyFill="1" applyBorder="1"/>
    <xf numFmtId="0" fontId="18" fillId="0" borderId="7" xfId="0" applyFont="1" applyFill="1" applyBorder="1"/>
    <xf numFmtId="4" fontId="6" fillId="0" borderId="7" xfId="1" applyNumberFormat="1" applyFont="1" applyFill="1" applyBorder="1" applyAlignment="1"/>
    <xf numFmtId="0" fontId="0" fillId="0" borderId="4" xfId="0" applyFill="1" applyBorder="1"/>
    <xf numFmtId="0" fontId="0" fillId="0" borderId="4" xfId="0" applyFill="1" applyBorder="1" applyAlignment="1">
      <alignment horizontal="left"/>
    </xf>
    <xf numFmtId="4" fontId="17" fillId="0" borderId="4" xfId="0" applyNumberFormat="1" applyFont="1" applyFill="1" applyBorder="1"/>
    <xf numFmtId="4" fontId="17" fillId="0" borderId="8" xfId="0" applyNumberFormat="1" applyFont="1" applyFill="1" applyBorder="1"/>
    <xf numFmtId="4" fontId="0" fillId="0" borderId="0" xfId="0" applyNumberFormat="1" applyFill="1" applyAlignment="1">
      <alignment horizontal="right"/>
    </xf>
    <xf numFmtId="0" fontId="17" fillId="0" borderId="18" xfId="0" applyFont="1" applyFill="1" applyBorder="1"/>
    <xf numFmtId="1" fontId="0" fillId="0" borderId="0" xfId="0" applyNumberFormat="1" applyFill="1" applyAlignment="1">
      <alignment horizontal="left"/>
    </xf>
    <xf numFmtId="0" fontId="0" fillId="0" borderId="0" xfId="0" applyFill="1" applyAlignment="1">
      <alignment horizontal="center"/>
    </xf>
    <xf numFmtId="0" fontId="17" fillId="0" borderId="22" xfId="0" applyFont="1" applyFill="1" applyBorder="1"/>
    <xf numFmtId="0" fontId="17" fillId="0" borderId="30" xfId="0" applyFont="1" applyFill="1" applyBorder="1"/>
    <xf numFmtId="0" fontId="17" fillId="0" borderId="31" xfId="0" applyFont="1" applyFill="1" applyBorder="1"/>
    <xf numFmtId="1" fontId="0" fillId="0" borderId="32" xfId="0" applyNumberFormat="1" applyFill="1" applyBorder="1" applyAlignment="1">
      <alignment horizontal="left"/>
    </xf>
    <xf numFmtId="1" fontId="0" fillId="0" borderId="33" xfId="0" applyNumberFormat="1" applyFill="1" applyBorder="1" applyAlignment="1">
      <alignment horizontal="left"/>
    </xf>
    <xf numFmtId="1" fontId="0" fillId="0" borderId="34" xfId="0" applyNumberFormat="1" applyFill="1" applyBorder="1" applyAlignment="1">
      <alignment horizontal="left"/>
    </xf>
    <xf numFmtId="4" fontId="0" fillId="0" borderId="32" xfId="0" applyNumberFormat="1" applyFill="1" applyBorder="1" applyAlignment="1">
      <alignment horizontal="center"/>
    </xf>
    <xf numFmtId="0" fontId="0" fillId="0" borderId="5" xfId="0" applyFill="1" applyBorder="1"/>
    <xf numFmtId="1" fontId="0" fillId="0" borderId="5" xfId="0" quotePrefix="1" applyNumberFormat="1" applyFill="1" applyBorder="1" applyAlignment="1">
      <alignment horizontal="left"/>
    </xf>
    <xf numFmtId="1" fontId="0" fillId="0" borderId="5" xfId="0" applyNumberFormat="1" applyFill="1" applyBorder="1" applyAlignment="1">
      <alignment horizontal="left"/>
    </xf>
    <xf numFmtId="4" fontId="58" fillId="0" borderId="12" xfId="0" applyNumberFormat="1" applyFont="1" applyFill="1" applyBorder="1"/>
    <xf numFmtId="1" fontId="0" fillId="0" borderId="7" xfId="0" applyNumberFormat="1" applyFill="1" applyBorder="1" applyAlignment="1">
      <alignment horizontal="left"/>
    </xf>
    <xf numFmtId="1" fontId="0" fillId="0" borderId="7" xfId="0" quotePrefix="1" applyNumberFormat="1" applyFill="1" applyBorder="1" applyAlignment="1">
      <alignment horizontal="left"/>
    </xf>
    <xf numFmtId="4" fontId="58" fillId="0" borderId="24" xfId="0" applyNumberFormat="1" applyFont="1" applyFill="1" applyBorder="1"/>
    <xf numFmtId="4" fontId="0" fillId="0" borderId="7" xfId="0" applyNumberFormat="1" applyFont="1" applyFill="1" applyBorder="1"/>
    <xf numFmtId="4" fontId="0" fillId="0" borderId="24" xfId="0" applyNumberFormat="1" applyFont="1" applyFill="1" applyBorder="1"/>
    <xf numFmtId="0" fontId="58" fillId="0" borderId="7" xfId="0" applyFont="1" applyFill="1" applyBorder="1"/>
    <xf numFmtId="4" fontId="58" fillId="0" borderId="0" xfId="0" applyNumberFormat="1" applyFont="1" applyFill="1"/>
    <xf numFmtId="1" fontId="58" fillId="0" borderId="7" xfId="0" applyNumberFormat="1" applyFont="1" applyFill="1" applyBorder="1" applyAlignment="1">
      <alignment horizontal="left"/>
    </xf>
    <xf numFmtId="1" fontId="58" fillId="0" borderId="7" xfId="0" quotePrefix="1" applyNumberFormat="1" applyFont="1" applyFill="1" applyBorder="1" applyAlignment="1">
      <alignment horizontal="left"/>
    </xf>
    <xf numFmtId="0" fontId="16" fillId="0" borderId="0" xfId="0" applyFont="1" applyFill="1" applyBorder="1" applyAlignment="1">
      <alignment horizontal="center"/>
    </xf>
    <xf numFmtId="0" fontId="1" fillId="0" borderId="0" xfId="0" applyFont="1" applyFill="1" applyBorder="1" applyAlignment="1">
      <alignment horizontal="left" wrapText="1"/>
    </xf>
    <xf numFmtId="177" fontId="1" fillId="0" borderId="0" xfId="0" applyNumberFormat="1" applyFont="1" applyFill="1" applyBorder="1" applyAlignment="1">
      <alignment horizontal="left" wrapText="1"/>
    </xf>
    <xf numFmtId="177" fontId="1" fillId="0" borderId="0" xfId="1" applyNumberFormat="1" applyFont="1" applyFill="1" applyBorder="1" applyAlignment="1">
      <alignment vertical="top" wrapText="1"/>
    </xf>
    <xf numFmtId="177" fontId="1" fillId="0" borderId="0" xfId="1" applyNumberFormat="1" applyFont="1" applyFill="1" applyAlignment="1"/>
    <xf numFmtId="177" fontId="1" fillId="0" borderId="0" xfId="0" applyNumberFormat="1" applyFont="1" applyFill="1" applyAlignment="1"/>
    <xf numFmtId="4" fontId="58" fillId="0" borderId="0" xfId="0" applyNumberFormat="1" applyFont="1" applyFill="1" applyAlignment="1">
      <alignment horizontal="center"/>
    </xf>
    <xf numFmtId="4" fontId="58" fillId="0" borderId="0" xfId="0" quotePrefix="1" applyNumberFormat="1" applyFont="1" applyFill="1" applyAlignment="1">
      <alignment horizontal="center"/>
    </xf>
    <xf numFmtId="0" fontId="47" fillId="2" borderId="0" xfId="0" applyFont="1" applyFill="1" applyProtection="1">
      <protection hidden="1"/>
    </xf>
    <xf numFmtId="0" fontId="0" fillId="2" borderId="0" xfId="0" applyFill="1" applyBorder="1" applyProtection="1">
      <protection hidden="1"/>
    </xf>
    <xf numFmtId="0" fontId="48" fillId="2" borderId="0" xfId="0" applyFont="1" applyFill="1" applyBorder="1" applyAlignment="1" applyProtection="1">
      <alignment horizontal="center"/>
      <protection hidden="1"/>
    </xf>
    <xf numFmtId="0" fontId="25" fillId="2" borderId="0" xfId="0" applyFont="1" applyFill="1" applyBorder="1" applyAlignment="1" applyProtection="1">
      <alignment horizontal="center"/>
      <protection hidden="1"/>
    </xf>
    <xf numFmtId="0" fontId="0" fillId="2" borderId="0" xfId="0" applyFill="1" applyBorder="1" applyAlignment="1" applyProtection="1">
      <alignment horizontal="center"/>
      <protection hidden="1"/>
    </xf>
    <xf numFmtId="0" fontId="20" fillId="2" borderId="0" xfId="0" applyFont="1" applyFill="1" applyBorder="1" applyAlignment="1" applyProtection="1">
      <alignment horizontal="center"/>
      <protection hidden="1"/>
    </xf>
    <xf numFmtId="0" fontId="16" fillId="2" borderId="0" xfId="0" applyFont="1" applyFill="1" applyBorder="1" applyAlignment="1" applyProtection="1">
      <alignment horizontal="left"/>
      <protection hidden="1"/>
    </xf>
    <xf numFmtId="0" fontId="0" fillId="2" borderId="0" xfId="0" applyFill="1" applyProtection="1">
      <protection hidden="1"/>
    </xf>
    <xf numFmtId="0" fontId="47" fillId="3" borderId="2" xfId="0" applyFont="1" applyFill="1" applyBorder="1" applyAlignment="1" applyProtection="1">
      <alignment horizontal="left" wrapText="1"/>
      <protection hidden="1"/>
    </xf>
    <xf numFmtId="0" fontId="47" fillId="3" borderId="2" xfId="0" applyFont="1" applyFill="1" applyBorder="1" applyAlignment="1" applyProtection="1">
      <alignment horizontal="left"/>
      <protection hidden="1"/>
    </xf>
    <xf numFmtId="0" fontId="47" fillId="3" borderId="1" xfId="0" applyFont="1" applyFill="1" applyBorder="1" applyAlignment="1" applyProtection="1">
      <alignment horizontal="left"/>
      <protection hidden="1"/>
    </xf>
    <xf numFmtId="0" fontId="0" fillId="0" borderId="0" xfId="0" applyFill="1" applyBorder="1"/>
    <xf numFmtId="3" fontId="1" fillId="0" borderId="0" xfId="0" applyNumberFormat="1" applyFont="1" applyFill="1" applyBorder="1" applyAlignment="1"/>
    <xf numFmtId="3" fontId="1" fillId="0" borderId="17" xfId="0" applyNumberFormat="1" applyFont="1" applyFill="1" applyBorder="1" applyAlignment="1"/>
    <xf numFmtId="0" fontId="1" fillId="0" borderId="15" xfId="0" applyFont="1" applyFill="1" applyBorder="1" applyAlignment="1"/>
    <xf numFmtId="0" fontId="1" fillId="0" borderId="15" xfId="0" applyFont="1" applyFill="1" applyBorder="1" applyAlignment="1">
      <alignment horizontal="center"/>
    </xf>
    <xf numFmtId="0" fontId="1" fillId="0" borderId="18" xfId="0" applyFont="1" applyFill="1" applyBorder="1" applyAlignment="1"/>
    <xf numFmtId="0" fontId="61" fillId="0" borderId="0" xfId="0" applyFont="1" applyFill="1" applyBorder="1" applyAlignment="1">
      <alignment vertical="top" wrapText="1"/>
    </xf>
    <xf numFmtId="164" fontId="6" fillId="0" borderId="0" xfId="0" applyNumberFormat="1" applyFont="1" applyFill="1" applyBorder="1" applyAlignment="1"/>
    <xf numFmtId="164" fontId="0" fillId="0" borderId="0" xfId="0" applyNumberFormat="1"/>
    <xf numFmtId="165" fontId="6" fillId="0" borderId="0" xfId="1" applyNumberFormat="1" applyFont="1" applyFill="1" applyBorder="1" applyAlignment="1"/>
    <xf numFmtId="164" fontId="1" fillId="0" borderId="0" xfId="0" applyNumberFormat="1" applyFont="1" applyFill="1" applyBorder="1" applyAlignment="1"/>
    <xf numFmtId="164" fontId="2" fillId="0" borderId="0" xfId="0" applyNumberFormat="1" applyFont="1" applyFill="1" applyBorder="1" applyAlignment="1"/>
    <xf numFmtId="0" fontId="61" fillId="0" borderId="0" xfId="0" applyFont="1" applyFill="1" applyBorder="1"/>
    <xf numFmtId="0" fontId="61" fillId="0" borderId="0" xfId="0" applyFont="1" applyFill="1" applyBorder="1" applyAlignment="1"/>
    <xf numFmtId="0" fontId="61" fillId="0" borderId="0" xfId="0" applyFont="1" applyFill="1" applyBorder="1" applyAlignment="1">
      <alignment wrapText="1"/>
    </xf>
    <xf numFmtId="181" fontId="61" fillId="0" borderId="0" xfId="0" applyNumberFormat="1" applyFont="1" applyFill="1"/>
    <xf numFmtId="0" fontId="62" fillId="0" borderId="0" xfId="0" applyFont="1" applyFill="1" applyAlignment="1">
      <alignment vertical="center"/>
    </xf>
    <xf numFmtId="0" fontId="61" fillId="0" borderId="0" xfId="0" applyFont="1" applyFill="1" applyAlignment="1">
      <alignment vertical="top" wrapText="1"/>
    </xf>
    <xf numFmtId="0" fontId="61" fillId="0" borderId="0" xfId="0" applyFont="1" applyFill="1" applyAlignment="1">
      <alignment vertical="center"/>
    </xf>
    <xf numFmtId="0" fontId="61" fillId="0" borderId="0" xfId="0" applyFont="1" applyFill="1" applyAlignment="1">
      <alignment vertical="center" wrapText="1"/>
    </xf>
    <xf numFmtId="0" fontId="62" fillId="0" borderId="0" xfId="0" applyFont="1" applyFill="1" applyAlignment="1">
      <alignment vertical="center" wrapText="1"/>
    </xf>
    <xf numFmtId="3" fontId="61" fillId="0" borderId="0" xfId="0" applyNumberFormat="1" applyFont="1" applyFill="1" applyAlignment="1">
      <alignment horizontal="right"/>
    </xf>
    <xf numFmtId="3" fontId="62" fillId="0" borderId="3" xfId="0" applyNumberFormat="1" applyFont="1" applyFill="1" applyBorder="1" applyAlignment="1">
      <alignment horizontal="right"/>
    </xf>
    <xf numFmtId="164" fontId="61" fillId="0" borderId="0" xfId="0" applyNumberFormat="1" applyFont="1" applyFill="1" applyAlignment="1">
      <alignment horizontal="right"/>
    </xf>
    <xf numFmtId="164" fontId="61" fillId="0" borderId="0" xfId="0" applyNumberFormat="1" applyFont="1" applyFill="1"/>
    <xf numFmtId="164" fontId="62" fillId="0" borderId="0" xfId="0" applyNumberFormat="1" applyFont="1" applyFill="1" applyAlignment="1">
      <alignment horizontal="right"/>
    </xf>
    <xf numFmtId="0" fontId="61" fillId="0" borderId="0" xfId="0" applyFont="1" applyFill="1" applyAlignment="1">
      <alignment horizontal="center" vertical="center"/>
    </xf>
    <xf numFmtId="9" fontId="61" fillId="0" borderId="0" xfId="0" applyNumberFormat="1" applyFont="1" applyFill="1" applyAlignment="1">
      <alignment horizontal="center" vertical="center"/>
    </xf>
    <xf numFmtId="0" fontId="62" fillId="0" borderId="0" xfId="0" applyFont="1" applyFill="1" applyAlignment="1">
      <alignment horizontal="left" vertical="center"/>
    </xf>
    <xf numFmtId="181" fontId="16" fillId="0" borderId="0" xfId="1" applyNumberFormat="1" applyFont="1" applyFill="1"/>
    <xf numFmtId="168" fontId="16" fillId="0" borderId="0" xfId="1" applyNumberFormat="1" applyFont="1" applyFill="1" applyAlignment="1">
      <alignment wrapText="1"/>
    </xf>
    <xf numFmtId="3" fontId="16" fillId="0" borderId="0" xfId="0" applyNumberFormat="1" applyFont="1" applyFill="1" applyBorder="1"/>
    <xf numFmtId="0" fontId="63" fillId="0" borderId="0" xfId="0" applyFont="1" applyFill="1"/>
    <xf numFmtId="0" fontId="16" fillId="0" borderId="0" xfId="0" applyNumberFormat="1" applyFont="1" applyFill="1" applyAlignment="1">
      <alignment wrapText="1"/>
    </xf>
    <xf numFmtId="0" fontId="63" fillId="0" borderId="0" xfId="0" applyFont="1" applyFill="1" applyAlignment="1">
      <alignment horizontal="left" wrapText="1"/>
    </xf>
    <xf numFmtId="0" fontId="62" fillId="0" borderId="0" xfId="0" applyFont="1" applyFill="1"/>
    <xf numFmtId="3" fontId="2" fillId="0" borderId="5" xfId="1" applyNumberFormat="1" applyFont="1" applyFill="1" applyBorder="1"/>
    <xf numFmtId="3" fontId="1" fillId="0" borderId="4" xfId="1" applyNumberFormat="1" applyFont="1" applyFill="1" applyBorder="1"/>
    <xf numFmtId="3" fontId="61" fillId="0" borderId="0" xfId="0" applyNumberFormat="1" applyFont="1" applyFill="1" applyAlignment="1">
      <alignment horizontal="right" vertical="center"/>
    </xf>
    <xf numFmtId="3" fontId="61" fillId="0" borderId="0" xfId="0" applyNumberFormat="1" applyFont="1" applyFill="1"/>
    <xf numFmtId="3" fontId="61" fillId="0" borderId="3" xfId="0" applyNumberFormat="1" applyFont="1" applyFill="1" applyBorder="1"/>
    <xf numFmtId="0" fontId="63" fillId="0" borderId="0" xfId="0" applyFont="1" applyFill="1" applyAlignment="1">
      <alignment wrapText="1"/>
    </xf>
    <xf numFmtId="170" fontId="2" fillId="0" borderId="0" xfId="1" quotePrefix="1" applyNumberFormat="1" applyFont="1" applyFill="1" applyBorder="1" applyAlignment="1">
      <alignment horizontal="center" vertical="top"/>
    </xf>
    <xf numFmtId="0" fontId="25" fillId="0" borderId="0" xfId="0" applyFont="1" applyFill="1"/>
    <xf numFmtId="164" fontId="16" fillId="0" borderId="1" xfId="1" applyNumberFormat="1" applyFont="1" applyFill="1" applyBorder="1"/>
    <xf numFmtId="164" fontId="16" fillId="0" borderId="1" xfId="0" applyNumberFormat="1" applyFont="1" applyFill="1" applyBorder="1"/>
    <xf numFmtId="0" fontId="16" fillId="0" borderId="1" xfId="0" applyFont="1" applyFill="1" applyBorder="1"/>
    <xf numFmtId="2" fontId="16" fillId="0" borderId="1" xfId="0" applyNumberFormat="1" applyFont="1" applyFill="1" applyBorder="1"/>
    <xf numFmtId="164" fontId="16" fillId="0" borderId="5" xfId="1" applyNumberFormat="1" applyFont="1" applyFill="1" applyBorder="1"/>
    <xf numFmtId="164" fontId="17" fillId="0" borderId="23" xfId="1" applyNumberFormat="1" applyFont="1" applyFill="1" applyBorder="1"/>
    <xf numFmtId="164" fontId="17" fillId="0" borderId="35" xfId="1" applyNumberFormat="1" applyFont="1" applyFill="1" applyBorder="1"/>
    <xf numFmtId="0" fontId="26" fillId="0" borderId="0" xfId="0" applyFont="1" applyFill="1"/>
    <xf numFmtId="164" fontId="16" fillId="0" borderId="36" xfId="1" applyNumberFormat="1" applyFont="1" applyFill="1" applyBorder="1"/>
    <xf numFmtId="164" fontId="16" fillId="0" borderId="36" xfId="0" applyNumberFormat="1" applyFont="1" applyFill="1" applyBorder="1"/>
    <xf numFmtId="170" fontId="16" fillId="0" borderId="2" xfId="1" applyNumberFormat="1" applyFont="1" applyFill="1" applyBorder="1"/>
    <xf numFmtId="170" fontId="16" fillId="0" borderId="1" xfId="1" applyNumberFormat="1" applyFont="1" applyFill="1" applyBorder="1"/>
    <xf numFmtId="164" fontId="16" fillId="0" borderId="12" xfId="1" applyNumberFormat="1" applyFont="1" applyFill="1" applyBorder="1"/>
    <xf numFmtId="183" fontId="16" fillId="0" borderId="0" xfId="0" applyNumberFormat="1" applyFont="1" applyFill="1"/>
    <xf numFmtId="183" fontId="16" fillId="0" borderId="38" xfId="0" applyNumberFormat="1" applyFont="1" applyFill="1" applyBorder="1"/>
    <xf numFmtId="3" fontId="16" fillId="0" borderId="0" xfId="1" applyNumberFormat="1" applyFont="1" applyFill="1" applyAlignment="1">
      <alignment horizontal="right"/>
    </xf>
    <xf numFmtId="0" fontId="0" fillId="0" borderId="0" xfId="0" applyFont="1" applyFill="1"/>
    <xf numFmtId="173" fontId="1" fillId="0" borderId="0" xfId="0" applyNumberFormat="1" applyFont="1" applyFill="1" applyBorder="1" applyAlignment="1"/>
    <xf numFmtId="181" fontId="61" fillId="0" borderId="0" xfId="1" applyNumberFormat="1" applyFont="1" applyFill="1" applyBorder="1"/>
    <xf numFmtId="0" fontId="61" fillId="0" borderId="19" xfId="0" applyFont="1" applyFill="1" applyBorder="1"/>
    <xf numFmtId="0" fontId="17" fillId="0" borderId="19" xfId="0" applyFont="1" applyFill="1" applyBorder="1"/>
    <xf numFmtId="0" fontId="61" fillId="0" borderId="0" xfId="0" applyFont="1" applyFill="1" applyBorder="1" applyAlignment="1">
      <alignment horizontal="center"/>
    </xf>
    <xf numFmtId="181" fontId="61" fillId="0" borderId="20" xfId="1" applyNumberFormat="1" applyFont="1" applyFill="1" applyBorder="1"/>
    <xf numFmtId="0" fontId="62" fillId="0" borderId="19" xfId="0" applyFont="1" applyFill="1" applyBorder="1"/>
    <xf numFmtId="0" fontId="16" fillId="0" borderId="19" xfId="0" applyFont="1" applyFill="1" applyBorder="1"/>
    <xf numFmtId="0" fontId="61" fillId="0" borderId="21" xfId="0" applyFont="1" applyFill="1" applyBorder="1"/>
    <xf numFmtId="0" fontId="61" fillId="0" borderId="14" xfId="0" applyFont="1" applyFill="1" applyBorder="1"/>
    <xf numFmtId="0" fontId="61" fillId="0" borderId="14" xfId="0" applyFont="1" applyFill="1" applyBorder="1" applyAlignment="1">
      <alignment horizontal="center"/>
    </xf>
    <xf numFmtId="4" fontId="58" fillId="0" borderId="0" xfId="0" applyNumberFormat="1" applyFont="1" applyFill="1" applyBorder="1"/>
    <xf numFmtId="0" fontId="61" fillId="0" borderId="0" xfId="0" applyFont="1" applyFill="1" applyAlignment="1">
      <alignment wrapText="1"/>
    </xf>
    <xf numFmtId="0" fontId="64" fillId="0" borderId="0" xfId="0" applyFont="1" applyFill="1"/>
    <xf numFmtId="0" fontId="64" fillId="0" borderId="0" xfId="0" applyFont="1" applyFill="1" applyAlignment="1">
      <alignment horizontal="justify"/>
    </xf>
    <xf numFmtId="0" fontId="65" fillId="0" borderId="0" xfId="0" applyFont="1" applyFill="1" applyAlignment="1">
      <alignment horizontal="justify"/>
    </xf>
    <xf numFmtId="0" fontId="6" fillId="0" borderId="0" xfId="0" applyFont="1" applyFill="1" applyAlignment="1">
      <alignment vertical="top" wrapText="1"/>
    </xf>
    <xf numFmtId="170" fontId="6" fillId="0" borderId="0" xfId="1" applyNumberFormat="1" applyFont="1" applyFill="1" applyAlignment="1">
      <alignment vertical="top" wrapText="1"/>
    </xf>
    <xf numFmtId="0" fontId="6" fillId="0" borderId="0" xfId="0" applyFont="1" applyFill="1" applyAlignment="1">
      <alignment horizontal="left" vertical="top" wrapText="1"/>
    </xf>
    <xf numFmtId="170" fontId="5" fillId="0" borderId="5" xfId="1" applyNumberFormat="1" applyFont="1" applyFill="1" applyBorder="1" applyAlignment="1">
      <alignment horizontal="center" vertical="top" wrapText="1"/>
    </xf>
    <xf numFmtId="170" fontId="6" fillId="0" borderId="1" xfId="1" applyNumberFormat="1" applyFont="1" applyFill="1" applyBorder="1" applyAlignment="1">
      <alignment horizontal="center" vertical="top" wrapText="1"/>
    </xf>
    <xf numFmtId="170" fontId="6" fillId="0" borderId="1" xfId="1" applyNumberFormat="1" applyFont="1" applyFill="1" applyBorder="1" applyAlignment="1">
      <alignment horizontal="right" vertical="top" wrapText="1"/>
    </xf>
    <xf numFmtId="165" fontId="6" fillId="0" borderId="1" xfId="1" applyFont="1" applyFill="1" applyBorder="1" applyAlignment="1">
      <alignment horizontal="right" vertical="top" wrapText="1"/>
    </xf>
    <xf numFmtId="180" fontId="5" fillId="0" borderId="7" xfId="1" applyNumberFormat="1" applyFont="1" applyFill="1" applyBorder="1" applyAlignment="1">
      <alignment horizontal="right" vertical="top" wrapText="1"/>
    </xf>
    <xf numFmtId="165" fontId="5" fillId="0" borderId="7" xfId="1" applyFont="1" applyFill="1" applyBorder="1" applyAlignment="1">
      <alignment horizontal="right" vertical="top" wrapText="1"/>
    </xf>
    <xf numFmtId="0" fontId="5" fillId="0" borderId="1" xfId="0" applyFont="1" applyFill="1" applyBorder="1" applyAlignment="1">
      <alignment horizontal="right" vertical="top" wrapText="1"/>
    </xf>
    <xf numFmtId="165" fontId="5" fillId="0" borderId="1" xfId="1" applyFont="1" applyFill="1" applyBorder="1" applyAlignment="1">
      <alignment horizontal="right" vertical="top" wrapText="1"/>
    </xf>
    <xf numFmtId="169" fontId="6" fillId="0" borderId="1" xfId="1" applyNumberFormat="1" applyFont="1" applyFill="1" applyBorder="1" applyAlignment="1">
      <alignment horizontal="right" vertical="top" wrapText="1"/>
    </xf>
    <xf numFmtId="169" fontId="5" fillId="0" borderId="7" xfId="1" applyNumberFormat="1" applyFont="1" applyFill="1" applyBorder="1" applyAlignment="1">
      <alignment horizontal="right" vertical="top" wrapText="1"/>
    </xf>
    <xf numFmtId="0" fontId="6" fillId="0" borderId="0" xfId="0" applyFont="1" applyFill="1" applyAlignment="1">
      <alignment horizontal="left"/>
    </xf>
    <xf numFmtId="3" fontId="5" fillId="0" borderId="7" xfId="1" applyNumberFormat="1" applyFont="1" applyFill="1" applyBorder="1" applyAlignment="1">
      <alignment horizontal="right" vertical="top" wrapText="1"/>
    </xf>
    <xf numFmtId="4" fontId="58" fillId="0" borderId="5" xfId="0" applyNumberFormat="1" applyFont="1" applyFill="1" applyBorder="1"/>
    <xf numFmtId="4" fontId="0" fillId="0" borderId="16" xfId="0" applyNumberFormat="1" applyFill="1" applyBorder="1" applyAlignment="1">
      <alignment horizontal="center"/>
    </xf>
    <xf numFmtId="4" fontId="0" fillId="0" borderId="17" xfId="0" applyNumberFormat="1" applyFill="1" applyBorder="1" applyAlignment="1">
      <alignment horizontal="center"/>
    </xf>
    <xf numFmtId="173" fontId="5" fillId="0" borderId="12" xfId="0" applyNumberFormat="1" applyFont="1" applyFill="1" applyBorder="1" applyAlignment="1">
      <alignment vertical="top"/>
    </xf>
    <xf numFmtId="4" fontId="0" fillId="0" borderId="26" xfId="0" applyNumberFormat="1" applyFill="1" applyBorder="1"/>
    <xf numFmtId="4" fontId="0" fillId="0" borderId="7" xfId="0" applyNumberFormat="1" applyFill="1" applyBorder="1" applyAlignment="1">
      <alignment horizontal="center"/>
    </xf>
    <xf numFmtId="0" fontId="0" fillId="0" borderId="0" xfId="0" applyFill="1" applyBorder="1" applyAlignment="1">
      <alignment horizontal="left"/>
    </xf>
    <xf numFmtId="177" fontId="6" fillId="5" borderId="1" xfId="1" applyNumberFormat="1" applyFont="1" applyFill="1" applyBorder="1" applyAlignment="1"/>
    <xf numFmtId="0" fontId="11" fillId="0" borderId="0" xfId="0" applyFont="1" applyFill="1" applyAlignment="1">
      <alignment horizontal="center"/>
    </xf>
    <xf numFmtId="0" fontId="17" fillId="0" borderId="0" xfId="0" applyFont="1" applyFill="1" applyAlignment="1">
      <alignment vertical="top"/>
    </xf>
    <xf numFmtId="170" fontId="1" fillId="0" borderId="1" xfId="1" applyNumberFormat="1" applyFont="1" applyFill="1" applyBorder="1"/>
    <xf numFmtId="0" fontId="17" fillId="0" borderId="0" xfId="0" applyFont="1" applyFill="1" applyBorder="1" applyAlignment="1">
      <alignment horizontal="center"/>
    </xf>
    <xf numFmtId="0" fontId="17" fillId="0" borderId="0" xfId="0" applyFont="1" applyFill="1" applyAlignment="1">
      <alignment horizontal="center"/>
    </xf>
    <xf numFmtId="165" fontId="1" fillId="0" borderId="0" xfId="0" applyNumberFormat="1" applyFont="1" applyFill="1" applyBorder="1"/>
    <xf numFmtId="3" fontId="2" fillId="0" borderId="6" xfId="1" applyNumberFormat="1" applyFont="1" applyFill="1" applyBorder="1"/>
    <xf numFmtId="0" fontId="66" fillId="0" borderId="0" xfId="0" applyFont="1" applyFill="1"/>
    <xf numFmtId="0" fontId="17" fillId="0" borderId="0" xfId="0" applyFont="1" applyFill="1" applyBorder="1" applyAlignment="1">
      <alignment vertical="top" wrapText="1"/>
    </xf>
    <xf numFmtId="164" fontId="16" fillId="0" borderId="0" xfId="1" applyNumberFormat="1" applyFont="1" applyFill="1" applyBorder="1"/>
    <xf numFmtId="164" fontId="16" fillId="0" borderId="8" xfId="1" applyNumberFormat="1" applyFont="1" applyFill="1" applyBorder="1"/>
    <xf numFmtId="0" fontId="61" fillId="0" borderId="0" xfId="0" applyFont="1" applyFill="1" applyAlignment="1">
      <alignment vertical="top"/>
    </xf>
    <xf numFmtId="0" fontId="62" fillId="0" borderId="0" xfId="0" quotePrefix="1" applyFont="1" applyFill="1"/>
    <xf numFmtId="0" fontId="62" fillId="0" borderId="0" xfId="0" applyFont="1" applyFill="1" applyAlignment="1">
      <alignment horizontal="left"/>
    </xf>
    <xf numFmtId="170" fontId="16" fillId="0" borderId="0" xfId="0" applyNumberFormat="1" applyFont="1" applyFill="1"/>
    <xf numFmtId="170" fontId="17" fillId="0" borderId="3" xfId="0" applyNumberFormat="1" applyFont="1" applyFill="1" applyBorder="1"/>
    <xf numFmtId="3" fontId="17" fillId="0" borderId="0" xfId="0" applyNumberFormat="1" applyFont="1" applyFill="1" applyBorder="1"/>
    <xf numFmtId="178" fontId="17" fillId="0" borderId="3" xfId="0" applyNumberFormat="1" applyFont="1" applyFill="1" applyBorder="1"/>
    <xf numFmtId="184" fontId="17" fillId="0" borderId="0" xfId="0" applyNumberFormat="1" applyFont="1" applyFill="1" applyBorder="1"/>
    <xf numFmtId="178" fontId="17" fillId="0" borderId="0" xfId="0" applyNumberFormat="1" applyFont="1" applyFill="1" applyBorder="1"/>
    <xf numFmtId="0" fontId="2" fillId="0" borderId="0" xfId="0" applyFont="1" applyFill="1" applyAlignment="1">
      <alignment horizontal="left"/>
    </xf>
    <xf numFmtId="3" fontId="2" fillId="0" borderId="23" xfId="1" applyNumberFormat="1" applyFont="1" applyFill="1" applyBorder="1"/>
    <xf numFmtId="0" fontId="25" fillId="0" borderId="0" xfId="0" applyFont="1" applyFill="1" applyAlignment="1">
      <alignment wrapText="1"/>
    </xf>
    <xf numFmtId="0" fontId="67" fillId="0" borderId="0" xfId="0" applyFont="1"/>
    <xf numFmtId="0" fontId="68" fillId="0" borderId="0" xfId="0" applyFont="1" applyFill="1" applyAlignment="1">
      <alignment wrapText="1"/>
    </xf>
    <xf numFmtId="0" fontId="26" fillId="0" borderId="0" xfId="0" applyFont="1" applyAlignment="1">
      <alignment wrapText="1"/>
    </xf>
    <xf numFmtId="0" fontId="64" fillId="0" borderId="0" xfId="0" applyFont="1" applyAlignment="1">
      <alignment wrapText="1"/>
    </xf>
    <xf numFmtId="0" fontId="25" fillId="0" borderId="0" xfId="0" applyFont="1" applyAlignment="1">
      <alignment wrapText="1"/>
    </xf>
    <xf numFmtId="0" fontId="68" fillId="0" borderId="0" xfId="0" applyFont="1" applyAlignment="1">
      <alignment wrapText="1"/>
    </xf>
    <xf numFmtId="0" fontId="69" fillId="0" borderId="0" xfId="0" applyFont="1" applyAlignment="1">
      <alignment wrapText="1"/>
    </xf>
    <xf numFmtId="0" fontId="59" fillId="0" borderId="0" xfId="0" applyFont="1"/>
    <xf numFmtId="0" fontId="16" fillId="0" borderId="0" xfId="0" applyFont="1" applyAlignment="1">
      <alignment wrapText="1"/>
    </xf>
    <xf numFmtId="0" fontId="25" fillId="0" borderId="0" xfId="0" applyFont="1" applyBorder="1" applyAlignment="1">
      <alignment horizontal="left" vertical="top" wrapText="1"/>
    </xf>
    <xf numFmtId="0" fontId="62" fillId="0" borderId="0" xfId="0" applyFont="1" applyAlignment="1">
      <alignment wrapText="1"/>
    </xf>
    <xf numFmtId="0" fontId="26" fillId="0" borderId="0" xfId="0" applyFont="1" applyAlignment="1">
      <alignment horizontal="justify"/>
    </xf>
    <xf numFmtId="0" fontId="61" fillId="0" borderId="0" xfId="0" applyFont="1" applyAlignment="1">
      <alignment wrapText="1"/>
    </xf>
    <xf numFmtId="0" fontId="25" fillId="0" borderId="0" xfId="0" applyFont="1" applyAlignment="1">
      <alignment horizontal="justify"/>
    </xf>
    <xf numFmtId="173" fontId="5" fillId="0" borderId="11" xfId="0" applyNumberFormat="1" applyFont="1" applyFill="1" applyBorder="1" applyAlignment="1">
      <alignment horizontal="center" vertical="top"/>
    </xf>
    <xf numFmtId="0" fontId="2" fillId="0" borderId="0" xfId="0" applyFont="1" applyFill="1" applyBorder="1" applyAlignment="1">
      <alignment horizontal="justify" vertical="justify" wrapText="1"/>
    </xf>
    <xf numFmtId="0" fontId="16" fillId="0" borderId="0" xfId="0" applyFont="1" applyFill="1" applyBorder="1" applyAlignment="1">
      <alignment horizontal="justify"/>
    </xf>
    <xf numFmtId="3" fontId="61" fillId="0" borderId="1" xfId="0" applyNumberFormat="1" applyFont="1" applyFill="1" applyBorder="1"/>
    <xf numFmtId="4" fontId="0" fillId="0" borderId="26" xfId="0" applyNumberFormat="1" applyFill="1" applyBorder="1" applyAlignment="1">
      <alignment horizontal="center"/>
    </xf>
    <xf numFmtId="173" fontId="1" fillId="0" borderId="0" xfId="1" applyNumberFormat="1" applyFont="1" applyBorder="1" applyAlignment="1">
      <alignment horizontal="center" vertical="top"/>
    </xf>
    <xf numFmtId="177" fontId="2" fillId="0" borderId="9" xfId="0" applyNumberFormat="1" applyFont="1" applyBorder="1" applyAlignment="1">
      <alignment horizontal="center"/>
    </xf>
    <xf numFmtId="173" fontId="8" fillId="0" borderId="0" xfId="1" applyNumberFormat="1" applyFont="1" applyBorder="1" applyAlignment="1">
      <alignment horizontal="center" vertical="top"/>
    </xf>
    <xf numFmtId="170" fontId="8" fillId="0" borderId="0" xfId="1" applyNumberFormat="1" applyFont="1" applyBorder="1" applyAlignment="1">
      <alignment horizontal="center" vertical="top"/>
    </xf>
    <xf numFmtId="169" fontId="9" fillId="0" borderId="3" xfId="1" applyNumberFormat="1" applyFont="1" applyBorder="1" applyAlignment="1">
      <alignment horizontal="center" vertical="top"/>
    </xf>
    <xf numFmtId="0" fontId="0" fillId="5" borderId="0" xfId="0" applyFill="1"/>
    <xf numFmtId="4" fontId="0" fillId="6" borderId="7" xfId="0" applyNumberFormat="1" applyFont="1" applyFill="1" applyBorder="1"/>
    <xf numFmtId="4" fontId="58" fillId="6" borderId="7" xfId="0" applyNumberFormat="1" applyFont="1" applyFill="1" applyBorder="1"/>
    <xf numFmtId="0" fontId="58" fillId="5" borderId="7" xfId="0" applyFont="1" applyFill="1" applyBorder="1"/>
    <xf numFmtId="0" fontId="16" fillId="7" borderId="7" xfId="0" applyFont="1" applyFill="1" applyBorder="1"/>
    <xf numFmtId="0" fontId="0" fillId="8" borderId="7" xfId="0" applyFill="1" applyBorder="1"/>
    <xf numFmtId="4" fontId="0" fillId="6" borderId="7" xfId="0" applyNumberFormat="1" applyFill="1" applyBorder="1"/>
    <xf numFmtId="4" fontId="17" fillId="6" borderId="7" xfId="0" applyNumberFormat="1" applyFont="1" applyFill="1" applyBorder="1"/>
    <xf numFmtId="169" fontId="7" fillId="0" borderId="0" xfId="0" applyNumberFormat="1" applyFont="1" applyFill="1"/>
    <xf numFmtId="0" fontId="42" fillId="0" borderId="0" xfId="0" applyFont="1" applyFill="1"/>
    <xf numFmtId="164" fontId="16" fillId="0" borderId="5" xfId="0" applyNumberFormat="1" applyFont="1" applyFill="1" applyBorder="1"/>
    <xf numFmtId="164" fontId="17" fillId="0" borderId="7" xfId="1" applyNumberFormat="1" applyFont="1" applyFill="1" applyBorder="1"/>
    <xf numFmtId="164" fontId="17" fillId="0" borderId="1" xfId="1" applyNumberFormat="1" applyFont="1" applyFill="1" applyBorder="1"/>
    <xf numFmtId="164" fontId="16" fillId="0" borderId="0" xfId="0" applyNumberFormat="1" applyFont="1" applyFill="1" applyBorder="1"/>
    <xf numFmtId="164" fontId="16" fillId="0" borderId="2" xfId="1" applyNumberFormat="1" applyFont="1" applyFill="1" applyBorder="1"/>
    <xf numFmtId="164" fontId="17" fillId="0" borderId="4" xfId="1" applyNumberFormat="1" applyFont="1" applyFill="1" applyBorder="1"/>
    <xf numFmtId="164" fontId="16" fillId="0" borderId="6" xfId="1" applyNumberFormat="1" applyFont="1" applyFill="1" applyBorder="1"/>
    <xf numFmtId="164" fontId="16" fillId="0" borderId="6" xfId="0" applyNumberFormat="1" applyFont="1" applyFill="1" applyBorder="1"/>
    <xf numFmtId="0" fontId="16" fillId="0" borderId="39" xfId="0" applyFont="1" applyFill="1" applyBorder="1"/>
    <xf numFmtId="164" fontId="16" fillId="0" borderId="4" xfId="1" applyNumberFormat="1" applyFont="1" applyFill="1" applyBorder="1"/>
    <xf numFmtId="0" fontId="16" fillId="0" borderId="11" xfId="0" applyFont="1" applyFill="1" applyBorder="1"/>
    <xf numFmtId="2" fontId="16" fillId="0" borderId="11" xfId="0" applyNumberFormat="1" applyFont="1" applyFill="1" applyBorder="1"/>
    <xf numFmtId="164" fontId="17" fillId="0" borderId="24" xfId="1" applyNumberFormat="1" applyFont="1" applyFill="1" applyBorder="1"/>
    <xf numFmtId="0" fontId="16" fillId="0" borderId="6" xfId="0" applyFont="1" applyFill="1" applyBorder="1"/>
    <xf numFmtId="164" fontId="16" fillId="0" borderId="4" xfId="0" applyNumberFormat="1" applyFont="1" applyFill="1" applyBorder="1"/>
    <xf numFmtId="2" fontId="16" fillId="0" borderId="8" xfId="0" applyNumberFormat="1" applyFont="1" applyFill="1" applyBorder="1"/>
    <xf numFmtId="164" fontId="17" fillId="0" borderId="40" xfId="1" applyNumberFormat="1" applyFont="1" applyFill="1" applyBorder="1"/>
    <xf numFmtId="0" fontId="17" fillId="0" borderId="40" xfId="0" applyFont="1" applyFill="1" applyBorder="1"/>
    <xf numFmtId="170" fontId="16" fillId="0" borderId="1" xfId="0" applyNumberFormat="1" applyFont="1" applyFill="1" applyBorder="1"/>
    <xf numFmtId="2" fontId="16" fillId="0" borderId="4" xfId="0" applyNumberFormat="1" applyFont="1" applyFill="1" applyBorder="1"/>
    <xf numFmtId="2" fontId="17" fillId="0" borderId="4" xfId="0" applyNumberFormat="1" applyFont="1" applyFill="1" applyBorder="1"/>
    <xf numFmtId="2" fontId="17" fillId="0" borderId="7" xfId="0" applyNumberFormat="1" applyFont="1" applyFill="1" applyBorder="1"/>
    <xf numFmtId="164" fontId="16" fillId="0" borderId="11" xfId="0" applyNumberFormat="1" applyFont="1" applyFill="1" applyBorder="1"/>
    <xf numFmtId="164" fontId="16" fillId="0" borderId="12" xfId="0" applyNumberFormat="1" applyFont="1" applyFill="1" applyBorder="1"/>
    <xf numFmtId="2" fontId="17" fillId="0" borderId="1" xfId="1" applyNumberFormat="1" applyFont="1" applyFill="1" applyBorder="1"/>
    <xf numFmtId="2" fontId="17" fillId="0" borderId="11" xfId="1" applyNumberFormat="1" applyFont="1" applyFill="1" applyBorder="1"/>
    <xf numFmtId="2" fontId="16" fillId="0" borderId="43" xfId="0" applyNumberFormat="1" applyFont="1" applyFill="1" applyBorder="1"/>
    <xf numFmtId="2" fontId="16" fillId="0" borderId="36" xfId="0" applyNumberFormat="1" applyFont="1" applyFill="1" applyBorder="1"/>
    <xf numFmtId="2" fontId="16" fillId="0" borderId="44" xfId="0" applyNumberFormat="1" applyFont="1" applyFill="1" applyBorder="1"/>
    <xf numFmtId="2" fontId="17" fillId="0" borderId="23" xfId="0" applyNumberFormat="1" applyFont="1" applyFill="1" applyBorder="1"/>
    <xf numFmtId="2" fontId="17" fillId="0" borderId="24" xfId="1" applyNumberFormat="1" applyFont="1" applyFill="1" applyBorder="1"/>
    <xf numFmtId="2" fontId="17" fillId="0" borderId="7" xfId="1" applyNumberFormat="1" applyFont="1" applyFill="1" applyBorder="1"/>
    <xf numFmtId="2" fontId="16" fillId="0" borderId="4" xfId="1" applyNumberFormat="1" applyFont="1" applyFill="1" applyBorder="1"/>
    <xf numFmtId="2" fontId="16" fillId="0" borderId="1" xfId="1" applyNumberFormat="1" applyFont="1" applyFill="1" applyBorder="1"/>
    <xf numFmtId="2" fontId="16" fillId="0" borderId="5" xfId="1" applyNumberFormat="1" applyFont="1" applyFill="1" applyBorder="1"/>
    <xf numFmtId="180" fontId="6" fillId="0" borderId="1" xfId="1" applyNumberFormat="1" applyFont="1" applyFill="1" applyBorder="1" applyAlignment="1">
      <alignment horizontal="right" vertical="top"/>
    </xf>
    <xf numFmtId="180" fontId="6" fillId="0" borderId="1" xfId="1" applyNumberFormat="1" applyFont="1" applyFill="1" applyBorder="1" applyAlignment="1">
      <alignment horizontal="right" wrapText="1"/>
    </xf>
    <xf numFmtId="165" fontId="6" fillId="0" borderId="1" xfId="1" applyFont="1" applyFill="1" applyBorder="1" applyAlignment="1">
      <alignment horizontal="right" wrapText="1"/>
    </xf>
    <xf numFmtId="0" fontId="5" fillId="0" borderId="5" xfId="0" applyFont="1" applyBorder="1" applyAlignment="1">
      <alignment horizontal="center" vertical="top" wrapText="1"/>
    </xf>
    <xf numFmtId="4" fontId="61" fillId="0" borderId="0" xfId="0" applyNumberFormat="1" applyFont="1" applyFill="1"/>
    <xf numFmtId="4" fontId="7" fillId="0" borderId="0" xfId="1" applyNumberFormat="1" applyFont="1" applyFill="1"/>
    <xf numFmtId="0" fontId="2" fillId="0" borderId="0" xfId="0" applyFont="1" applyFill="1" applyAlignment="1">
      <alignment horizontal="center"/>
    </xf>
    <xf numFmtId="0" fontId="33" fillId="0" borderId="7" xfId="0" applyFont="1" applyBorder="1" applyAlignment="1">
      <alignment horizontal="center" vertical="top" wrapText="1"/>
    </xf>
    <xf numFmtId="0" fontId="5" fillId="0" borderId="45" xfId="0" applyFont="1" applyBorder="1" applyAlignment="1">
      <alignment horizontal="center" vertical="top" wrapText="1"/>
    </xf>
    <xf numFmtId="0" fontId="5" fillId="0" borderId="46" xfId="0" applyFont="1" applyBorder="1" applyAlignment="1">
      <alignment horizontal="center" vertical="top" wrapText="1"/>
    </xf>
    <xf numFmtId="0" fontId="6" fillId="0" borderId="47" xfId="0" applyFont="1" applyBorder="1" applyAlignment="1">
      <alignment vertical="top" wrapText="1"/>
    </xf>
    <xf numFmtId="0" fontId="5" fillId="0" borderId="48" xfId="0" applyFont="1" applyBorder="1" applyAlignment="1">
      <alignment vertical="top" wrapText="1"/>
    </xf>
    <xf numFmtId="0" fontId="6" fillId="0" borderId="49" xfId="0" applyFont="1" applyBorder="1" applyAlignment="1">
      <alignment vertical="top" wrapText="1"/>
    </xf>
    <xf numFmtId="0" fontId="6" fillId="0" borderId="50" xfId="0" applyFont="1" applyBorder="1" applyAlignment="1">
      <alignment vertical="top" wrapText="1"/>
    </xf>
    <xf numFmtId="0" fontId="5" fillId="0" borderId="50" xfId="0" applyFont="1" applyBorder="1" applyAlignment="1">
      <alignment vertical="top" wrapText="1"/>
    </xf>
    <xf numFmtId="0" fontId="2" fillId="0" borderId="50" xfId="0" applyFont="1" applyBorder="1" applyAlignment="1">
      <alignment vertical="top" wrapText="1"/>
    </xf>
    <xf numFmtId="0" fontId="1" fillId="0" borderId="49" xfId="0" applyFont="1" applyBorder="1" applyAlignment="1">
      <alignment vertical="top" wrapText="1"/>
    </xf>
    <xf numFmtId="0" fontId="1" fillId="0" borderId="50" xfId="0" applyFont="1" applyBorder="1" applyAlignment="1">
      <alignment vertical="top" wrapText="1"/>
    </xf>
    <xf numFmtId="0" fontId="6" fillId="0" borderId="49" xfId="0" applyFont="1" applyBorder="1" applyAlignment="1">
      <alignment horizontal="justify" vertical="top" wrapText="1"/>
    </xf>
    <xf numFmtId="0" fontId="12" fillId="0" borderId="49" xfId="0" applyFont="1" applyBorder="1" applyAlignment="1">
      <alignment vertical="top" wrapText="1"/>
    </xf>
    <xf numFmtId="0" fontId="1" fillId="0" borderId="49" xfId="0" applyFont="1" applyFill="1" applyBorder="1" applyAlignment="1">
      <alignment vertical="top" wrapText="1"/>
    </xf>
    <xf numFmtId="0" fontId="13" fillId="0" borderId="49" xfId="0" applyFont="1" applyBorder="1" applyAlignment="1">
      <alignment vertical="top" wrapText="1"/>
    </xf>
    <xf numFmtId="0" fontId="6" fillId="0" borderId="50" xfId="0" applyFont="1" applyBorder="1"/>
    <xf numFmtId="0" fontId="6" fillId="0" borderId="49" xfId="0" applyFont="1" applyBorder="1"/>
    <xf numFmtId="0" fontId="13" fillId="0" borderId="49" xfId="0" applyFont="1" applyBorder="1" applyAlignment="1">
      <alignment horizontal="justify" vertical="top" wrapText="1"/>
    </xf>
    <xf numFmtId="0" fontId="5" fillId="0" borderId="51" xfId="0" applyFont="1" applyBorder="1" applyAlignment="1">
      <alignment vertical="top" wrapText="1"/>
    </xf>
    <xf numFmtId="170" fontId="5" fillId="0" borderId="37" xfId="1" applyNumberFormat="1" applyFont="1" applyBorder="1" applyAlignment="1">
      <alignment horizontal="right" vertical="top" wrapText="1"/>
    </xf>
    <xf numFmtId="0" fontId="6" fillId="0" borderId="52" xfId="0" applyFont="1" applyBorder="1" applyAlignment="1">
      <alignment horizontal="justify" vertical="top" wrapText="1"/>
    </xf>
    <xf numFmtId="0" fontId="2" fillId="0" borderId="1" xfId="0" applyFont="1" applyBorder="1" applyAlignment="1">
      <alignment horizontal="center" wrapText="1"/>
    </xf>
    <xf numFmtId="165" fontId="6" fillId="0" borderId="37" xfId="1" applyFont="1" applyBorder="1" applyAlignment="1">
      <alignment horizontal="right" vertical="top" wrapText="1"/>
    </xf>
    <xf numFmtId="0" fontId="2" fillId="0" borderId="49" xfId="0" applyFont="1" applyBorder="1" applyAlignment="1">
      <alignment horizontal="center" wrapText="1"/>
    </xf>
    <xf numFmtId="0" fontId="6" fillId="0" borderId="53" xfId="0" applyFont="1" applyBorder="1"/>
    <xf numFmtId="0" fontId="9" fillId="0" borderId="54" xfId="0" applyFont="1" applyBorder="1" applyAlignment="1">
      <alignment horizontal="center" vertical="top" wrapText="1"/>
    </xf>
    <xf numFmtId="0" fontId="9" fillId="0" borderId="54" xfId="0" applyFont="1" applyBorder="1" applyAlignment="1">
      <alignment horizontal="left" vertical="top" wrapText="1"/>
    </xf>
    <xf numFmtId="170" fontId="9" fillId="0" borderId="54" xfId="1" applyNumberFormat="1" applyFont="1" applyBorder="1" applyAlignment="1">
      <alignment horizontal="center" vertical="top" wrapText="1"/>
    </xf>
    <xf numFmtId="0" fontId="9" fillId="0" borderId="55" xfId="0" applyFont="1" applyBorder="1" applyAlignment="1">
      <alignment horizontal="center" vertical="top" wrapText="1"/>
    </xf>
    <xf numFmtId="0" fontId="6" fillId="0" borderId="19" xfId="0" applyFont="1" applyBorder="1" applyAlignment="1"/>
    <xf numFmtId="0" fontId="9" fillId="0" borderId="56" xfId="0" applyFont="1" applyBorder="1" applyAlignment="1">
      <alignment horizontal="center" vertical="top"/>
    </xf>
    <xf numFmtId="0" fontId="8" fillId="0" borderId="20" xfId="0" applyFont="1" applyBorder="1" applyAlignment="1">
      <alignment horizontal="right" vertical="top"/>
    </xf>
    <xf numFmtId="0" fontId="9" fillId="0" borderId="20" xfId="0" applyFont="1" applyBorder="1" applyAlignment="1">
      <alignment vertical="top"/>
    </xf>
    <xf numFmtId="0" fontId="6" fillId="0" borderId="21" xfId="0" applyFont="1" applyBorder="1"/>
    <xf numFmtId="0" fontId="8" fillId="0" borderId="14" xfId="0" applyFont="1" applyBorder="1" applyAlignment="1">
      <alignment vertical="top" wrapText="1"/>
    </xf>
    <xf numFmtId="170" fontId="8" fillId="0" borderId="14" xfId="1" applyNumberFormat="1" applyFont="1" applyBorder="1" applyAlignment="1">
      <alignment vertical="top" wrapText="1"/>
    </xf>
    <xf numFmtId="170" fontId="8" fillId="0" borderId="57" xfId="1" applyNumberFormat="1" applyFont="1" applyBorder="1" applyAlignment="1">
      <alignment vertical="top" wrapText="1"/>
    </xf>
    <xf numFmtId="0" fontId="8" fillId="0" borderId="22" xfId="0" applyFont="1" applyBorder="1" applyAlignment="1">
      <alignment vertical="top" wrapText="1"/>
    </xf>
    <xf numFmtId="170" fontId="2" fillId="0" borderId="45" xfId="1" applyNumberFormat="1" applyFont="1" applyFill="1" applyBorder="1" applyAlignment="1">
      <alignment horizontal="center" vertical="top" wrapText="1"/>
    </xf>
    <xf numFmtId="0" fontId="5" fillId="0" borderId="46" xfId="0" applyFont="1" applyFill="1" applyBorder="1" applyAlignment="1">
      <alignment vertical="top" wrapText="1"/>
    </xf>
    <xf numFmtId="0" fontId="5" fillId="0" borderId="47" xfId="0" applyFont="1" applyFill="1" applyBorder="1" applyAlignment="1">
      <alignment vertical="top" wrapText="1"/>
    </xf>
    <xf numFmtId="0" fontId="5" fillId="0" borderId="50" xfId="0" applyFont="1" applyFill="1" applyBorder="1" applyAlignment="1">
      <alignment horizontal="center" vertical="top" wrapText="1"/>
    </xf>
    <xf numFmtId="0" fontId="5" fillId="0" borderId="49" xfId="0" applyFont="1" applyFill="1" applyBorder="1" applyAlignment="1">
      <alignment vertical="top" wrapText="1"/>
    </xf>
    <xf numFmtId="0" fontId="5" fillId="0" borderId="50" xfId="0" applyFont="1" applyFill="1" applyBorder="1" applyAlignment="1">
      <alignment vertical="top" wrapText="1"/>
    </xf>
    <xf numFmtId="0" fontId="6" fillId="0" borderId="49" xfId="0" applyFont="1" applyFill="1" applyBorder="1" applyAlignment="1">
      <alignment vertical="top" wrapText="1"/>
    </xf>
    <xf numFmtId="0" fontId="6" fillId="0" borderId="50" xfId="0" applyFont="1" applyFill="1" applyBorder="1" applyAlignment="1">
      <alignment vertical="top" wrapText="1"/>
    </xf>
    <xf numFmtId="0" fontId="1" fillId="0" borderId="49" xfId="0" applyFont="1" applyFill="1" applyBorder="1" applyAlignment="1">
      <alignment horizontal="left" wrapText="1"/>
    </xf>
    <xf numFmtId="0" fontId="6" fillId="0" borderId="49" xfId="0" applyFont="1" applyFill="1" applyBorder="1" applyAlignment="1">
      <alignment horizontal="left" vertical="top" wrapText="1"/>
    </xf>
    <xf numFmtId="0" fontId="5" fillId="0" borderId="58" xfId="0" applyFont="1" applyFill="1" applyBorder="1" applyAlignment="1">
      <alignment vertical="top" wrapText="1"/>
    </xf>
    <xf numFmtId="0" fontId="5" fillId="0" borderId="47" xfId="0" applyFont="1" applyFill="1" applyBorder="1" applyAlignment="1">
      <alignment horizontal="left" vertical="top" wrapText="1"/>
    </xf>
    <xf numFmtId="0" fontId="1" fillId="0" borderId="50" xfId="0" applyFont="1" applyFill="1" applyBorder="1" applyAlignment="1">
      <alignment vertical="top" wrapText="1"/>
    </xf>
    <xf numFmtId="0" fontId="1" fillId="0" borderId="49" xfId="0" applyFont="1" applyFill="1" applyBorder="1" applyAlignment="1">
      <alignment vertical="top"/>
    </xf>
    <xf numFmtId="0" fontId="5" fillId="0" borderId="51" xfId="0" applyFont="1" applyFill="1" applyBorder="1" applyAlignment="1">
      <alignment vertical="top" wrapText="1"/>
    </xf>
    <xf numFmtId="169" fontId="5" fillId="0" borderId="59" xfId="1" applyNumberFormat="1" applyFont="1" applyFill="1" applyBorder="1" applyAlignment="1">
      <alignment horizontal="right" vertical="top" wrapText="1"/>
    </xf>
    <xf numFmtId="172" fontId="5" fillId="0" borderId="59" xfId="1" applyNumberFormat="1" applyFont="1" applyFill="1" applyBorder="1" applyAlignment="1">
      <alignment horizontal="right" vertical="top" wrapText="1"/>
    </xf>
    <xf numFmtId="165" fontId="5" fillId="0" borderId="59" xfId="1" applyFont="1" applyFill="1" applyBorder="1" applyAlignment="1">
      <alignment horizontal="right" vertical="top" wrapText="1"/>
    </xf>
    <xf numFmtId="0" fontId="5" fillId="0" borderId="52" xfId="0" applyFont="1" applyFill="1" applyBorder="1" applyAlignment="1">
      <alignment vertical="top" wrapText="1"/>
    </xf>
    <xf numFmtId="0" fontId="33" fillId="0" borderId="60" xfId="0" applyFont="1" applyBorder="1" applyAlignment="1">
      <alignment horizontal="center" vertical="top" wrapText="1"/>
    </xf>
    <xf numFmtId="0" fontId="33" fillId="0" borderId="61" xfId="0" applyFont="1" applyBorder="1" applyAlignment="1">
      <alignment horizontal="center" vertical="top" wrapText="1"/>
    </xf>
    <xf numFmtId="0" fontId="33" fillId="0" borderId="40" xfId="0" applyFont="1" applyBorder="1" applyAlignment="1">
      <alignment horizontal="center" vertical="top" wrapText="1"/>
    </xf>
    <xf numFmtId="0" fontId="31" fillId="0" borderId="20" xfId="0" applyFont="1" applyBorder="1" applyAlignment="1">
      <alignment horizontal="center" vertical="top" wrapText="1"/>
    </xf>
    <xf numFmtId="0" fontId="31" fillId="0" borderId="19" xfId="0" applyFont="1" applyFill="1" applyBorder="1"/>
    <xf numFmtId="0" fontId="31" fillId="0" borderId="21" xfId="0" applyFont="1" applyBorder="1" applyAlignment="1">
      <alignment vertical="top" wrapText="1"/>
    </xf>
    <xf numFmtId="0" fontId="33" fillId="0" borderId="37" xfId="0" applyFont="1" applyBorder="1" applyAlignment="1">
      <alignment vertical="top" wrapText="1"/>
    </xf>
    <xf numFmtId="172" fontId="33" fillId="0" borderId="37" xfId="0" applyNumberFormat="1" applyFont="1" applyBorder="1" applyAlignment="1">
      <alignment horizontal="right" vertical="top" wrapText="1"/>
    </xf>
    <xf numFmtId="172" fontId="33" fillId="0" borderId="14" xfId="0" applyNumberFormat="1" applyFont="1" applyBorder="1" applyAlignment="1">
      <alignment horizontal="right" vertical="top" wrapText="1"/>
    </xf>
    <xf numFmtId="172" fontId="33" fillId="0" borderId="37" xfId="0" applyNumberFormat="1" applyFont="1" applyBorder="1" applyAlignment="1">
      <alignment horizontal="center" vertical="top" wrapText="1"/>
    </xf>
    <xf numFmtId="0" fontId="31" fillId="0" borderId="37" xfId="0" applyFont="1" applyBorder="1" applyAlignment="1">
      <alignment vertical="top" wrapText="1"/>
    </xf>
    <xf numFmtId="0" fontId="31" fillId="0" borderId="37" xfId="0" applyFont="1" applyBorder="1" applyAlignment="1">
      <alignment horizontal="center" vertical="top" wrapText="1"/>
    </xf>
    <xf numFmtId="0" fontId="31" fillId="0" borderId="52" xfId="0" applyFont="1" applyBorder="1" applyAlignment="1">
      <alignment horizontal="center" vertical="top" wrapText="1"/>
    </xf>
    <xf numFmtId="0" fontId="5" fillId="0" borderId="53" xfId="0" applyFont="1" applyFill="1" applyBorder="1" applyAlignment="1">
      <alignment horizontal="center" vertical="center"/>
    </xf>
    <xf numFmtId="0" fontId="5" fillId="0" borderId="60" xfId="0" applyFont="1" applyFill="1" applyBorder="1" applyAlignment="1">
      <alignment horizontal="center" vertical="center"/>
    </xf>
    <xf numFmtId="170" fontId="5" fillId="0" borderId="60" xfId="1" applyNumberFormat="1" applyFont="1" applyFill="1" applyBorder="1" applyAlignment="1">
      <alignment horizontal="center" vertical="center" wrapText="1"/>
    </xf>
    <xf numFmtId="170" fontId="5" fillId="0" borderId="61" xfId="1" applyNumberFormat="1" applyFont="1" applyFill="1" applyBorder="1" applyAlignment="1">
      <alignment horizontal="center" vertical="center" wrapText="1"/>
    </xf>
    <xf numFmtId="0" fontId="5" fillId="0" borderId="62" xfId="0" applyFont="1" applyFill="1" applyBorder="1" applyAlignment="1">
      <alignment horizontal="center" vertical="top"/>
    </xf>
    <xf numFmtId="1" fontId="5" fillId="0" borderId="19" xfId="0" applyNumberFormat="1" applyFont="1" applyFill="1" applyBorder="1" applyAlignment="1">
      <alignment horizontal="left" vertical="top"/>
    </xf>
    <xf numFmtId="173" fontId="6" fillId="0" borderId="19" xfId="0" applyNumberFormat="1" applyFont="1" applyFill="1" applyBorder="1" applyAlignment="1">
      <alignment vertical="top"/>
    </xf>
    <xf numFmtId="170" fontId="6" fillId="0" borderId="49" xfId="1" applyNumberFormat="1" applyFont="1" applyFill="1" applyBorder="1" applyAlignment="1"/>
    <xf numFmtId="173" fontId="5" fillId="0" borderId="19" xfId="0" applyNumberFormat="1" applyFont="1" applyFill="1" applyBorder="1" applyAlignment="1">
      <alignment vertical="top"/>
    </xf>
    <xf numFmtId="173" fontId="2" fillId="0" borderId="19" xfId="0" applyNumberFormat="1" applyFont="1" applyFill="1" applyBorder="1" applyAlignment="1">
      <alignment vertical="top"/>
    </xf>
    <xf numFmtId="173" fontId="1" fillId="0" borderId="19" xfId="0" applyNumberFormat="1" applyFont="1" applyFill="1" applyBorder="1" applyAlignment="1">
      <alignment vertical="top"/>
    </xf>
    <xf numFmtId="173" fontId="1" fillId="0" borderId="19" xfId="0" applyNumberFormat="1" applyFont="1" applyFill="1" applyBorder="1" applyAlignment="1">
      <alignment vertical="top" wrapText="1"/>
    </xf>
    <xf numFmtId="170" fontId="6" fillId="0" borderId="20" xfId="1" applyNumberFormat="1" applyFont="1" applyFill="1" applyBorder="1" applyAlignment="1"/>
    <xf numFmtId="173" fontId="2" fillId="0" borderId="63" xfId="0" applyNumberFormat="1" applyFont="1" applyFill="1" applyBorder="1" applyAlignment="1">
      <alignment vertical="top"/>
    </xf>
    <xf numFmtId="0" fontId="2" fillId="0" borderId="19" xfId="0" applyFont="1" applyFill="1" applyBorder="1" applyAlignment="1">
      <alignment horizontal="center"/>
    </xf>
    <xf numFmtId="0" fontId="2" fillId="0" borderId="19" xfId="0" applyFont="1" applyFill="1" applyBorder="1" applyAlignment="1">
      <alignment vertical="top" wrapText="1"/>
    </xf>
    <xf numFmtId="0" fontId="1" fillId="0" borderId="19" xfId="0" applyFont="1" applyFill="1" applyBorder="1" applyAlignment="1">
      <alignment vertical="top" wrapText="1"/>
    </xf>
    <xf numFmtId="0" fontId="16" fillId="0" borderId="19" xfId="0" applyFont="1" applyFill="1" applyBorder="1" applyAlignment="1">
      <alignment vertical="top" wrapText="1"/>
    </xf>
    <xf numFmtId="0" fontId="1" fillId="0" borderId="21" xfId="0" applyFont="1" applyFill="1" applyBorder="1" applyAlignment="1">
      <alignment vertical="top" wrapText="1"/>
    </xf>
    <xf numFmtId="170" fontId="17" fillId="0" borderId="0" xfId="1" applyNumberFormat="1" applyFont="1" applyFill="1" applyBorder="1" applyAlignment="1">
      <alignment horizontal="left"/>
    </xf>
    <xf numFmtId="174" fontId="17" fillId="0" borderId="0" xfId="1" applyNumberFormat="1" applyFont="1" applyFill="1" applyBorder="1" applyAlignment="1">
      <alignment horizontal="left"/>
    </xf>
    <xf numFmtId="0" fontId="16" fillId="0" borderId="0" xfId="0" applyFont="1" applyFill="1" applyBorder="1" applyAlignment="1"/>
    <xf numFmtId="177" fontId="16" fillId="0" borderId="0" xfId="0" applyNumberFormat="1" applyFont="1" applyFill="1" applyBorder="1" applyAlignment="1"/>
    <xf numFmtId="170" fontId="16" fillId="0" borderId="0" xfId="1" applyNumberFormat="1" applyFont="1" applyFill="1" applyBorder="1" applyAlignment="1"/>
    <xf numFmtId="170" fontId="17" fillId="0" borderId="0" xfId="1" applyNumberFormat="1" applyFont="1" applyFill="1" applyBorder="1" applyAlignment="1">
      <alignment horizontal="center"/>
    </xf>
    <xf numFmtId="170" fontId="17" fillId="0" borderId="0" xfId="1" quotePrefix="1" applyNumberFormat="1" applyFont="1" applyFill="1" applyBorder="1" applyAlignment="1">
      <alignment horizontal="center"/>
    </xf>
    <xf numFmtId="0" fontId="17" fillId="0" borderId="0" xfId="0" quotePrefix="1" applyFont="1" applyFill="1" applyBorder="1" applyAlignment="1">
      <alignment horizontal="center"/>
    </xf>
    <xf numFmtId="174" fontId="17" fillId="0" borderId="0" xfId="0" quotePrefix="1" applyNumberFormat="1" applyFont="1" applyFill="1" applyBorder="1" applyAlignment="1">
      <alignment horizontal="left"/>
    </xf>
    <xf numFmtId="177" fontId="17" fillId="0" borderId="0" xfId="0" applyNumberFormat="1" applyFont="1" applyFill="1" applyBorder="1" applyAlignment="1"/>
    <xf numFmtId="0" fontId="17" fillId="0" borderId="0" xfId="0" applyFont="1" applyFill="1" applyBorder="1" applyAlignment="1"/>
    <xf numFmtId="174" fontId="17" fillId="0" borderId="0" xfId="0" applyNumberFormat="1" applyFont="1" applyFill="1" applyBorder="1" applyAlignment="1">
      <alignment horizontal="left"/>
    </xf>
    <xf numFmtId="174" fontId="16" fillId="0" borderId="0" xfId="0" applyNumberFormat="1" applyFont="1" applyFill="1" applyBorder="1" applyAlignment="1">
      <alignment horizontal="left"/>
    </xf>
    <xf numFmtId="177" fontId="17" fillId="0" borderId="0" xfId="1" applyNumberFormat="1" applyFont="1" applyFill="1" applyBorder="1" applyAlignment="1"/>
    <xf numFmtId="177" fontId="16" fillId="0" borderId="0" xfId="1" applyNumberFormat="1" applyFont="1" applyFill="1" applyBorder="1" applyAlignment="1"/>
    <xf numFmtId="0" fontId="16" fillId="0" borderId="0" xfId="0" applyFont="1" applyFill="1" applyBorder="1" applyAlignment="1">
      <alignment horizontal="left" vertical="top" wrapText="1" indent="2"/>
    </xf>
    <xf numFmtId="0" fontId="17" fillId="0" borderId="0" xfId="0" applyFont="1" applyFill="1" applyAlignment="1"/>
    <xf numFmtId="0" fontId="16" fillId="0" borderId="0" xfId="0" applyFont="1" applyFill="1" applyBorder="1" applyAlignment="1">
      <alignment horizontal="justify" vertical="justify"/>
    </xf>
    <xf numFmtId="0" fontId="16" fillId="0" borderId="0" xfId="0" applyFont="1" applyFill="1" applyBorder="1" applyAlignment="1">
      <alignment horizontal="justify" vertical="justify" wrapText="1"/>
    </xf>
    <xf numFmtId="177" fontId="17" fillId="0" borderId="0" xfId="1" applyNumberFormat="1" applyFont="1" applyFill="1" applyBorder="1" applyAlignment="1">
      <alignment horizontal="center"/>
    </xf>
    <xf numFmtId="0" fontId="16" fillId="0" borderId="0" xfId="0" applyFont="1" applyFill="1" applyBorder="1" applyAlignment="1">
      <alignment horizontal="justify" vertical="center"/>
    </xf>
    <xf numFmtId="0" fontId="17" fillId="0" borderId="0" xfId="0" applyFont="1" applyFill="1" applyBorder="1" applyAlignment="1">
      <alignment horizontal="center" wrapText="1"/>
    </xf>
    <xf numFmtId="174" fontId="17" fillId="0" borderId="0" xfId="0" applyNumberFormat="1" applyFont="1" applyFill="1" applyBorder="1" applyAlignment="1">
      <alignment horizontal="left" wrapText="1"/>
    </xf>
    <xf numFmtId="0" fontId="16" fillId="0" borderId="0" xfId="0" applyFont="1" applyFill="1" applyBorder="1" applyAlignment="1">
      <alignment wrapText="1"/>
    </xf>
    <xf numFmtId="177" fontId="16" fillId="0" borderId="0" xfId="0" applyNumberFormat="1" applyFont="1" applyFill="1" applyAlignment="1"/>
    <xf numFmtId="177" fontId="16" fillId="0" borderId="0" xfId="1" applyNumberFormat="1" applyFont="1" applyFill="1" applyBorder="1"/>
    <xf numFmtId="170" fontId="16" fillId="0" borderId="0" xfId="1" applyNumberFormat="1" applyFont="1" applyFill="1" applyBorder="1"/>
    <xf numFmtId="177" fontId="17" fillId="0" borderId="0" xfId="1" applyNumberFormat="1" applyFont="1" applyFill="1" applyBorder="1"/>
    <xf numFmtId="0" fontId="16" fillId="0" borderId="0" xfId="0" quotePrefix="1" applyFont="1" applyFill="1" applyBorder="1" applyAlignment="1">
      <alignment horizontal="center"/>
    </xf>
    <xf numFmtId="174" fontId="16" fillId="0" borderId="0" xfId="0" quotePrefix="1" applyNumberFormat="1" applyFont="1" applyFill="1" applyBorder="1" applyAlignment="1">
      <alignment horizontal="left"/>
    </xf>
    <xf numFmtId="0" fontId="16" fillId="0" borderId="0" xfId="0" applyFont="1" applyFill="1" applyBorder="1" applyAlignment="1">
      <alignment horizontal="left" vertical="top" wrapText="1" indent="1"/>
    </xf>
    <xf numFmtId="170" fontId="17" fillId="0" borderId="0" xfId="1" applyNumberFormat="1" applyFont="1" applyFill="1" applyBorder="1"/>
    <xf numFmtId="0" fontId="17" fillId="0" borderId="0" xfId="0" applyFont="1" applyFill="1" applyBorder="1" applyAlignment="1">
      <alignment horizontal="justify" wrapText="1"/>
    </xf>
    <xf numFmtId="0" fontId="16" fillId="0" borderId="0" xfId="0" applyFont="1" applyFill="1" applyBorder="1" applyAlignment="1">
      <alignment horizontal="justify" wrapText="1"/>
    </xf>
    <xf numFmtId="174" fontId="17" fillId="0" borderId="0" xfId="1" applyNumberFormat="1" applyFont="1" applyFill="1" applyAlignment="1">
      <alignment horizontal="left"/>
    </xf>
    <xf numFmtId="0" fontId="16" fillId="0" borderId="0" xfId="0" applyFont="1" applyFill="1" applyAlignment="1">
      <alignment vertical="center" wrapText="1"/>
    </xf>
    <xf numFmtId="177" fontId="17" fillId="0" borderId="0" xfId="0" applyNumberFormat="1" applyFont="1" applyFill="1" applyAlignment="1"/>
    <xf numFmtId="0" fontId="16" fillId="0" borderId="0" xfId="0" applyFont="1" applyFill="1" applyBorder="1" applyAlignment="1">
      <alignment vertical="top"/>
    </xf>
    <xf numFmtId="0" fontId="16" fillId="0" borderId="0" xfId="0" applyFont="1" applyFill="1" applyBorder="1" applyAlignment="1">
      <alignment horizontal="left" vertical="top" indent="2"/>
    </xf>
    <xf numFmtId="0" fontId="16" fillId="0" borderId="0" xfId="0" applyFont="1" applyFill="1" applyBorder="1" applyAlignment="1">
      <alignment horizontal="left" vertical="top" indent="1"/>
    </xf>
    <xf numFmtId="0" fontId="17" fillId="0" borderId="0" xfId="0" applyFont="1" applyFill="1" applyBorder="1" applyAlignment="1">
      <alignment horizontal="left" vertical="top" indent="2"/>
    </xf>
    <xf numFmtId="0" fontId="62" fillId="0" borderId="0" xfId="0" applyFont="1" applyFill="1" applyBorder="1"/>
    <xf numFmtId="168" fontId="1" fillId="0" borderId="0" xfId="1" applyNumberFormat="1" applyFont="1" applyFill="1"/>
    <xf numFmtId="181" fontId="1" fillId="0" borderId="0" xfId="1" applyNumberFormat="1" applyFont="1" applyFill="1" applyBorder="1"/>
    <xf numFmtId="0" fontId="42" fillId="0" borderId="0" xfId="0" applyFont="1" applyFill="1" applyBorder="1"/>
    <xf numFmtId="0" fontId="16" fillId="0" borderId="0" xfId="0" applyFont="1" applyFill="1" applyBorder="1" applyAlignment="1">
      <alignment horizontal="left" vertical="top" wrapText="1" indent="4"/>
    </xf>
    <xf numFmtId="174" fontId="17" fillId="0" borderId="0" xfId="0" applyNumberFormat="1" applyFont="1" applyFill="1" applyBorder="1" applyAlignment="1">
      <alignment horizontal="left" vertical="justify" wrapText="1"/>
    </xf>
    <xf numFmtId="0" fontId="17" fillId="0" borderId="0" xfId="0" applyFont="1" applyFill="1" applyBorder="1" applyAlignment="1">
      <alignment horizontal="justify" vertical="justify" wrapText="1"/>
    </xf>
    <xf numFmtId="3" fontId="16" fillId="0" borderId="0" xfId="0" applyNumberFormat="1" applyFont="1" applyFill="1" applyBorder="1" applyAlignment="1">
      <alignment horizontal="center"/>
    </xf>
    <xf numFmtId="177" fontId="16" fillId="0" borderId="0" xfId="0" applyNumberFormat="1" applyFont="1" applyFill="1" applyBorder="1" applyAlignment="1">
      <alignment horizontal="justify" vertical="justify" wrapText="1"/>
    </xf>
    <xf numFmtId="170" fontId="17" fillId="0" borderId="0" xfId="1" applyNumberFormat="1" applyFont="1" applyFill="1" applyBorder="1" applyAlignment="1"/>
    <xf numFmtId="2" fontId="17" fillId="0" borderId="0" xfId="0" quotePrefix="1" applyNumberFormat="1" applyFont="1" applyFill="1" applyBorder="1" applyAlignment="1">
      <alignment horizontal="left"/>
    </xf>
    <xf numFmtId="2" fontId="17" fillId="0" borderId="0" xfId="0" applyNumberFormat="1" applyFont="1" applyFill="1" applyBorder="1" applyAlignment="1">
      <alignment horizontal="left"/>
    </xf>
    <xf numFmtId="2" fontId="17" fillId="0" borderId="0" xfId="0" applyNumberFormat="1" applyFont="1" applyFill="1" applyBorder="1" applyAlignment="1">
      <alignment horizontal="left" vertical="justify" wrapText="1"/>
    </xf>
    <xf numFmtId="177" fontId="16" fillId="0" borderId="0" xfId="1" quotePrefix="1" applyNumberFormat="1" applyFont="1" applyFill="1" applyBorder="1" applyAlignment="1">
      <alignment horizontal="center"/>
    </xf>
    <xf numFmtId="0" fontId="16" fillId="0" borderId="0" xfId="0" applyFont="1" applyFill="1" applyBorder="1" applyAlignment="1">
      <alignment horizontal="justify" vertical="top" wrapText="1"/>
    </xf>
    <xf numFmtId="174" fontId="17" fillId="0" borderId="0" xfId="0" quotePrefix="1" applyNumberFormat="1" applyFont="1" applyFill="1" applyBorder="1" applyAlignment="1">
      <alignment horizontal="left" vertical="top"/>
    </xf>
    <xf numFmtId="0" fontId="17" fillId="0" borderId="0" xfId="0" quotePrefix="1" applyFont="1" applyFill="1" applyBorder="1" applyAlignment="1">
      <alignment horizontal="center" vertical="top"/>
    </xf>
    <xf numFmtId="174" fontId="17" fillId="0" borderId="0" xfId="0" applyNumberFormat="1" applyFont="1" applyFill="1" applyBorder="1" applyAlignment="1">
      <alignment horizontal="left" vertical="top"/>
    </xf>
    <xf numFmtId="0" fontId="17" fillId="0" borderId="0" xfId="0" applyFont="1" applyFill="1" applyBorder="1" applyAlignment="1">
      <alignment horizontal="center" vertical="top"/>
    </xf>
    <xf numFmtId="177" fontId="16" fillId="0" borderId="0" xfId="1" applyNumberFormat="1" applyFont="1" applyFill="1" applyBorder="1" applyAlignment="1">
      <alignment vertical="top"/>
    </xf>
    <xf numFmtId="0" fontId="17" fillId="0" borderId="0" xfId="0" applyFont="1" applyFill="1" applyBorder="1" applyAlignment="1">
      <alignment vertical="top"/>
    </xf>
    <xf numFmtId="0" fontId="17" fillId="0" borderId="0" xfId="0" applyFont="1" applyFill="1" applyBorder="1" applyAlignment="1">
      <alignment horizontal="left" vertical="top" wrapText="1"/>
    </xf>
    <xf numFmtId="0" fontId="17" fillId="0" borderId="0" xfId="0" applyFont="1" applyFill="1" applyBorder="1" applyAlignment="1">
      <alignment horizontal="justify" vertical="top" wrapText="1"/>
    </xf>
    <xf numFmtId="1" fontId="17" fillId="0" borderId="0" xfId="0" quotePrefix="1" applyNumberFormat="1" applyFont="1" applyFill="1" applyBorder="1" applyAlignment="1">
      <alignment horizontal="center" vertical="top"/>
    </xf>
    <xf numFmtId="174" fontId="17" fillId="0" borderId="0" xfId="0" applyNumberFormat="1" applyFont="1" applyFill="1" applyBorder="1" applyAlignment="1">
      <alignment horizontal="center"/>
    </xf>
    <xf numFmtId="0" fontId="16" fillId="0" borderId="0" xfId="0" applyFont="1" applyFill="1" applyAlignment="1">
      <alignment vertical="justify" wrapText="1"/>
    </xf>
    <xf numFmtId="0" fontId="16" fillId="0" borderId="0" xfId="0" quotePrefix="1" applyNumberFormat="1" applyFont="1" applyFill="1" applyAlignment="1">
      <alignment wrapText="1"/>
    </xf>
    <xf numFmtId="0" fontId="16" fillId="0" borderId="0" xfId="0" applyFont="1" applyFill="1" applyAlignment="1">
      <alignment horizontal="justify" wrapText="1"/>
    </xf>
    <xf numFmtId="3" fontId="16" fillId="0" borderId="0" xfId="1" applyNumberFormat="1" applyFont="1" applyFill="1" applyBorder="1" applyAlignment="1"/>
    <xf numFmtId="3" fontId="16" fillId="0" borderId="0" xfId="0" applyNumberFormat="1" applyFont="1" applyFill="1" applyBorder="1" applyAlignment="1"/>
    <xf numFmtId="3" fontId="17" fillId="0" borderId="0" xfId="1" applyNumberFormat="1" applyFont="1" applyFill="1" applyBorder="1" applyAlignment="1">
      <alignment horizontal="center"/>
    </xf>
    <xf numFmtId="3" fontId="17" fillId="0" borderId="0" xfId="1" quotePrefix="1" applyNumberFormat="1" applyFont="1" applyFill="1" applyBorder="1" applyAlignment="1">
      <alignment horizontal="center"/>
    </xf>
    <xf numFmtId="3" fontId="17" fillId="0" borderId="0" xfId="0" applyNumberFormat="1" applyFont="1" applyFill="1" applyBorder="1" applyAlignment="1">
      <alignment horizontal="center"/>
    </xf>
    <xf numFmtId="3" fontId="17" fillId="0" borderId="0" xfId="0" applyNumberFormat="1" applyFont="1" applyFill="1" applyBorder="1" applyAlignment="1"/>
    <xf numFmtId="3" fontId="17" fillId="0" borderId="0" xfId="1" applyNumberFormat="1" applyFont="1" applyFill="1" applyBorder="1" applyAlignment="1"/>
    <xf numFmtId="3" fontId="17" fillId="0" borderId="0" xfId="0" applyNumberFormat="1" applyFont="1" applyFill="1" applyAlignment="1"/>
    <xf numFmtId="3" fontId="16" fillId="0" borderId="0" xfId="1" applyNumberFormat="1" applyFont="1" applyFill="1" applyAlignment="1"/>
    <xf numFmtId="3" fontId="16" fillId="0" borderId="0" xfId="0" applyNumberFormat="1" applyFont="1" applyFill="1" applyAlignment="1"/>
    <xf numFmtId="3" fontId="16" fillId="0" borderId="0" xfId="1" applyNumberFormat="1" applyFont="1" applyFill="1" applyBorder="1"/>
    <xf numFmtId="3" fontId="17" fillId="0" borderId="0" xfId="1" applyNumberFormat="1" applyFont="1" applyFill="1" applyBorder="1"/>
    <xf numFmtId="3" fontId="17" fillId="0" borderId="3" xfId="1" applyNumberFormat="1" applyFont="1" applyFill="1" applyBorder="1"/>
    <xf numFmtId="3" fontId="62" fillId="0" borderId="0" xfId="0" applyNumberFormat="1" applyFont="1" applyFill="1" applyAlignment="1">
      <alignment horizontal="center"/>
    </xf>
    <xf numFmtId="3" fontId="1" fillId="0" borderId="0" xfId="1" applyNumberFormat="1" applyFont="1" applyFill="1"/>
    <xf numFmtId="3" fontId="16" fillId="0" borderId="0" xfId="0" applyNumberFormat="1" applyFont="1" applyFill="1" applyBorder="1" applyAlignment="1">
      <alignment horizontal="justify" vertical="justify" wrapText="1"/>
    </xf>
    <xf numFmtId="3" fontId="16" fillId="0" borderId="0" xfId="1" quotePrefix="1" applyNumberFormat="1" applyFont="1" applyFill="1" applyBorder="1" applyAlignment="1">
      <alignment horizontal="center"/>
    </xf>
    <xf numFmtId="3" fontId="16" fillId="0" borderId="0" xfId="1" applyNumberFormat="1" applyFont="1" applyFill="1" applyBorder="1" applyAlignment="1">
      <alignment vertical="top"/>
    </xf>
    <xf numFmtId="3" fontId="16" fillId="0" borderId="0" xfId="0" applyNumberFormat="1" applyFont="1" applyFill="1" applyBorder="1" applyAlignment="1">
      <alignment vertical="top"/>
    </xf>
    <xf numFmtId="3" fontId="16" fillId="0" borderId="6" xfId="1" applyNumberFormat="1" applyFont="1" applyFill="1" applyBorder="1" applyAlignment="1">
      <alignment vertical="top"/>
    </xf>
    <xf numFmtId="3" fontId="17" fillId="0" borderId="0" xfId="1" applyNumberFormat="1" applyFont="1" applyFill="1" applyBorder="1" applyAlignment="1">
      <alignment vertical="top"/>
    </xf>
    <xf numFmtId="3" fontId="16" fillId="0" borderId="0" xfId="1" applyNumberFormat="1" applyFont="1" applyFill="1" applyBorder="1" applyAlignment="1">
      <alignment vertical="top" wrapText="1"/>
    </xf>
    <xf numFmtId="3" fontId="17" fillId="0" borderId="0" xfId="1" applyNumberFormat="1" applyFont="1" applyFill="1" applyBorder="1" applyAlignment="1">
      <alignment vertical="top" wrapText="1"/>
    </xf>
    <xf numFmtId="3" fontId="16" fillId="0" borderId="0" xfId="0" applyNumberFormat="1" applyFont="1" applyFill="1" applyAlignment="1">
      <alignment horizontal="right"/>
    </xf>
    <xf numFmtId="0" fontId="16" fillId="0" borderId="14" xfId="0" applyFont="1" applyFill="1" applyBorder="1" applyAlignment="1">
      <alignment wrapText="1"/>
    </xf>
    <xf numFmtId="0" fontId="16" fillId="0" borderId="14" xfId="0" applyFont="1" applyFill="1" applyBorder="1" applyAlignment="1">
      <alignment horizontal="right" wrapText="1"/>
    </xf>
    <xf numFmtId="0" fontId="0" fillId="0" borderId="0" xfId="0" applyFill="1" applyAlignment="1">
      <alignment wrapText="1"/>
    </xf>
    <xf numFmtId="0" fontId="70" fillId="0" borderId="0" xfId="0" applyFont="1" applyFill="1" applyAlignment="1">
      <alignment horizontal="center"/>
    </xf>
    <xf numFmtId="0" fontId="68" fillId="0" borderId="0" xfId="0" applyFont="1" applyFill="1"/>
    <xf numFmtId="0" fontId="59" fillId="0" borderId="0" xfId="0" applyFont="1" applyAlignment="1">
      <alignment wrapText="1"/>
    </xf>
    <xf numFmtId="0" fontId="61" fillId="0" borderId="0" xfId="1" applyNumberFormat="1" applyFont="1" applyAlignment="1">
      <alignment horizontal="left" vertical="top"/>
    </xf>
    <xf numFmtId="0" fontId="0" fillId="0" borderId="0" xfId="0" applyAlignment="1">
      <alignment horizontal="left" vertical="top"/>
    </xf>
    <xf numFmtId="0" fontId="59" fillId="0" borderId="0" xfId="0" applyFont="1" applyAlignment="1">
      <alignment vertical="top" wrapText="1"/>
    </xf>
    <xf numFmtId="0" fontId="59" fillId="0" borderId="0" xfId="0" applyFont="1" applyAlignment="1">
      <alignment vertical="top"/>
    </xf>
    <xf numFmtId="0" fontId="70" fillId="0" borderId="0" xfId="0" applyFont="1" applyFill="1"/>
    <xf numFmtId="0" fontId="0" fillId="0" borderId="0" xfId="0" applyAlignment="1"/>
    <xf numFmtId="0" fontId="59" fillId="0" borderId="0" xfId="0" applyFont="1" applyAlignment="1"/>
    <xf numFmtId="0" fontId="70" fillId="0" borderId="0" xfId="0" applyFont="1" applyAlignment="1">
      <alignment wrapText="1"/>
    </xf>
    <xf numFmtId="0" fontId="66" fillId="0" borderId="0" xfId="0" applyFont="1" applyAlignment="1">
      <alignment wrapText="1"/>
    </xf>
    <xf numFmtId="0" fontId="68" fillId="0" borderId="0" xfId="0" applyFont="1" applyFill="1" applyAlignment="1">
      <alignment vertical="center"/>
    </xf>
    <xf numFmtId="0" fontId="59" fillId="0" borderId="0" xfId="0" applyFont="1" applyAlignment="1">
      <alignment vertical="center"/>
    </xf>
    <xf numFmtId="0" fontId="59" fillId="0" borderId="0" xfId="0" applyFont="1" applyAlignment="1">
      <alignment vertical="center" wrapText="1"/>
    </xf>
    <xf numFmtId="0" fontId="69" fillId="0" borderId="0" xfId="0" applyFont="1" applyFill="1"/>
    <xf numFmtId="0" fontId="17" fillId="0" borderId="0" xfId="0" applyFont="1" applyFill="1" applyAlignment="1">
      <alignment horizontal="right"/>
    </xf>
    <xf numFmtId="3" fontId="62" fillId="0" borderId="7" xfId="0" applyNumberFormat="1" applyFont="1" applyBorder="1"/>
    <xf numFmtId="4" fontId="0" fillId="5" borderId="7" xfId="0" applyNumberFormat="1" applyFill="1" applyBorder="1"/>
    <xf numFmtId="4" fontId="0" fillId="0" borderId="0" xfId="0" applyNumberFormat="1" applyFill="1" applyBorder="1"/>
    <xf numFmtId="4" fontId="1" fillId="0" borderId="0" xfId="0" applyNumberFormat="1" applyFont="1" applyFill="1" applyBorder="1"/>
    <xf numFmtId="173" fontId="5" fillId="0" borderId="0" xfId="0" applyNumberFormat="1" applyFont="1" applyFill="1" applyBorder="1" applyAlignment="1">
      <alignment horizontal="center" vertical="top"/>
    </xf>
    <xf numFmtId="173" fontId="5" fillId="0" borderId="0" xfId="0" applyNumberFormat="1" applyFont="1" applyFill="1" applyBorder="1" applyAlignment="1">
      <alignment vertical="top"/>
    </xf>
    <xf numFmtId="0" fontId="69" fillId="0" borderId="0" xfId="0" applyFont="1" applyFill="1" applyAlignment="1">
      <alignment horizontal="left"/>
    </xf>
    <xf numFmtId="177" fontId="69" fillId="0" borderId="0" xfId="1" applyNumberFormat="1" applyFont="1" applyFill="1" applyAlignment="1"/>
    <xf numFmtId="0" fontId="69" fillId="0" borderId="0" xfId="0" applyFont="1" applyFill="1" applyBorder="1" applyAlignment="1"/>
    <xf numFmtId="3" fontId="69" fillId="0" borderId="0" xfId="0" applyNumberFormat="1" applyFont="1" applyFill="1" applyAlignment="1">
      <alignment horizontal="right"/>
    </xf>
    <xf numFmtId="181" fontId="62" fillId="0" borderId="84" xfId="1" applyNumberFormat="1" applyFont="1" applyFill="1" applyBorder="1"/>
    <xf numFmtId="0" fontId="61" fillId="0" borderId="17" xfId="0" applyFont="1" applyFill="1" applyBorder="1"/>
    <xf numFmtId="0" fontId="62" fillId="0" borderId="85" xfId="0" applyFont="1" applyFill="1" applyBorder="1" applyAlignment="1">
      <alignment horizontal="left"/>
    </xf>
    <xf numFmtId="181" fontId="62" fillId="0" borderId="86" xfId="1" applyNumberFormat="1" applyFont="1" applyFill="1" applyBorder="1"/>
    <xf numFmtId="0" fontId="61" fillId="0" borderId="19" xfId="0" applyFont="1" applyFill="1" applyBorder="1" applyAlignment="1">
      <alignment horizontal="left" indent="1"/>
    </xf>
    <xf numFmtId="181" fontId="17" fillId="0" borderId="38" xfId="1" applyNumberFormat="1" applyFont="1" applyFill="1" applyBorder="1"/>
    <xf numFmtId="181" fontId="62" fillId="0" borderId="45" xfId="0" applyNumberFormat="1" applyFont="1" applyFill="1" applyBorder="1" applyAlignment="1">
      <alignment wrapText="1"/>
    </xf>
    <xf numFmtId="181" fontId="62" fillId="0" borderId="46" xfId="0" applyNumberFormat="1" applyFont="1" applyFill="1" applyBorder="1" applyAlignment="1">
      <alignment wrapText="1"/>
    </xf>
    <xf numFmtId="0" fontId="62" fillId="0" borderId="32" xfId="0" applyFont="1" applyFill="1" applyBorder="1" applyAlignment="1">
      <alignment horizontal="center" vertical="center" wrapText="1"/>
    </xf>
    <xf numFmtId="181" fontId="62" fillId="0" borderId="33" xfId="1" applyNumberFormat="1" applyFont="1" applyFill="1" applyBorder="1" applyAlignment="1">
      <alignment horizontal="center" vertical="center" wrapText="1"/>
    </xf>
    <xf numFmtId="181" fontId="17" fillId="0" borderId="33" xfId="0" applyNumberFormat="1" applyFont="1" applyFill="1" applyBorder="1" applyAlignment="1">
      <alignment horizontal="center" vertical="center" wrapText="1"/>
    </xf>
    <xf numFmtId="181" fontId="17" fillId="0" borderId="34" xfId="0" applyNumberFormat="1" applyFont="1" applyFill="1" applyBorder="1" applyAlignment="1">
      <alignment horizontal="center" vertical="center" wrapText="1"/>
    </xf>
    <xf numFmtId="0" fontId="62" fillId="0" borderId="0" xfId="7" applyFont="1" applyFill="1"/>
    <xf numFmtId="165" fontId="61" fillId="0" borderId="0" xfId="1" applyNumberFormat="1" applyFont="1" applyFill="1" applyBorder="1"/>
    <xf numFmtId="4" fontId="0" fillId="5" borderId="0" xfId="0" applyNumberFormat="1" applyFill="1" applyBorder="1"/>
    <xf numFmtId="165" fontId="18" fillId="0" borderId="0" xfId="0" applyNumberFormat="1" applyFont="1" applyFill="1"/>
    <xf numFmtId="166" fontId="18" fillId="0" borderId="0" xfId="0" applyNumberFormat="1" applyFont="1" applyFill="1"/>
    <xf numFmtId="3" fontId="2" fillId="0" borderId="1" xfId="1" applyNumberFormat="1" applyFont="1" applyFill="1" applyBorder="1"/>
    <xf numFmtId="165" fontId="1" fillId="0" borderId="1" xfId="1" applyFont="1" applyFill="1" applyBorder="1"/>
    <xf numFmtId="0" fontId="61" fillId="9" borderId="0" xfId="0" applyFont="1" applyFill="1" applyBorder="1"/>
    <xf numFmtId="0" fontId="61" fillId="9" borderId="0" xfId="0" applyFont="1" applyFill="1" applyBorder="1" applyAlignment="1"/>
    <xf numFmtId="177" fontId="1" fillId="0" borderId="37" xfId="1" applyNumberFormat="1" applyFont="1" applyFill="1" applyBorder="1" applyAlignment="1"/>
    <xf numFmtId="177" fontId="5" fillId="0" borderId="14" xfId="1" applyNumberFormat="1" applyFont="1" applyFill="1" applyBorder="1" applyAlignment="1"/>
    <xf numFmtId="170" fontId="1" fillId="0" borderId="14" xfId="1" applyNumberFormat="1" applyFont="1" applyFill="1" applyBorder="1" applyAlignment="1"/>
    <xf numFmtId="170" fontId="6" fillId="0" borderId="52" xfId="1" applyNumberFormat="1" applyFont="1" applyFill="1" applyBorder="1" applyAlignment="1"/>
    <xf numFmtId="170" fontId="5" fillId="0" borderId="59" xfId="1" applyNumberFormat="1" applyFont="1" applyFill="1" applyBorder="1" applyAlignment="1">
      <alignment horizontal="center" vertical="top" wrapText="1"/>
    </xf>
    <xf numFmtId="0" fontId="5" fillId="0" borderId="8" xfId="0" applyFont="1" applyFill="1" applyBorder="1" applyAlignment="1">
      <alignment horizontal="center" vertical="top"/>
    </xf>
    <xf numFmtId="1" fontId="5" fillId="0" borderId="1" xfId="0" applyNumberFormat="1" applyFont="1" applyFill="1" applyBorder="1" applyAlignment="1">
      <alignment horizontal="left" vertical="top"/>
    </xf>
    <xf numFmtId="173" fontId="6" fillId="0" borderId="1" xfId="0" applyNumberFormat="1" applyFont="1" applyFill="1" applyBorder="1" applyAlignment="1">
      <alignment vertical="top"/>
    </xf>
    <xf numFmtId="165" fontId="61" fillId="0" borderId="0" xfId="1" applyFont="1" applyFill="1"/>
    <xf numFmtId="165" fontId="6" fillId="0" borderId="0" xfId="1" applyFont="1" applyFill="1" applyBorder="1" applyAlignment="1"/>
    <xf numFmtId="165" fontId="5" fillId="0" borderId="0" xfId="1" applyFont="1" applyFill="1" applyBorder="1" applyAlignment="1"/>
    <xf numFmtId="165" fontId="2" fillId="0" borderId="0" xfId="1" applyFont="1" applyFill="1" applyBorder="1" applyAlignment="1"/>
    <xf numFmtId="4" fontId="58" fillId="0" borderId="0" xfId="0" applyNumberFormat="1" applyFont="1" applyFill="1" applyAlignment="1">
      <alignment horizontal="center" wrapText="1"/>
    </xf>
    <xf numFmtId="4" fontId="58" fillId="0" borderId="0" xfId="0" quotePrefix="1" applyNumberFormat="1" applyFont="1" applyFill="1" applyAlignment="1">
      <alignment horizontal="center" wrapText="1"/>
    </xf>
    <xf numFmtId="4" fontId="0" fillId="0" borderId="0" xfId="0" applyNumberFormat="1" applyFill="1" applyBorder="1" applyAlignment="1">
      <alignment wrapText="1"/>
    </xf>
    <xf numFmtId="4" fontId="58" fillId="0" borderId="0" xfId="0" applyNumberFormat="1" applyFont="1" applyFill="1" applyBorder="1" applyAlignment="1">
      <alignment wrapText="1"/>
    </xf>
    <xf numFmtId="4" fontId="0" fillId="0" borderId="0" xfId="0" applyNumberFormat="1" applyFill="1" applyBorder="1" applyAlignment="1">
      <alignment horizontal="center" wrapText="1"/>
    </xf>
    <xf numFmtId="4" fontId="17" fillId="0" borderId="0" xfId="0" applyNumberFormat="1" applyFont="1" applyFill="1" applyBorder="1" applyAlignment="1">
      <alignment wrapText="1"/>
    </xf>
    <xf numFmtId="4" fontId="17" fillId="0" borderId="7" xfId="0" applyNumberFormat="1" applyFont="1" applyFill="1" applyBorder="1" applyAlignment="1">
      <alignment wrapText="1"/>
    </xf>
    <xf numFmtId="4" fontId="0" fillId="0" borderId="0" xfId="0" applyNumberFormat="1" applyFill="1" applyAlignment="1">
      <alignment wrapText="1"/>
    </xf>
    <xf numFmtId="4" fontId="58" fillId="10" borderId="0" xfId="0" quotePrefix="1" applyNumberFormat="1" applyFont="1" applyFill="1" applyAlignment="1">
      <alignment horizontal="center" wrapText="1"/>
    </xf>
    <xf numFmtId="4" fontId="58" fillId="11" borderId="0" xfId="0" quotePrefix="1" applyNumberFormat="1" applyFont="1" applyFill="1" applyAlignment="1">
      <alignment horizontal="center" wrapText="1"/>
    </xf>
    <xf numFmtId="4" fontId="0" fillId="0" borderId="0" xfId="0" applyNumberFormat="1" applyFill="1" applyBorder="1" applyAlignment="1">
      <alignment horizontal="center"/>
    </xf>
    <xf numFmtId="4" fontId="17" fillId="0" borderId="0" xfId="0" applyNumberFormat="1" applyFont="1" applyFill="1" applyBorder="1"/>
    <xf numFmtId="4" fontId="58" fillId="12" borderId="0" xfId="0" quotePrefix="1" applyNumberFormat="1" applyFont="1" applyFill="1" applyAlignment="1">
      <alignment horizontal="center" wrapText="1"/>
    </xf>
    <xf numFmtId="4" fontId="58" fillId="13" borderId="0" xfId="0" quotePrefix="1" applyNumberFormat="1" applyFont="1" applyFill="1" applyAlignment="1">
      <alignment horizontal="center" wrapText="1"/>
    </xf>
    <xf numFmtId="4" fontId="0" fillId="14" borderId="0" xfId="0" applyNumberFormat="1" applyFill="1"/>
    <xf numFmtId="4" fontId="58" fillId="14" borderId="0" xfId="0" applyNumberFormat="1" applyFont="1" applyFill="1" applyAlignment="1">
      <alignment horizontal="center"/>
    </xf>
    <xf numFmtId="4" fontId="0" fillId="15" borderId="0" xfId="0" applyNumberFormat="1" applyFill="1" applyBorder="1" applyAlignment="1">
      <alignment wrapText="1"/>
    </xf>
    <xf numFmtId="0" fontId="0" fillId="15" borderId="7" xfId="0" applyFill="1" applyBorder="1"/>
    <xf numFmtId="1" fontId="0" fillId="15" borderId="7" xfId="0" applyNumberFormat="1" applyFill="1" applyBorder="1" applyAlignment="1">
      <alignment horizontal="left"/>
    </xf>
    <xf numFmtId="1" fontId="0" fillId="15" borderId="7" xfId="0" quotePrefix="1" applyNumberFormat="1" applyFill="1" applyBorder="1" applyAlignment="1">
      <alignment horizontal="left"/>
    </xf>
    <xf numFmtId="4" fontId="0" fillId="15" borderId="24" xfId="0" applyNumberFormat="1" applyFill="1" applyBorder="1"/>
    <xf numFmtId="4" fontId="0" fillId="15" borderId="7" xfId="0" applyNumberFormat="1" applyFont="1" applyFill="1" applyBorder="1"/>
    <xf numFmtId="4" fontId="0" fillId="15" borderId="7" xfId="0" applyNumberFormat="1" applyFill="1" applyBorder="1"/>
    <xf numFmtId="4" fontId="0" fillId="15" borderId="0" xfId="0" applyNumberFormat="1" applyFill="1" applyBorder="1"/>
    <xf numFmtId="4" fontId="58" fillId="15" borderId="0" xfId="0" applyNumberFormat="1" applyFont="1" applyFill="1" applyBorder="1" applyAlignment="1">
      <alignment wrapText="1"/>
    </xf>
    <xf numFmtId="4" fontId="0" fillId="15" borderId="0" xfId="0" applyNumberFormat="1" applyFill="1"/>
    <xf numFmtId="0" fontId="0" fillId="5" borderId="7" xfId="0" applyFill="1" applyBorder="1"/>
    <xf numFmtId="1" fontId="0" fillId="5" borderId="7" xfId="0" applyNumberFormat="1" applyFill="1" applyBorder="1" applyAlignment="1">
      <alignment horizontal="left"/>
    </xf>
    <xf numFmtId="1" fontId="0" fillId="5" borderId="7" xfId="0" quotePrefix="1" applyNumberFormat="1" applyFill="1" applyBorder="1" applyAlignment="1">
      <alignment horizontal="left"/>
    </xf>
    <xf numFmtId="4" fontId="58" fillId="5" borderId="0" xfId="0" applyNumberFormat="1" applyFont="1" applyFill="1" applyBorder="1"/>
    <xf numFmtId="4" fontId="58" fillId="5" borderId="0" xfId="0" applyNumberFormat="1" applyFont="1" applyFill="1" applyBorder="1" applyAlignment="1">
      <alignment wrapText="1"/>
    </xf>
    <xf numFmtId="4" fontId="0" fillId="5" borderId="24" xfId="0" applyNumberFormat="1" applyFill="1" applyBorder="1"/>
    <xf numFmtId="4" fontId="0" fillId="5" borderId="24" xfId="0" applyNumberFormat="1" applyFont="1" applyFill="1" applyBorder="1"/>
    <xf numFmtId="4" fontId="0" fillId="5" borderId="7" xfId="0" applyNumberFormat="1" applyFont="1" applyFill="1" applyBorder="1"/>
    <xf numFmtId="4" fontId="0" fillId="5" borderId="0" xfId="0" applyNumberFormat="1" applyFill="1" applyBorder="1" applyAlignment="1">
      <alignment wrapText="1"/>
    </xf>
    <xf numFmtId="0" fontId="17" fillId="5" borderId="7" xfId="0" applyFont="1" applyFill="1" applyBorder="1"/>
    <xf numFmtId="4" fontId="0" fillId="5" borderId="0" xfId="0" applyNumberFormat="1" applyFill="1" applyAlignment="1">
      <alignment wrapText="1"/>
    </xf>
    <xf numFmtId="0" fontId="17" fillId="15" borderId="7" xfId="0" applyFont="1" applyFill="1" applyBorder="1"/>
    <xf numFmtId="4" fontId="58" fillId="15" borderId="24" xfId="0" applyNumberFormat="1" applyFont="1" applyFill="1" applyBorder="1"/>
    <xf numFmtId="4" fontId="58" fillId="15" borderId="7" xfId="0" applyNumberFormat="1" applyFont="1" applyFill="1" applyBorder="1"/>
    <xf numFmtId="4" fontId="58" fillId="15" borderId="0" xfId="0" applyNumberFormat="1" applyFont="1" applyFill="1" applyBorder="1"/>
    <xf numFmtId="166" fontId="0" fillId="15" borderId="3" xfId="0" applyNumberFormat="1" applyFill="1" applyBorder="1"/>
    <xf numFmtId="4" fontId="61" fillId="15" borderId="7" xfId="0" applyNumberFormat="1" applyFont="1" applyFill="1" applyBorder="1"/>
    <xf numFmtId="0" fontId="0" fillId="15" borderId="0" xfId="0" applyFill="1"/>
    <xf numFmtId="4" fontId="58" fillId="14" borderId="0" xfId="0" quotePrefix="1" applyNumberFormat="1" applyFont="1" applyFill="1" applyAlignment="1">
      <alignment horizontal="center" wrapText="1"/>
    </xf>
    <xf numFmtId="4" fontId="61" fillId="15" borderId="4" xfId="0" applyNumberFormat="1" applyFont="1" applyFill="1" applyBorder="1"/>
    <xf numFmtId="4" fontId="0" fillId="12" borderId="0" xfId="0" applyNumberFormat="1" applyFill="1" applyAlignment="1">
      <alignment wrapText="1"/>
    </xf>
    <xf numFmtId="4" fontId="58" fillId="12" borderId="0" xfId="0" applyNumberFormat="1" applyFont="1" applyFill="1" applyAlignment="1">
      <alignment horizontal="center" wrapText="1"/>
    </xf>
    <xf numFmtId="4" fontId="58" fillId="12" borderId="0" xfId="0" applyNumberFormat="1" applyFont="1" applyFill="1" applyBorder="1" applyAlignment="1">
      <alignment wrapText="1"/>
    </xf>
    <xf numFmtId="4" fontId="0" fillId="12" borderId="0" xfId="0" applyNumberFormat="1" applyFill="1" applyBorder="1" applyAlignment="1">
      <alignment wrapText="1"/>
    </xf>
    <xf numFmtId="165" fontId="2" fillId="0" borderId="0" xfId="0" applyNumberFormat="1" applyFont="1" applyFill="1" applyBorder="1" applyAlignment="1">
      <alignment horizontal="center"/>
    </xf>
    <xf numFmtId="165" fontId="2" fillId="0" borderId="0" xfId="0" applyNumberFormat="1" applyFont="1" applyFill="1" applyBorder="1"/>
    <xf numFmtId="170" fontId="1" fillId="0" borderId="0" xfId="0" applyNumberFormat="1" applyFont="1" applyFill="1" applyBorder="1"/>
    <xf numFmtId="167" fontId="1" fillId="0" borderId="0" xfId="0" applyNumberFormat="1" applyFont="1" applyFill="1" applyBorder="1"/>
    <xf numFmtId="165" fontId="61" fillId="0" borderId="0" xfId="0" applyNumberFormat="1" applyFont="1" applyFill="1"/>
    <xf numFmtId="0" fontId="5" fillId="0" borderId="59" xfId="0" applyFont="1" applyFill="1" applyBorder="1" applyAlignment="1">
      <alignment horizontal="center" vertical="top"/>
    </xf>
    <xf numFmtId="170" fontId="2" fillId="0" borderId="0" xfId="0" applyNumberFormat="1" applyFont="1" applyFill="1" applyAlignment="1"/>
    <xf numFmtId="4" fontId="7" fillId="0" borderId="0" xfId="0" applyNumberFormat="1" applyFont="1" applyFill="1" applyAlignment="1">
      <alignment horizontal="center"/>
    </xf>
    <xf numFmtId="4" fontId="7" fillId="0" borderId="0" xfId="0" applyNumberFormat="1" applyFont="1" applyFill="1"/>
    <xf numFmtId="3" fontId="2" fillId="0" borderId="7" xfId="1" applyNumberFormat="1" applyFont="1" applyFill="1" applyBorder="1"/>
    <xf numFmtId="0" fontId="61" fillId="0" borderId="7" xfId="0" applyFont="1" applyFill="1" applyBorder="1"/>
    <xf numFmtId="181" fontId="62" fillId="0" borderId="0" xfId="1" applyNumberFormat="1" applyFont="1" applyFill="1" applyBorder="1" applyAlignment="1">
      <alignment horizontal="center" vertical="center" wrapText="1"/>
    </xf>
    <xf numFmtId="181" fontId="62" fillId="0" borderId="0" xfId="1" applyNumberFormat="1" applyFont="1" applyFill="1" applyBorder="1"/>
    <xf numFmtId="0" fontId="16" fillId="0" borderId="7" xfId="0" applyFont="1" applyFill="1" applyBorder="1" applyAlignment="1">
      <alignment horizontal="left" vertical="top" wrapText="1"/>
    </xf>
    <xf numFmtId="3" fontId="16" fillId="0" borderId="0" xfId="0" applyNumberFormat="1" applyFont="1" applyFill="1" applyBorder="1" applyAlignment="1">
      <alignment horizontal="right"/>
    </xf>
    <xf numFmtId="3" fontId="16" fillId="0" borderId="0" xfId="1" applyNumberFormat="1" applyFont="1" applyFill="1" applyBorder="1" applyAlignment="1">
      <alignment horizontal="right"/>
    </xf>
    <xf numFmtId="0" fontId="61" fillId="0" borderId="19" xfId="0" applyFont="1" applyFill="1" applyBorder="1" applyAlignment="1">
      <alignment wrapText="1"/>
    </xf>
    <xf numFmtId="173" fontId="1" fillId="0" borderId="6" xfId="1" applyNumberFormat="1" applyFont="1" applyBorder="1" applyAlignment="1">
      <alignment horizontal="center" vertical="top"/>
    </xf>
    <xf numFmtId="170" fontId="61" fillId="0" borderId="0" xfId="0" applyNumberFormat="1" applyFont="1" applyFill="1"/>
    <xf numFmtId="0" fontId="64" fillId="0" borderId="0" xfId="0" applyFont="1"/>
    <xf numFmtId="0" fontId="63" fillId="0" borderId="0" xfId="0" applyFont="1"/>
    <xf numFmtId="0" fontId="63" fillId="0" borderId="0" xfId="0" applyFont="1" applyAlignment="1">
      <alignment wrapText="1"/>
    </xf>
    <xf numFmtId="0" fontId="64" fillId="0" borderId="0" xfId="0" applyFont="1" applyAlignment="1">
      <alignment horizontal="left"/>
    </xf>
    <xf numFmtId="0" fontId="1" fillId="0" borderId="0" xfId="7" applyFont="1" applyFill="1" applyBorder="1"/>
    <xf numFmtId="170" fontId="2" fillId="0" borderId="5" xfId="1" applyNumberFormat="1" applyFont="1" applyFill="1" applyBorder="1"/>
    <xf numFmtId="0" fontId="17" fillId="0" borderId="0" xfId="0" applyFont="1" applyFill="1" applyAlignment="1">
      <alignment horizontal="center" vertical="center"/>
    </xf>
    <xf numFmtId="0" fontId="17" fillId="0" borderId="0" xfId="0" applyNumberFormat="1" applyFont="1" applyFill="1"/>
    <xf numFmtId="0" fontId="16" fillId="0" borderId="0" xfId="0" applyFont="1" applyFill="1" applyAlignment="1">
      <alignment horizontal="right"/>
    </xf>
    <xf numFmtId="0" fontId="18" fillId="0" borderId="0" xfId="0" applyFont="1" applyFill="1" applyAlignment="1">
      <alignment horizontal="right"/>
    </xf>
    <xf numFmtId="170" fontId="61" fillId="0" borderId="0" xfId="0" applyNumberFormat="1" applyFont="1" applyFill="1" applyBorder="1"/>
    <xf numFmtId="181" fontId="16" fillId="0" borderId="0" xfId="1" applyNumberFormat="1" applyFont="1" applyFill="1" applyBorder="1"/>
    <xf numFmtId="181" fontId="16" fillId="0" borderId="20" xfId="1" applyNumberFormat="1" applyFont="1" applyFill="1" applyBorder="1"/>
    <xf numFmtId="0" fontId="1" fillId="0" borderId="0" xfId="0" applyFont="1" applyFill="1" applyBorder="1" applyAlignment="1">
      <alignment vertical="center"/>
    </xf>
    <xf numFmtId="174" fontId="16" fillId="0" borderId="0" xfId="0" applyNumberFormat="1" applyFont="1" applyFill="1" applyBorder="1" applyAlignment="1">
      <alignment horizontal="left" vertical="justify" wrapText="1"/>
    </xf>
    <xf numFmtId="170" fontId="1" fillId="0" borderId="37" xfId="1" applyNumberFormat="1" applyFont="1" applyFill="1" applyBorder="1" applyAlignment="1"/>
    <xf numFmtId="170" fontId="5" fillId="0" borderId="65" xfId="1" applyNumberFormat="1" applyFont="1" applyFill="1" applyBorder="1" applyAlignment="1">
      <alignment horizontal="center" vertical="top" wrapText="1"/>
    </xf>
    <xf numFmtId="173" fontId="6" fillId="0" borderId="49" xfId="1" applyNumberFormat="1" applyFont="1" applyFill="1" applyBorder="1" applyAlignment="1"/>
    <xf numFmtId="170" fontId="1" fillId="0" borderId="49" xfId="1" applyNumberFormat="1" applyFont="1" applyFill="1" applyBorder="1" applyAlignment="1"/>
    <xf numFmtId="170" fontId="5" fillId="0" borderId="49" xfId="1" applyNumberFormat="1" applyFont="1" applyFill="1" applyBorder="1" applyAlignment="1"/>
    <xf numFmtId="170" fontId="2" fillId="0" borderId="66" xfId="1" applyNumberFormat="1" applyFont="1" applyFill="1" applyBorder="1" applyAlignment="1"/>
    <xf numFmtId="170" fontId="1" fillId="0" borderId="47" xfId="1" applyNumberFormat="1" applyFont="1" applyFill="1" applyBorder="1" applyAlignment="1"/>
    <xf numFmtId="170" fontId="5" fillId="0" borderId="66" xfId="1" applyNumberFormat="1" applyFont="1" applyFill="1" applyBorder="1" applyAlignment="1"/>
    <xf numFmtId="170" fontId="6" fillId="0" borderId="47" xfId="1" applyNumberFormat="1" applyFont="1" applyFill="1" applyBorder="1" applyAlignment="1"/>
    <xf numFmtId="177" fontId="5" fillId="0" borderId="49" xfId="1" applyNumberFormat="1" applyFont="1" applyFill="1" applyBorder="1" applyAlignment="1"/>
    <xf numFmtId="177" fontId="5" fillId="0" borderId="35" xfId="1" applyNumberFormat="1" applyFont="1" applyFill="1" applyBorder="1" applyAlignment="1"/>
    <xf numFmtId="177" fontId="5" fillId="0" borderId="66" xfId="1" applyNumberFormat="1" applyFont="1" applyFill="1" applyBorder="1" applyAlignment="1"/>
    <xf numFmtId="173" fontId="1" fillId="0" borderId="50" xfId="0" applyNumberFormat="1" applyFont="1" applyFill="1" applyBorder="1" applyAlignment="1">
      <alignment vertical="top" wrapText="1"/>
    </xf>
    <xf numFmtId="177" fontId="1" fillId="0" borderId="49" xfId="1" applyNumberFormat="1" applyFont="1" applyFill="1" applyBorder="1" applyAlignment="1"/>
    <xf numFmtId="173" fontId="1" fillId="0" borderId="50" xfId="0" applyNumberFormat="1" applyFont="1" applyFill="1" applyBorder="1" applyAlignment="1">
      <alignment vertical="top"/>
    </xf>
    <xf numFmtId="173" fontId="1" fillId="0" borderId="48" xfId="0" applyNumberFormat="1" applyFont="1" applyFill="1" applyBorder="1" applyAlignment="1">
      <alignment vertical="top"/>
    </xf>
    <xf numFmtId="4" fontId="61" fillId="0" borderId="7" xfId="0" applyNumberFormat="1" applyFont="1" applyFill="1" applyBorder="1"/>
    <xf numFmtId="173" fontId="7" fillId="0" borderId="50" xfId="0" applyNumberFormat="1" applyFont="1" applyFill="1" applyBorder="1" applyAlignment="1">
      <alignment vertical="top"/>
    </xf>
    <xf numFmtId="0" fontId="0" fillId="0" borderId="50" xfId="0" applyFont="1" applyFill="1" applyBorder="1"/>
    <xf numFmtId="173" fontId="7" fillId="0" borderId="50" xfId="0" applyNumberFormat="1" applyFont="1" applyFill="1" applyBorder="1" applyAlignment="1">
      <alignment vertical="top" wrapText="1"/>
    </xf>
    <xf numFmtId="0" fontId="71" fillId="16" borderId="18" xfId="0" applyFont="1" applyFill="1" applyBorder="1" applyAlignment="1">
      <alignment horizontal="center" wrapText="1"/>
    </xf>
    <xf numFmtId="172" fontId="33" fillId="0" borderId="64" xfId="0" applyNumberFormat="1" applyFont="1" applyBorder="1" applyAlignment="1">
      <alignment horizontal="right" vertical="top" wrapText="1"/>
    </xf>
    <xf numFmtId="3" fontId="61" fillId="0" borderId="7" xfId="0" applyNumberFormat="1" applyFont="1" applyFill="1" applyBorder="1"/>
    <xf numFmtId="0" fontId="61" fillId="0" borderId="7" xfId="0" applyFont="1" applyBorder="1"/>
    <xf numFmtId="0" fontId="62" fillId="0" borderId="7" xfId="0" applyFont="1" applyFill="1" applyBorder="1"/>
    <xf numFmtId="0" fontId="61" fillId="0" borderId="5" xfId="0" applyFont="1" applyFill="1" applyBorder="1"/>
    <xf numFmtId="3" fontId="61" fillId="0" borderId="5" xfId="0" applyNumberFormat="1" applyFont="1" applyFill="1" applyBorder="1"/>
    <xf numFmtId="0" fontId="62" fillId="0" borderId="67" xfId="0" applyFont="1" applyFill="1" applyBorder="1" applyAlignment="1">
      <alignment horizontal="center"/>
    </xf>
    <xf numFmtId="0" fontId="62" fillId="0" borderId="59" xfId="0" applyFont="1" applyFill="1" applyBorder="1" applyAlignment="1">
      <alignment horizontal="center"/>
    </xf>
    <xf numFmtId="1" fontId="62" fillId="0" borderId="59" xfId="0" applyNumberFormat="1" applyFont="1" applyFill="1" applyBorder="1" applyAlignment="1">
      <alignment horizontal="center"/>
    </xf>
    <xf numFmtId="1" fontId="62" fillId="0" borderId="65" xfId="0" applyNumberFormat="1" applyFont="1" applyFill="1" applyBorder="1" applyAlignment="1">
      <alignment horizontal="center"/>
    </xf>
    <xf numFmtId="164" fontId="1" fillId="0" borderId="0" xfId="1" applyNumberFormat="1" applyFont="1" applyFill="1" applyBorder="1"/>
    <xf numFmtId="0" fontId="0" fillId="0" borderId="50" xfId="0" applyFill="1" applyBorder="1"/>
    <xf numFmtId="4" fontId="6" fillId="0" borderId="0" xfId="0" applyNumberFormat="1" applyFont="1"/>
    <xf numFmtId="0" fontId="1" fillId="0" borderId="19" xfId="7" applyFont="1" applyFill="1" applyBorder="1" applyAlignment="1">
      <alignment vertical="top" wrapText="1"/>
    </xf>
    <xf numFmtId="0" fontId="30" fillId="0" borderId="0" xfId="0" applyNumberFormat="1" applyFont="1" applyFill="1"/>
    <xf numFmtId="0" fontId="16" fillId="0" borderId="0" xfId="0" applyNumberFormat="1" applyFont="1" applyFill="1"/>
    <xf numFmtId="0" fontId="61" fillId="0" borderId="0" xfId="0" applyNumberFormat="1" applyFont="1" applyFill="1"/>
    <xf numFmtId="165" fontId="16" fillId="0" borderId="0" xfId="0" applyNumberFormat="1" applyFont="1" applyFill="1" applyAlignment="1">
      <alignment wrapText="1"/>
    </xf>
    <xf numFmtId="170" fontId="61" fillId="0" borderId="4" xfId="0" applyNumberFormat="1" applyFont="1" applyFill="1" applyBorder="1"/>
    <xf numFmtId="170" fontId="61" fillId="0" borderId="5" xfId="0" applyNumberFormat="1" applyFont="1" applyFill="1" applyBorder="1"/>
    <xf numFmtId="170" fontId="61" fillId="0" borderId="43" xfId="0" applyNumberFormat="1" applyFont="1" applyFill="1" applyBorder="1"/>
    <xf numFmtId="186" fontId="61" fillId="0" borderId="0" xfId="1" applyNumberFormat="1" applyFont="1" applyFill="1" applyBorder="1"/>
    <xf numFmtId="0" fontId="1" fillId="0" borderId="0" xfId="0" applyFont="1" applyFill="1" applyBorder="1" applyAlignment="1">
      <alignment horizontal="left" vertical="top" wrapText="1"/>
    </xf>
    <xf numFmtId="0" fontId="16" fillId="0" borderId="0" xfId="0" applyFont="1" applyFill="1" applyBorder="1" applyAlignment="1">
      <alignment vertical="top" wrapText="1"/>
    </xf>
    <xf numFmtId="173" fontId="2" fillId="0" borderId="0" xfId="0" applyNumberFormat="1" applyFont="1" applyFill="1" applyBorder="1" applyAlignment="1">
      <alignment horizontal="center" vertical="top"/>
    </xf>
    <xf numFmtId="170" fontId="1" fillId="0" borderId="20" xfId="1" applyNumberFormat="1" applyFont="1" applyFill="1" applyBorder="1" applyAlignment="1"/>
    <xf numFmtId="173" fontId="2" fillId="0" borderId="0" xfId="0" applyNumberFormat="1" applyFont="1" applyFill="1" applyBorder="1" applyAlignment="1">
      <alignment vertical="top"/>
    </xf>
    <xf numFmtId="173" fontId="2" fillId="0" borderId="51" xfId="0" applyNumberFormat="1" applyFont="1" applyFill="1" applyBorder="1" applyAlignment="1">
      <alignment vertical="top"/>
    </xf>
    <xf numFmtId="173" fontId="2" fillId="0" borderId="64" xfId="0" applyNumberFormat="1" applyFont="1" applyFill="1" applyBorder="1" applyAlignment="1">
      <alignment vertical="top"/>
    </xf>
    <xf numFmtId="4" fontId="16" fillId="0" borderId="0" xfId="0" applyNumberFormat="1" applyFont="1" applyFill="1" applyBorder="1" applyAlignment="1"/>
    <xf numFmtId="0" fontId="1" fillId="0" borderId="0" xfId="0" applyFont="1" applyFill="1" applyAlignment="1">
      <alignment horizontal="left"/>
    </xf>
    <xf numFmtId="0" fontId="61" fillId="0" borderId="0" xfId="0" applyFont="1" applyFill="1" applyBorder="1" applyAlignment="1">
      <alignment vertical="top"/>
    </xf>
    <xf numFmtId="0" fontId="61" fillId="0" borderId="0" xfId="0" applyFont="1" applyFill="1" applyBorder="1" applyAlignment="1">
      <alignment horizontal="justify"/>
    </xf>
    <xf numFmtId="0" fontId="1" fillId="0" borderId="0" xfId="0" applyFont="1" applyFill="1" applyAlignment="1">
      <alignment horizontal="left" vertical="center"/>
    </xf>
    <xf numFmtId="0" fontId="2" fillId="0" borderId="0" xfId="0" applyFont="1" applyFill="1" applyAlignment="1">
      <alignment horizontal="left" vertical="center"/>
    </xf>
    <xf numFmtId="0" fontId="61" fillId="0" borderId="0" xfId="0" quotePrefix="1" applyFont="1" applyFill="1"/>
    <xf numFmtId="2" fontId="17" fillId="0" borderId="24" xfId="0" applyNumberFormat="1" applyFont="1" applyFill="1" applyBorder="1"/>
    <xf numFmtId="2" fontId="17" fillId="0" borderId="8" xfId="0" applyNumberFormat="1" applyFont="1" applyFill="1" applyBorder="1"/>
    <xf numFmtId="2" fontId="16" fillId="0" borderId="8" xfId="1" applyNumberFormat="1" applyFont="1" applyFill="1" applyBorder="1"/>
    <xf numFmtId="2" fontId="16" fillId="0" borderId="11" xfId="1" applyNumberFormat="1" applyFont="1" applyFill="1" applyBorder="1"/>
    <xf numFmtId="2" fontId="16" fillId="0" borderId="12" xfId="1" applyNumberFormat="1" applyFont="1" applyFill="1" applyBorder="1"/>
    <xf numFmtId="2" fontId="17" fillId="0" borderId="41" xfId="0" applyNumberFormat="1" applyFont="1" applyFill="1" applyBorder="1"/>
    <xf numFmtId="164" fontId="17" fillId="0" borderId="43" xfId="1" applyNumberFormat="1" applyFont="1" applyFill="1" applyBorder="1"/>
    <xf numFmtId="0" fontId="16" fillId="0" borderId="4" xfId="0" applyFont="1" applyFill="1" applyBorder="1"/>
    <xf numFmtId="2" fontId="16" fillId="0" borderId="7" xfId="0" applyNumberFormat="1" applyFont="1" applyFill="1" applyBorder="1"/>
    <xf numFmtId="2" fontId="16" fillId="0" borderId="5" xfId="0" applyNumberFormat="1" applyFont="1" applyFill="1" applyBorder="1"/>
    <xf numFmtId="0" fontId="2" fillId="0" borderId="17" xfId="0" applyFont="1" applyFill="1" applyBorder="1" applyAlignment="1">
      <alignment horizontal="center"/>
    </xf>
    <xf numFmtId="170" fontId="2" fillId="0" borderId="46" xfId="1" applyNumberFormat="1" applyFont="1" applyFill="1" applyBorder="1" applyAlignment="1">
      <alignment horizontal="center" vertical="top" wrapText="1"/>
    </xf>
    <xf numFmtId="170" fontId="2" fillId="0" borderId="1" xfId="1" applyNumberFormat="1" applyFont="1" applyFill="1" applyBorder="1" applyAlignment="1">
      <alignment horizontal="center"/>
    </xf>
    <xf numFmtId="170" fontId="2" fillId="0" borderId="49" xfId="1" applyNumberFormat="1" applyFont="1" applyFill="1" applyBorder="1" applyAlignment="1">
      <alignment horizontal="center"/>
    </xf>
    <xf numFmtId="170" fontId="1" fillId="0" borderId="47" xfId="1" applyNumberFormat="1" applyFont="1" applyFill="1" applyBorder="1"/>
    <xf numFmtId="170" fontId="2" fillId="0" borderId="66" xfId="1" applyNumberFormat="1" applyFont="1" applyFill="1" applyBorder="1"/>
    <xf numFmtId="170" fontId="1" fillId="0" borderId="11" xfId="1" applyNumberFormat="1" applyFont="1" applyFill="1" applyBorder="1"/>
    <xf numFmtId="170" fontId="1" fillId="0" borderId="66" xfId="1" applyNumberFormat="1" applyFont="1" applyFill="1" applyBorder="1"/>
    <xf numFmtId="170" fontId="1" fillId="0" borderId="49" xfId="1" applyNumberFormat="1" applyFont="1" applyFill="1" applyBorder="1"/>
    <xf numFmtId="170" fontId="1" fillId="0" borderId="12" xfId="1" applyNumberFormat="1" applyFont="1" applyFill="1" applyBorder="1"/>
    <xf numFmtId="0" fontId="16" fillId="0" borderId="19" xfId="7" applyFont="1" applyFill="1" applyBorder="1" applyAlignment="1">
      <alignment vertical="top" wrapText="1"/>
    </xf>
    <xf numFmtId="37" fontId="1" fillId="0" borderId="1" xfId="1" applyNumberFormat="1" applyFont="1" applyFill="1" applyBorder="1"/>
    <xf numFmtId="37" fontId="2" fillId="0" borderId="5" xfId="1" applyNumberFormat="1" applyFont="1" applyFill="1" applyBorder="1"/>
    <xf numFmtId="0" fontId="61" fillId="0" borderId="0" xfId="0" applyFont="1" applyFill="1" applyAlignment="1"/>
    <xf numFmtId="10" fontId="16" fillId="0" borderId="0" xfId="0" applyNumberFormat="1" applyFont="1" applyFill="1" applyAlignment="1">
      <alignment horizontal="right"/>
    </xf>
    <xf numFmtId="3" fontId="62" fillId="0" borderId="6" xfId="0" applyNumberFormat="1" applyFont="1" applyFill="1" applyBorder="1"/>
    <xf numFmtId="3" fontId="62" fillId="0" borderId="43" xfId="0" applyNumberFormat="1" applyFont="1" applyFill="1" applyBorder="1"/>
    <xf numFmtId="178" fontId="16" fillId="0" borderId="0" xfId="0" applyNumberFormat="1" applyFont="1" applyFill="1"/>
    <xf numFmtId="4" fontId="16" fillId="0" borderId="0" xfId="0" applyNumberFormat="1" applyFont="1" applyFill="1"/>
    <xf numFmtId="10" fontId="61" fillId="0" borderId="0" xfId="0" applyNumberFormat="1" applyFont="1" applyFill="1" applyAlignment="1">
      <alignment horizontal="right"/>
    </xf>
    <xf numFmtId="0" fontId="61" fillId="0" borderId="0" xfId="0" applyFont="1"/>
    <xf numFmtId="0" fontId="61" fillId="0" borderId="69" xfId="0" applyFont="1" applyBorder="1"/>
    <xf numFmtId="0" fontId="62" fillId="0" borderId="60" xfId="0" applyFont="1" applyBorder="1"/>
    <xf numFmtId="0" fontId="61" fillId="0" borderId="60" xfId="0" applyFont="1" applyBorder="1"/>
    <xf numFmtId="0" fontId="61" fillId="0" borderId="61" xfId="0" applyFont="1" applyBorder="1"/>
    <xf numFmtId="4" fontId="61" fillId="0" borderId="0" xfId="0" applyNumberFormat="1" applyFont="1"/>
    <xf numFmtId="0" fontId="17" fillId="0" borderId="0" xfId="0" applyFont="1" applyAlignment="1">
      <alignment horizontal="center"/>
    </xf>
    <xf numFmtId="0" fontId="16" fillId="0" borderId="0" xfId="0" applyFont="1" applyBorder="1" applyAlignment="1">
      <alignment horizontal="center"/>
    </xf>
    <xf numFmtId="0" fontId="16" fillId="0" borderId="11" xfId="0" applyFont="1" applyBorder="1"/>
    <xf numFmtId="49" fontId="2" fillId="0" borderId="0" xfId="0" applyNumberFormat="1" applyFont="1" applyBorder="1" applyAlignment="1">
      <alignment horizontal="right"/>
    </xf>
    <xf numFmtId="49" fontId="1" fillId="0" borderId="2" xfId="0" applyNumberFormat="1" applyFont="1" applyBorder="1" applyAlignment="1">
      <alignment horizontal="center"/>
    </xf>
    <xf numFmtId="49" fontId="2" fillId="0" borderId="0" xfId="0" applyNumberFormat="1" applyFont="1" applyBorder="1"/>
    <xf numFmtId="0" fontId="16" fillId="0" borderId="0" xfId="0" applyFont="1" applyBorder="1" applyAlignment="1">
      <alignment horizontal="left" vertical="center" wrapText="1"/>
    </xf>
    <xf numFmtId="0" fontId="16" fillId="0" borderId="2" xfId="0" applyFont="1" applyBorder="1" applyAlignment="1">
      <alignment horizontal="center"/>
    </xf>
    <xf numFmtId="49" fontId="1" fillId="0" borderId="0" xfId="0" applyNumberFormat="1" applyFont="1" applyBorder="1" applyAlignment="1">
      <alignment horizontal="left" vertical="center" wrapText="1"/>
    </xf>
    <xf numFmtId="49" fontId="1" fillId="0" borderId="2" xfId="6" applyNumberFormat="1" applyFont="1" applyBorder="1" applyAlignment="1" applyProtection="1">
      <alignment horizontal="center"/>
    </xf>
    <xf numFmtId="0" fontId="16" fillId="0" borderId="0" xfId="0" applyFont="1" applyBorder="1"/>
    <xf numFmtId="0" fontId="16" fillId="0" borderId="11" xfId="0" applyFont="1" applyBorder="1" applyAlignment="1"/>
    <xf numFmtId="0" fontId="16" fillId="0" borderId="0" xfId="0" applyFont="1" applyBorder="1" applyAlignment="1">
      <alignment horizontal="justify" wrapText="1"/>
    </xf>
    <xf numFmtId="0" fontId="16" fillId="0" borderId="0" xfId="0" applyFont="1" applyBorder="1" applyAlignment="1">
      <alignment horizontal="justify" vertical="center" wrapText="1"/>
    </xf>
    <xf numFmtId="49" fontId="1" fillId="0" borderId="0" xfId="0" applyNumberFormat="1" applyFont="1" applyBorder="1" applyAlignment="1">
      <alignment horizontal="justify" vertical="center" wrapText="1"/>
    </xf>
    <xf numFmtId="49" fontId="1" fillId="0" borderId="0" xfId="0" applyNumberFormat="1" applyFont="1" applyBorder="1" applyAlignment="1">
      <alignment horizontal="justify" wrapText="1"/>
    </xf>
    <xf numFmtId="0" fontId="16" fillId="0" borderId="11" xfId="0" applyFont="1" applyBorder="1" applyAlignment="1">
      <alignment vertical="top"/>
    </xf>
    <xf numFmtId="49" fontId="2" fillId="0" borderId="0" xfId="0" applyNumberFormat="1" applyFont="1" applyBorder="1" applyAlignment="1">
      <alignment horizontal="justify"/>
    </xf>
    <xf numFmtId="49" fontId="1" fillId="0" borderId="0" xfId="0" applyNumberFormat="1" applyFont="1" applyBorder="1" applyAlignment="1"/>
    <xf numFmtId="49" fontId="1" fillId="0" borderId="0" xfId="0" applyNumberFormat="1" applyFont="1" applyBorder="1"/>
    <xf numFmtId="49" fontId="16" fillId="0" borderId="0" xfId="0" applyNumberFormat="1" applyFont="1" applyBorder="1"/>
    <xf numFmtId="49" fontId="16" fillId="0" borderId="2" xfId="0" applyNumberFormat="1" applyFont="1" applyBorder="1" applyAlignment="1">
      <alignment horizontal="center"/>
    </xf>
    <xf numFmtId="0" fontId="16" fillId="0" borderId="12" xfId="0" applyFont="1" applyBorder="1"/>
    <xf numFmtId="0" fontId="16" fillId="0" borderId="6" xfId="0" applyFont="1" applyBorder="1"/>
    <xf numFmtId="0" fontId="16" fillId="0" borderId="13" xfId="0" applyFont="1" applyBorder="1" applyAlignment="1">
      <alignment horizontal="center"/>
    </xf>
    <xf numFmtId="0" fontId="61" fillId="0" borderId="0" xfId="0" applyFont="1" applyBorder="1"/>
    <xf numFmtId="0" fontId="61" fillId="0" borderId="8" xfId="0" applyFont="1" applyBorder="1"/>
    <xf numFmtId="0" fontId="2" fillId="0" borderId="9" xfId="0" applyFont="1" applyBorder="1"/>
    <xf numFmtId="0" fontId="61" fillId="0" borderId="9" xfId="0" applyFont="1" applyBorder="1"/>
    <xf numFmtId="0" fontId="61" fillId="0" borderId="10" xfId="0" applyFont="1" applyBorder="1"/>
    <xf numFmtId="0" fontId="61" fillId="0" borderId="11" xfId="0" applyFont="1" applyBorder="1"/>
    <xf numFmtId="0" fontId="2" fillId="0" borderId="0" xfId="0" applyFont="1" applyBorder="1"/>
    <xf numFmtId="0" fontId="61" fillId="0" borderId="2" xfId="0" applyFont="1" applyBorder="1"/>
    <xf numFmtId="0" fontId="17" fillId="0" borderId="0" xfId="0" applyFont="1" applyBorder="1"/>
    <xf numFmtId="0" fontId="17" fillId="0" borderId="0" xfId="0" applyFont="1" applyBorder="1" applyAlignment="1">
      <alignment horizontal="center"/>
    </xf>
    <xf numFmtId="0" fontId="61" fillId="0" borderId="12" xfId="0" applyFont="1" applyBorder="1"/>
    <xf numFmtId="0" fontId="61" fillId="0" borderId="6" xfId="0" applyFont="1" applyBorder="1"/>
    <xf numFmtId="0" fontId="61" fillId="0" borderId="13" xfId="0" applyFont="1" applyBorder="1"/>
    <xf numFmtId="0" fontId="72" fillId="0" borderId="0" xfId="0" applyFont="1" applyFill="1"/>
    <xf numFmtId="0" fontId="1" fillId="0" borderId="17" xfId="0" applyFont="1" applyFill="1" applyBorder="1" applyAlignment="1"/>
    <xf numFmtId="170" fontId="1" fillId="0" borderId="15" xfId="1" applyNumberFormat="1" applyFont="1" applyFill="1" applyBorder="1" applyAlignment="1"/>
    <xf numFmtId="0" fontId="2" fillId="0" borderId="19" xfId="0" applyFont="1" applyFill="1" applyBorder="1" applyAlignment="1"/>
    <xf numFmtId="0" fontId="2" fillId="0" borderId="20" xfId="0" applyFont="1" applyFill="1" applyBorder="1" applyAlignment="1"/>
    <xf numFmtId="0" fontId="2" fillId="0" borderId="0" xfId="0" applyFont="1" applyFill="1" applyBorder="1" applyAlignment="1">
      <alignment wrapText="1"/>
    </xf>
    <xf numFmtId="0" fontId="1" fillId="0" borderId="19" xfId="0" applyFont="1" applyFill="1" applyBorder="1" applyAlignment="1"/>
    <xf numFmtId="179" fontId="1" fillId="0" borderId="0" xfId="1" applyNumberFormat="1" applyFont="1" applyFill="1" applyBorder="1" applyAlignment="1">
      <alignment horizontal="right" vertical="top" wrapText="1"/>
    </xf>
    <xf numFmtId="179" fontId="1" fillId="0" borderId="0" xfId="0" applyNumberFormat="1" applyFont="1" applyFill="1" applyBorder="1" applyAlignment="1"/>
    <xf numFmtId="0" fontId="1" fillId="0" borderId="20" xfId="0" applyFont="1" applyFill="1" applyBorder="1" applyAlignment="1"/>
    <xf numFmtId="0" fontId="1" fillId="0" borderId="0" xfId="0" applyFont="1" applyFill="1" applyBorder="1" applyAlignment="1">
      <alignment wrapText="1"/>
    </xf>
    <xf numFmtId="0" fontId="1" fillId="0" borderId="20" xfId="0" applyFont="1" applyFill="1" applyBorder="1" applyAlignment="1">
      <alignment vertical="top" wrapText="1"/>
    </xf>
    <xf numFmtId="0" fontId="2" fillId="0" borderId="0" xfId="0" applyFont="1" applyFill="1" applyBorder="1" applyAlignment="1">
      <alignment horizontal="left" vertical="top"/>
    </xf>
    <xf numFmtId="0" fontId="1" fillId="9" borderId="19" xfId="0" applyFont="1" applyFill="1" applyBorder="1" applyAlignment="1"/>
    <xf numFmtId="0" fontId="1" fillId="9" borderId="0" xfId="0" applyFont="1" applyFill="1" applyBorder="1" applyAlignment="1"/>
    <xf numFmtId="0" fontId="1" fillId="9" borderId="0" xfId="0" applyFont="1" applyFill="1" applyBorder="1" applyAlignment="1">
      <alignment vertical="top"/>
    </xf>
    <xf numFmtId="4" fontId="1" fillId="0" borderId="0" xfId="0" applyNumberFormat="1" applyFont="1" applyFill="1" applyBorder="1" applyAlignment="1"/>
    <xf numFmtId="4" fontId="2" fillId="0" borderId="0" xfId="0" applyNumberFormat="1" applyFont="1" applyFill="1" applyBorder="1" applyAlignment="1"/>
    <xf numFmtId="0" fontId="72" fillId="0" borderId="0" xfId="0" applyFont="1" applyFill="1" applyBorder="1"/>
    <xf numFmtId="0" fontId="2" fillId="9" borderId="19" xfId="0" applyFont="1" applyFill="1" applyBorder="1" applyAlignment="1"/>
    <xf numFmtId="0" fontId="2" fillId="9" borderId="0" xfId="0" applyFont="1" applyFill="1" applyBorder="1" applyAlignment="1"/>
    <xf numFmtId="0" fontId="72" fillId="9" borderId="0" xfId="0" applyFont="1" applyFill="1" applyBorder="1"/>
    <xf numFmtId="0" fontId="2" fillId="9" borderId="20" xfId="0" applyFont="1" applyFill="1" applyBorder="1" applyAlignment="1"/>
    <xf numFmtId="0" fontId="2" fillId="0" borderId="21" xfId="0" applyFont="1" applyFill="1" applyBorder="1" applyAlignment="1"/>
    <xf numFmtId="0" fontId="2" fillId="0" borderId="14" xfId="0" applyFont="1" applyFill="1" applyBorder="1" applyAlignment="1"/>
    <xf numFmtId="0" fontId="2" fillId="0" borderId="14" xfId="0" applyFont="1" applyFill="1" applyBorder="1" applyAlignment="1">
      <alignment vertical="top"/>
    </xf>
    <xf numFmtId="0" fontId="2" fillId="0" borderId="22" xfId="0" applyFont="1" applyFill="1" applyBorder="1" applyAlignment="1"/>
    <xf numFmtId="170" fontId="2" fillId="0" borderId="0" xfId="1" applyNumberFormat="1" applyFont="1" applyFill="1" applyBorder="1" applyAlignment="1">
      <alignment horizontal="right" vertical="top" wrapText="1"/>
    </xf>
    <xf numFmtId="0" fontId="1" fillId="0" borderId="21" xfId="0" applyFont="1" applyFill="1" applyBorder="1" applyAlignment="1"/>
    <xf numFmtId="170" fontId="17" fillId="0" borderId="16" xfId="1" applyNumberFormat="1"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textRotation="90" wrapText="1"/>
    </xf>
    <xf numFmtId="0" fontId="17" fillId="0" borderId="16" xfId="0" applyFont="1" applyFill="1" applyBorder="1" applyAlignment="1">
      <alignment horizontal="center" vertical="center" textRotation="90"/>
    </xf>
    <xf numFmtId="170" fontId="17" fillId="0" borderId="16" xfId="1" applyNumberFormat="1" applyFont="1" applyFill="1" applyBorder="1" applyAlignment="1">
      <alignment horizontal="center" vertical="top" wrapText="1"/>
    </xf>
    <xf numFmtId="0" fontId="17" fillId="0" borderId="16" xfId="0" applyFont="1" applyFill="1" applyBorder="1" applyAlignment="1">
      <alignment horizontal="left" textRotation="90" wrapText="1"/>
    </xf>
    <xf numFmtId="170" fontId="17" fillId="0" borderId="16" xfId="1" applyNumberFormat="1" applyFont="1" applyFill="1" applyBorder="1" applyAlignment="1">
      <alignment horizontal="center"/>
    </xf>
    <xf numFmtId="0" fontId="17" fillId="0" borderId="16" xfId="0" applyFont="1" applyFill="1" applyBorder="1" applyAlignment="1">
      <alignment horizontal="center"/>
    </xf>
    <xf numFmtId="170" fontId="16" fillId="0" borderId="45" xfId="1" applyNumberFormat="1" applyFont="1" applyFill="1" applyBorder="1"/>
    <xf numFmtId="0" fontId="16" fillId="0" borderId="45" xfId="0" applyFont="1" applyFill="1" applyBorder="1"/>
    <xf numFmtId="0" fontId="16" fillId="0" borderId="70" xfId="0" applyFont="1" applyFill="1" applyBorder="1"/>
    <xf numFmtId="0" fontId="16" fillId="0" borderId="46" xfId="0" applyFont="1" applyFill="1" applyBorder="1"/>
    <xf numFmtId="0" fontId="16" fillId="0" borderId="49" xfId="0" applyFont="1" applyFill="1" applyBorder="1"/>
    <xf numFmtId="0" fontId="17" fillId="0" borderId="66" xfId="0" applyFont="1" applyFill="1" applyBorder="1"/>
    <xf numFmtId="0" fontId="16" fillId="0" borderId="10" xfId="0" applyFont="1" applyFill="1" applyBorder="1"/>
    <xf numFmtId="164" fontId="1" fillId="0" borderId="8" xfId="0" applyNumberFormat="1" applyFont="1" applyFill="1" applyBorder="1" applyAlignment="1"/>
    <xf numFmtId="0" fontId="16" fillId="0" borderId="8" xfId="0" applyFont="1" applyFill="1" applyBorder="1"/>
    <xf numFmtId="0" fontId="16" fillId="0" borderId="66" xfId="0" applyFont="1" applyFill="1" applyBorder="1"/>
    <xf numFmtId="164" fontId="1" fillId="0" borderId="11" xfId="0" applyNumberFormat="1" applyFont="1" applyFill="1" applyBorder="1" applyAlignment="1"/>
    <xf numFmtId="164" fontId="1" fillId="0" borderId="11" xfId="0" applyNumberFormat="1" applyFont="1" applyFill="1" applyBorder="1" applyAlignment="1">
      <alignment wrapText="1"/>
    </xf>
    <xf numFmtId="0" fontId="1" fillId="0" borderId="11" xfId="0" applyFont="1" applyFill="1" applyBorder="1" applyAlignment="1"/>
    <xf numFmtId="0" fontId="17" fillId="0" borderId="11" xfId="0" applyFont="1" applyFill="1" applyBorder="1"/>
    <xf numFmtId="0" fontId="17" fillId="0" borderId="49" xfId="0" applyFont="1" applyFill="1" applyBorder="1"/>
    <xf numFmtId="3" fontId="1" fillId="0" borderId="11" xfId="0" applyNumberFormat="1" applyFont="1" applyFill="1" applyBorder="1" applyAlignment="1"/>
    <xf numFmtId="0" fontId="16" fillId="0" borderId="52" xfId="0" applyFont="1" applyFill="1" applyBorder="1"/>
    <xf numFmtId="170" fontId="16" fillId="0" borderId="0" xfId="1" applyNumberFormat="1" applyFont="1" applyFill="1" applyAlignment="1"/>
    <xf numFmtId="170" fontId="17" fillId="0" borderId="0" xfId="1" applyNumberFormat="1" applyFont="1" applyFill="1" applyAlignment="1"/>
    <xf numFmtId="4" fontId="16" fillId="0" borderId="0" xfId="0" applyNumberFormat="1" applyFont="1" applyFill="1" applyAlignment="1"/>
    <xf numFmtId="4" fontId="62" fillId="0" borderId="0" xfId="0" applyNumberFormat="1" applyFont="1" applyFill="1" applyAlignment="1">
      <alignment horizontal="center"/>
    </xf>
    <xf numFmtId="4" fontId="62" fillId="0" borderId="0" xfId="0" quotePrefix="1" applyNumberFormat="1" applyFont="1" applyFill="1" applyAlignment="1">
      <alignment horizontal="center"/>
    </xf>
    <xf numFmtId="3" fontId="62" fillId="0" borderId="0" xfId="0" quotePrefix="1" applyNumberFormat="1" applyFont="1" applyFill="1" applyAlignment="1">
      <alignment horizontal="center"/>
    </xf>
    <xf numFmtId="4" fontId="62" fillId="0" borderId="7" xfId="0" applyNumberFormat="1" applyFont="1" applyFill="1" applyBorder="1"/>
    <xf numFmtId="3" fontId="62" fillId="0" borderId="7" xfId="0" applyNumberFormat="1" applyFont="1" applyFill="1" applyBorder="1"/>
    <xf numFmtId="4" fontId="61" fillId="0" borderId="7" xfId="0" applyNumberFormat="1" applyFont="1" applyFill="1" applyBorder="1" applyAlignment="1"/>
    <xf numFmtId="4" fontId="69" fillId="0" borderId="7" xfId="0" applyNumberFormat="1" applyFont="1" applyFill="1" applyBorder="1"/>
    <xf numFmtId="4" fontId="61" fillId="0" borderId="7" xfId="0" applyNumberFormat="1" applyFont="1" applyFill="1" applyBorder="1" applyAlignment="1">
      <alignment horizontal="right"/>
    </xf>
    <xf numFmtId="4" fontId="61" fillId="8" borderId="7" xfId="0" applyNumberFormat="1" applyFont="1" applyFill="1" applyBorder="1"/>
    <xf numFmtId="0" fontId="61" fillId="0" borderId="7" xfId="0" applyFont="1" applyFill="1" applyBorder="1" applyAlignment="1">
      <alignment horizontal="right"/>
    </xf>
    <xf numFmtId="1" fontId="61" fillId="0" borderId="0" xfId="0" applyNumberFormat="1" applyFont="1" applyFill="1" applyAlignment="1">
      <alignment horizontal="left"/>
    </xf>
    <xf numFmtId="1" fontId="61" fillId="0" borderId="32" xfId="0" applyNumberFormat="1" applyFont="1" applyFill="1" applyBorder="1" applyAlignment="1">
      <alignment horizontal="left"/>
    </xf>
    <xf numFmtId="1" fontId="61" fillId="0" borderId="33" xfId="0" applyNumberFormat="1" applyFont="1" applyFill="1" applyBorder="1" applyAlignment="1">
      <alignment horizontal="left"/>
    </xf>
    <xf numFmtId="1" fontId="61" fillId="0" borderId="34" xfId="0" applyNumberFormat="1" applyFont="1" applyFill="1" applyBorder="1" applyAlignment="1">
      <alignment horizontal="left"/>
    </xf>
    <xf numFmtId="4" fontId="61" fillId="0" borderId="32" xfId="0" applyNumberFormat="1" applyFont="1" applyFill="1" applyBorder="1" applyAlignment="1">
      <alignment horizontal="center"/>
    </xf>
    <xf numFmtId="4" fontId="61" fillId="0" borderId="16" xfId="0" applyNumberFormat="1" applyFont="1" applyFill="1" applyBorder="1" applyAlignment="1">
      <alignment horizontal="center"/>
    </xf>
    <xf numFmtId="4" fontId="61" fillId="0" borderId="26" xfId="0" applyNumberFormat="1" applyFont="1" applyFill="1" applyBorder="1" applyAlignment="1">
      <alignment horizontal="center"/>
    </xf>
    <xf numFmtId="4" fontId="61" fillId="0" borderId="17" xfId="0" applyNumberFormat="1" applyFont="1" applyFill="1" applyBorder="1" applyAlignment="1">
      <alignment horizontal="center"/>
    </xf>
    <xf numFmtId="4" fontId="61" fillId="0" borderId="26" xfId="0" applyNumberFormat="1" applyFont="1" applyFill="1" applyBorder="1"/>
    <xf numFmtId="4" fontId="61" fillId="0" borderId="17" xfId="0" applyNumberFormat="1" applyFont="1" applyFill="1" applyBorder="1"/>
    <xf numFmtId="1" fontId="61" fillId="0" borderId="5" xfId="0" quotePrefix="1" applyNumberFormat="1" applyFont="1" applyFill="1" applyBorder="1" applyAlignment="1">
      <alignment horizontal="left"/>
    </xf>
    <xf numFmtId="1" fontId="61" fillId="0" borderId="5" xfId="0" applyNumberFormat="1" applyFont="1" applyFill="1" applyBorder="1" applyAlignment="1">
      <alignment horizontal="left"/>
    </xf>
    <xf numFmtId="4" fontId="62" fillId="0" borderId="12" xfId="0" applyNumberFormat="1" applyFont="1" applyFill="1" applyBorder="1"/>
    <xf numFmtId="4" fontId="62" fillId="0" borderId="5" xfId="0" applyNumberFormat="1" applyFont="1" applyFill="1" applyBorder="1"/>
    <xf numFmtId="4" fontId="62" fillId="0" borderId="24" xfId="0" applyNumberFormat="1" applyFont="1" applyFill="1" applyBorder="1"/>
    <xf numFmtId="1" fontId="61" fillId="0" borderId="7" xfId="0" applyNumberFormat="1" applyFont="1" applyFill="1" applyBorder="1" applyAlignment="1">
      <alignment horizontal="left"/>
    </xf>
    <xf numFmtId="4" fontId="61" fillId="0" borderId="24" xfId="0" applyNumberFormat="1" applyFont="1" applyFill="1" applyBorder="1"/>
    <xf numFmtId="1" fontId="61" fillId="0" borderId="7" xfId="0" quotePrefix="1" applyNumberFormat="1" applyFont="1" applyFill="1" applyBorder="1" applyAlignment="1">
      <alignment horizontal="left"/>
    </xf>
    <xf numFmtId="4" fontId="61" fillId="0" borderId="7" xfId="0" applyNumberFormat="1" applyFont="1" applyFill="1" applyBorder="1" applyAlignment="1">
      <alignment horizontal="center"/>
    </xf>
    <xf numFmtId="0" fontId="61" fillId="0" borderId="0" xfId="0" applyFont="1" applyFill="1" applyAlignment="1">
      <alignment horizontal="center"/>
    </xf>
    <xf numFmtId="4" fontId="61" fillId="0" borderId="24" xfId="0" applyNumberFormat="1" applyFont="1" applyFill="1" applyBorder="1" applyAlignment="1">
      <alignment horizontal="center"/>
    </xf>
    <xf numFmtId="1" fontId="62" fillId="0" borderId="7" xfId="0" applyNumberFormat="1" applyFont="1" applyFill="1" applyBorder="1" applyAlignment="1">
      <alignment horizontal="left"/>
    </xf>
    <xf numFmtId="1" fontId="62" fillId="0" borderId="7" xfId="0" quotePrefix="1" applyNumberFormat="1" applyFont="1" applyFill="1" applyBorder="1" applyAlignment="1">
      <alignment horizontal="left"/>
    </xf>
    <xf numFmtId="4" fontId="62" fillId="0" borderId="0" xfId="0" applyNumberFormat="1" applyFont="1" applyFill="1"/>
    <xf numFmtId="0" fontId="61" fillId="0" borderId="4" xfId="0" applyFont="1" applyFill="1" applyBorder="1"/>
    <xf numFmtId="0" fontId="62" fillId="0" borderId="0" xfId="0" applyFont="1" applyAlignment="1">
      <alignment horizontal="center"/>
    </xf>
    <xf numFmtId="1" fontId="62" fillId="0" borderId="0" xfId="0" applyNumberFormat="1" applyFont="1" applyAlignment="1">
      <alignment horizontal="center"/>
    </xf>
    <xf numFmtId="3" fontId="61" fillId="0" borderId="0" xfId="0" applyNumberFormat="1" applyFont="1"/>
    <xf numFmtId="0" fontId="62" fillId="0" borderId="7" xfId="0" applyFont="1" applyBorder="1"/>
    <xf numFmtId="4" fontId="61" fillId="0" borderId="7" xfId="0" applyNumberFormat="1" applyFont="1" applyBorder="1"/>
    <xf numFmtId="0" fontId="62" fillId="0" borderId="0" xfId="0" applyFont="1"/>
    <xf numFmtId="4" fontId="62" fillId="0" borderId="7" xfId="0" applyNumberFormat="1" applyFont="1" applyBorder="1"/>
    <xf numFmtId="4" fontId="61" fillId="0" borderId="14" xfId="1" applyNumberFormat="1" applyFont="1" applyFill="1" applyBorder="1"/>
    <xf numFmtId="3" fontId="2" fillId="0" borderId="0" xfId="1" applyNumberFormat="1" applyFont="1" applyFill="1" applyBorder="1" applyAlignment="1"/>
    <xf numFmtId="3" fontId="1" fillId="0" borderId="1" xfId="1" applyNumberFormat="1" applyFont="1" applyFill="1" applyBorder="1" applyAlignment="1"/>
    <xf numFmtId="3" fontId="1" fillId="0" borderId="0" xfId="1" applyNumberFormat="1" applyFont="1" applyFill="1" applyBorder="1" applyAlignment="1"/>
    <xf numFmtId="3" fontId="1" fillId="0" borderId="6" xfId="1" applyNumberFormat="1" applyFont="1" applyFill="1" applyBorder="1" applyAlignment="1"/>
    <xf numFmtId="3" fontId="1" fillId="0" borderId="5" xfId="1" applyNumberFormat="1" applyFont="1" applyFill="1" applyBorder="1" applyAlignment="1"/>
    <xf numFmtId="4" fontId="16" fillId="0" borderId="0" xfId="1" applyNumberFormat="1" applyFont="1" applyFill="1" applyBorder="1" applyAlignment="1"/>
    <xf numFmtId="4" fontId="1" fillId="0" borderId="18" xfId="0" applyNumberFormat="1" applyFont="1" applyFill="1" applyBorder="1" applyAlignment="1"/>
    <xf numFmtId="4" fontId="17" fillId="0" borderId="20" xfId="0" applyNumberFormat="1" applyFont="1" applyFill="1" applyBorder="1" applyAlignment="1">
      <alignment horizontal="center"/>
    </xf>
    <xf numFmtId="4" fontId="62" fillId="0" borderId="20" xfId="0" applyNumberFormat="1" applyFont="1" applyFill="1" applyBorder="1" applyAlignment="1">
      <alignment horizontal="center"/>
    </xf>
    <xf numFmtId="4" fontId="61" fillId="0" borderId="20" xfId="0" applyNumberFormat="1" applyFont="1" applyFill="1" applyBorder="1"/>
    <xf numFmtId="4" fontId="61" fillId="0" borderId="22" xfId="1" applyNumberFormat="1" applyFont="1" applyFill="1" applyBorder="1"/>
    <xf numFmtId="4" fontId="61" fillId="0" borderId="0" xfId="1" applyNumberFormat="1" applyFont="1" applyFill="1"/>
    <xf numFmtId="3" fontId="2" fillId="0" borderId="5" xfId="1" applyNumberFormat="1" applyFont="1" applyFill="1" applyBorder="1" applyAlignment="1"/>
    <xf numFmtId="3" fontId="2" fillId="0" borderId="6" xfId="1" applyNumberFormat="1" applyFont="1" applyFill="1" applyBorder="1" applyAlignment="1"/>
    <xf numFmtId="3" fontId="1" fillId="0" borderId="20" xfId="1" applyNumberFormat="1" applyFont="1" applyFill="1" applyBorder="1" applyAlignment="1"/>
    <xf numFmtId="3" fontId="2" fillId="0" borderId="59" xfId="1" applyNumberFormat="1" applyFont="1" applyFill="1" applyBorder="1" applyAlignment="1"/>
    <xf numFmtId="3" fontId="5" fillId="0" borderId="1" xfId="1" applyNumberFormat="1" applyFont="1" applyFill="1" applyBorder="1" applyAlignment="1"/>
    <xf numFmtId="3" fontId="5" fillId="0" borderId="0" xfId="1" applyNumberFormat="1" applyFont="1" applyFill="1" applyBorder="1" applyAlignment="1"/>
    <xf numFmtId="3" fontId="6" fillId="0" borderId="20" xfId="1" applyNumberFormat="1" applyFont="1" applyFill="1" applyBorder="1" applyAlignment="1"/>
    <xf numFmtId="169" fontId="7" fillId="0" borderId="14" xfId="1" applyNumberFormat="1" applyFont="1" applyFill="1" applyBorder="1" applyAlignment="1">
      <alignment horizontal="right"/>
    </xf>
    <xf numFmtId="170" fontId="7" fillId="0" borderId="0" xfId="1" applyNumberFormat="1" applyFont="1" applyFill="1" applyAlignment="1">
      <alignment horizontal="right"/>
    </xf>
    <xf numFmtId="4" fontId="7" fillId="0" borderId="0" xfId="1" applyNumberFormat="1" applyFont="1" applyFill="1" applyAlignment="1">
      <alignment horizontal="right"/>
    </xf>
    <xf numFmtId="3" fontId="1" fillId="0" borderId="1" xfId="2" applyNumberFormat="1" applyFont="1" applyFill="1" applyBorder="1"/>
    <xf numFmtId="3" fontId="61" fillId="0" borderId="1" xfId="2" applyNumberFormat="1" applyFont="1" applyFill="1" applyBorder="1"/>
    <xf numFmtId="3" fontId="1" fillId="0" borderId="49" xfId="1" applyNumberFormat="1" applyFont="1" applyFill="1" applyBorder="1"/>
    <xf numFmtId="3" fontId="61" fillId="0" borderId="5" xfId="2" applyNumberFormat="1" applyFont="1" applyFill="1" applyBorder="1"/>
    <xf numFmtId="3" fontId="1" fillId="0" borderId="47" xfId="1" applyNumberFormat="1" applyFont="1" applyFill="1" applyBorder="1"/>
    <xf numFmtId="3" fontId="69" fillId="0" borderId="1" xfId="2" applyNumberFormat="1" applyFont="1" applyFill="1" applyBorder="1"/>
    <xf numFmtId="3" fontId="17" fillId="0" borderId="0" xfId="0" applyNumberFormat="1" applyFont="1" applyFill="1" applyAlignment="1">
      <alignment horizontal="right"/>
    </xf>
    <xf numFmtId="170" fontId="61" fillId="0" borderId="1" xfId="2" applyNumberFormat="1" applyFont="1" applyFill="1" applyBorder="1"/>
    <xf numFmtId="170" fontId="61" fillId="0" borderId="5" xfId="2" applyNumberFormat="1" applyFont="1" applyFill="1" applyBorder="1"/>
    <xf numFmtId="3" fontId="1" fillId="0" borderId="13" xfId="2" applyNumberFormat="1" applyFont="1" applyFill="1" applyBorder="1"/>
    <xf numFmtId="165" fontId="1" fillId="0" borderId="5" xfId="1" applyFont="1" applyFill="1" applyBorder="1" applyAlignment="1"/>
    <xf numFmtId="165" fontId="1" fillId="0" borderId="0" xfId="1" applyFont="1" applyFill="1" applyBorder="1" applyAlignment="1"/>
    <xf numFmtId="165" fontId="1" fillId="0" borderId="1" xfId="1" applyFont="1" applyFill="1" applyBorder="1" applyAlignment="1"/>
    <xf numFmtId="3" fontId="1" fillId="0" borderId="49" xfId="1" applyNumberFormat="1" applyFont="1" applyFill="1" applyBorder="1" applyAlignment="1"/>
    <xf numFmtId="170" fontId="61" fillId="0" borderId="47" xfId="2" applyNumberFormat="1" applyFont="1" applyFill="1" applyBorder="1"/>
    <xf numFmtId="170" fontId="61" fillId="0" borderId="49" xfId="2" applyNumberFormat="1" applyFont="1" applyFill="1" applyBorder="1"/>
    <xf numFmtId="170" fontId="61" fillId="0" borderId="12" xfId="2" applyNumberFormat="1" applyFont="1" applyFill="1" applyBorder="1"/>
    <xf numFmtId="170" fontId="61" fillId="0" borderId="20" xfId="2" applyNumberFormat="1" applyFont="1" applyFill="1" applyBorder="1"/>
    <xf numFmtId="0" fontId="0" fillId="0" borderId="50" xfId="0" applyFill="1" applyBorder="1" applyAlignment="1">
      <alignment wrapText="1"/>
    </xf>
    <xf numFmtId="170" fontId="2" fillId="0" borderId="47" xfId="1" applyNumberFormat="1" applyFont="1" applyFill="1" applyBorder="1"/>
    <xf numFmtId="3" fontId="2" fillId="0" borderId="47" xfId="1" applyNumberFormat="1" applyFont="1" applyFill="1" applyBorder="1"/>
    <xf numFmtId="170" fontId="57" fillId="0" borderId="0" xfId="7" applyNumberFormat="1" applyFill="1" applyBorder="1" applyAlignment="1">
      <alignment horizontal="left" vertical="top" wrapText="1"/>
    </xf>
    <xf numFmtId="0" fontId="2" fillId="0" borderId="0" xfId="0" applyFont="1" applyFill="1" applyBorder="1" applyAlignment="1">
      <alignment horizontal="left"/>
    </xf>
    <xf numFmtId="0" fontId="69" fillId="0" borderId="0" xfId="0" applyFont="1" applyFill="1" applyBorder="1"/>
    <xf numFmtId="165" fontId="16" fillId="0" borderId="0" xfId="1" applyFont="1" applyFill="1" applyBorder="1" applyAlignment="1">
      <alignment horizontal="right"/>
    </xf>
    <xf numFmtId="170" fontId="16" fillId="0" borderId="0" xfId="1" applyNumberFormat="1" applyFont="1" applyFill="1" applyBorder="1" applyAlignment="1">
      <alignment horizontal="right"/>
    </xf>
    <xf numFmtId="170" fontId="17" fillId="0" borderId="0" xfId="1" applyNumberFormat="1" applyFont="1" applyFill="1" applyBorder="1" applyAlignment="1">
      <alignment horizontal="right"/>
    </xf>
    <xf numFmtId="170" fontId="17" fillId="0" borderId="9" xfId="1" applyNumberFormat="1" applyFont="1" applyFill="1" applyBorder="1" applyAlignment="1">
      <alignment horizontal="right"/>
    </xf>
    <xf numFmtId="170" fontId="17" fillId="0" borderId="3" xfId="1" applyNumberFormat="1" applyFont="1" applyFill="1" applyBorder="1" applyAlignment="1">
      <alignment horizontal="right"/>
    </xf>
    <xf numFmtId="170" fontId="16" fillId="0" borderId="0" xfId="1" applyNumberFormat="1" applyFont="1" applyFill="1" applyAlignment="1">
      <alignment horizontal="right"/>
    </xf>
    <xf numFmtId="165" fontId="61" fillId="0" borderId="6" xfId="1" applyFont="1" applyFill="1" applyBorder="1" applyAlignment="1"/>
    <xf numFmtId="170" fontId="17" fillId="0" borderId="0" xfId="0" applyNumberFormat="1" applyFont="1" applyFill="1"/>
    <xf numFmtId="184" fontId="61" fillId="0" borderId="0" xfId="0" applyNumberFormat="1" applyFont="1" applyFill="1"/>
    <xf numFmtId="170" fontId="62" fillId="0" borderId="4" xfId="2" applyNumberFormat="1" applyFont="1" applyFill="1" applyBorder="1"/>
    <xf numFmtId="170" fontId="62" fillId="0" borderId="6" xfId="2" applyNumberFormat="1" applyFont="1" applyFill="1" applyBorder="1"/>
    <xf numFmtId="0" fontId="17" fillId="0" borderId="20" xfId="1" applyNumberFormat="1" applyFont="1" applyFill="1" applyBorder="1" applyAlignment="1">
      <alignment horizontal="center"/>
    </xf>
    <xf numFmtId="0" fontId="62" fillId="0" borderId="0" xfId="0" applyFont="1" applyFill="1" applyAlignment="1">
      <alignment horizontal="center" vertical="center"/>
    </xf>
    <xf numFmtId="0" fontId="1" fillId="0" borderId="0" xfId="0" applyFont="1" applyFill="1" applyBorder="1" applyAlignment="1">
      <alignment horizontal="justify" vertical="justify"/>
    </xf>
    <xf numFmtId="173" fontId="7" fillId="0" borderId="51" xfId="0" applyNumberFormat="1" applyFont="1" applyFill="1" applyBorder="1" applyAlignment="1">
      <alignment vertical="top"/>
    </xf>
    <xf numFmtId="173" fontId="5" fillId="0" borderId="14" xfId="0" applyNumberFormat="1" applyFont="1" applyFill="1" applyBorder="1" applyAlignment="1">
      <alignment vertical="top"/>
    </xf>
    <xf numFmtId="173" fontId="7" fillId="0" borderId="19" xfId="0" applyNumberFormat="1" applyFont="1" applyFill="1" applyBorder="1" applyAlignment="1"/>
    <xf numFmtId="0" fontId="73" fillId="0" borderId="34" xfId="0" applyFont="1" applyBorder="1" applyAlignment="1">
      <alignment vertical="top" wrapText="1"/>
    </xf>
    <xf numFmtId="0" fontId="73" fillId="0" borderId="22" xfId="0" applyFont="1" applyBorder="1" applyAlignment="1">
      <alignment vertical="top" wrapText="1"/>
    </xf>
    <xf numFmtId="3" fontId="73" fillId="0" borderId="22" xfId="0" applyNumberFormat="1" applyFont="1" applyBorder="1" applyAlignment="1">
      <alignment vertical="top" wrapText="1"/>
    </xf>
    <xf numFmtId="3" fontId="73" fillId="0" borderId="34" xfId="0" applyNumberFormat="1" applyFont="1" applyBorder="1" applyAlignment="1">
      <alignment vertical="top" wrapText="1"/>
    </xf>
    <xf numFmtId="0" fontId="16" fillId="0" borderId="0" xfId="0" applyFont="1" applyBorder="1" applyAlignment="1">
      <alignment horizontal="justify"/>
    </xf>
    <xf numFmtId="0" fontId="0" fillId="0" borderId="17" xfId="0" applyBorder="1"/>
    <xf numFmtId="0" fontId="0" fillId="0" borderId="15"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14" xfId="0" applyBorder="1"/>
    <xf numFmtId="0" fontId="0" fillId="0" borderId="22" xfId="0" applyBorder="1"/>
    <xf numFmtId="0" fontId="17" fillId="0" borderId="34" xfId="0" applyFont="1" applyFill="1" applyBorder="1" applyAlignment="1">
      <alignment horizontal="center" vertical="center" textRotation="90" wrapText="1"/>
    </xf>
    <xf numFmtId="0" fontId="17" fillId="0" borderId="34" xfId="0" applyFont="1" applyFill="1" applyBorder="1" applyAlignment="1">
      <alignment horizontal="left" textRotation="90" wrapText="1"/>
    </xf>
    <xf numFmtId="0" fontId="16" fillId="0" borderId="15" xfId="0" applyFont="1" applyFill="1" applyBorder="1"/>
    <xf numFmtId="0" fontId="17" fillId="0" borderId="30" xfId="0" applyFont="1" applyFill="1" applyBorder="1" applyAlignment="1">
      <alignment horizontal="center" vertical="center" textRotation="90" wrapText="1"/>
    </xf>
    <xf numFmtId="0" fontId="17" fillId="0" borderId="30" xfId="0" applyFont="1" applyFill="1" applyBorder="1" applyAlignment="1">
      <alignment horizontal="left" textRotation="90" wrapText="1"/>
    </xf>
    <xf numFmtId="0" fontId="17" fillId="0" borderId="30" xfId="0" applyFont="1" applyFill="1" applyBorder="1" applyAlignment="1">
      <alignment horizontal="center"/>
    </xf>
    <xf numFmtId="0" fontId="17" fillId="0" borderId="1" xfId="0" applyFont="1" applyFill="1" applyBorder="1"/>
    <xf numFmtId="0" fontId="16" fillId="0" borderId="1" xfId="0" applyFont="1" applyFill="1" applyBorder="1" applyAlignment="1">
      <alignment horizontal="left"/>
    </xf>
    <xf numFmtId="0" fontId="1" fillId="0" borderId="11" xfId="0" applyFont="1" applyFill="1" applyBorder="1" applyAlignment="1">
      <alignment horizontal="left" vertical="top"/>
    </xf>
    <xf numFmtId="0" fontId="1" fillId="0" borderId="11" xfId="0" applyFont="1" applyFill="1" applyBorder="1" applyAlignment="1">
      <alignment horizontal="left" vertical="top" wrapText="1"/>
    </xf>
    <xf numFmtId="0" fontId="17" fillId="0" borderId="1" xfId="0" applyFont="1" applyFill="1" applyBorder="1" applyAlignment="1">
      <alignment wrapText="1"/>
    </xf>
    <xf numFmtId="0" fontId="61" fillId="0" borderId="11" xfId="0" applyFont="1" applyFill="1" applyBorder="1"/>
    <xf numFmtId="0" fontId="16" fillId="0" borderId="11" xfId="0" applyFont="1" applyFill="1" applyBorder="1" applyAlignment="1">
      <alignment wrapText="1"/>
    </xf>
    <xf numFmtId="0" fontId="17" fillId="0" borderId="11" xfId="0" applyFont="1" applyFill="1" applyBorder="1" applyAlignment="1">
      <alignment wrapText="1"/>
    </xf>
    <xf numFmtId="0" fontId="16" fillId="0" borderId="5" xfId="0" applyFont="1" applyFill="1" applyBorder="1"/>
    <xf numFmtId="0" fontId="17" fillId="0" borderId="4" xfId="0" applyFont="1" applyFill="1" applyBorder="1" applyAlignment="1">
      <alignment wrapText="1"/>
    </xf>
    <xf numFmtId="0" fontId="61" fillId="0" borderId="11" xfId="0" applyFont="1" applyFill="1" applyBorder="1" applyAlignment="1">
      <alignment wrapText="1"/>
    </xf>
    <xf numFmtId="0" fontId="74" fillId="0" borderId="0" xfId="0" applyFont="1"/>
    <xf numFmtId="0" fontId="75" fillId="0" borderId="0" xfId="0" applyFont="1"/>
    <xf numFmtId="0" fontId="61" fillId="0" borderId="0" xfId="0" applyFont="1" applyAlignment="1"/>
    <xf numFmtId="3" fontId="63" fillId="0" borderId="0" xfId="2" applyNumberFormat="1" applyFont="1" applyFill="1" applyBorder="1"/>
    <xf numFmtId="3" fontId="7" fillId="0" borderId="0" xfId="1" applyNumberFormat="1" applyFont="1" applyFill="1" applyBorder="1" applyAlignment="1">
      <alignment horizontal="right"/>
    </xf>
    <xf numFmtId="3" fontId="64" fillId="0" borderId="0" xfId="2" applyNumberFormat="1" applyFont="1" applyFill="1" applyBorder="1"/>
    <xf numFmtId="3" fontId="11" fillId="0" borderId="0" xfId="1" applyNumberFormat="1" applyFont="1" applyFill="1" applyBorder="1" applyAlignment="1">
      <alignment horizontal="right"/>
    </xf>
    <xf numFmtId="3" fontId="63" fillId="0" borderId="6" xfId="2" applyNumberFormat="1" applyFont="1" applyFill="1" applyBorder="1"/>
    <xf numFmtId="3" fontId="64" fillId="0" borderId="3" xfId="2" applyNumberFormat="1" applyFont="1" applyFill="1" applyBorder="1"/>
    <xf numFmtId="3" fontId="63" fillId="0" borderId="4" xfId="2" applyNumberFormat="1" applyFont="1" applyFill="1" applyBorder="1"/>
    <xf numFmtId="3" fontId="63" fillId="0" borderId="5" xfId="2" applyNumberFormat="1" applyFont="1" applyFill="1" applyBorder="1"/>
    <xf numFmtId="0" fontId="16" fillId="0" borderId="0" xfId="7" applyFont="1" applyFill="1" applyBorder="1" applyAlignment="1">
      <alignment horizontal="left" vertical="top" wrapText="1"/>
    </xf>
    <xf numFmtId="0" fontId="16" fillId="0" borderId="0" xfId="7" applyFont="1" applyFill="1" applyBorder="1" applyAlignment="1">
      <alignment horizontal="left" vertical="top"/>
    </xf>
    <xf numFmtId="0" fontId="17" fillId="0" borderId="7" xfId="0" applyFont="1" applyBorder="1" applyAlignment="1">
      <alignment horizontal="center" wrapText="1"/>
    </xf>
    <xf numFmtId="170" fontId="17" fillId="9" borderId="7" xfId="1" applyNumberFormat="1" applyFont="1" applyFill="1" applyBorder="1"/>
    <xf numFmtId="170" fontId="16" fillId="0" borderId="4" xfId="1" applyNumberFormat="1" applyFont="1" applyFill="1" applyBorder="1"/>
    <xf numFmtId="170" fontId="16" fillId="0" borderId="5" xfId="1" applyNumberFormat="1" applyFont="1" applyFill="1" applyBorder="1"/>
    <xf numFmtId="0" fontId="61" fillId="0" borderId="0" xfId="7" applyFont="1" applyFill="1"/>
    <xf numFmtId="0" fontId="16" fillId="0" borderId="0" xfId="7" applyFont="1" applyFill="1" applyBorder="1"/>
    <xf numFmtId="0" fontId="16" fillId="0" borderId="0" xfId="8" applyFill="1"/>
    <xf numFmtId="0" fontId="16" fillId="0" borderId="0" xfId="8" applyFont="1" applyFill="1"/>
    <xf numFmtId="0" fontId="17" fillId="0" borderId="0" xfId="8" applyFont="1" applyFill="1"/>
    <xf numFmtId="0" fontId="69" fillId="0" borderId="0" xfId="8" applyFont="1" applyFill="1"/>
    <xf numFmtId="0" fontId="0" fillId="0" borderId="0" xfId="0" applyNumberFormat="1" applyFont="1" applyFill="1"/>
    <xf numFmtId="0" fontId="17" fillId="0" borderId="0" xfId="0" applyNumberFormat="1" applyFont="1" applyFill="1" applyAlignment="1">
      <alignment wrapText="1"/>
    </xf>
    <xf numFmtId="0" fontId="40" fillId="0" borderId="0" xfId="0" applyFont="1" applyFill="1" applyAlignment="1">
      <alignment horizontal="right"/>
    </xf>
    <xf numFmtId="3" fontId="40" fillId="0" borderId="0" xfId="0" applyNumberFormat="1" applyFont="1" applyFill="1" applyAlignment="1">
      <alignment horizontal="right"/>
    </xf>
    <xf numFmtId="3" fontId="40" fillId="0" borderId="0" xfId="0" applyNumberFormat="1" applyFont="1" applyFill="1" applyBorder="1" applyAlignment="1">
      <alignment horizontal="right"/>
    </xf>
    <xf numFmtId="3" fontId="1" fillId="0" borderId="0" xfId="0" applyNumberFormat="1" applyFont="1" applyFill="1" applyAlignment="1"/>
    <xf numFmtId="165" fontId="16" fillId="0" borderId="0" xfId="1" applyFont="1" applyFill="1" applyAlignment="1">
      <alignment horizontal="right"/>
    </xf>
    <xf numFmtId="0" fontId="16" fillId="0" borderId="0" xfId="7" applyFont="1" applyFill="1"/>
    <xf numFmtId="183" fontId="16" fillId="0" borderId="0" xfId="0" applyNumberFormat="1" applyFont="1" applyFill="1" applyBorder="1"/>
    <xf numFmtId="168" fontId="61" fillId="0" borderId="0" xfId="1" applyNumberFormat="1" applyFont="1" applyFill="1"/>
    <xf numFmtId="0" fontId="62" fillId="0" borderId="0" xfId="1" applyNumberFormat="1" applyFont="1" applyFill="1" applyAlignment="1">
      <alignment horizontal="center"/>
    </xf>
    <xf numFmtId="181" fontId="62" fillId="0" borderId="0" xfId="1" applyNumberFormat="1" applyFont="1" applyFill="1" applyAlignment="1">
      <alignment horizontal="center"/>
    </xf>
    <xf numFmtId="0" fontId="76" fillId="0" borderId="0" xfId="0" applyFont="1" applyFill="1"/>
    <xf numFmtId="181" fontId="61" fillId="0" borderId="0" xfId="1" applyNumberFormat="1" applyFont="1" applyFill="1"/>
    <xf numFmtId="170" fontId="62" fillId="0" borderId="0" xfId="1" applyNumberFormat="1" applyFont="1" applyFill="1" applyBorder="1" applyAlignment="1">
      <alignment horizontal="center"/>
    </xf>
    <xf numFmtId="181" fontId="62" fillId="0" borderId="3" xfId="1" applyNumberFormat="1" applyFont="1" applyFill="1" applyBorder="1"/>
    <xf numFmtId="168" fontId="61" fillId="0" borderId="0" xfId="1" applyNumberFormat="1" applyFont="1" applyFill="1" applyAlignment="1"/>
    <xf numFmtId="181" fontId="62" fillId="0" borderId="0" xfId="0" applyNumberFormat="1" applyFont="1" applyFill="1" applyAlignment="1">
      <alignment horizontal="center"/>
    </xf>
    <xf numFmtId="181" fontId="61" fillId="0" borderId="6" xfId="1" applyNumberFormat="1" applyFont="1" applyFill="1" applyBorder="1"/>
    <xf numFmtId="168" fontId="77" fillId="0" borderId="0" xfId="6" quotePrefix="1" applyNumberFormat="1" applyFont="1" applyFill="1" applyAlignment="1" applyProtection="1"/>
    <xf numFmtId="0" fontId="78" fillId="0" borderId="0" xfId="0" applyFont="1" applyFill="1"/>
    <xf numFmtId="0" fontId="79" fillId="0" borderId="0" xfId="0" applyFont="1" applyFill="1"/>
    <xf numFmtId="181" fontId="61" fillId="0" borderId="3" xfId="1" applyNumberFormat="1" applyFont="1" applyFill="1" applyBorder="1"/>
    <xf numFmtId="181" fontId="17" fillId="0" borderId="43" xfId="1" applyNumberFormat="1" applyFont="1" applyFill="1" applyBorder="1"/>
    <xf numFmtId="173" fontId="6" fillId="9" borderId="0" xfId="0" applyNumberFormat="1" applyFont="1" applyFill="1" applyBorder="1" applyAlignment="1"/>
    <xf numFmtId="173" fontId="1" fillId="9" borderId="0" xfId="0" applyNumberFormat="1" applyFont="1" applyFill="1" applyBorder="1" applyAlignment="1"/>
    <xf numFmtId="0" fontId="17" fillId="0" borderId="0" xfId="0" applyFont="1" applyBorder="1" applyAlignment="1">
      <alignment horizontal="center" wrapText="1"/>
    </xf>
    <xf numFmtId="170" fontId="17" fillId="9" borderId="0" xfId="1" applyNumberFormat="1" applyFont="1" applyFill="1" applyBorder="1"/>
    <xf numFmtId="170" fontId="1" fillId="9" borderId="0" xfId="1" applyNumberFormat="1" applyFont="1" applyFill="1" applyBorder="1"/>
    <xf numFmtId="0" fontId="1" fillId="9" borderId="0" xfId="0" applyFont="1" applyFill="1" applyBorder="1"/>
    <xf numFmtId="4" fontId="63" fillId="0" borderId="0" xfId="2" applyNumberFormat="1" applyFont="1" applyFill="1" applyBorder="1"/>
    <xf numFmtId="4" fontId="64" fillId="0" borderId="0" xfId="2" applyNumberFormat="1" applyFont="1" applyFill="1" applyBorder="1"/>
    <xf numFmtId="4" fontId="7" fillId="0" borderId="0" xfId="1" applyNumberFormat="1" applyFont="1" applyFill="1" applyBorder="1" applyAlignment="1">
      <alignment horizontal="right"/>
    </xf>
    <xf numFmtId="4" fontId="11" fillId="0" borderId="0" xfId="1" applyNumberFormat="1" applyFont="1" applyFill="1" applyBorder="1" applyAlignment="1">
      <alignment horizontal="right"/>
    </xf>
    <xf numFmtId="170" fontId="11" fillId="0" borderId="0" xfId="1" applyNumberFormat="1" applyFont="1" applyFill="1"/>
    <xf numFmtId="170" fontId="55" fillId="0" borderId="0" xfId="1" applyNumberFormat="1" applyFont="1" applyFill="1"/>
    <xf numFmtId="0" fontId="61" fillId="0" borderId="0" xfId="0" applyFont="1" applyFill="1" applyAlignment="1">
      <alignment horizontal="left" wrapText="1"/>
    </xf>
    <xf numFmtId="0" fontId="61" fillId="0" borderId="0" xfId="0" applyFont="1" applyFill="1" applyAlignment="1">
      <alignment horizontal="left"/>
    </xf>
    <xf numFmtId="0" fontId="16" fillId="0" borderId="0" xfId="10" applyFont="1" applyFill="1"/>
    <xf numFmtId="4" fontId="1" fillId="0" borderId="7" xfId="1" applyNumberFormat="1" applyFont="1" applyFill="1" applyBorder="1"/>
    <xf numFmtId="170" fontId="7" fillId="0" borderId="0" xfId="1" applyNumberFormat="1" applyFont="1" applyFill="1" applyBorder="1"/>
    <xf numFmtId="165" fontId="16" fillId="0" borderId="0" xfId="1" applyFont="1" applyFill="1" applyAlignment="1"/>
    <xf numFmtId="4" fontId="62" fillId="0" borderId="7" xfId="0" applyNumberFormat="1" applyFont="1" applyFill="1" applyBorder="1" applyAlignment="1"/>
    <xf numFmtId="4" fontId="17" fillId="0" borderId="7" xfId="0" applyNumberFormat="1" applyFont="1" applyFill="1" applyBorder="1" applyAlignment="1"/>
    <xf numFmtId="4" fontId="62" fillId="5" borderId="7" xfId="0" applyNumberFormat="1" applyFont="1" applyFill="1" applyBorder="1"/>
    <xf numFmtId="0" fontId="62" fillId="0" borderId="0" xfId="0" applyFont="1" applyFill="1" applyAlignment="1">
      <alignment horizontal="right" vertical="center"/>
    </xf>
    <xf numFmtId="3" fontId="2" fillId="0" borderId="16" xfId="1" applyNumberFormat="1" applyFont="1" applyFill="1" applyBorder="1" applyAlignment="1"/>
    <xf numFmtId="0" fontId="62" fillId="0" borderId="7" xfId="0" applyFont="1" applyBorder="1" applyAlignment="1">
      <alignment horizontal="center"/>
    </xf>
    <xf numFmtId="177" fontId="9" fillId="0" borderId="3" xfId="1" applyNumberFormat="1" applyFont="1" applyBorder="1" applyAlignment="1">
      <alignment horizontal="center"/>
    </xf>
    <xf numFmtId="0" fontId="16" fillId="0" borderId="24" xfId="8" applyFont="1" applyFill="1" applyBorder="1"/>
    <xf numFmtId="0" fontId="16" fillId="9" borderId="7" xfId="8" applyFill="1" applyBorder="1"/>
    <xf numFmtId="4" fontId="16" fillId="0" borderId="7" xfId="8" applyNumberFormat="1" applyFill="1" applyBorder="1" applyAlignment="1">
      <alignment horizontal="left"/>
    </xf>
    <xf numFmtId="0" fontId="0" fillId="0" borderId="7" xfId="0" applyBorder="1"/>
    <xf numFmtId="3" fontId="16" fillId="9" borderId="7" xfId="8" applyNumberFormat="1" applyFont="1" applyFill="1" applyBorder="1" applyAlignment="1">
      <alignment horizontal="right"/>
    </xf>
    <xf numFmtId="3" fontId="16" fillId="9" borderId="24" xfId="8" applyNumberFormat="1" applyFont="1" applyFill="1" applyBorder="1" applyAlignment="1">
      <alignment horizontal="right"/>
    </xf>
    <xf numFmtId="3" fontId="16" fillId="0" borderId="7" xfId="8" applyNumberFormat="1" applyFont="1" applyFill="1" applyBorder="1" applyAlignment="1">
      <alignment horizontal="right"/>
    </xf>
    <xf numFmtId="3" fontId="61" fillId="0" borderId="7" xfId="0" applyNumberFormat="1" applyFont="1" applyBorder="1" applyAlignment="1">
      <alignment horizontal="right"/>
    </xf>
    <xf numFmtId="3" fontId="17" fillId="0" borderId="7" xfId="8" applyNumberFormat="1" applyFont="1" applyFill="1" applyBorder="1" applyAlignment="1">
      <alignment horizontal="right"/>
    </xf>
    <xf numFmtId="3" fontId="17" fillId="9" borderId="7" xfId="8" applyNumberFormat="1" applyFont="1" applyFill="1" applyBorder="1" applyAlignment="1">
      <alignment horizontal="right"/>
    </xf>
    <xf numFmtId="3" fontId="16" fillId="9" borderId="7" xfId="8" applyNumberFormat="1" applyFont="1" applyFill="1" applyBorder="1" applyAlignment="1">
      <alignment horizontal="right" vertical="center"/>
    </xf>
    <xf numFmtId="3" fontId="16" fillId="9" borderId="24" xfId="8" applyNumberFormat="1" applyFont="1" applyFill="1" applyBorder="1" applyAlignment="1">
      <alignment horizontal="right" vertical="center"/>
    </xf>
    <xf numFmtId="3" fontId="16" fillId="0" borderId="7" xfId="8" applyNumberFormat="1" applyFont="1" applyFill="1" applyBorder="1" applyAlignment="1">
      <alignment horizontal="right" vertical="center"/>
    </xf>
    <xf numFmtId="3" fontId="16" fillId="0" borderId="24" xfId="8" applyNumberFormat="1" applyFont="1" applyFill="1" applyBorder="1" applyAlignment="1">
      <alignment horizontal="right"/>
    </xf>
    <xf numFmtId="3" fontId="16" fillId="9" borderId="7" xfId="8" applyNumberFormat="1" applyFont="1" applyFill="1" applyBorder="1" applyAlignment="1">
      <alignment horizontal="right" wrapText="1"/>
    </xf>
    <xf numFmtId="3" fontId="17" fillId="0" borderId="24" xfId="8" applyNumberFormat="1" applyFont="1" applyFill="1" applyBorder="1" applyAlignment="1">
      <alignment horizontal="right"/>
    </xf>
    <xf numFmtId="3" fontId="62" fillId="0" borderId="7" xfId="0" applyNumberFormat="1" applyFont="1" applyFill="1" applyBorder="1" applyAlignment="1">
      <alignment horizontal="right"/>
    </xf>
    <xf numFmtId="3" fontId="62" fillId="0" borderId="7" xfId="0" applyNumberFormat="1" applyFont="1" applyBorder="1" applyAlignment="1">
      <alignment horizontal="right"/>
    </xf>
    <xf numFmtId="1" fontId="16" fillId="0" borderId="7" xfId="8" applyNumberFormat="1" applyFont="1" applyFill="1" applyBorder="1" applyAlignment="1">
      <alignment horizontal="left"/>
    </xf>
    <xf numFmtId="1" fontId="16" fillId="9" borderId="7" xfId="8" applyNumberFormat="1" applyFont="1" applyFill="1" applyBorder="1" applyAlignment="1">
      <alignment horizontal="right"/>
    </xf>
    <xf numFmtId="1" fontId="16" fillId="9" borderId="7" xfId="8" applyNumberFormat="1" applyFont="1" applyFill="1" applyBorder="1" applyAlignment="1">
      <alignment horizontal="right" vertical="center"/>
    </xf>
    <xf numFmtId="1" fontId="16" fillId="0" borderId="7" xfId="8" applyNumberFormat="1" applyFont="1" applyFill="1" applyBorder="1" applyAlignment="1">
      <alignment horizontal="right"/>
    </xf>
    <xf numFmtId="4" fontId="61" fillId="8" borderId="7" xfId="0" applyNumberFormat="1" applyFont="1" applyFill="1" applyBorder="1" applyAlignment="1"/>
    <xf numFmtId="0" fontId="61" fillId="8" borderId="7" xfId="0" applyFont="1" applyFill="1" applyBorder="1"/>
    <xf numFmtId="3" fontId="61" fillId="8" borderId="7" xfId="0" applyNumberFormat="1" applyFont="1" applyFill="1" applyBorder="1"/>
    <xf numFmtId="0" fontId="61" fillId="8" borderId="0" xfId="0" applyFont="1" applyFill="1"/>
    <xf numFmtId="4" fontId="16" fillId="0" borderId="24" xfId="0" applyNumberFormat="1" applyFont="1" applyFill="1" applyBorder="1"/>
    <xf numFmtId="4" fontId="16" fillId="0" borderId="7" xfId="0" applyNumberFormat="1" applyFont="1" applyFill="1" applyBorder="1"/>
    <xf numFmtId="186" fontId="61" fillId="0" borderId="0" xfId="0" applyNumberFormat="1" applyFont="1" applyFill="1" applyAlignment="1"/>
    <xf numFmtId="186" fontId="61" fillId="0" borderId="6" xfId="0" applyNumberFormat="1" applyFont="1" applyFill="1" applyBorder="1" applyAlignment="1"/>
    <xf numFmtId="0" fontId="17" fillId="0" borderId="0" xfId="0" applyFont="1" applyFill="1" applyAlignment="1">
      <alignment horizontal="center" vertical="top" wrapText="1"/>
    </xf>
    <xf numFmtId="0" fontId="17" fillId="0" borderId="0" xfId="0" applyFont="1" applyFill="1" applyAlignment="1">
      <alignment horizontal="right" vertical="top" wrapText="1"/>
    </xf>
    <xf numFmtId="3" fontId="17" fillId="0" borderId="0" xfId="0" applyNumberFormat="1" applyFont="1" applyFill="1" applyAlignment="1">
      <alignment horizontal="right" vertical="top" wrapText="1"/>
    </xf>
    <xf numFmtId="177" fontId="17" fillId="0" borderId="0" xfId="1" applyNumberFormat="1" applyFont="1" applyFill="1" applyAlignment="1">
      <alignment horizontal="center"/>
    </xf>
    <xf numFmtId="177" fontId="17" fillId="0" borderId="0" xfId="1" applyNumberFormat="1" applyFont="1" applyFill="1" applyAlignment="1">
      <alignment horizontal="right"/>
    </xf>
    <xf numFmtId="3" fontId="17" fillId="0" borderId="0" xfId="1" applyNumberFormat="1" applyFont="1" applyFill="1" applyAlignment="1">
      <alignment horizontal="right"/>
    </xf>
    <xf numFmtId="3" fontId="17" fillId="0" borderId="0" xfId="0" applyNumberFormat="1" applyFont="1" applyFill="1" applyBorder="1" applyAlignment="1">
      <alignment horizontal="right"/>
    </xf>
    <xf numFmtId="4" fontId="62" fillId="7" borderId="0" xfId="0" applyNumberFormat="1" applyFont="1" applyFill="1"/>
    <xf numFmtId="4" fontId="62" fillId="0" borderId="0" xfId="0" applyNumberFormat="1" applyFont="1"/>
    <xf numFmtId="4" fontId="62" fillId="5" borderId="0" xfId="0" applyNumberFormat="1" applyFont="1" applyFill="1"/>
    <xf numFmtId="4" fontId="62" fillId="0" borderId="7" xfId="0" applyNumberFormat="1" applyFont="1" applyBorder="1" applyAlignment="1">
      <alignment horizontal="center"/>
    </xf>
    <xf numFmtId="4" fontId="61" fillId="7" borderId="7" xfId="0" applyNumberFormat="1" applyFont="1" applyFill="1" applyBorder="1"/>
    <xf numFmtId="4" fontId="62" fillId="7" borderId="7" xfId="0" applyNumberFormat="1" applyFont="1" applyFill="1" applyBorder="1"/>
    <xf numFmtId="4" fontId="61" fillId="5" borderId="7" xfId="0" applyNumberFormat="1" applyFont="1" applyFill="1" applyBorder="1"/>
    <xf numFmtId="4" fontId="61" fillId="0" borderId="1" xfId="2" applyNumberFormat="1" applyFont="1" applyFill="1" applyBorder="1"/>
    <xf numFmtId="3" fontId="61" fillId="0" borderId="49" xfId="2" applyNumberFormat="1" applyFont="1" applyFill="1" applyBorder="1"/>
    <xf numFmtId="3" fontId="61" fillId="0" borderId="37" xfId="2" applyNumberFormat="1" applyFont="1" applyFill="1" applyBorder="1"/>
    <xf numFmtId="3" fontId="61" fillId="0" borderId="52" xfId="2" applyNumberFormat="1" applyFont="1" applyFill="1" applyBorder="1"/>
    <xf numFmtId="3" fontId="61" fillId="0" borderId="47" xfId="2" applyNumberFormat="1" applyFont="1" applyFill="1" applyBorder="1"/>
    <xf numFmtId="3" fontId="61" fillId="0" borderId="4" xfId="2" applyNumberFormat="1" applyFont="1" applyFill="1" applyBorder="1"/>
    <xf numFmtId="3" fontId="61" fillId="0" borderId="66" xfId="2" applyNumberFormat="1" applyFont="1" applyFill="1" applyBorder="1"/>
    <xf numFmtId="4" fontId="2" fillId="0" borderId="0" xfId="0" applyNumberFormat="1" applyFont="1" applyFill="1" applyBorder="1" applyAlignment="1">
      <alignment vertical="top" wrapText="1"/>
    </xf>
    <xf numFmtId="4" fontId="2" fillId="0" borderId="0" xfId="1" applyNumberFormat="1" applyFont="1" applyFill="1" applyBorder="1" applyAlignment="1">
      <alignment horizontal="right" vertical="top" wrapText="1"/>
    </xf>
    <xf numFmtId="0" fontId="69" fillId="0" borderId="22" xfId="0" applyFont="1" applyBorder="1" applyAlignment="1">
      <alignment vertical="top" wrapText="1"/>
    </xf>
    <xf numFmtId="0" fontId="16" fillId="0" borderId="22" xfId="0" applyFont="1" applyBorder="1" applyAlignment="1">
      <alignment vertical="top" wrapText="1"/>
    </xf>
    <xf numFmtId="185" fontId="61" fillId="0" borderId="0" xfId="0" applyNumberFormat="1" applyFont="1"/>
    <xf numFmtId="3" fontId="73" fillId="0" borderId="26" xfId="0" applyNumberFormat="1" applyFont="1" applyBorder="1" applyAlignment="1">
      <alignment vertical="top" wrapText="1"/>
    </xf>
    <xf numFmtId="3" fontId="73" fillId="0" borderId="29" xfId="0" applyNumberFormat="1" applyFont="1" applyBorder="1" applyAlignment="1">
      <alignment vertical="top" wrapText="1"/>
    </xf>
    <xf numFmtId="3" fontId="16" fillId="0" borderId="22" xfId="0" applyNumberFormat="1" applyFont="1" applyBorder="1" applyAlignment="1">
      <alignment vertical="top" wrapText="1"/>
    </xf>
    <xf numFmtId="0" fontId="73" fillId="0" borderId="26" xfId="0" applyFont="1" applyBorder="1"/>
    <xf numFmtId="0" fontId="73" fillId="0" borderId="18" xfId="0" applyFont="1" applyBorder="1"/>
    <xf numFmtId="3" fontId="73" fillId="0" borderId="18" xfId="0" applyNumberFormat="1" applyFont="1" applyBorder="1"/>
    <xf numFmtId="0" fontId="73" fillId="0" borderId="18" xfId="0" applyFont="1" applyBorder="1" applyAlignment="1">
      <alignment vertical="top" wrapText="1"/>
    </xf>
    <xf numFmtId="0" fontId="71" fillId="16" borderId="26" xfId="0" applyFont="1" applyFill="1" applyBorder="1" applyAlignment="1">
      <alignment horizontal="right" wrapText="1"/>
    </xf>
    <xf numFmtId="188" fontId="73" fillId="0" borderId="16" xfId="0" applyNumberFormat="1" applyFont="1" applyBorder="1" applyAlignment="1">
      <alignment horizontal="right" vertical="top" wrapText="1"/>
    </xf>
    <xf numFmtId="188" fontId="73" fillId="0" borderId="29" xfId="0" applyNumberFormat="1" applyFont="1" applyBorder="1" applyAlignment="1">
      <alignment horizontal="right" vertical="top" wrapText="1"/>
    </xf>
    <xf numFmtId="188" fontId="73" fillId="0" borderId="26" xfId="0" applyNumberFormat="1" applyFont="1" applyBorder="1" applyAlignment="1">
      <alignment horizontal="right" vertical="top" wrapText="1"/>
    </xf>
    <xf numFmtId="188" fontId="61" fillId="0" borderId="29" xfId="0" applyNumberFormat="1" applyFont="1" applyBorder="1" applyAlignment="1">
      <alignment horizontal="right" vertical="top" wrapText="1"/>
    </xf>
    <xf numFmtId="188" fontId="73" fillId="0" borderId="26" xfId="0" applyNumberFormat="1" applyFont="1" applyBorder="1" applyAlignment="1">
      <alignment horizontal="right"/>
    </xf>
    <xf numFmtId="0" fontId="61" fillId="0" borderId="0" xfId="0" applyFont="1" applyAlignment="1">
      <alignment horizontal="right"/>
    </xf>
    <xf numFmtId="0" fontId="61" fillId="0" borderId="30" xfId="0" applyFont="1" applyBorder="1" applyAlignment="1">
      <alignment horizontal="right"/>
    </xf>
    <xf numFmtId="0" fontId="61" fillId="0" borderId="31" xfId="0" applyFont="1" applyBorder="1"/>
    <xf numFmtId="3" fontId="61" fillId="0" borderId="31" xfId="0" applyNumberFormat="1" applyFont="1" applyBorder="1"/>
    <xf numFmtId="0" fontId="61" fillId="0" borderId="87" xfId="0" applyFont="1" applyBorder="1"/>
    <xf numFmtId="3" fontId="33" fillId="0" borderId="14" xfId="0" applyNumberFormat="1" applyFont="1" applyBorder="1" applyAlignment="1">
      <alignment horizontal="right" vertical="top" wrapText="1"/>
    </xf>
    <xf numFmtId="0" fontId="31" fillId="0" borderId="10" xfId="0" applyFont="1" applyBorder="1" applyAlignment="1">
      <alignment horizontal="left" vertical="top" wrapText="1"/>
    </xf>
    <xf numFmtId="0" fontId="31" fillId="0" borderId="2" xfId="0" applyFont="1" applyBorder="1" applyAlignment="1">
      <alignment horizontal="left" vertical="top" wrapText="1"/>
    </xf>
    <xf numFmtId="0" fontId="31" fillId="0" borderId="2" xfId="0" applyFont="1" applyBorder="1" applyAlignment="1">
      <alignment vertical="top" wrapText="1"/>
    </xf>
    <xf numFmtId="0" fontId="31" fillId="0" borderId="2" xfId="0" applyFont="1" applyFill="1" applyBorder="1" applyAlignment="1">
      <alignment vertical="top" wrapText="1"/>
    </xf>
    <xf numFmtId="0" fontId="16" fillId="0" borderId="0" xfId="0" applyFont="1" applyBorder="1" applyAlignment="1">
      <alignment horizontal="left"/>
    </xf>
    <xf numFmtId="3" fontId="33" fillId="0" borderId="37" xfId="0" applyNumberFormat="1" applyFont="1" applyBorder="1" applyAlignment="1">
      <alignment horizontal="right" vertical="top" wrapText="1"/>
    </xf>
    <xf numFmtId="0" fontId="17" fillId="0" borderId="34" xfId="0" applyFont="1" applyFill="1" applyBorder="1" applyAlignment="1">
      <alignment horizontal="center"/>
    </xf>
    <xf numFmtId="0" fontId="16" fillId="0" borderId="0" xfId="0" applyFont="1" applyFill="1" applyBorder="1" applyAlignment="1">
      <alignment horizontal="left" vertical="top" wrapText="1"/>
    </xf>
    <xf numFmtId="4" fontId="61" fillId="0" borderId="0" xfId="0" applyNumberFormat="1" applyFont="1" applyFill="1" applyAlignment="1">
      <alignment horizontal="center"/>
    </xf>
    <xf numFmtId="173" fontId="11" fillId="0" borderId="30" xfId="0" applyNumberFormat="1" applyFont="1" applyFill="1" applyBorder="1" applyAlignment="1">
      <alignment vertical="top"/>
    </xf>
    <xf numFmtId="173" fontId="5" fillId="0" borderId="88" xfId="0" applyNumberFormat="1" applyFont="1" applyFill="1" applyBorder="1" applyAlignment="1">
      <alignment vertical="top"/>
    </xf>
    <xf numFmtId="3" fontId="2" fillId="0" borderId="31" xfId="1" applyNumberFormat="1" applyFont="1" applyFill="1" applyBorder="1" applyAlignment="1"/>
    <xf numFmtId="0" fontId="17" fillId="0" borderId="10" xfId="0" applyFont="1" applyFill="1" applyBorder="1"/>
    <xf numFmtId="0" fontId="17" fillId="0" borderId="4" xfId="0" applyFont="1" applyFill="1" applyBorder="1"/>
    <xf numFmtId="164" fontId="17" fillId="0" borderId="11" xfId="0" applyNumberFormat="1" applyFont="1" applyFill="1" applyBorder="1"/>
    <xf numFmtId="164" fontId="16" fillId="0" borderId="11" xfId="1" applyNumberFormat="1" applyFont="1" applyFill="1" applyBorder="1"/>
    <xf numFmtId="0" fontId="17" fillId="0" borderId="43" xfId="0" applyFont="1" applyFill="1" applyBorder="1"/>
    <xf numFmtId="0" fontId="17" fillId="0" borderId="24" xfId="0" applyFont="1" applyFill="1" applyBorder="1"/>
    <xf numFmtId="3" fontId="16" fillId="0" borderId="11" xfId="0" applyNumberFormat="1" applyFont="1" applyFill="1" applyBorder="1"/>
    <xf numFmtId="164" fontId="17" fillId="0" borderId="3" xfId="1" applyNumberFormat="1" applyFont="1" applyFill="1" applyBorder="1"/>
    <xf numFmtId="164" fontId="17" fillId="0" borderId="41" xfId="1" applyNumberFormat="1" applyFont="1" applyFill="1" applyBorder="1"/>
    <xf numFmtId="0" fontId="16" fillId="0" borderId="14" xfId="0" applyFont="1" applyFill="1" applyBorder="1"/>
    <xf numFmtId="0" fontId="16" fillId="0" borderId="42" xfId="0" applyFont="1" applyFill="1" applyBorder="1"/>
    <xf numFmtId="3" fontId="1" fillId="0" borderId="4" xfId="1" applyNumberFormat="1" applyFont="1" applyFill="1" applyBorder="1" applyAlignment="1"/>
    <xf numFmtId="3" fontId="2" fillId="0" borderId="3" xfId="1" applyNumberFormat="1" applyFont="1" applyFill="1" applyBorder="1" applyAlignment="1"/>
    <xf numFmtId="170" fontId="1" fillId="0" borderId="5" xfId="1" applyNumberFormat="1" applyFont="1" applyFill="1" applyBorder="1" applyAlignment="1"/>
    <xf numFmtId="3" fontId="2" fillId="0" borderId="72" xfId="1" applyNumberFormat="1" applyFont="1" applyFill="1" applyBorder="1" applyAlignment="1"/>
    <xf numFmtId="177" fontId="2" fillId="0" borderId="0" xfId="1" applyNumberFormat="1" applyFont="1" applyFill="1" applyBorder="1" applyAlignment="1">
      <alignment vertical="top" wrapText="1"/>
    </xf>
    <xf numFmtId="177" fontId="1" fillId="0" borderId="0" xfId="1" applyNumberFormat="1" applyFont="1" applyFill="1" applyBorder="1" applyAlignment="1">
      <alignment wrapText="1"/>
    </xf>
    <xf numFmtId="3" fontId="61" fillId="0" borderId="0" xfId="1" applyNumberFormat="1" applyFont="1" applyFill="1" applyAlignment="1">
      <alignment horizontal="right"/>
    </xf>
    <xf numFmtId="3" fontId="17" fillId="0" borderId="3" xfId="0" applyNumberFormat="1" applyFont="1" applyFill="1" applyBorder="1" applyAlignment="1"/>
    <xf numFmtId="165" fontId="16" fillId="0" borderId="0" xfId="1" applyFont="1" applyFill="1" applyBorder="1" applyAlignment="1"/>
    <xf numFmtId="3" fontId="17" fillId="0" borderId="72" xfId="1" applyNumberFormat="1" applyFont="1" applyFill="1" applyBorder="1" applyAlignment="1"/>
    <xf numFmtId="3" fontId="17" fillId="0" borderId="3" xfId="1" applyNumberFormat="1" applyFont="1" applyFill="1" applyBorder="1" applyAlignment="1"/>
    <xf numFmtId="4" fontId="17" fillId="0" borderId="0" xfId="1" applyNumberFormat="1" applyFont="1" applyFill="1" applyBorder="1" applyAlignment="1"/>
    <xf numFmtId="3" fontId="16" fillId="0" borderId="4" xfId="1" applyNumberFormat="1" applyFont="1" applyFill="1" applyBorder="1" applyAlignment="1"/>
    <xf numFmtId="3" fontId="16" fillId="0" borderId="1" xfId="1" applyNumberFormat="1" applyFont="1" applyFill="1" applyBorder="1" applyAlignment="1"/>
    <xf numFmtId="3" fontId="16" fillId="0" borderId="5" xfId="1" applyNumberFormat="1" applyFont="1" applyFill="1" applyBorder="1" applyAlignment="1"/>
    <xf numFmtId="4" fontId="16" fillId="0" borderId="5" xfId="1" applyNumberFormat="1" applyFont="1" applyFill="1" applyBorder="1" applyAlignment="1"/>
    <xf numFmtId="170" fontId="1" fillId="0" borderId="4" xfId="1" applyNumberFormat="1" applyFont="1" applyFill="1" applyBorder="1"/>
    <xf numFmtId="3" fontId="16" fillId="0" borderId="1" xfId="0" applyNumberFormat="1" applyFont="1" applyFill="1" applyBorder="1" applyAlignment="1"/>
    <xf numFmtId="3" fontId="16" fillId="0" borderId="7" xfId="0" applyNumberFormat="1" applyFont="1" applyFill="1" applyBorder="1" applyAlignment="1"/>
    <xf numFmtId="170" fontId="2" fillId="0" borderId="3" xfId="1" applyNumberFormat="1" applyFont="1" applyFill="1" applyBorder="1"/>
    <xf numFmtId="3" fontId="16" fillId="0" borderId="0" xfId="0" applyNumberFormat="1" applyFont="1" applyFill="1" applyBorder="1" applyAlignment="1">
      <alignment horizontal="right" vertical="top" wrapText="1" indent="1"/>
    </xf>
    <xf numFmtId="170" fontId="1" fillId="0" borderId="6" xfId="1" applyNumberFormat="1" applyFont="1" applyFill="1" applyBorder="1"/>
    <xf numFmtId="3" fontId="16" fillId="0" borderId="0" xfId="0" applyNumberFormat="1" applyFont="1" applyFill="1" applyBorder="1" applyAlignment="1">
      <alignment horizontal="left" vertical="top" wrapText="1" indent="1"/>
    </xf>
    <xf numFmtId="3" fontId="17" fillId="0" borderId="0" xfId="0" applyNumberFormat="1" applyFont="1" applyFill="1" applyBorder="1" applyAlignment="1">
      <alignment vertical="top" wrapText="1"/>
    </xf>
    <xf numFmtId="3" fontId="16" fillId="0" borderId="72" xfId="1" applyNumberFormat="1" applyFont="1" applyFill="1" applyBorder="1" applyAlignment="1"/>
    <xf numFmtId="3" fontId="16" fillId="0" borderId="0" xfId="3" applyNumberFormat="1" applyFont="1" applyFill="1" applyBorder="1" applyAlignment="1">
      <alignment horizontal="right"/>
    </xf>
    <xf numFmtId="3" fontId="17" fillId="0" borderId="3" xfId="1" applyNumberFormat="1" applyFont="1" applyFill="1" applyBorder="1" applyAlignment="1">
      <alignment horizontal="right"/>
    </xf>
    <xf numFmtId="3" fontId="17" fillId="0" borderId="0" xfId="1" applyNumberFormat="1" applyFont="1" applyFill="1" applyBorder="1" applyAlignment="1">
      <alignment horizontal="right"/>
    </xf>
    <xf numFmtId="0" fontId="16" fillId="0" borderId="0" xfId="0" applyFont="1" applyFill="1" applyBorder="1" applyAlignment="1">
      <alignment horizontal="justify" vertical="top"/>
    </xf>
    <xf numFmtId="3" fontId="17" fillId="0" borderId="0" xfId="1" applyNumberFormat="1" applyFont="1" applyFill="1" applyBorder="1" applyAlignment="1">
      <alignment wrapText="1"/>
    </xf>
    <xf numFmtId="3" fontId="16" fillId="0" borderId="0" xfId="0" applyNumberFormat="1" applyFont="1" applyFill="1" applyBorder="1" applyAlignment="1">
      <alignment wrapText="1"/>
    </xf>
    <xf numFmtId="3" fontId="16" fillId="0" borderId="4" xfId="1" applyNumberFormat="1" applyFont="1" applyFill="1" applyBorder="1" applyAlignment="1">
      <alignment wrapText="1"/>
    </xf>
    <xf numFmtId="3" fontId="16" fillId="0" borderId="1" xfId="1" applyNumberFormat="1" applyFont="1" applyFill="1" applyBorder="1" applyAlignment="1">
      <alignment wrapText="1"/>
    </xf>
    <xf numFmtId="165" fontId="16" fillId="0" borderId="1" xfId="1" applyFont="1" applyFill="1" applyBorder="1" applyAlignment="1">
      <alignment wrapText="1"/>
    </xf>
    <xf numFmtId="165" fontId="16" fillId="0" borderId="5" xfId="1" applyFont="1" applyFill="1" applyBorder="1" applyAlignment="1">
      <alignment wrapText="1"/>
    </xf>
    <xf numFmtId="3" fontId="16" fillId="0" borderId="5" xfId="1" applyNumberFormat="1" applyFont="1" applyFill="1" applyBorder="1" applyAlignment="1">
      <alignment wrapText="1"/>
    </xf>
    <xf numFmtId="170" fontId="2" fillId="0" borderId="6" xfId="1" applyNumberFormat="1" applyFont="1" applyFill="1" applyBorder="1"/>
    <xf numFmtId="3" fontId="16" fillId="0" borderId="0" xfId="1" applyNumberFormat="1" applyFont="1" applyFill="1" applyBorder="1" applyAlignment="1">
      <alignment horizontal="right" wrapText="1"/>
    </xf>
    <xf numFmtId="165" fontId="17" fillId="0" borderId="3" xfId="1" applyFont="1" applyFill="1" applyBorder="1" applyAlignment="1">
      <alignment horizontal="right"/>
    </xf>
    <xf numFmtId="165" fontId="17" fillId="0" borderId="3" xfId="1" applyFont="1" applyFill="1" applyBorder="1" applyAlignment="1"/>
    <xf numFmtId="3" fontId="16" fillId="0" borderId="0" xfId="1" applyNumberFormat="1" applyFont="1" applyFill="1" applyBorder="1" applyAlignment="1">
      <alignment wrapText="1"/>
    </xf>
    <xf numFmtId="170" fontId="16" fillId="0" borderId="6" xfId="1" applyNumberFormat="1" applyFont="1" applyFill="1" applyBorder="1" applyAlignment="1">
      <alignment horizontal="right"/>
    </xf>
    <xf numFmtId="170" fontId="17" fillId="0" borderId="3" xfId="1" applyNumberFormat="1" applyFont="1" applyFill="1" applyBorder="1" applyAlignment="1"/>
    <xf numFmtId="3" fontId="16" fillId="0" borderId="76" xfId="1" applyNumberFormat="1" applyFont="1" applyFill="1" applyBorder="1" applyAlignment="1"/>
    <xf numFmtId="187" fontId="0" fillId="0" borderId="0" xfId="0" applyNumberFormat="1" applyFill="1" applyBorder="1"/>
    <xf numFmtId="181" fontId="1" fillId="0" borderId="0" xfId="1" applyNumberFormat="1" applyFont="1" applyFill="1"/>
    <xf numFmtId="3" fontId="61" fillId="0" borderId="0" xfId="0" applyNumberFormat="1" applyFont="1" applyFill="1" applyAlignment="1">
      <alignment horizontal="center"/>
    </xf>
    <xf numFmtId="170" fontId="61" fillId="0" borderId="0" xfId="1" applyNumberFormat="1" applyFont="1" applyFill="1" applyAlignment="1">
      <alignment horizontal="right"/>
    </xf>
    <xf numFmtId="168" fontId="2" fillId="0" borderId="0" xfId="1" applyNumberFormat="1" applyFont="1" applyFill="1"/>
    <xf numFmtId="3" fontId="17" fillId="0" borderId="0" xfId="1" applyNumberFormat="1" applyFont="1" applyFill="1" applyAlignment="1"/>
    <xf numFmtId="0" fontId="17" fillId="0" borderId="0" xfId="0" applyFont="1" applyFill="1" applyAlignment="1">
      <alignment horizontal="left" wrapText="1"/>
    </xf>
    <xf numFmtId="3" fontId="17" fillId="0" borderId="0" xfId="0" applyNumberFormat="1" applyFont="1" applyFill="1" applyAlignment="1">
      <alignment horizontal="center" wrapText="1"/>
    </xf>
    <xf numFmtId="3" fontId="17" fillId="0" borderId="0" xfId="0" applyNumberFormat="1" applyFont="1" applyFill="1" applyAlignment="1">
      <alignment horizontal="right" wrapText="1"/>
    </xf>
    <xf numFmtId="3" fontId="61" fillId="0" borderId="0" xfId="0" applyNumberFormat="1" applyFont="1" applyFill="1" applyAlignment="1">
      <alignment horizontal="left"/>
    </xf>
    <xf numFmtId="3" fontId="69" fillId="0" borderId="0" xfId="0" applyNumberFormat="1" applyFont="1" applyFill="1" applyAlignment="1">
      <alignment horizontal="center"/>
    </xf>
    <xf numFmtId="3" fontId="61" fillId="0" borderId="6" xfId="0" applyNumberFormat="1" applyFont="1" applyFill="1" applyBorder="1" applyAlignment="1">
      <alignment horizontal="right"/>
    </xf>
    <xf numFmtId="3" fontId="17" fillId="0" borderId="72" xfId="1" applyNumberFormat="1" applyFont="1" applyFill="1" applyBorder="1" applyAlignment="1">
      <alignment horizontal="right"/>
    </xf>
    <xf numFmtId="0" fontId="73" fillId="0" borderId="0" xfId="0" applyFont="1" applyFill="1" applyBorder="1" applyAlignment="1">
      <alignment wrapText="1"/>
    </xf>
    <xf numFmtId="0" fontId="73" fillId="0" borderId="0" xfId="0" applyFont="1" applyFill="1" applyBorder="1" applyAlignment="1">
      <alignment horizontal="right"/>
    </xf>
    <xf numFmtId="0" fontId="71" fillId="0" borderId="0" xfId="0" applyFont="1" applyFill="1" applyBorder="1"/>
    <xf numFmtId="0" fontId="73" fillId="0" borderId="0" xfId="0" applyFont="1" applyFill="1" applyBorder="1" applyAlignment="1">
      <alignment horizontal="right" vertical="top"/>
    </xf>
    <xf numFmtId="165" fontId="16" fillId="0" borderId="0" xfId="1" applyFont="1" applyFill="1" applyBorder="1"/>
    <xf numFmtId="3" fontId="17" fillId="0" borderId="43" xfId="0" applyNumberFormat="1" applyFont="1" applyFill="1" applyBorder="1"/>
    <xf numFmtId="0" fontId="67" fillId="0" borderId="0" xfId="0" applyFont="1" applyFill="1"/>
    <xf numFmtId="170" fontId="16" fillId="0" borderId="14" xfId="1" applyNumberFormat="1" applyFont="1" applyFill="1" applyBorder="1"/>
    <xf numFmtId="170" fontId="17" fillId="0" borderId="0" xfId="1" applyNumberFormat="1" applyFont="1" applyFill="1"/>
    <xf numFmtId="0" fontId="73" fillId="0" borderId="0" xfId="0" applyFont="1" applyFill="1" applyAlignment="1">
      <alignment wrapText="1"/>
    </xf>
    <xf numFmtId="0" fontId="80" fillId="0" borderId="0" xfId="0" applyFont="1" applyFill="1"/>
    <xf numFmtId="0" fontId="71" fillId="0" borderId="0" xfId="0" applyFont="1" applyFill="1"/>
    <xf numFmtId="0" fontId="73" fillId="0" borderId="0" xfId="0" applyFont="1" applyFill="1"/>
    <xf numFmtId="0" fontId="63" fillId="0" borderId="0" xfId="0" applyFont="1" applyFill="1" applyAlignment="1">
      <alignment horizontal="center" wrapText="1"/>
    </xf>
    <xf numFmtId="0" fontId="16" fillId="0" borderId="0" xfId="0" quotePrefix="1" applyFont="1" applyFill="1" applyAlignment="1">
      <alignment wrapText="1"/>
    </xf>
    <xf numFmtId="10" fontId="16" fillId="0" borderId="0" xfId="0" applyNumberFormat="1" applyFont="1" applyFill="1" applyAlignment="1">
      <alignment horizontal="center"/>
    </xf>
    <xf numFmtId="0" fontId="63" fillId="0" borderId="0" xfId="0" applyFont="1" applyFill="1" applyAlignment="1">
      <alignment horizontal="center"/>
    </xf>
    <xf numFmtId="0" fontId="16" fillId="0" borderId="0" xfId="0" quotePrefix="1" applyFont="1" applyFill="1"/>
    <xf numFmtId="3" fontId="58" fillId="0" borderId="72" xfId="0" applyNumberFormat="1" applyFont="1" applyFill="1" applyBorder="1"/>
    <xf numFmtId="184" fontId="16" fillId="0" borderId="0" xfId="0" applyNumberFormat="1" applyFont="1" applyFill="1"/>
    <xf numFmtId="0" fontId="73" fillId="0" borderId="0" xfId="0" applyFont="1" applyFill="1" applyAlignment="1">
      <alignment horizontal="left"/>
    </xf>
    <xf numFmtId="0" fontId="73" fillId="0" borderId="0" xfId="0" applyFont="1" applyFill="1" applyAlignment="1"/>
    <xf numFmtId="3" fontId="16" fillId="0" borderId="1" xfId="2" applyNumberFormat="1" applyFont="1" applyFill="1" applyBorder="1"/>
    <xf numFmtId="0" fontId="16" fillId="0" borderId="0" xfId="0" applyFont="1" applyFill="1" applyBorder="1" applyAlignment="1">
      <alignment vertical="top" wrapText="1"/>
    </xf>
    <xf numFmtId="4" fontId="2" fillId="0" borderId="5" xfId="1" applyNumberFormat="1" applyFont="1" applyFill="1" applyBorder="1"/>
    <xf numFmtId="0" fontId="2" fillId="0" borderId="40" xfId="1" applyNumberFormat="1" applyFont="1" applyFill="1" applyBorder="1"/>
    <xf numFmtId="0" fontId="2" fillId="0" borderId="0" xfId="1" applyNumberFormat="1" applyFont="1" applyFill="1" applyBorder="1"/>
    <xf numFmtId="4" fontId="1" fillId="0" borderId="1" xfId="2" applyNumberFormat="1" applyFont="1" applyFill="1" applyBorder="1"/>
    <xf numFmtId="0" fontId="61" fillId="9" borderId="49" xfId="2" applyNumberFormat="1" applyFont="1" applyFill="1" applyBorder="1"/>
    <xf numFmtId="4" fontId="61" fillId="0" borderId="5" xfId="2" applyNumberFormat="1" applyFont="1" applyFill="1" applyBorder="1"/>
    <xf numFmtId="4" fontId="1" fillId="0" borderId="1" xfId="1" applyNumberFormat="1" applyFont="1" applyFill="1" applyBorder="1"/>
    <xf numFmtId="0" fontId="1" fillId="0" borderId="49" xfId="1" applyNumberFormat="1" applyFont="1" applyFill="1" applyBorder="1"/>
    <xf numFmtId="0" fontId="61" fillId="0" borderId="49" xfId="2" applyNumberFormat="1" applyFont="1" applyFill="1" applyBorder="1"/>
    <xf numFmtId="4" fontId="1" fillId="0" borderId="5" xfId="1" applyNumberFormat="1" applyFont="1" applyFill="1" applyBorder="1"/>
    <xf numFmtId="164" fontId="1" fillId="0" borderId="49" xfId="1" applyNumberFormat="1" applyFont="1" applyFill="1" applyBorder="1"/>
    <xf numFmtId="4" fontId="1" fillId="0" borderId="11" xfId="1" applyNumberFormat="1" applyFont="1" applyFill="1" applyBorder="1"/>
    <xf numFmtId="4" fontId="61" fillId="0" borderId="4" xfId="2" applyNumberFormat="1" applyFont="1" applyFill="1" applyBorder="1"/>
    <xf numFmtId="0" fontId="61" fillId="0" borderId="66" xfId="2" applyNumberFormat="1" applyFont="1" applyFill="1" applyBorder="1"/>
    <xf numFmtId="4" fontId="1" fillId="0" borderId="12" xfId="1" applyNumberFormat="1" applyFont="1" applyFill="1" applyBorder="1"/>
    <xf numFmtId="4" fontId="1" fillId="0" borderId="5" xfId="2" applyNumberFormat="1" applyFont="1" applyFill="1" applyBorder="1"/>
    <xf numFmtId="4" fontId="1" fillId="0" borderId="13" xfId="2" applyNumberFormat="1" applyFont="1" applyFill="1" applyBorder="1"/>
    <xf numFmtId="0" fontId="1" fillId="0" borderId="47" xfId="1" applyNumberFormat="1" applyFont="1" applyFill="1" applyBorder="1"/>
    <xf numFmtId="4" fontId="17" fillId="0" borderId="3" xfId="1" applyNumberFormat="1" applyFont="1" applyFill="1" applyBorder="1" applyAlignment="1"/>
    <xf numFmtId="3" fontId="16" fillId="0" borderId="6" xfId="1" applyNumberFormat="1" applyFont="1" applyFill="1" applyBorder="1" applyAlignment="1">
      <alignment horizontal="right"/>
    </xf>
    <xf numFmtId="0" fontId="63" fillId="0" borderId="0" xfId="0" applyNumberFormat="1" applyFont="1" applyFill="1" applyAlignment="1">
      <alignment wrapText="1"/>
    </xf>
    <xf numFmtId="0" fontId="61" fillId="7" borderId="7" xfId="0" applyFont="1" applyFill="1" applyBorder="1"/>
    <xf numFmtId="0" fontId="61" fillId="0" borderId="0" xfId="7" applyFont="1" applyFill="1" applyBorder="1" applyAlignment="1">
      <alignment horizontal="left" vertical="top" wrapText="1"/>
    </xf>
    <xf numFmtId="3" fontId="1" fillId="5" borderId="1" xfId="1" applyNumberFormat="1" applyFont="1" applyFill="1" applyBorder="1"/>
    <xf numFmtId="3" fontId="61" fillId="5" borderId="1" xfId="2" applyNumberFormat="1" applyFont="1" applyFill="1" applyBorder="1"/>
    <xf numFmtId="173" fontId="7" fillId="0" borderId="48" xfId="0" applyNumberFormat="1" applyFont="1" applyFill="1" applyBorder="1" applyAlignment="1">
      <alignment vertical="top"/>
    </xf>
    <xf numFmtId="173" fontId="5" fillId="0" borderId="9" xfId="0" applyNumberFormat="1" applyFont="1" applyFill="1" applyBorder="1" applyAlignment="1">
      <alignment horizontal="center" vertical="top"/>
    </xf>
    <xf numFmtId="3" fontId="1" fillId="0" borderId="9" xfId="1" applyNumberFormat="1" applyFont="1" applyFill="1" applyBorder="1" applyAlignment="1"/>
    <xf numFmtId="3" fontId="61" fillId="0" borderId="4" xfId="0" applyNumberFormat="1" applyFont="1" applyFill="1" applyBorder="1"/>
    <xf numFmtId="3" fontId="2" fillId="0" borderId="66" xfId="1" applyNumberFormat="1" applyFont="1" applyFill="1" applyBorder="1" applyAlignment="1"/>
    <xf numFmtId="3" fontId="6" fillId="0" borderId="66" xfId="1" applyNumberFormat="1" applyFont="1" applyFill="1" applyBorder="1" applyAlignment="1"/>
    <xf numFmtId="3" fontId="2" fillId="0" borderId="87" xfId="1" applyNumberFormat="1" applyFont="1" applyFill="1" applyBorder="1" applyAlignment="1"/>
    <xf numFmtId="165" fontId="61" fillId="0" borderId="7" xfId="1" applyFont="1" applyFill="1" applyBorder="1" applyAlignment="1">
      <alignment horizontal="right"/>
    </xf>
    <xf numFmtId="0" fontId="16" fillId="0" borderId="0" xfId="0" applyFont="1" applyFill="1" applyAlignment="1">
      <alignment horizontal="center"/>
    </xf>
    <xf numFmtId="0" fontId="17" fillId="0" borderId="0" xfId="0" applyFont="1" applyFill="1" applyBorder="1" applyAlignment="1">
      <alignment vertical="center"/>
    </xf>
    <xf numFmtId="3" fontId="61" fillId="0" borderId="72" xfId="0" applyNumberFormat="1" applyFont="1" applyFill="1" applyBorder="1" applyAlignment="1">
      <alignment vertical="center"/>
    </xf>
    <xf numFmtId="3" fontId="16" fillId="0" borderId="72" xfId="0" applyNumberFormat="1" applyFont="1" applyFill="1" applyBorder="1" applyAlignment="1">
      <alignment vertical="center"/>
    </xf>
    <xf numFmtId="3" fontId="61" fillId="0" borderId="0" xfId="0" applyNumberFormat="1" applyFont="1" applyFill="1" applyAlignment="1">
      <alignment vertical="center"/>
    </xf>
    <xf numFmtId="3" fontId="16" fillId="0" borderId="0" xfId="0" applyNumberFormat="1" applyFont="1" applyFill="1" applyBorder="1" applyAlignment="1">
      <alignment vertical="center"/>
    </xf>
    <xf numFmtId="3" fontId="61" fillId="0" borderId="3" xfId="0" applyNumberFormat="1" applyFont="1" applyFill="1" applyBorder="1" applyAlignment="1">
      <alignment vertical="center"/>
    </xf>
    <xf numFmtId="3" fontId="16" fillId="0" borderId="3" xfId="0" applyNumberFormat="1" applyFont="1" applyFill="1" applyBorder="1" applyAlignment="1">
      <alignment vertical="center"/>
    </xf>
    <xf numFmtId="170" fontId="84" fillId="0" borderId="0" xfId="7" applyNumberFormat="1" applyFont="1" applyFill="1" applyBorder="1"/>
    <xf numFmtId="170" fontId="16" fillId="0" borderId="0" xfId="7" applyNumberFormat="1" applyFont="1" applyFill="1"/>
    <xf numFmtId="170" fontId="16" fillId="0" borderId="3" xfId="7" applyNumberFormat="1" applyFont="1" applyFill="1" applyBorder="1"/>
    <xf numFmtId="0" fontId="85" fillId="0" borderId="0" xfId="7" applyFont="1" applyFill="1"/>
    <xf numFmtId="0" fontId="77" fillId="0" borderId="0" xfId="7" applyFont="1" applyFill="1"/>
    <xf numFmtId="0" fontId="61" fillId="0" borderId="0" xfId="7" applyFont="1" applyFill="1" applyAlignment="1">
      <alignment vertical="top"/>
    </xf>
    <xf numFmtId="0" fontId="62" fillId="0" borderId="0" xfId="7" applyFont="1" applyFill="1" applyAlignment="1">
      <alignment horizontal="left" vertical="top"/>
    </xf>
    <xf numFmtId="0" fontId="61" fillId="0" borderId="0" xfId="7" applyFont="1" applyFill="1" applyAlignment="1">
      <alignment horizontal="left" vertical="top"/>
    </xf>
    <xf numFmtId="3" fontId="61" fillId="0" borderId="0" xfId="7" applyNumberFormat="1" applyFont="1" applyFill="1"/>
    <xf numFmtId="3" fontId="62" fillId="0" borderId="43" xfId="7" applyNumberFormat="1" applyFont="1" applyFill="1" applyBorder="1"/>
    <xf numFmtId="165" fontId="61" fillId="0" borderId="0" xfId="1" applyNumberFormat="1" applyFont="1" applyFill="1" applyBorder="1" applyAlignment="1"/>
    <xf numFmtId="0" fontId="62" fillId="0" borderId="0" xfId="1" applyNumberFormat="1" applyFont="1" applyFill="1" applyBorder="1" applyAlignment="1"/>
    <xf numFmtId="165" fontId="62" fillId="0" borderId="7" xfId="1" applyNumberFormat="1" applyFont="1" applyFill="1" applyBorder="1"/>
    <xf numFmtId="3" fontId="17" fillId="0" borderId="7" xfId="1" applyNumberFormat="1" applyFont="1" applyFill="1" applyBorder="1" applyAlignment="1">
      <alignment horizontal="right" vertical="top"/>
    </xf>
    <xf numFmtId="3" fontId="17" fillId="0" borderId="7" xfId="0" applyNumberFormat="1" applyFont="1" applyFill="1" applyBorder="1" applyAlignment="1">
      <alignment horizontal="right"/>
    </xf>
    <xf numFmtId="3" fontId="61" fillId="0" borderId="7" xfId="1" applyNumberFormat="1" applyFont="1" applyFill="1" applyBorder="1"/>
    <xf numFmtId="3" fontId="16" fillId="0" borderId="7" xfId="1" applyNumberFormat="1" applyFont="1" applyFill="1" applyBorder="1" applyAlignment="1">
      <alignment vertical="top"/>
    </xf>
    <xf numFmtId="3" fontId="17" fillId="0" borderId="7" xfId="0" applyNumberFormat="1" applyFont="1" applyFill="1" applyBorder="1" applyAlignment="1"/>
    <xf numFmtId="3" fontId="2" fillId="0" borderId="89" xfId="1" applyNumberFormat="1" applyFont="1" applyFill="1" applyBorder="1" applyAlignment="1"/>
    <xf numFmtId="0" fontId="17" fillId="0" borderId="0" xfId="0" applyFont="1" applyFill="1" applyAlignment="1">
      <alignment horizontal="center" wrapText="1"/>
    </xf>
    <xf numFmtId="0" fontId="16" fillId="0" borderId="0" xfId="0" applyFont="1" applyFill="1" applyBorder="1" applyAlignment="1">
      <alignment horizontal="left" vertical="top" wrapText="1"/>
    </xf>
    <xf numFmtId="0" fontId="16" fillId="0" borderId="0" xfId="0" applyFont="1" applyFill="1" applyBorder="1" applyAlignment="1">
      <alignment vertical="top" wrapText="1"/>
    </xf>
    <xf numFmtId="0" fontId="42" fillId="0" borderId="0" xfId="0" applyFont="1" applyFill="1" applyBorder="1" applyAlignment="1">
      <alignment vertical="top" wrapText="1"/>
    </xf>
    <xf numFmtId="3" fontId="16" fillId="0" borderId="43" xfId="0" applyNumberFormat="1" applyFont="1" applyFill="1" applyBorder="1" applyAlignment="1"/>
    <xf numFmtId="3" fontId="61" fillId="0" borderId="0" xfId="0" applyNumberFormat="1" applyFont="1" applyFill="1" applyBorder="1"/>
    <xf numFmtId="3" fontId="1" fillId="0" borderId="0" xfId="1" applyNumberFormat="1" applyFont="1" applyFill="1" applyBorder="1" applyAlignment="1">
      <alignment horizontal="right" vertical="top" wrapText="1"/>
    </xf>
    <xf numFmtId="3" fontId="1" fillId="0" borderId="0" xfId="1" applyNumberFormat="1" applyFont="1" applyFill="1" applyBorder="1" applyAlignment="1">
      <alignment horizontal="right" wrapText="1"/>
    </xf>
    <xf numFmtId="3" fontId="1" fillId="0" borderId="0" xfId="0" applyNumberFormat="1" applyFont="1" applyFill="1" applyBorder="1" applyAlignment="1">
      <alignment wrapText="1"/>
    </xf>
    <xf numFmtId="3" fontId="2" fillId="0" borderId="3" xfId="1" applyNumberFormat="1" applyFont="1" applyFill="1" applyBorder="1" applyAlignment="1">
      <alignment horizontal="right" vertical="top" wrapText="1"/>
    </xf>
    <xf numFmtId="3" fontId="2" fillId="0" borderId="0" xfId="0" applyNumberFormat="1" applyFont="1" applyFill="1" applyBorder="1" applyAlignment="1">
      <alignment vertical="top" wrapText="1"/>
    </xf>
    <xf numFmtId="3" fontId="2" fillId="0" borderId="0" xfId="1" applyNumberFormat="1" applyFont="1" applyFill="1" applyBorder="1" applyAlignment="1">
      <alignment horizontal="center" vertical="top" wrapText="1"/>
    </xf>
    <xf numFmtId="3" fontId="1" fillId="0" borderId="0" xfId="1" applyNumberFormat="1" applyFont="1" applyFill="1" applyBorder="1" applyAlignment="1">
      <alignment vertical="top" wrapText="1"/>
    </xf>
    <xf numFmtId="3" fontId="61" fillId="0" borderId="0" xfId="2" applyNumberFormat="1" applyFont="1" applyFill="1" applyBorder="1"/>
    <xf numFmtId="3" fontId="72" fillId="0" borderId="0" xfId="1" applyNumberFormat="1" applyFont="1" applyFill="1" applyBorder="1"/>
    <xf numFmtId="3" fontId="61" fillId="0" borderId="6" xfId="2" applyNumberFormat="1" applyFont="1" applyFill="1" applyBorder="1"/>
    <xf numFmtId="3" fontId="2" fillId="0" borderId="14" xfId="1" applyNumberFormat="1" applyFont="1" applyFill="1" applyBorder="1" applyAlignment="1">
      <alignment horizontal="right" vertical="top" wrapText="1"/>
    </xf>
    <xf numFmtId="3" fontId="2" fillId="0" borderId="38" xfId="1" applyNumberFormat="1" applyFont="1" applyFill="1" applyBorder="1" applyAlignment="1">
      <alignment horizontal="right" vertical="top" wrapText="1"/>
    </xf>
    <xf numFmtId="4" fontId="61" fillId="0" borderId="4" xfId="0" applyNumberFormat="1" applyFont="1" applyFill="1" applyBorder="1"/>
    <xf numFmtId="0" fontId="61" fillId="0" borderId="0" xfId="7" applyFont="1" applyFill="1" applyBorder="1" applyAlignment="1">
      <alignment horizontal="left" vertical="top"/>
    </xf>
    <xf numFmtId="0" fontId="1" fillId="0" borderId="0" xfId="8" applyFont="1" applyFill="1" applyBorder="1"/>
    <xf numFmtId="0" fontId="1" fillId="0" borderId="0" xfId="8" applyFont="1" applyFill="1"/>
    <xf numFmtId="0" fontId="62" fillId="0" borderId="0" xfId="7" applyFont="1" applyFill="1" applyAlignment="1">
      <alignment horizontal="center"/>
    </xf>
    <xf numFmtId="186" fontId="61" fillId="0" borderId="72" xfId="2" applyNumberFormat="1" applyFont="1" applyFill="1" applyBorder="1" applyAlignment="1"/>
    <xf numFmtId="0" fontId="61" fillId="0" borderId="0" xfId="7" applyFont="1" applyFill="1" applyAlignment="1">
      <alignment horizontal="center" wrapText="1"/>
    </xf>
    <xf numFmtId="0" fontId="62" fillId="0" borderId="0" xfId="7" applyFont="1" applyFill="1" applyAlignment="1">
      <alignment horizontal="center" wrapText="1"/>
    </xf>
    <xf numFmtId="0" fontId="61" fillId="0" borderId="0" xfId="7" applyFont="1" applyFill="1" applyAlignment="1">
      <alignment horizontal="center" vertical="center"/>
    </xf>
    <xf numFmtId="3" fontId="61" fillId="0" borderId="0" xfId="7" applyNumberFormat="1" applyFont="1" applyFill="1" applyAlignment="1">
      <alignment vertical="center" wrapText="1"/>
    </xf>
    <xf numFmtId="0" fontId="61" fillId="0" borderId="0" xfId="7" applyFont="1" applyFill="1" applyAlignment="1">
      <alignment horizontal="center"/>
    </xf>
    <xf numFmtId="3" fontId="61" fillId="0" borderId="0" xfId="7" applyNumberFormat="1" applyFont="1" applyFill="1" applyAlignment="1">
      <alignment vertical="center"/>
    </xf>
    <xf numFmtId="0" fontId="61" fillId="0" borderId="0" xfId="7" applyFont="1" applyFill="1" applyAlignment="1">
      <alignment horizontal="left"/>
    </xf>
    <xf numFmtId="3" fontId="61" fillId="0" borderId="3" xfId="7" applyNumberFormat="1" applyFont="1" applyFill="1" applyBorder="1" applyAlignment="1">
      <alignment vertical="center"/>
    </xf>
    <xf numFmtId="170" fontId="61" fillId="0" borderId="0" xfId="7" applyNumberFormat="1" applyFont="1" applyFill="1"/>
    <xf numFmtId="186" fontId="61" fillId="0" borderId="0" xfId="2" applyNumberFormat="1" applyFont="1" applyFill="1"/>
    <xf numFmtId="0" fontId="1" fillId="0" borderId="0" xfId="8" applyFont="1" applyFill="1" applyBorder="1" applyAlignment="1">
      <alignment horizontal="left" vertical="top" wrapText="1"/>
    </xf>
    <xf numFmtId="0" fontId="61" fillId="0" borderId="7" xfId="0" applyFont="1" applyFill="1" applyBorder="1" applyAlignment="1">
      <alignment wrapText="1"/>
    </xf>
    <xf numFmtId="0" fontId="17" fillId="0" borderId="15" xfId="0" applyFont="1" applyFill="1" applyBorder="1" applyAlignment="1">
      <alignment horizontal="center" wrapText="1"/>
    </xf>
    <xf numFmtId="0" fontId="17" fillId="0" borderId="60" xfId="0" applyFont="1" applyFill="1" applyBorder="1" applyAlignment="1">
      <alignment wrapText="1"/>
    </xf>
    <xf numFmtId="0" fontId="17" fillId="0" borderId="61" xfId="0" applyFont="1" applyFill="1" applyBorder="1" applyAlignment="1">
      <alignment wrapText="1"/>
    </xf>
    <xf numFmtId="0" fontId="17" fillId="0" borderId="19" xfId="0" applyFont="1" applyFill="1" applyBorder="1" applyAlignment="1">
      <alignment wrapText="1"/>
    </xf>
    <xf numFmtId="0" fontId="17" fillId="0" borderId="20" xfId="0" applyFont="1" applyFill="1" applyBorder="1" applyAlignment="1">
      <alignment wrapText="1"/>
    </xf>
    <xf numFmtId="181" fontId="17" fillId="0" borderId="20" xfId="1" applyNumberFormat="1" applyFont="1" applyFill="1" applyBorder="1"/>
    <xf numFmtId="166" fontId="17" fillId="0" borderId="0" xfId="0" applyNumberFormat="1" applyFont="1" applyFill="1"/>
    <xf numFmtId="0" fontId="42" fillId="0" borderId="19" xfId="0" applyFont="1" applyFill="1" applyBorder="1"/>
    <xf numFmtId="181" fontId="42" fillId="0" borderId="0" xfId="1" applyNumberFormat="1" applyFont="1" applyFill="1" applyBorder="1"/>
    <xf numFmtId="181" fontId="42" fillId="0" borderId="20" xfId="1" applyNumberFormat="1" applyFont="1" applyFill="1" applyBorder="1"/>
    <xf numFmtId="0" fontId="62" fillId="0" borderId="21" xfId="0" applyFont="1" applyFill="1" applyBorder="1"/>
    <xf numFmtId="166" fontId="61" fillId="0" borderId="0" xfId="0" applyNumberFormat="1" applyFont="1" applyFill="1"/>
    <xf numFmtId="165" fontId="69" fillId="0" borderId="0" xfId="0" applyNumberFormat="1" applyFont="1" applyFill="1"/>
    <xf numFmtId="165" fontId="61" fillId="0" borderId="0" xfId="0" applyNumberFormat="1" applyFont="1" applyFill="1" applyBorder="1"/>
    <xf numFmtId="0" fontId="16" fillId="0" borderId="0" xfId="0" applyFont="1" applyFill="1" applyBorder="1" applyAlignment="1">
      <alignment vertical="top" wrapText="1"/>
    </xf>
    <xf numFmtId="168" fontId="30" fillId="0" borderId="0" xfId="1" applyNumberFormat="1" applyFont="1" applyFill="1" applyAlignment="1">
      <alignment wrapText="1"/>
    </xf>
    <xf numFmtId="3" fontId="73" fillId="0" borderId="0" xfId="0" applyNumberFormat="1" applyFont="1" applyFill="1" applyBorder="1" applyAlignment="1">
      <alignment horizontal="right"/>
    </xf>
    <xf numFmtId="3" fontId="73" fillId="0" borderId="0" xfId="0" applyNumberFormat="1" applyFont="1" applyFill="1" applyBorder="1" applyAlignment="1">
      <alignment horizontal="right" vertical="top"/>
    </xf>
    <xf numFmtId="3" fontId="81" fillId="0" borderId="3" xfId="0" applyNumberFormat="1" applyFont="1" applyFill="1" applyBorder="1" applyAlignment="1">
      <alignment horizontal="right"/>
    </xf>
    <xf numFmtId="0" fontId="58" fillId="0" borderId="0" xfId="0" applyFont="1"/>
    <xf numFmtId="3" fontId="1" fillId="0" borderId="0" xfId="0" applyNumberFormat="1" applyFont="1" applyFill="1" applyBorder="1"/>
    <xf numFmtId="3" fontId="1" fillId="0" borderId="0" xfId="1" applyNumberFormat="1" applyFont="1" applyFill="1" applyBorder="1"/>
    <xf numFmtId="3" fontId="2" fillId="0" borderId="4" xfId="1" applyNumberFormat="1" applyFont="1" applyFill="1" applyBorder="1" applyAlignment="1">
      <alignment horizontal="center" vertical="top" wrapText="1"/>
    </xf>
    <xf numFmtId="3" fontId="2" fillId="0" borderId="4" xfId="1" applyNumberFormat="1" applyFont="1" applyFill="1" applyBorder="1" applyAlignment="1">
      <alignment horizontal="center" vertical="center" wrapText="1"/>
    </xf>
    <xf numFmtId="3" fontId="2" fillId="0" borderId="5" xfId="1" applyNumberFormat="1" applyFont="1" applyFill="1" applyBorder="1" applyAlignment="1">
      <alignment horizontal="center"/>
    </xf>
    <xf numFmtId="3" fontId="1" fillId="0" borderId="11" xfId="1" applyNumberFormat="1" applyFont="1" applyFill="1" applyBorder="1"/>
    <xf numFmtId="3" fontId="1" fillId="0" borderId="2" xfId="1" applyNumberFormat="1" applyFont="1" applyFill="1" applyBorder="1"/>
    <xf numFmtId="3" fontId="1" fillId="0" borderId="5" xfId="2" applyNumberFormat="1" applyFont="1" applyFill="1" applyBorder="1"/>
    <xf numFmtId="3" fontId="2" fillId="0" borderId="74" xfId="1" applyNumberFormat="1" applyFont="1" applyFill="1" applyBorder="1"/>
    <xf numFmtId="4" fontId="61" fillId="0" borderId="24" xfId="0" applyNumberFormat="1" applyFont="1" applyFill="1" applyBorder="1" applyAlignment="1"/>
    <xf numFmtId="165" fontId="61" fillId="0" borderId="11" xfId="1" applyFont="1" applyFill="1" applyBorder="1" applyAlignment="1">
      <alignment horizontal="right"/>
    </xf>
    <xf numFmtId="4" fontId="62" fillId="0" borderId="24" xfId="0" applyNumberFormat="1" applyFont="1" applyFill="1" applyBorder="1" applyAlignment="1"/>
    <xf numFmtId="4" fontId="58" fillId="0" borderId="11" xfId="1" applyNumberFormat="1" applyFont="1" applyBorder="1"/>
    <xf numFmtId="0" fontId="7" fillId="0" borderId="0" xfId="0" applyFont="1" applyFill="1" applyBorder="1" applyAlignment="1">
      <alignment vertical="top" wrapText="1"/>
    </xf>
    <xf numFmtId="0" fontId="16" fillId="0" borderId="2" xfId="0" applyFont="1" applyFill="1" applyBorder="1"/>
    <xf numFmtId="170" fontId="16" fillId="0" borderId="5" xfId="0" applyNumberFormat="1" applyFont="1" applyFill="1" applyBorder="1"/>
    <xf numFmtId="2" fontId="16" fillId="0" borderId="12" xfId="0" applyNumberFormat="1" applyFont="1" applyFill="1" applyBorder="1"/>
    <xf numFmtId="3" fontId="17" fillId="0" borderId="43" xfId="0" applyNumberFormat="1" applyFont="1" applyFill="1" applyBorder="1" applyAlignment="1"/>
    <xf numFmtId="3" fontId="16" fillId="0" borderId="9" xfId="0" applyNumberFormat="1" applyFont="1" applyFill="1" applyBorder="1" applyAlignment="1"/>
    <xf numFmtId="3" fontId="16" fillId="0" borderId="6" xfId="0" applyNumberFormat="1" applyFont="1" applyFill="1" applyBorder="1" applyAlignment="1"/>
    <xf numFmtId="3" fontId="1" fillId="0" borderId="37" xfId="1" applyNumberFormat="1" applyFont="1" applyFill="1" applyBorder="1" applyAlignment="1"/>
    <xf numFmtId="3" fontId="1" fillId="0" borderId="14" xfId="1" applyNumberFormat="1" applyFont="1" applyFill="1" applyBorder="1" applyAlignment="1"/>
    <xf numFmtId="3" fontId="61" fillId="0" borderId="11" xfId="2" applyNumberFormat="1" applyFont="1" applyFill="1" applyBorder="1"/>
    <xf numFmtId="3" fontId="61" fillId="0" borderId="20" xfId="2" applyNumberFormat="1" applyFont="1" applyFill="1" applyBorder="1"/>
    <xf numFmtId="4" fontId="61" fillId="0" borderId="0" xfId="2" applyNumberFormat="1" applyFont="1" applyFill="1" applyBorder="1"/>
    <xf numFmtId="4" fontId="6" fillId="0" borderId="0" xfId="1" applyNumberFormat="1" applyFont="1" applyFill="1" applyBorder="1" applyAlignment="1"/>
    <xf numFmtId="0" fontId="63" fillId="0" borderId="19" xfId="7" applyFont="1" applyFill="1" applyBorder="1" applyAlignment="1">
      <alignment vertical="top"/>
    </xf>
    <xf numFmtId="4" fontId="1" fillId="0" borderId="15" xfId="0" applyNumberFormat="1" applyFont="1" applyFill="1" applyBorder="1" applyAlignment="1"/>
    <xf numFmtId="4" fontId="17" fillId="0" borderId="0" xfId="0" applyNumberFormat="1" applyFont="1" applyFill="1" applyBorder="1" applyAlignment="1">
      <alignment horizontal="right" vertical="center"/>
    </xf>
    <xf numFmtId="4" fontId="61" fillId="0" borderId="0" xfId="0" applyNumberFormat="1" applyFont="1" applyFill="1" applyBorder="1"/>
    <xf numFmtId="1" fontId="61" fillId="8" borderId="7" xfId="0" applyNumberFormat="1" applyFont="1" applyFill="1" applyBorder="1" applyAlignment="1">
      <alignment horizontal="left"/>
    </xf>
    <xf numFmtId="4" fontId="61" fillId="8" borderId="24" xfId="0" applyNumberFormat="1" applyFont="1" applyFill="1" applyBorder="1"/>
    <xf numFmtId="4" fontId="2" fillId="0" borderId="38" xfId="1" applyNumberFormat="1" applyFont="1" applyFill="1" applyBorder="1" applyAlignment="1">
      <alignment horizontal="right" vertical="top" wrapText="1"/>
    </xf>
    <xf numFmtId="3" fontId="61" fillId="0" borderId="0" xfId="1" applyNumberFormat="1" applyFont="1" applyFill="1" applyBorder="1"/>
    <xf numFmtId="3" fontId="61" fillId="0" borderId="20" xfId="1" applyNumberFormat="1" applyFont="1" applyFill="1" applyBorder="1"/>
    <xf numFmtId="3" fontId="61" fillId="0" borderId="6" xfId="0" applyNumberFormat="1" applyFont="1" applyFill="1" applyBorder="1"/>
    <xf numFmtId="3" fontId="61" fillId="0" borderId="20" xfId="0" applyNumberFormat="1" applyFont="1" applyFill="1" applyBorder="1"/>
    <xf numFmtId="3" fontId="61" fillId="0" borderId="3" xfId="1" applyNumberFormat="1" applyFont="1" applyFill="1" applyBorder="1"/>
    <xf numFmtId="3" fontId="61" fillId="0" borderId="71" xfId="1" applyNumberFormat="1" applyFont="1" applyFill="1" applyBorder="1"/>
    <xf numFmtId="3" fontId="16" fillId="0" borderId="20" xfId="1" applyNumberFormat="1" applyFont="1" applyFill="1" applyBorder="1" applyAlignment="1">
      <alignment horizontal="right"/>
    </xf>
    <xf numFmtId="3" fontId="16" fillId="0" borderId="3" xfId="1" applyNumberFormat="1" applyFont="1" applyFill="1" applyBorder="1"/>
    <xf numFmtId="3" fontId="16" fillId="0" borderId="71" xfId="1" applyNumberFormat="1" applyFont="1" applyFill="1" applyBorder="1"/>
    <xf numFmtId="3" fontId="17" fillId="0" borderId="72" xfId="1" applyNumberFormat="1" applyFont="1" applyFill="1" applyBorder="1"/>
    <xf numFmtId="3" fontId="17" fillId="0" borderId="73" xfId="1" applyNumberFormat="1" applyFont="1" applyFill="1" applyBorder="1"/>
    <xf numFmtId="3" fontId="17" fillId="0" borderId="71" xfId="1" applyNumberFormat="1" applyFont="1" applyFill="1" applyBorder="1"/>
    <xf numFmtId="3" fontId="17" fillId="0" borderId="20" xfId="1" applyNumberFormat="1" applyFont="1" applyFill="1" applyBorder="1"/>
    <xf numFmtId="3" fontId="61" fillId="0" borderId="1" xfId="0" applyNumberFormat="1" applyFont="1" applyFill="1" applyBorder="1" applyAlignment="1"/>
    <xf numFmtId="3" fontId="2" fillId="0" borderId="88" xfId="1" applyNumberFormat="1" applyFont="1" applyFill="1" applyBorder="1" applyAlignment="1"/>
    <xf numFmtId="2" fontId="61" fillId="0" borderId="1" xfId="2" applyNumberFormat="1" applyFont="1" applyFill="1" applyBorder="1"/>
    <xf numFmtId="0" fontId="16" fillId="0" borderId="0" xfId="0" applyFont="1" applyFill="1" applyBorder="1" applyAlignment="1">
      <alignment vertical="top" wrapText="1"/>
    </xf>
    <xf numFmtId="173" fontId="5" fillId="0" borderId="1" xfId="0" applyNumberFormat="1" applyFont="1" applyFill="1" applyBorder="1" applyAlignment="1">
      <alignment horizontal="center" vertical="top"/>
    </xf>
    <xf numFmtId="164" fontId="16" fillId="0" borderId="0" xfId="0" applyNumberFormat="1" applyFont="1" applyFill="1"/>
    <xf numFmtId="0" fontId="61" fillId="0" borderId="0" xfId="0" applyFont="1" applyFill="1" applyAlignment="1">
      <alignment horizontal="left" vertical="top"/>
    </xf>
    <xf numFmtId="181" fontId="81" fillId="0" borderId="3" xfId="0" applyNumberFormat="1" applyFont="1" applyFill="1" applyBorder="1" applyAlignment="1">
      <alignment horizontal="right"/>
    </xf>
    <xf numFmtId="0" fontId="51" fillId="0" borderId="0" xfId="0" applyFont="1"/>
    <xf numFmtId="0" fontId="86" fillId="0" borderId="90" xfId="0" applyFont="1" applyFill="1" applyBorder="1" applyAlignment="1">
      <alignment horizontal="centerContinuous" vertical="center" wrapText="1"/>
    </xf>
    <xf numFmtId="0" fontId="86" fillId="0" borderId="91" xfId="0" applyFont="1" applyFill="1" applyBorder="1" applyAlignment="1">
      <alignment horizontal="centerContinuous" vertical="center" wrapText="1"/>
    </xf>
    <xf numFmtId="0" fontId="86" fillId="0" borderId="93" xfId="0" applyFont="1" applyFill="1" applyBorder="1" applyAlignment="1">
      <alignment horizontal="center" vertical="center" wrapText="1"/>
    </xf>
    <xf numFmtId="0" fontId="86" fillId="0" borderId="92" xfId="0" applyFont="1" applyFill="1" applyBorder="1" applyAlignment="1">
      <alignment horizontal="center" vertical="center" wrapText="1"/>
    </xf>
    <xf numFmtId="9" fontId="86" fillId="0" borderId="92" xfId="11" applyFont="1" applyFill="1" applyBorder="1" applyAlignment="1">
      <alignment horizontal="center" vertical="center" wrapText="1"/>
    </xf>
    <xf numFmtId="0" fontId="86" fillId="0" borderId="12" xfId="0" applyFont="1" applyFill="1" applyBorder="1" applyAlignment="1">
      <alignment horizontal="left" vertical="center"/>
    </xf>
    <xf numFmtId="0" fontId="51" fillId="0" borderId="95" xfId="0" applyFont="1" applyBorder="1"/>
    <xf numFmtId="0" fontId="51" fillId="0" borderId="94" xfId="0" applyFont="1" applyBorder="1"/>
    <xf numFmtId="0" fontId="51" fillId="0" borderId="94" xfId="0" applyFont="1" applyFill="1" applyBorder="1" applyAlignment="1">
      <alignment horizontal="center" vertical="center"/>
    </xf>
    <xf numFmtId="9" fontId="86" fillId="0" borderId="94" xfId="11" applyFont="1" applyFill="1" applyBorder="1" applyAlignment="1">
      <alignment horizontal="center" vertical="center"/>
    </xf>
    <xf numFmtId="0" fontId="87" fillId="0" borderId="11" xfId="0" applyFont="1" applyBorder="1"/>
    <xf numFmtId="0" fontId="86" fillId="0" borderId="96" xfId="0" applyFont="1" applyBorder="1" applyAlignment="1">
      <alignment horizontal="center"/>
    </xf>
    <xf numFmtId="0" fontId="86" fillId="0" borderId="92" xfId="0" applyFont="1" applyBorder="1" applyAlignment="1">
      <alignment horizontal="center"/>
    </xf>
    <xf numFmtId="0" fontId="51" fillId="0" borderId="0" xfId="0" applyFont="1" applyFill="1"/>
    <xf numFmtId="0" fontId="88" fillId="0" borderId="11" xfId="0" applyNumberFormat="1" applyFont="1" applyFill="1" applyBorder="1" applyAlignment="1" applyProtection="1">
      <alignment horizontal="left" indent="1"/>
    </xf>
    <xf numFmtId="189" fontId="51" fillId="0" borderId="92" xfId="0" applyNumberFormat="1" applyFont="1" applyFill="1" applyBorder="1"/>
    <xf numFmtId="9" fontId="51" fillId="0" borderId="92" xfId="11" applyFont="1" applyFill="1" applyBorder="1" applyAlignment="1">
      <alignment horizontal="center"/>
    </xf>
    <xf numFmtId="168" fontId="51" fillId="0" borderId="0" xfId="1" applyNumberFormat="1" applyFont="1" applyAlignment="1">
      <alignment horizontal="center"/>
    </xf>
    <xf numFmtId="190" fontId="51" fillId="0" borderId="0" xfId="11" applyNumberFormat="1" applyFont="1" applyAlignment="1">
      <alignment horizontal="center"/>
    </xf>
    <xf numFmtId="0" fontId="51" fillId="0" borderId="11" xfId="0" applyNumberFormat="1" applyFont="1" applyFill="1" applyBorder="1" applyAlignment="1" applyProtection="1">
      <alignment horizontal="left" indent="2"/>
    </xf>
    <xf numFmtId="189" fontId="86" fillId="0" borderId="92" xfId="0" applyNumberFormat="1" applyFont="1" applyFill="1" applyBorder="1"/>
    <xf numFmtId="9" fontId="86" fillId="0" borderId="92" xfId="11" applyFont="1" applyFill="1" applyBorder="1" applyAlignment="1">
      <alignment horizontal="center"/>
    </xf>
    <xf numFmtId="0" fontId="86" fillId="0" borderId="97" xfId="0" applyFont="1" applyBorder="1"/>
    <xf numFmtId="189" fontId="86" fillId="0" borderId="98" xfId="0" applyNumberFormat="1" applyFont="1" applyFill="1" applyBorder="1"/>
    <xf numFmtId="9" fontId="86" fillId="0" borderId="98" xfId="11" applyFont="1" applyFill="1" applyBorder="1" applyAlignment="1">
      <alignment horizontal="center"/>
    </xf>
    <xf numFmtId="168" fontId="51" fillId="0" borderId="0" xfId="0" applyNumberFormat="1" applyFont="1"/>
    <xf numFmtId="190" fontId="51" fillId="0" borderId="0" xfId="0" applyNumberFormat="1" applyFont="1"/>
    <xf numFmtId="0" fontId="51" fillId="0" borderId="11" xfId="0" applyFont="1" applyBorder="1"/>
    <xf numFmtId="168" fontId="51" fillId="0" borderId="0" xfId="1" applyNumberFormat="1" applyFont="1"/>
    <xf numFmtId="190" fontId="51" fillId="0" borderId="0" xfId="0" applyNumberFormat="1" applyFont="1" applyAlignment="1">
      <alignment horizontal="center"/>
    </xf>
    <xf numFmtId="0" fontId="86" fillId="0" borderId="12" xfId="0" applyFont="1" applyBorder="1"/>
    <xf numFmtId="189" fontId="86" fillId="0" borderId="94" xfId="0" applyNumberFormat="1" applyFont="1" applyFill="1" applyBorder="1"/>
    <xf numFmtId="9" fontId="86" fillId="0" borderId="94" xfId="11" applyFont="1" applyFill="1" applyBorder="1" applyAlignment="1">
      <alignment horizontal="center"/>
    </xf>
    <xf numFmtId="0" fontId="90" fillId="0" borderId="0" xfId="0" applyFont="1" applyBorder="1" applyAlignment="1">
      <alignment horizontal="center"/>
    </xf>
    <xf numFmtId="0" fontId="90" fillId="0" borderId="0" xfId="0" applyFont="1" applyBorder="1"/>
    <xf numFmtId="0" fontId="90" fillId="0" borderId="0" xfId="0" applyFont="1" applyBorder="1" applyAlignment="1">
      <alignment horizontal="left" vertical="top" wrapText="1"/>
    </xf>
    <xf numFmtId="0" fontId="90" fillId="0" borderId="0" xfId="0" applyFont="1" applyBorder="1" applyAlignment="1">
      <alignment horizontal="right"/>
    </xf>
    <xf numFmtId="168" fontId="90" fillId="0" borderId="0" xfId="1" applyNumberFormat="1" applyFont="1" applyBorder="1" applyAlignment="1">
      <alignment horizontal="right"/>
    </xf>
    <xf numFmtId="0" fontId="51" fillId="0" borderId="0" xfId="0" applyFont="1" applyAlignment="1">
      <alignment horizontal="center"/>
    </xf>
    <xf numFmtId="0" fontId="51" fillId="0" borderId="105" xfId="0" applyFont="1" applyBorder="1" applyAlignment="1">
      <alignment horizontal="center"/>
    </xf>
    <xf numFmtId="0" fontId="51" fillId="0" borderId="104" xfId="0" applyFont="1" applyBorder="1" applyAlignment="1">
      <alignment horizontal="center"/>
    </xf>
    <xf numFmtId="0" fontId="51" fillId="0" borderId="104" xfId="0" applyNumberFormat="1" applyFont="1" applyBorder="1" applyAlignment="1" applyProtection="1">
      <alignment horizontal="center"/>
    </xf>
    <xf numFmtId="0" fontId="51" fillId="0" borderId="104" xfId="0" applyNumberFormat="1" applyFont="1" applyFill="1" applyBorder="1" applyAlignment="1" applyProtection="1">
      <alignment horizontal="center"/>
    </xf>
    <xf numFmtId="0" fontId="51" fillId="0" borderId="106" xfId="0" applyFont="1" applyBorder="1" applyAlignment="1">
      <alignment horizontal="center"/>
    </xf>
    <xf numFmtId="0" fontId="89" fillId="0" borderId="104" xfId="0" applyFont="1" applyBorder="1" applyAlignment="1">
      <alignment horizontal="center"/>
    </xf>
    <xf numFmtId="0" fontId="51" fillId="0" borderId="104" xfId="0" applyFont="1" applyFill="1" applyBorder="1" applyAlignment="1">
      <alignment horizontal="center"/>
    </xf>
    <xf numFmtId="0" fontId="86" fillId="0" borderId="106" xfId="0" applyFont="1" applyBorder="1" applyAlignment="1">
      <alignment horizontal="center"/>
    </xf>
    <xf numFmtId="0" fontId="86" fillId="0" borderId="105" xfId="0" applyFont="1" applyBorder="1" applyAlignment="1">
      <alignment horizontal="center"/>
    </xf>
    <xf numFmtId="0" fontId="86" fillId="0" borderId="107" xfId="0" applyFont="1" applyFill="1" applyBorder="1" applyAlignment="1">
      <alignment horizontal="center" vertical="center" wrapText="1"/>
    </xf>
    <xf numFmtId="0" fontId="86" fillId="0" borderId="1" xfId="0" applyFont="1" applyFill="1" applyBorder="1" applyAlignment="1">
      <alignment horizontal="center" vertical="center" wrapText="1"/>
    </xf>
    <xf numFmtId="0" fontId="51" fillId="0" borderId="5" xfId="0" applyFont="1" applyFill="1" applyBorder="1" applyAlignment="1">
      <alignment horizontal="center" vertical="center"/>
    </xf>
    <xf numFmtId="0" fontId="86" fillId="0" borderId="4" xfId="0" applyFont="1" applyBorder="1" applyAlignment="1">
      <alignment horizontal="center"/>
    </xf>
    <xf numFmtId="3" fontId="86" fillId="0" borderId="1" xfId="0" applyNumberFormat="1" applyFont="1" applyFill="1" applyBorder="1" applyProtection="1"/>
    <xf numFmtId="3" fontId="86" fillId="0" borderId="96" xfId="0" applyNumberFormat="1" applyFont="1" applyFill="1" applyBorder="1" applyProtection="1"/>
    <xf numFmtId="3" fontId="86" fillId="0" borderId="92" xfId="0" applyNumberFormat="1" applyFont="1" applyFill="1" applyBorder="1" applyProtection="1"/>
    <xf numFmtId="3" fontId="51" fillId="0" borderId="1" xfId="0" applyNumberFormat="1" applyFont="1" applyFill="1" applyBorder="1" applyProtection="1"/>
    <xf numFmtId="3" fontId="51" fillId="0" borderId="96" xfId="0" applyNumberFormat="1" applyFont="1" applyFill="1" applyBorder="1" applyProtection="1"/>
    <xf numFmtId="3" fontId="51" fillId="0" borderId="92" xfId="0" applyNumberFormat="1" applyFont="1" applyFill="1" applyBorder="1" applyProtection="1"/>
    <xf numFmtId="3" fontId="51" fillId="0" borderId="1" xfId="12" applyNumberFormat="1" applyFont="1" applyFill="1" applyBorder="1" applyProtection="1"/>
    <xf numFmtId="3" fontId="51" fillId="0" borderId="96" xfId="1" applyNumberFormat="1" applyFont="1" applyFill="1" applyBorder="1" applyProtection="1"/>
    <xf numFmtId="3" fontId="51" fillId="0" borderId="92" xfId="1" applyNumberFormat="1" applyFont="1" applyFill="1" applyBorder="1" applyProtection="1"/>
    <xf numFmtId="3" fontId="86" fillId="0" borderId="99" xfId="0" applyNumberFormat="1" applyFont="1" applyFill="1" applyBorder="1"/>
    <xf numFmtId="3" fontId="86" fillId="0" borderId="100" xfId="0" applyNumberFormat="1" applyFont="1" applyFill="1" applyBorder="1"/>
    <xf numFmtId="3" fontId="86" fillId="0" borderId="98" xfId="0" applyNumberFormat="1" applyFont="1" applyFill="1" applyBorder="1"/>
    <xf numFmtId="3" fontId="51" fillId="0" borderId="1" xfId="0" applyNumberFormat="1" applyFont="1" applyFill="1" applyBorder="1"/>
    <xf numFmtId="3" fontId="51" fillId="0" borderId="96" xfId="0" applyNumberFormat="1" applyFont="1" applyFill="1" applyBorder="1"/>
    <xf numFmtId="3" fontId="51" fillId="0" borderId="92" xfId="0" applyNumberFormat="1" applyFont="1" applyFill="1" applyBorder="1"/>
    <xf numFmtId="3" fontId="86" fillId="0" borderId="101" xfId="0" applyNumberFormat="1" applyFont="1" applyFill="1" applyBorder="1"/>
    <xf numFmtId="3" fontId="86" fillId="0" borderId="102" xfId="0" applyNumberFormat="1" applyFont="1" applyFill="1" applyBorder="1"/>
    <xf numFmtId="3" fontId="86" fillId="0" borderId="94" xfId="0" applyNumberFormat="1" applyFont="1" applyFill="1" applyBorder="1"/>
    <xf numFmtId="181" fontId="62" fillId="0" borderId="38" xfId="1" applyNumberFormat="1" applyFont="1" applyFill="1" applyBorder="1"/>
    <xf numFmtId="181" fontId="62" fillId="0" borderId="68" xfId="1" applyNumberFormat="1" applyFont="1" applyFill="1" applyBorder="1"/>
    <xf numFmtId="0" fontId="16" fillId="0" borderId="0" xfId="0" applyFont="1" applyFill="1" applyBorder="1" applyAlignment="1">
      <alignment vertical="top" wrapText="1"/>
    </xf>
    <xf numFmtId="0" fontId="17" fillId="0" borderId="0" xfId="7" applyFont="1" applyFill="1" applyBorder="1" applyAlignment="1">
      <alignment horizontal="center" vertical="center" wrapText="1"/>
    </xf>
    <xf numFmtId="0" fontId="47" fillId="3" borderId="7" xfId="0" applyFont="1" applyFill="1" applyBorder="1" applyAlignment="1" applyProtection="1">
      <alignment horizontal="left" wrapText="1"/>
      <protection hidden="1"/>
    </xf>
    <xf numFmtId="0" fontId="14" fillId="3" borderId="7" xfId="6" applyFill="1" applyBorder="1" applyAlignment="1" applyProtection="1">
      <alignment horizontal="left" wrapText="1"/>
      <protection hidden="1"/>
    </xf>
    <xf numFmtId="0" fontId="47" fillId="3" borderId="1" xfId="0" applyFont="1" applyFill="1" applyBorder="1" applyAlignment="1" applyProtection="1">
      <alignment horizontal="left" wrapText="1"/>
      <protection hidden="1"/>
    </xf>
    <xf numFmtId="0" fontId="47" fillId="3" borderId="5" xfId="0" applyFont="1" applyFill="1" applyBorder="1" applyAlignment="1" applyProtection="1">
      <alignment horizontal="left" wrapText="1"/>
      <protection hidden="1"/>
    </xf>
    <xf numFmtId="0" fontId="50" fillId="3" borderId="7" xfId="0" applyFont="1" applyFill="1" applyBorder="1" applyAlignment="1" applyProtection="1">
      <alignment horizontal="left" wrapText="1"/>
      <protection hidden="1"/>
    </xf>
    <xf numFmtId="0" fontId="47" fillId="3" borderId="11" xfId="0" applyFont="1" applyFill="1" applyBorder="1" applyAlignment="1" applyProtection="1">
      <alignment horizontal="left" wrapText="1"/>
      <protection hidden="1"/>
    </xf>
    <xf numFmtId="0" fontId="47" fillId="4" borderId="24" xfId="0" applyFont="1" applyFill="1" applyBorder="1" applyAlignment="1" applyProtection="1">
      <alignment horizontal="left" wrapText="1"/>
      <protection locked="0" hidden="1"/>
    </xf>
    <xf numFmtId="0" fontId="47" fillId="4" borderId="43" xfId="0" applyFont="1" applyFill="1" applyBorder="1" applyAlignment="1" applyProtection="1">
      <alignment horizontal="left" wrapText="1"/>
      <protection locked="0" hidden="1"/>
    </xf>
    <xf numFmtId="0" fontId="47" fillId="4" borderId="77" xfId="0" applyFont="1" applyFill="1" applyBorder="1" applyAlignment="1" applyProtection="1">
      <alignment horizontal="left" wrapText="1"/>
      <protection locked="0" hidden="1"/>
    </xf>
    <xf numFmtId="0" fontId="37" fillId="3" borderId="7" xfId="0" applyFont="1" applyFill="1" applyBorder="1" applyAlignment="1" applyProtection="1">
      <alignment horizontal="left" wrapText="1"/>
      <protection hidden="1"/>
    </xf>
    <xf numFmtId="0" fontId="47" fillId="3" borderId="4" xfId="0" applyFont="1" applyFill="1" applyBorder="1" applyAlignment="1" applyProtection="1">
      <alignment horizontal="left" wrapText="1"/>
      <protection hidden="1"/>
    </xf>
    <xf numFmtId="0" fontId="42" fillId="4" borderId="24" xfId="0" applyFont="1" applyFill="1" applyBorder="1" applyAlignment="1" applyProtection="1">
      <alignment horizontal="center"/>
      <protection hidden="1"/>
    </xf>
    <xf numFmtId="0" fontId="42" fillId="4" borderId="43" xfId="0" applyFont="1" applyFill="1" applyBorder="1" applyAlignment="1" applyProtection="1">
      <alignment horizontal="center"/>
      <protection hidden="1"/>
    </xf>
    <xf numFmtId="0" fontId="42" fillId="4" borderId="77" xfId="0" applyFont="1" applyFill="1" applyBorder="1" applyAlignment="1" applyProtection="1">
      <alignment horizontal="center"/>
      <protection hidden="1"/>
    </xf>
    <xf numFmtId="0" fontId="27" fillId="3" borderId="8" xfId="0" applyFont="1" applyFill="1" applyBorder="1" applyAlignment="1" applyProtection="1">
      <alignment horizontal="center"/>
      <protection hidden="1"/>
    </xf>
    <xf numFmtId="0" fontId="27" fillId="3" borderId="9" xfId="0" applyFont="1" applyFill="1" applyBorder="1" applyAlignment="1" applyProtection="1">
      <alignment horizontal="center"/>
      <protection hidden="1"/>
    </xf>
    <xf numFmtId="0" fontId="27" fillId="3" borderId="10" xfId="0" applyFont="1" applyFill="1" applyBorder="1" applyAlignment="1" applyProtection="1">
      <alignment horizontal="center"/>
      <protection hidden="1"/>
    </xf>
    <xf numFmtId="0" fontId="50" fillId="3" borderId="8" xfId="0" applyFont="1" applyFill="1" applyBorder="1" applyAlignment="1" applyProtection="1">
      <alignment horizontal="center" wrapText="1"/>
      <protection hidden="1"/>
    </xf>
    <xf numFmtId="0" fontId="50" fillId="3" borderId="9" xfId="0" applyFont="1" applyFill="1" applyBorder="1" applyAlignment="1" applyProtection="1">
      <alignment horizontal="center" wrapText="1"/>
      <protection hidden="1"/>
    </xf>
    <xf numFmtId="0" fontId="50" fillId="3" borderId="0" xfId="0" applyFont="1" applyFill="1" applyBorder="1" applyAlignment="1" applyProtection="1">
      <alignment horizontal="center" wrapText="1"/>
      <protection hidden="1"/>
    </xf>
    <xf numFmtId="0" fontId="50" fillId="3" borderId="2" xfId="0" applyFont="1" applyFill="1" applyBorder="1" applyAlignment="1" applyProtection="1">
      <alignment horizontal="center" wrapText="1"/>
      <protection hidden="1"/>
    </xf>
    <xf numFmtId="0" fontId="37" fillId="3" borderId="24" xfId="0" applyFont="1" applyFill="1" applyBorder="1" applyAlignment="1" applyProtection="1">
      <alignment horizontal="right" wrapText="1"/>
      <protection hidden="1"/>
    </xf>
    <xf numFmtId="0" fontId="37" fillId="3" borderId="43" xfId="0" applyFont="1" applyFill="1" applyBorder="1" applyAlignment="1" applyProtection="1">
      <alignment horizontal="right" wrapText="1"/>
      <protection hidden="1"/>
    </xf>
    <xf numFmtId="0" fontId="37" fillId="3" borderId="77" xfId="0" applyFont="1" applyFill="1" applyBorder="1" applyAlignment="1" applyProtection="1">
      <alignment horizontal="right" wrapText="1"/>
      <protection hidden="1"/>
    </xf>
    <xf numFmtId="0" fontId="49" fillId="4" borderId="0" xfId="0" applyFont="1" applyFill="1" applyBorder="1" applyAlignment="1" applyProtection="1">
      <alignment horizontal="center" wrapText="1"/>
      <protection locked="0" hidden="1"/>
    </xf>
    <xf numFmtId="17" fontId="42" fillId="4" borderId="0" xfId="0" applyNumberFormat="1" applyFont="1" applyFill="1" applyAlignment="1" applyProtection="1">
      <alignment horizontal="left"/>
      <protection locked="0" hidden="1"/>
    </xf>
    <xf numFmtId="0" fontId="42" fillId="4" borderId="0" xfId="0" applyFont="1" applyFill="1" applyAlignment="1" applyProtection="1">
      <alignment horizontal="left"/>
      <protection locked="0" hidden="1"/>
    </xf>
    <xf numFmtId="0" fontId="42" fillId="0" borderId="0" xfId="0" applyFont="1" applyFill="1" applyAlignment="1" applyProtection="1">
      <alignment horizontal="left"/>
      <protection locked="0" hidden="1"/>
    </xf>
    <xf numFmtId="0" fontId="47" fillId="2" borderId="0" xfId="0" applyFont="1" applyFill="1" applyBorder="1" applyAlignment="1" applyProtection="1">
      <alignment horizontal="left"/>
      <protection hidden="1"/>
    </xf>
    <xf numFmtId="0" fontId="37" fillId="4" borderId="24" xfId="0" applyFont="1" applyFill="1" applyBorder="1" applyAlignment="1" applyProtection="1">
      <alignment horizontal="center"/>
      <protection locked="0" hidden="1"/>
    </xf>
    <xf numFmtId="0" fontId="37" fillId="4" borderId="43" xfId="0" applyFont="1" applyFill="1" applyBorder="1" applyAlignment="1" applyProtection="1">
      <alignment horizontal="center"/>
      <protection locked="0" hidden="1"/>
    </xf>
    <xf numFmtId="0" fontId="37" fillId="4" borderId="77" xfId="0" applyFont="1" applyFill="1" applyBorder="1" applyAlignment="1" applyProtection="1">
      <alignment horizontal="center"/>
      <protection locked="0" hidden="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17" fillId="0" borderId="33" xfId="0" applyNumberFormat="1" applyFont="1" applyBorder="1" applyAlignment="1">
      <alignment horizontal="right" vertical="center"/>
    </xf>
    <xf numFmtId="0" fontId="72" fillId="0" borderId="34" xfId="0" applyFont="1" applyBorder="1" applyAlignment="1">
      <alignment horizontal="right" vertical="center"/>
    </xf>
    <xf numFmtId="0" fontId="17" fillId="0" borderId="32" xfId="0" applyFont="1" applyBorder="1" applyAlignment="1">
      <alignment vertical="center"/>
    </xf>
    <xf numFmtId="0" fontId="17" fillId="0" borderId="33" xfId="0" applyFont="1" applyBorder="1" applyAlignment="1">
      <alignment vertical="center"/>
    </xf>
    <xf numFmtId="0" fontId="16" fillId="0" borderId="0" xfId="0" applyFont="1" applyBorder="1" applyAlignment="1">
      <alignment horizontal="justify"/>
    </xf>
    <xf numFmtId="4" fontId="58" fillId="13" borderId="0" xfId="0" quotePrefix="1" applyNumberFormat="1" applyFont="1" applyFill="1" applyAlignment="1">
      <alignment horizontal="center" wrapText="1"/>
    </xf>
    <xf numFmtId="4" fontId="58" fillId="10" borderId="0" xfId="0" quotePrefix="1" applyNumberFormat="1" applyFont="1" applyFill="1" applyAlignment="1">
      <alignment horizontal="center" vertical="center" wrapText="1"/>
    </xf>
    <xf numFmtId="0" fontId="17" fillId="0" borderId="33" xfId="0" applyFont="1" applyFill="1" applyBorder="1" applyAlignment="1">
      <alignment horizontal="center"/>
    </xf>
    <xf numFmtId="0" fontId="17" fillId="0" borderId="34" xfId="0" applyFont="1" applyFill="1" applyBorder="1" applyAlignment="1">
      <alignment horizontal="center"/>
    </xf>
    <xf numFmtId="0" fontId="16" fillId="0" borderId="0" xfId="0" applyFont="1" applyFill="1" applyBorder="1" applyAlignment="1">
      <alignment horizontal="left" wrapText="1"/>
    </xf>
    <xf numFmtId="0" fontId="82" fillId="0" borderId="0" xfId="0" applyFont="1" applyFill="1" applyAlignment="1">
      <alignment horizontal="center" wrapText="1"/>
    </xf>
    <xf numFmtId="0" fontId="17" fillId="0" borderId="66" xfId="0" applyFont="1" applyFill="1" applyBorder="1" applyAlignment="1">
      <alignment horizontal="center" vertical="top" wrapText="1"/>
    </xf>
    <xf numFmtId="0" fontId="16" fillId="0" borderId="49" xfId="0" applyFont="1" applyFill="1" applyBorder="1" applyAlignment="1">
      <alignment horizontal="center" vertical="top" wrapText="1"/>
    </xf>
    <xf numFmtId="0" fontId="16" fillId="0" borderId="52" xfId="0" applyFont="1" applyFill="1" applyBorder="1" applyAlignment="1">
      <alignment horizontal="center" vertical="top" wrapText="1"/>
    </xf>
    <xf numFmtId="0" fontId="17" fillId="0" borderId="78" xfId="0" applyFont="1" applyFill="1" applyBorder="1" applyAlignment="1">
      <alignment horizontal="center" vertical="top" wrapText="1"/>
    </xf>
    <xf numFmtId="0" fontId="17" fillId="0" borderId="38" xfId="0" applyFont="1" applyFill="1" applyBorder="1" applyAlignment="1">
      <alignment horizontal="center" vertical="top" wrapText="1"/>
    </xf>
    <xf numFmtId="0" fontId="17" fillId="0" borderId="75" xfId="0" applyFont="1" applyFill="1" applyBorder="1" applyAlignment="1">
      <alignment horizontal="center" vertical="top" wrapText="1"/>
    </xf>
    <xf numFmtId="0" fontId="0" fillId="0" borderId="0" xfId="0" applyAlignment="1">
      <alignment wrapText="1"/>
    </xf>
    <xf numFmtId="0" fontId="25" fillId="0" borderId="0" xfId="0" applyFont="1" applyFill="1" applyAlignment="1">
      <alignment horizontal="left" wrapText="1"/>
    </xf>
    <xf numFmtId="0" fontId="68" fillId="0" borderId="0" xfId="0" applyFont="1" applyFill="1" applyAlignment="1">
      <alignment horizontal="left" wrapText="1"/>
    </xf>
    <xf numFmtId="0" fontId="68" fillId="0" borderId="0" xfId="0" applyFont="1" applyFill="1" applyAlignment="1">
      <alignment horizontal="left" vertical="top" wrapText="1"/>
    </xf>
    <xf numFmtId="0" fontId="68" fillId="0" borderId="0" xfId="1" applyNumberFormat="1" applyFont="1" applyAlignment="1">
      <alignment horizontal="left" vertical="top" wrapText="1"/>
    </xf>
    <xf numFmtId="0" fontId="68" fillId="0" borderId="0" xfId="0" applyFont="1" applyFill="1" applyAlignment="1">
      <alignment horizontal="left" vertical="center" wrapText="1"/>
    </xf>
    <xf numFmtId="0" fontId="16" fillId="0" borderId="0" xfId="7" applyFont="1" applyFill="1" applyBorder="1" applyAlignment="1">
      <alignment horizontal="left" vertical="top" wrapText="1"/>
    </xf>
    <xf numFmtId="0" fontId="61" fillId="0" borderId="0" xfId="7" applyFont="1" applyFill="1" applyBorder="1" applyAlignment="1">
      <alignment horizontal="left" vertical="top" wrapText="1"/>
    </xf>
    <xf numFmtId="0" fontId="1" fillId="0" borderId="0" xfId="8" applyFont="1" applyFill="1" applyBorder="1" applyAlignment="1">
      <alignment horizontal="left" vertical="top" wrapText="1"/>
    </xf>
    <xf numFmtId="0" fontId="16" fillId="0" borderId="0" xfId="0" applyFont="1" applyFill="1" applyAlignment="1">
      <alignment horizontal="left" vertical="top" wrapText="1"/>
    </xf>
    <xf numFmtId="0" fontId="1" fillId="0" borderId="0" xfId="7" applyFont="1" applyFill="1" applyAlignment="1">
      <alignment horizontal="left" vertical="top" wrapText="1"/>
    </xf>
    <xf numFmtId="0" fontId="16" fillId="0" borderId="0" xfId="7" applyFont="1" applyFill="1" applyAlignment="1">
      <alignment horizontal="left" vertical="top" wrapText="1"/>
    </xf>
    <xf numFmtId="0" fontId="1" fillId="0" borderId="0" xfId="7" applyFont="1" applyFill="1" applyBorder="1" applyAlignment="1">
      <alignment horizontal="left" wrapText="1"/>
    </xf>
    <xf numFmtId="0" fontId="16" fillId="0" borderId="0" xfId="7" applyFont="1" applyFill="1" applyBorder="1" applyAlignment="1">
      <alignment horizontal="left" wrapText="1"/>
    </xf>
    <xf numFmtId="0" fontId="61" fillId="0" borderId="0" xfId="7" applyFont="1" applyFill="1" applyAlignment="1">
      <alignment horizontal="left" wrapText="1"/>
    </xf>
    <xf numFmtId="0" fontId="61" fillId="0" borderId="0" xfId="7" applyFont="1" applyFill="1" applyAlignment="1">
      <alignment horizontal="left" vertical="top" wrapText="1"/>
    </xf>
    <xf numFmtId="0" fontId="16" fillId="0" borderId="0" xfId="0" applyFont="1" applyFill="1" applyBorder="1" applyAlignment="1">
      <alignment horizontal="left" vertical="top" wrapText="1"/>
    </xf>
    <xf numFmtId="0" fontId="16" fillId="0" borderId="0" xfId="0" applyFont="1" applyFill="1" applyBorder="1" applyAlignment="1">
      <alignment vertical="top" wrapText="1"/>
    </xf>
    <xf numFmtId="0" fontId="42" fillId="0" borderId="0" xfId="0" applyFont="1" applyFill="1" applyBorder="1" applyAlignment="1">
      <alignment vertical="top" wrapText="1"/>
    </xf>
    <xf numFmtId="0" fontId="73" fillId="0" borderId="0" xfId="0" applyFont="1" applyFill="1" applyBorder="1" applyAlignment="1">
      <alignment horizontal="right"/>
    </xf>
    <xf numFmtId="168" fontId="30" fillId="0" borderId="0" xfId="1" applyNumberFormat="1" applyFont="1" applyFill="1" applyAlignment="1">
      <alignment wrapText="1"/>
    </xf>
    <xf numFmtId="0" fontId="16" fillId="0" borderId="0" xfId="0" applyFont="1" applyFill="1" applyAlignment="1">
      <alignment horizontal="left" wrapText="1"/>
    </xf>
    <xf numFmtId="3" fontId="73" fillId="0" borderId="0" xfId="0" applyNumberFormat="1" applyFont="1" applyFill="1" applyBorder="1" applyAlignment="1">
      <alignment horizontal="right"/>
    </xf>
    <xf numFmtId="168" fontId="16" fillId="0" borderId="0" xfId="1" applyNumberFormat="1" applyFont="1" applyFill="1" applyAlignment="1">
      <alignment horizontal="left" vertical="center" wrapText="1"/>
    </xf>
    <xf numFmtId="168" fontId="16" fillId="0" borderId="0" xfId="1" applyNumberFormat="1" applyFont="1" applyFill="1" applyAlignment="1">
      <alignment horizontal="left" vertical="top" wrapText="1"/>
    </xf>
    <xf numFmtId="0" fontId="5" fillId="0" borderId="0" xfId="0" applyFont="1" applyAlignment="1">
      <alignment horizontal="center"/>
    </xf>
    <xf numFmtId="0" fontId="2" fillId="0" borderId="0" xfId="0" applyFont="1" applyAlignment="1">
      <alignment horizontal="center"/>
    </xf>
    <xf numFmtId="0" fontId="9" fillId="0" borderId="0" xfId="0" applyFont="1" applyBorder="1" applyAlignment="1">
      <alignment horizontal="justify" vertical="top"/>
    </xf>
    <xf numFmtId="0" fontId="17" fillId="0" borderId="79" xfId="0" applyFont="1" applyFill="1" applyBorder="1" applyAlignment="1">
      <alignment horizontal="center" wrapText="1"/>
    </xf>
    <xf numFmtId="0" fontId="17" fillId="0" borderId="54" xfId="0" applyFont="1" applyFill="1" applyBorder="1" applyAlignment="1">
      <alignment horizontal="center" wrapText="1"/>
    </xf>
    <xf numFmtId="0" fontId="17" fillId="0" borderId="80" xfId="0" applyFont="1" applyFill="1" applyBorder="1" applyAlignment="1">
      <alignment horizontal="center" wrapText="1"/>
    </xf>
    <xf numFmtId="181" fontId="17" fillId="0" borderId="70" xfId="0" applyNumberFormat="1" applyFont="1" applyFill="1" applyBorder="1" applyAlignment="1">
      <alignment horizontal="center" wrapText="1"/>
    </xf>
    <xf numFmtId="181" fontId="17" fillId="0" borderId="15" xfId="0" applyNumberFormat="1" applyFont="1" applyFill="1" applyBorder="1" applyAlignment="1">
      <alignment horizontal="center" wrapText="1"/>
    </xf>
    <xf numFmtId="181" fontId="17" fillId="0" borderId="81" xfId="0" applyNumberFormat="1" applyFont="1" applyFill="1" applyBorder="1" applyAlignment="1">
      <alignment horizontal="center" wrapText="1"/>
    </xf>
    <xf numFmtId="181" fontId="62" fillId="0" borderId="70" xfId="0" applyNumberFormat="1" applyFont="1" applyFill="1" applyBorder="1" applyAlignment="1">
      <alignment horizontal="center" wrapText="1"/>
    </xf>
    <xf numFmtId="181" fontId="62" fillId="0" borderId="15" xfId="0" applyNumberFormat="1" applyFont="1" applyFill="1" applyBorder="1" applyAlignment="1">
      <alignment horizontal="center" wrapText="1"/>
    </xf>
    <xf numFmtId="181" fontId="62" fillId="0" borderId="81" xfId="0" applyNumberFormat="1" applyFont="1" applyFill="1" applyBorder="1" applyAlignment="1">
      <alignment horizontal="center" wrapText="1"/>
    </xf>
    <xf numFmtId="0" fontId="86" fillId="0" borderId="8" xfId="0" applyFont="1" applyFill="1" applyBorder="1" applyAlignment="1">
      <alignment horizontal="center" vertical="center"/>
    </xf>
    <xf numFmtId="0" fontId="86" fillId="0" borderId="11" xfId="0" applyFont="1" applyFill="1" applyBorder="1" applyAlignment="1">
      <alignment horizontal="center" vertical="center"/>
    </xf>
    <xf numFmtId="0" fontId="86" fillId="0" borderId="103" xfId="0" applyFont="1" applyFill="1" applyBorder="1" applyAlignment="1">
      <alignment horizontal="center" vertical="center"/>
    </xf>
    <xf numFmtId="0" fontId="86" fillId="0" borderId="104" xfId="0" applyFont="1" applyFill="1" applyBorder="1" applyAlignment="1">
      <alignment horizontal="center" vertical="center"/>
    </xf>
    <xf numFmtId="0" fontId="5" fillId="0" borderId="0" xfId="0" applyFont="1" applyFill="1" applyAlignment="1">
      <alignment horizontal="center" vertical="top" wrapText="1"/>
    </xf>
    <xf numFmtId="0" fontId="2" fillId="0" borderId="0" xfId="0" applyFont="1" applyFill="1" applyAlignment="1">
      <alignment horizontal="center" vertical="top" wrapText="1"/>
    </xf>
    <xf numFmtId="0" fontId="5" fillId="0" borderId="69" xfId="0" applyFont="1" applyFill="1" applyBorder="1" applyAlignment="1">
      <alignment horizontal="center" vertical="top" wrapText="1"/>
    </xf>
    <xf numFmtId="0" fontId="5" fillId="0" borderId="82" xfId="0" applyFont="1" applyFill="1" applyBorder="1" applyAlignment="1">
      <alignment horizontal="center" vertical="top" wrapText="1"/>
    </xf>
    <xf numFmtId="0" fontId="5" fillId="0" borderId="83" xfId="0" applyFont="1" applyBorder="1" applyAlignment="1">
      <alignment horizontal="center" vertical="top" wrapText="1"/>
    </xf>
    <xf numFmtId="0" fontId="5" fillId="0" borderId="50" xfId="0" applyFont="1" applyBorder="1" applyAlignment="1">
      <alignment horizontal="center" vertical="top" wrapText="1"/>
    </xf>
    <xf numFmtId="0" fontId="5" fillId="0" borderId="58" xfId="0" applyFont="1" applyBorder="1" applyAlignment="1">
      <alignment horizontal="center" vertical="top" wrapText="1"/>
    </xf>
    <xf numFmtId="0" fontId="5" fillId="0" borderId="0" xfId="0" applyFont="1" applyAlignment="1">
      <alignment horizontal="center" vertical="top" wrapText="1"/>
    </xf>
    <xf numFmtId="0" fontId="2" fillId="0" borderId="0" xfId="0" applyFont="1" applyAlignment="1">
      <alignment horizontal="center" vertical="top" wrapText="1"/>
    </xf>
    <xf numFmtId="0" fontId="17" fillId="0" borderId="0" xfId="10" applyFont="1" applyAlignment="1">
      <alignment horizontal="center"/>
    </xf>
    <xf numFmtId="0" fontId="28" fillId="0" borderId="0" xfId="0" applyFont="1" applyAlignment="1">
      <alignment horizontal="center"/>
    </xf>
    <xf numFmtId="0" fontId="33" fillId="0" borderId="69" xfId="0" applyFont="1" applyBorder="1" applyAlignment="1">
      <alignment horizontal="center" vertical="top" wrapText="1"/>
    </xf>
    <xf numFmtId="0" fontId="33" fillId="0" borderId="48" xfId="0" applyFont="1" applyBorder="1" applyAlignment="1">
      <alignment horizontal="center" vertical="top" wrapText="1"/>
    </xf>
    <xf numFmtId="0" fontId="33" fillId="0" borderId="60" xfId="0" applyFont="1" applyBorder="1" applyAlignment="1">
      <alignment horizontal="center" vertical="top" wrapText="1"/>
    </xf>
    <xf numFmtId="0" fontId="33" fillId="0" borderId="7" xfId="0" applyFont="1" applyBorder="1" applyAlignment="1">
      <alignment horizontal="center" vertical="top" wrapText="1"/>
    </xf>
    <xf numFmtId="0" fontId="73" fillId="0" borderId="26" xfId="0" applyFont="1" applyBorder="1" applyAlignment="1">
      <alignment vertical="top" wrapText="1"/>
    </xf>
    <xf numFmtId="0" fontId="73" fillId="0" borderId="29" xfId="0" applyFont="1" applyBorder="1" applyAlignment="1">
      <alignment vertical="top" wrapText="1"/>
    </xf>
    <xf numFmtId="0" fontId="73" fillId="0" borderId="18" xfId="0" applyFont="1" applyBorder="1" applyAlignment="1">
      <alignment vertical="top" wrapText="1"/>
    </xf>
    <xf numFmtId="0" fontId="73" fillId="0" borderId="22" xfId="0" applyFont="1" applyBorder="1" applyAlignment="1">
      <alignment vertical="top" wrapText="1"/>
    </xf>
    <xf numFmtId="0" fontId="58" fillId="0" borderId="4" xfId="0" applyFont="1" applyBorder="1" applyAlignment="1">
      <alignment horizontal="center"/>
    </xf>
    <xf numFmtId="0" fontId="58" fillId="0" borderId="5" xfId="0" applyFont="1" applyBorder="1" applyAlignment="1">
      <alignment horizontal="center"/>
    </xf>
    <xf numFmtId="0" fontId="17" fillId="0" borderId="4" xfId="8" applyFont="1" applyFill="1" applyBorder="1" applyAlignment="1">
      <alignment horizontal="left" wrapText="1"/>
    </xf>
    <xf numFmtId="0" fontId="17" fillId="0" borderId="5" xfId="8" applyFont="1" applyFill="1" applyBorder="1" applyAlignment="1">
      <alignment horizontal="left" wrapText="1"/>
    </xf>
    <xf numFmtId="0" fontId="17" fillId="0" borderId="8" xfId="8" applyFont="1" applyFill="1" applyBorder="1" applyAlignment="1">
      <alignment horizontal="center" wrapText="1"/>
    </xf>
    <xf numFmtId="0" fontId="17" fillId="0" borderId="12" xfId="8" applyFont="1" applyFill="1" applyBorder="1" applyAlignment="1">
      <alignment horizontal="center" wrapText="1"/>
    </xf>
    <xf numFmtId="0" fontId="17" fillId="9" borderId="7" xfId="8" applyFont="1" applyFill="1" applyBorder="1" applyAlignment="1">
      <alignment horizontal="center" wrapText="1"/>
    </xf>
    <xf numFmtId="4" fontId="17" fillId="9" borderId="4" xfId="8" applyNumberFormat="1" applyFont="1" applyFill="1" applyBorder="1" applyAlignment="1">
      <alignment horizontal="center" wrapText="1"/>
    </xf>
    <xf numFmtId="4" fontId="17" fillId="9" borderId="5" xfId="8" applyNumberFormat="1" applyFont="1" applyFill="1" applyBorder="1" applyAlignment="1">
      <alignment horizontal="center" wrapText="1"/>
    </xf>
    <xf numFmtId="4" fontId="17" fillId="9" borderId="7" xfId="8" applyNumberFormat="1" applyFont="1" applyFill="1" applyBorder="1" applyAlignment="1">
      <alignment horizontal="left" wrapText="1"/>
    </xf>
  </cellXfs>
  <cellStyles count="13">
    <cellStyle name="Comma" xfId="1" builtinId="3"/>
    <cellStyle name="Comma 2" xfId="2"/>
    <cellStyle name="Comma 3" xfId="3"/>
    <cellStyle name="Comma 3 2" xfId="4"/>
    <cellStyle name="Comma_B Schedule Municipal Adjustments Budget - 23 March 2009 cb" xfId="12"/>
    <cellStyle name="Euro" xfId="5"/>
    <cellStyle name="Hyperlink" xfId="6" builtinId="8"/>
    <cellStyle name="Normal" xfId="0" builtinId="0"/>
    <cellStyle name="Normal 2" xfId="7"/>
    <cellStyle name="Normal 3" xfId="8"/>
    <cellStyle name="Normal 5" xfId="9"/>
    <cellStyle name="Normal_SHEET" xfId="10"/>
    <cellStyle name="Percent" xfId="11" builtinId="5"/>
  </cellStyles>
  <dxfs count="2">
    <dxf>
      <font>
        <b/>
        <i val="0"/>
        <condense val="0"/>
        <extend val="0"/>
        <color indexed="10"/>
      </font>
      <fill>
        <patternFill>
          <bgColor indexed="13"/>
        </patternFill>
      </fill>
    </dxf>
    <dxf>
      <font>
        <b/>
        <i/>
        <condense val="0"/>
        <extend val="0"/>
      </font>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2</xdr:col>
      <xdr:colOff>3705225</xdr:colOff>
      <xdr:row>26</xdr:row>
      <xdr:rowOff>133350</xdr:rowOff>
    </xdr:to>
    <xdr:pic>
      <xdr:nvPicPr>
        <xdr:cNvPr id="3" name="Picture 2" descr="fc header"/>
        <xdr:cNvPicPr/>
      </xdr:nvPicPr>
      <xdr:blipFill>
        <a:blip xmlns:r="http://schemas.openxmlformats.org/officeDocument/2006/relationships" r:embed="rId1" cstate="print"/>
        <a:srcRect/>
        <a:stretch>
          <a:fillRect/>
        </a:stretch>
      </xdr:blipFill>
      <xdr:spPr bwMode="auto">
        <a:xfrm>
          <a:off x="2133600" y="2190750"/>
          <a:ext cx="3705225" cy="3562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uly%202016/C%20Schedule%20-%20Ver%202.7(1)%20_May%20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ilkenn\AppData\Roaming\Microsoft\Excel\Users\wilken\Desktop\Users\Joelm\AppData\Local\Microsoft\Windows\Temporary%20Internet%20Files\Content.Outlook\QHXCIJ1G\AFS%2030%20JUNE%202015\FAR%202015\Mari\Prior%20period%20error%20note_v1(0508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ilkenn\AppData\Local\Microsoft\Windows\Temporary%20Internet%20Files\Content.Outlook\Y90KMWLM\APP%20BC%20(2016)(30082016)_v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wilkenn\AppData\Roaming\Microsoft\Excel\AFS\AFS%2030%20JUNE%202015\FINAL%20AUDITED%20FINANCIAL%20STATEMENTS%20POLOKWANE%2030%20JUNE%202015%20adjusted(3)%20(2)Jo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sheetData sheetId="1">
        <row r="11">
          <cell r="X11">
            <v>0</v>
          </cell>
        </row>
      </sheetData>
      <sheetData sheetId="2">
        <row r="2">
          <cell r="B2" t="str">
            <v>2013/14</v>
          </cell>
        </row>
        <row r="3">
          <cell r="B3" t="str">
            <v>Budget Year 2014/15</v>
          </cell>
        </row>
        <row r="6">
          <cell r="B6" t="str">
            <v>Audited Outcome</v>
          </cell>
        </row>
        <row r="9">
          <cell r="B9" t="str">
            <v>Original Budget</v>
          </cell>
        </row>
        <row r="10">
          <cell r="B10" t="str">
            <v>Adjusted Budget</v>
          </cell>
        </row>
        <row r="11">
          <cell r="B11" t="str">
            <v>Full Year Forecast</v>
          </cell>
        </row>
        <row r="27">
          <cell r="B27" t="str">
            <v>Description</v>
          </cell>
        </row>
        <row r="30">
          <cell r="B30" t="str">
            <v>Ref</v>
          </cell>
        </row>
        <row r="31">
          <cell r="B31" t="str">
            <v>References</v>
          </cell>
        </row>
        <row r="42">
          <cell r="B42" t="str">
            <v>Monthly actual</v>
          </cell>
        </row>
        <row r="43">
          <cell r="B43" t="str">
            <v>YearTD actual</v>
          </cell>
        </row>
        <row r="44">
          <cell r="B44" t="str">
            <v>YearTD budget</v>
          </cell>
        </row>
        <row r="45">
          <cell r="B45" t="str">
            <v>YTD variance</v>
          </cell>
        </row>
        <row r="73">
          <cell r="B73" t="str">
            <v>Choose name from list</v>
          </cell>
        </row>
        <row r="79">
          <cell r="B79" t="str">
            <v xml:space="preserve">Table C2 Consolidated Monthly Budget Statement - Financial Performance (standard classification)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2012 Restated"/>
      <sheetName val="2014 statements"/>
      <sheetName val="2013 Statements"/>
      <sheetName val="2013 PPE WP"/>
      <sheetName val="WP"/>
      <sheetName val="Workings 201314"/>
      <sheetName val="Sheet4"/>
      <sheetName val="Changes in Net assets"/>
    </sheetNames>
    <sheetDataSet>
      <sheetData sheetId="0" refreshError="1"/>
      <sheetData sheetId="1" refreshError="1"/>
      <sheetData sheetId="2" refreshError="1"/>
      <sheetData sheetId="3" refreshError="1">
        <row r="20">
          <cell r="G20">
            <v>916425.14000000013</v>
          </cell>
        </row>
      </sheetData>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B"/>
      <sheetName val="Appendix C"/>
    </sheetNames>
    <sheetDataSet>
      <sheetData sheetId="0">
        <row r="6">
          <cell r="C6">
            <v>48348632.37000002</v>
          </cell>
        </row>
        <row r="14">
          <cell r="C14">
            <v>-184082750.91097146</v>
          </cell>
        </row>
        <row r="18">
          <cell r="C18">
            <v>15161492.929999998</v>
          </cell>
        </row>
        <row r="43">
          <cell r="B43">
            <v>18426749954.404892</v>
          </cell>
          <cell r="C43">
            <v>-120572625.61097144</v>
          </cell>
          <cell r="D43">
            <v>688709476.40000033</v>
          </cell>
          <cell r="E43">
            <v>0</v>
          </cell>
          <cell r="F43">
            <v>18114503.665093035</v>
          </cell>
          <cell r="H43">
            <v>-93449439.930000022</v>
          </cell>
          <cell r="I43">
            <v>18919551868.929008</v>
          </cell>
          <cell r="K43">
            <v>-9127685471.0341682</v>
          </cell>
          <cell r="L43">
            <v>-475210190.11876589</v>
          </cell>
          <cell r="M43">
            <v>43865108.707384408</v>
          </cell>
          <cell r="N43">
            <v>-9559030552.445549</v>
          </cell>
          <cell r="P43">
            <v>-150305.85999999999</v>
          </cell>
          <cell r="Q43">
            <v>0</v>
          </cell>
          <cell r="R43">
            <v>-150305.85999999999</v>
          </cell>
          <cell r="T43">
            <v>9360371010.6234665</v>
          </cell>
          <cell r="V43">
            <v>-3408519196.2389789</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1"/>
      <sheetName val="Cover"/>
      <sheetName val="Index"/>
      <sheetName val="App"/>
      <sheetName val="Statement of Financial Position"/>
      <sheetName val="General Info"/>
      <sheetName val="Statement of Fin Pos"/>
      <sheetName val="Statement of Financial Performa"/>
      <sheetName val="Changes in Net assets"/>
      <sheetName val="TB4 (New) (2)"/>
      <sheetName val="Cash Flow Statement"/>
      <sheetName val="Statement com budget and actual"/>
      <sheetName val="Acc Policy "/>
      <sheetName val="Notes 2 - 7"/>
      <sheetName val="Note 8 Assets"/>
      <sheetName val="Note 8.2 Assets"/>
      <sheetName val="Note 9-33"/>
      <sheetName val="Note 34-48"/>
      <sheetName val="Appendix A"/>
      <sheetName val="Appendix B"/>
      <sheetName val="Appendix C"/>
      <sheetName val="Appendix D"/>
      <sheetName val="Appendix E(1)"/>
      <sheetName val="Appendix E(2)"/>
      <sheetName val="Appendix F"/>
      <sheetName val="Annexure G"/>
      <sheetName val="TB1"/>
      <sheetName val="TB2"/>
      <sheetName val="Annexure H"/>
      <sheetName val="Sheet5"/>
      <sheetName val="Annexure I"/>
      <sheetName val="TB3"/>
      <sheetName val="TB4"/>
      <sheetName val="Cash flow reco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45">
          <cell r="O45">
            <v>-31398377</v>
          </cell>
        </row>
      </sheetData>
      <sheetData sheetId="34" refreshError="1"/>
    </sheetDataSet>
  </externalBook>
</externalLink>
</file>

<file path=xl/queryTables/queryTable1.xml><?xml version="1.0" encoding="utf-8"?>
<queryTable xmlns="http://schemas.openxmlformats.org/spreadsheetml/2006/main" name="New Accounting Policy_3" connectionId="8"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New Accounting Policy_6" connectionId="7"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New Accounting Policy_1" connectionId="2"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New Accounting Policy_8" connectionId="5"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New Accounting Policy_7" connectionId="9"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New Accounting Policy_5" connectionId="3"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New Accounting Policy_4" connectionId="4"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New Accounting Policy_2" connectionId="6"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IEMAY."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printerSettings" Target="../printerSettings/printerSettings12.bin"/><Relationship Id="rId6" Type="http://schemas.openxmlformats.org/officeDocument/2006/relationships/queryTable" Target="../queryTables/queryTable5.xml"/><Relationship Id="rId5" Type="http://schemas.openxmlformats.org/officeDocument/2006/relationships/queryTable" Target="../queryTables/queryTable4.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vmlDrawing" Target="../drawings/vmlDrawing1.vml"/><Relationship Id="rId1" Type="http://schemas.openxmlformats.org/officeDocument/2006/relationships/printerSettings" Target="../printerSettings/printerSettings30.bin"/><Relationship Id="rId4" Type="http://schemas.openxmlformats.org/officeDocument/2006/relationships/comments" Target="../comments1.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13" workbookViewId="0">
      <selection activeCell="K27" sqref="K27"/>
    </sheetView>
  </sheetViews>
  <sheetFormatPr defaultRowHeight="15" x14ac:dyDescent="0.25"/>
  <sheetData>
    <row r="1" spans="1:9" x14ac:dyDescent="0.25">
      <c r="A1" s="413"/>
      <c r="B1" s="413"/>
      <c r="C1" s="413"/>
      <c r="D1" s="413"/>
      <c r="E1" s="413"/>
      <c r="F1" s="413"/>
      <c r="G1" s="413"/>
      <c r="H1" s="413"/>
      <c r="I1" s="413"/>
    </row>
    <row r="2" spans="1:9" ht="20.25" x14ac:dyDescent="0.3">
      <c r="A2" s="413"/>
      <c r="B2" s="413"/>
      <c r="C2" s="414"/>
      <c r="D2" s="413"/>
      <c r="E2" s="415" t="s">
        <v>2627</v>
      </c>
      <c r="F2" s="413"/>
      <c r="G2" s="413"/>
      <c r="H2" s="413"/>
      <c r="I2" s="413"/>
    </row>
    <row r="3" spans="1:9" x14ac:dyDescent="0.25">
      <c r="A3" s="413"/>
      <c r="B3" s="413"/>
      <c r="C3" s="413"/>
      <c r="D3" s="413"/>
      <c r="E3" s="413"/>
      <c r="F3" s="413"/>
      <c r="G3" s="413"/>
      <c r="H3" s="413"/>
      <c r="I3" s="413"/>
    </row>
    <row r="4" spans="1:9" x14ac:dyDescent="0.25">
      <c r="A4" s="413"/>
      <c r="B4" s="413"/>
      <c r="C4" s="413"/>
      <c r="D4" s="413"/>
      <c r="E4" s="416" t="s">
        <v>2628</v>
      </c>
      <c r="F4" s="413"/>
      <c r="G4" s="413"/>
      <c r="H4" s="413"/>
      <c r="I4" s="413"/>
    </row>
    <row r="5" spans="1:9" x14ac:dyDescent="0.25">
      <c r="A5" s="413"/>
      <c r="B5" s="413"/>
      <c r="C5" s="413"/>
      <c r="D5" s="413"/>
      <c r="E5" s="417"/>
      <c r="F5" s="413"/>
      <c r="G5" s="413"/>
      <c r="H5" s="413"/>
      <c r="I5" s="413"/>
    </row>
    <row r="6" spans="1:9" ht="18.75" x14ac:dyDescent="0.3">
      <c r="A6" s="1796" t="s">
        <v>2873</v>
      </c>
      <c r="B6" s="1796"/>
      <c r="C6" s="1796"/>
      <c r="D6" s="1796"/>
      <c r="E6" s="1796"/>
      <c r="F6" s="1796"/>
      <c r="G6" s="1796"/>
      <c r="H6" s="1796"/>
      <c r="I6" s="1796"/>
    </row>
    <row r="7" spans="1:9" ht="18" x14ac:dyDescent="0.25">
      <c r="A7" s="413"/>
      <c r="B7" s="413"/>
      <c r="C7" s="413"/>
      <c r="D7" s="413"/>
      <c r="E7" s="418"/>
      <c r="F7" s="413"/>
      <c r="G7" s="413"/>
      <c r="H7" s="413"/>
      <c r="I7" s="413"/>
    </row>
    <row r="8" spans="1:9" x14ac:dyDescent="0.25">
      <c r="A8" s="413"/>
      <c r="B8" s="413"/>
      <c r="C8" s="419" t="s">
        <v>2629</v>
      </c>
      <c r="D8" s="413"/>
      <c r="E8" s="1797">
        <v>41426</v>
      </c>
      <c r="F8" s="1798"/>
      <c r="G8" s="1798"/>
      <c r="H8" s="1798"/>
      <c r="I8" s="1798"/>
    </row>
    <row r="9" spans="1:9" x14ac:dyDescent="0.25">
      <c r="A9" s="413"/>
      <c r="B9" s="413"/>
      <c r="C9" s="413"/>
      <c r="D9" s="413"/>
      <c r="E9" s="1799"/>
      <c r="F9" s="1799"/>
      <c r="G9" s="1799"/>
      <c r="H9" s="1799"/>
      <c r="I9" s="1799"/>
    </row>
    <row r="10" spans="1:9" x14ac:dyDescent="0.25">
      <c r="A10" s="413"/>
      <c r="B10" s="413"/>
      <c r="C10" s="1800" t="s">
        <v>2630</v>
      </c>
      <c r="D10" s="1800"/>
      <c r="E10" s="1801" t="s">
        <v>2631</v>
      </c>
      <c r="F10" s="1802"/>
      <c r="G10" s="1802"/>
      <c r="H10" s="1802"/>
      <c r="I10" s="1803"/>
    </row>
    <row r="11" spans="1:9" x14ac:dyDescent="0.25">
      <c r="A11" s="420"/>
      <c r="B11" s="420"/>
      <c r="C11" s="420"/>
      <c r="D11" s="420"/>
      <c r="E11" s="420"/>
      <c r="F11" s="420"/>
      <c r="G11" s="420"/>
      <c r="H11" s="420"/>
      <c r="I11" s="420"/>
    </row>
    <row r="12" spans="1:9" x14ac:dyDescent="0.25">
      <c r="A12" s="420"/>
      <c r="B12" s="420"/>
      <c r="C12" s="420" t="s">
        <v>2632</v>
      </c>
      <c r="D12" s="420"/>
      <c r="E12" s="1783" t="s">
        <v>2633</v>
      </c>
      <c r="F12" s="1784"/>
      <c r="G12" s="1784"/>
      <c r="H12" s="1784"/>
      <c r="I12" s="1785"/>
    </row>
    <row r="13" spans="1:9" x14ac:dyDescent="0.25">
      <c r="A13" s="420"/>
      <c r="B13" s="420"/>
      <c r="C13" s="420"/>
      <c r="D13" s="420"/>
      <c r="E13" s="420"/>
      <c r="F13" s="420"/>
      <c r="G13" s="420"/>
      <c r="H13" s="420"/>
      <c r="I13" s="420"/>
    </row>
    <row r="14" spans="1:9" ht="15.75" x14ac:dyDescent="0.25">
      <c r="A14" s="1786" t="s">
        <v>2634</v>
      </c>
      <c r="B14" s="1787"/>
      <c r="C14" s="1787"/>
      <c r="D14" s="1787"/>
      <c r="E14" s="1787"/>
      <c r="F14" s="1787"/>
      <c r="G14" s="1787"/>
      <c r="H14" s="1787"/>
      <c r="I14" s="1788"/>
    </row>
    <row r="15" spans="1:9" x14ac:dyDescent="0.25">
      <c r="A15" s="1781" t="s">
        <v>2635</v>
      </c>
      <c r="B15" s="1781"/>
      <c r="C15" s="1781"/>
      <c r="D15" s="1778"/>
      <c r="E15" s="1779"/>
      <c r="F15" s="1779"/>
      <c r="G15" s="1779"/>
      <c r="H15" s="1780"/>
      <c r="I15" s="421"/>
    </row>
    <row r="16" spans="1:9" x14ac:dyDescent="0.25">
      <c r="A16" s="1789"/>
      <c r="B16" s="1790"/>
      <c r="C16" s="1790"/>
      <c r="D16" s="1791"/>
      <c r="E16" s="1791"/>
      <c r="F16" s="1791"/>
      <c r="G16" s="1791"/>
      <c r="H16" s="1791"/>
      <c r="I16" s="1792"/>
    </row>
    <row r="17" spans="1:9" x14ac:dyDescent="0.25">
      <c r="A17" s="1793" t="s">
        <v>2636</v>
      </c>
      <c r="B17" s="1794"/>
      <c r="C17" s="1795"/>
      <c r="D17" s="1778"/>
      <c r="E17" s="1779"/>
      <c r="F17" s="1779"/>
      <c r="G17" s="1779"/>
      <c r="H17" s="1780"/>
      <c r="I17" s="422"/>
    </row>
    <row r="18" spans="1:9" x14ac:dyDescent="0.25">
      <c r="A18" s="1772" t="s">
        <v>2637</v>
      </c>
      <c r="B18" s="1772"/>
      <c r="C18" s="1772"/>
      <c r="D18" s="1778"/>
      <c r="E18" s="1779"/>
      <c r="F18" s="1779"/>
      <c r="G18" s="1779"/>
      <c r="H18" s="1780"/>
      <c r="I18" s="422"/>
    </row>
    <row r="19" spans="1:9" x14ac:dyDescent="0.25">
      <c r="A19" s="1772" t="s">
        <v>2638</v>
      </c>
      <c r="B19" s="1772"/>
      <c r="C19" s="1772"/>
      <c r="D19" s="1778"/>
      <c r="E19" s="1779"/>
      <c r="F19" s="1779"/>
      <c r="G19" s="1779"/>
      <c r="H19" s="1780"/>
      <c r="I19" s="422"/>
    </row>
    <row r="20" spans="1:9" x14ac:dyDescent="0.25">
      <c r="A20" s="1772"/>
      <c r="B20" s="1772"/>
      <c r="C20" s="1772"/>
      <c r="D20" s="1774"/>
      <c r="E20" s="1774"/>
      <c r="F20" s="1774"/>
      <c r="G20" s="1774"/>
      <c r="H20" s="1774"/>
      <c r="I20" s="1774"/>
    </row>
    <row r="21" spans="1:9" x14ac:dyDescent="0.25">
      <c r="A21" s="1781" t="s">
        <v>2639</v>
      </c>
      <c r="B21" s="1781"/>
      <c r="C21" s="1781"/>
      <c r="D21" s="1778"/>
      <c r="E21" s="1779"/>
      <c r="F21" s="1779"/>
      <c r="G21" s="1779"/>
      <c r="H21" s="1780"/>
      <c r="I21" s="423"/>
    </row>
    <row r="22" spans="1:9" x14ac:dyDescent="0.25">
      <c r="A22" s="1772" t="s">
        <v>2637</v>
      </c>
      <c r="B22" s="1772"/>
      <c r="C22" s="1772"/>
      <c r="D22" s="1778"/>
      <c r="E22" s="1779"/>
      <c r="F22" s="1779"/>
      <c r="G22" s="1779"/>
      <c r="H22" s="1780"/>
      <c r="I22" s="423"/>
    </row>
    <row r="23" spans="1:9" x14ac:dyDescent="0.25">
      <c r="A23" s="1772" t="s">
        <v>2638</v>
      </c>
      <c r="B23" s="1772"/>
      <c r="C23" s="1772"/>
      <c r="D23" s="1778"/>
      <c r="E23" s="1779"/>
      <c r="F23" s="1779"/>
      <c r="G23" s="1779"/>
      <c r="H23" s="1780"/>
      <c r="I23" s="423"/>
    </row>
    <row r="24" spans="1:9" x14ac:dyDescent="0.25">
      <c r="A24" s="1772"/>
      <c r="B24" s="1772"/>
      <c r="C24" s="1772"/>
      <c r="D24" s="1774"/>
      <c r="E24" s="1774"/>
      <c r="F24" s="1774"/>
      <c r="G24" s="1774"/>
      <c r="H24" s="1774"/>
      <c r="I24" s="1774"/>
    </row>
    <row r="25" spans="1:9" x14ac:dyDescent="0.25">
      <c r="A25" s="1781" t="s">
        <v>2640</v>
      </c>
      <c r="B25" s="1781"/>
      <c r="C25" s="1781"/>
      <c r="D25" s="1778"/>
      <c r="E25" s="1779"/>
      <c r="F25" s="1779"/>
      <c r="G25" s="1779"/>
      <c r="H25" s="1780"/>
      <c r="I25" s="423"/>
    </row>
    <row r="26" spans="1:9" x14ac:dyDescent="0.25">
      <c r="A26" s="1772" t="s">
        <v>2637</v>
      </c>
      <c r="B26" s="1772"/>
      <c r="C26" s="1772"/>
      <c r="D26" s="1778"/>
      <c r="E26" s="1779"/>
      <c r="F26" s="1779"/>
      <c r="G26" s="1779"/>
      <c r="H26" s="1780"/>
      <c r="I26" s="423"/>
    </row>
    <row r="27" spans="1:9" x14ac:dyDescent="0.25">
      <c r="A27" s="1772" t="s">
        <v>2638</v>
      </c>
      <c r="B27" s="1772"/>
      <c r="C27" s="1772"/>
      <c r="D27" s="1778"/>
      <c r="E27" s="1779"/>
      <c r="F27" s="1779"/>
      <c r="G27" s="1779"/>
      <c r="H27" s="1780"/>
      <c r="I27" s="423"/>
    </row>
    <row r="28" spans="1:9" x14ac:dyDescent="0.25">
      <c r="A28" s="1782"/>
      <c r="B28" s="1782"/>
      <c r="C28" s="1782"/>
      <c r="D28" s="1774"/>
      <c r="E28" s="1774"/>
      <c r="F28" s="1774"/>
      <c r="G28" s="1774"/>
      <c r="H28" s="1774"/>
      <c r="I28" s="1774"/>
    </row>
    <row r="29" spans="1:9" x14ac:dyDescent="0.25">
      <c r="A29" s="1774"/>
      <c r="B29" s="1774"/>
      <c r="C29" s="1774"/>
      <c r="D29" s="1774"/>
      <c r="E29" s="1774"/>
      <c r="F29" s="1774"/>
      <c r="G29" s="1774"/>
      <c r="H29" s="1774"/>
      <c r="I29" s="1774"/>
    </row>
    <row r="30" spans="1:9" x14ac:dyDescent="0.25">
      <c r="A30" s="1776" t="s">
        <v>2641</v>
      </c>
      <c r="B30" s="1776"/>
      <c r="C30" s="1776"/>
      <c r="D30" s="1772" t="e">
        <f>#VALUE!</f>
        <v>#VALUE!</v>
      </c>
      <c r="E30" s="1772"/>
      <c r="F30" s="1772"/>
      <c r="G30" s="1774"/>
      <c r="H30" s="1777"/>
      <c r="I30" s="421"/>
    </row>
    <row r="31" spans="1:9" x14ac:dyDescent="0.25">
      <c r="A31" s="1772" t="s">
        <v>2637</v>
      </c>
      <c r="B31" s="1772"/>
      <c r="C31" s="1772"/>
      <c r="D31" s="1773" t="e">
        <f>IF(D30=AC11,AE11,IF(D30=AC12,AE12,IF(D30=AC16,AE16,)))</f>
        <v>#VALUE!</v>
      </c>
      <c r="E31" s="1772"/>
      <c r="F31" s="1772"/>
      <c r="G31" s="1774"/>
      <c r="H31" s="1774"/>
      <c r="I31" s="1774"/>
    </row>
    <row r="32" spans="1:9" x14ac:dyDescent="0.25">
      <c r="A32" s="1772" t="s">
        <v>2638</v>
      </c>
      <c r="B32" s="1772"/>
      <c r="C32" s="1772"/>
      <c r="D32" s="1773" t="e">
        <f>IF(D30=AC11,AD11,IF(D30=AC12,AD12,IF(D30=AC16,AD16,)))</f>
        <v>#VALUE!</v>
      </c>
      <c r="E32" s="1772"/>
      <c r="F32" s="1772"/>
      <c r="G32" s="1774"/>
      <c r="H32" s="1774"/>
      <c r="I32" s="1774"/>
    </row>
    <row r="33" spans="1:9" x14ac:dyDescent="0.25">
      <c r="A33" s="1775"/>
      <c r="B33" s="1775"/>
      <c r="C33" s="1775"/>
      <c r="D33" s="1775"/>
      <c r="E33" s="1775"/>
      <c r="F33" s="1775"/>
      <c r="G33" s="1775"/>
      <c r="H33" s="1775"/>
      <c r="I33" s="1775"/>
    </row>
  </sheetData>
  <mergeCells count="42">
    <mergeCell ref="A6:I6"/>
    <mergeCell ref="E8:I8"/>
    <mergeCell ref="E9:I9"/>
    <mergeCell ref="C10:D10"/>
    <mergeCell ref="E10:I10"/>
    <mergeCell ref="A18:C18"/>
    <mergeCell ref="D18:H18"/>
    <mergeCell ref="A19:C19"/>
    <mergeCell ref="D19:H19"/>
    <mergeCell ref="E12:I12"/>
    <mergeCell ref="A14:I14"/>
    <mergeCell ref="A15:C15"/>
    <mergeCell ref="D15:H15"/>
    <mergeCell ref="A16:I16"/>
    <mergeCell ref="A17:C17"/>
    <mergeCell ref="D17:H17"/>
    <mergeCell ref="A20:I20"/>
    <mergeCell ref="A27:C27"/>
    <mergeCell ref="D27:H27"/>
    <mergeCell ref="A28:I28"/>
    <mergeCell ref="A21:C21"/>
    <mergeCell ref="D21:H21"/>
    <mergeCell ref="A29:I29"/>
    <mergeCell ref="A22:C22"/>
    <mergeCell ref="D22:H22"/>
    <mergeCell ref="A23:C23"/>
    <mergeCell ref="D23:H23"/>
    <mergeCell ref="A24:I24"/>
    <mergeCell ref="A25:C25"/>
    <mergeCell ref="D25:H25"/>
    <mergeCell ref="A26:C26"/>
    <mergeCell ref="D26:H26"/>
    <mergeCell ref="A32:C32"/>
    <mergeCell ref="D32:F32"/>
    <mergeCell ref="G32:I32"/>
    <mergeCell ref="A33:I33"/>
    <mergeCell ref="A30:C30"/>
    <mergeCell ref="D30:F30"/>
    <mergeCell ref="G30:H30"/>
    <mergeCell ref="A31:C31"/>
    <mergeCell ref="D31:F31"/>
    <mergeCell ref="G31:I31"/>
  </mergeCells>
  <conditionalFormatting sqref="C10:E10">
    <cfRule type="cellIs" dxfId="1" priority="1" stopIfTrue="1" operator="equal">
      <formula>"Select province"</formula>
    </cfRule>
  </conditionalFormatting>
  <dataValidations count="2">
    <dataValidation type="list" allowBlank="1" showInputMessage="1" showErrorMessage="1" sqref="E12:I12">
      <formula1>$AB$23:$AB$25</formula1>
    </dataValidation>
    <dataValidation type="list" allowBlank="1" showInputMessage="1" showErrorMessage="1" sqref="E10:I10">
      <formula1>$AB$10:$AB$19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74"/>
  <sheetViews>
    <sheetView workbookViewId="0">
      <pane xSplit="2" ySplit="4" topLeftCell="AS5" activePane="bottomRight" state="frozen"/>
      <selection pane="topRight" activeCell="C1" sqref="C1"/>
      <selection pane="bottomLeft" activeCell="A4" sqref="A4"/>
      <selection pane="bottomRight" activeCell="AX19" sqref="AX19"/>
    </sheetView>
  </sheetViews>
  <sheetFormatPr defaultRowHeight="15" x14ac:dyDescent="0.25"/>
  <cols>
    <col min="1" max="1" width="9.140625" style="211" customWidth="1"/>
    <col min="2" max="2" width="27.42578125" style="211" customWidth="1"/>
    <col min="3" max="3" width="3.28515625" style="383" customWidth="1"/>
    <col min="4" max="5" width="5.5703125" style="383" customWidth="1"/>
    <col min="6" max="6" width="2" style="383" bestFit="1" customWidth="1"/>
    <col min="7" max="7" width="18.7109375" style="306" bestFit="1" customWidth="1"/>
    <col min="8" max="8" width="15.7109375" style="306" bestFit="1" customWidth="1"/>
    <col min="9" max="9" width="13.28515625" style="306" bestFit="1" customWidth="1"/>
    <col min="10" max="10" width="20.140625" style="306" hidden="1" customWidth="1"/>
    <col min="11" max="11" width="5.7109375" style="211" hidden="1" customWidth="1"/>
    <col min="12" max="12" width="20.140625" style="306" bestFit="1" customWidth="1"/>
    <col min="13" max="13" width="20.140625" style="882" customWidth="1"/>
    <col min="14" max="14" width="15.7109375" style="211" bestFit="1" customWidth="1"/>
    <col min="15" max="15" width="13.42578125" style="306" bestFit="1" customWidth="1"/>
    <col min="16" max="16" width="19" style="306" customWidth="1"/>
    <col min="17" max="17" width="19" style="306" hidden="1" customWidth="1"/>
    <col min="18" max="18" width="20.85546875" style="306" bestFit="1" customWidth="1"/>
    <col min="19" max="19" width="21.28515625" style="306" bestFit="1" customWidth="1"/>
    <col min="20" max="20" width="17.85546875" style="306" bestFit="1" customWidth="1"/>
    <col min="21" max="21" width="15.85546875" style="306" bestFit="1" customWidth="1"/>
    <col min="22" max="22" width="22.28515625" style="306" bestFit="1" customWidth="1"/>
    <col min="23" max="23" width="14.28515625" style="306" bestFit="1" customWidth="1"/>
    <col min="24" max="24" width="18" style="306" bestFit="1" customWidth="1"/>
    <col min="25" max="28" width="19" style="306" customWidth="1"/>
    <col min="29" max="29" width="19.140625" style="875" bestFit="1" customWidth="1"/>
    <col min="30" max="30" width="13.140625" style="875" bestFit="1" customWidth="1"/>
    <col min="31" max="31" width="14.5703125" style="875" bestFit="1" customWidth="1"/>
    <col min="32" max="32" width="15.7109375" style="875" bestFit="1" customWidth="1"/>
    <col min="33" max="33" width="17.85546875" style="875" bestFit="1" customWidth="1"/>
    <col min="34" max="34" width="15.85546875" style="875" bestFit="1" customWidth="1"/>
    <col min="35" max="35" width="13.7109375" style="875" bestFit="1" customWidth="1"/>
    <col min="36" max="36" width="18" style="875" bestFit="1" customWidth="1"/>
    <col min="37" max="38" width="13.42578125" style="875" bestFit="1" customWidth="1"/>
    <col min="39" max="39" width="14.42578125" style="875" bestFit="1" customWidth="1"/>
    <col min="40" max="43" width="19" style="875" customWidth="1"/>
    <col min="44" max="44" width="19" style="914" customWidth="1"/>
    <col min="45" max="47" width="19" style="875" customWidth="1"/>
    <col min="48" max="48" width="16.140625" style="211" customWidth="1"/>
    <col min="49" max="49" width="17.140625" style="211" customWidth="1"/>
    <col min="50" max="50" width="13.140625" style="306" bestFit="1" customWidth="1"/>
    <col min="51" max="51" width="19" style="306" customWidth="1"/>
    <col min="52" max="52" width="9.140625" style="211" customWidth="1"/>
    <col min="53" max="53" width="16" style="211" bestFit="1" customWidth="1"/>
    <col min="54" max="56" width="9.140625" style="211" customWidth="1"/>
    <col min="57" max="57" width="18.7109375" style="211" bestFit="1" customWidth="1"/>
    <col min="58" max="58" width="16.28515625" style="211" bestFit="1" customWidth="1"/>
    <col min="59" max="59" width="13.7109375" style="211" bestFit="1" customWidth="1"/>
    <col min="60" max="60" width="16.5703125" style="211" bestFit="1" customWidth="1"/>
    <col min="61" max="61" width="16.140625" style="211" bestFit="1" customWidth="1"/>
    <col min="62" max="62" width="13.5703125" style="211" bestFit="1" customWidth="1"/>
    <col min="63" max="63" width="14.5703125" style="211" bestFit="1" customWidth="1"/>
    <col min="64" max="64" width="11.7109375" style="211" bestFit="1" customWidth="1"/>
    <col min="65" max="16384" width="9.140625" style="211"/>
  </cols>
  <sheetData>
    <row r="1" spans="1:58" ht="15.75" thickBot="1" x14ac:dyDescent="0.3">
      <c r="Q1" s="875">
        <f t="shared" ref="Q1:AB1" si="0">SUBTOTAL(9,Q3:Q265)</f>
        <v>0</v>
      </c>
      <c r="R1" s="875">
        <f t="shared" si="0"/>
        <v>0</v>
      </c>
      <c r="S1" s="875">
        <f t="shared" si="0"/>
        <v>0</v>
      </c>
      <c r="T1" s="875">
        <f t="shared" si="0"/>
        <v>-3.8743019104003906E-7</v>
      </c>
      <c r="U1" s="875">
        <f t="shared" si="0"/>
        <v>2475636155.0799999</v>
      </c>
      <c r="V1" s="875">
        <f t="shared" si="0"/>
        <v>-2475636155.0799999</v>
      </c>
      <c r="W1" s="875">
        <f t="shared" si="0"/>
        <v>-2.9802322387695313E-7</v>
      </c>
      <c r="X1" s="875">
        <f t="shared" si="0"/>
        <v>0</v>
      </c>
      <c r="Y1" s="875">
        <f t="shared" si="0"/>
        <v>0</v>
      </c>
      <c r="Z1" s="875">
        <f t="shared" si="0"/>
        <v>0</v>
      </c>
      <c r="AA1" s="875">
        <f t="shared" si="0"/>
        <v>0</v>
      </c>
      <c r="AB1" s="875">
        <f t="shared" si="0"/>
        <v>0</v>
      </c>
      <c r="AD1" s="875">
        <f t="shared" ref="AD1:AN1" si="1">SUM(AD5:AD263)</f>
        <v>0</v>
      </c>
      <c r="AE1" s="875">
        <f t="shared" si="1"/>
        <v>0</v>
      </c>
      <c r="AF1" s="875">
        <f t="shared" si="1"/>
        <v>0</v>
      </c>
      <c r="AG1" s="875">
        <f t="shared" si="1"/>
        <v>-214809678.23675314</v>
      </c>
      <c r="AH1" s="875">
        <f t="shared" si="1"/>
        <v>181468487.62675309</v>
      </c>
      <c r="AI1" s="875">
        <f t="shared" si="1"/>
        <v>33341190.609999999</v>
      </c>
      <c r="AJ1" s="875">
        <f t="shared" si="1"/>
        <v>0</v>
      </c>
      <c r="AK1" s="875">
        <f t="shared" si="1"/>
        <v>0</v>
      </c>
      <c r="AL1" s="875">
        <f t="shared" si="1"/>
        <v>0</v>
      </c>
      <c r="AM1" s="875">
        <f t="shared" si="1"/>
        <v>0</v>
      </c>
      <c r="AN1" s="875">
        <f t="shared" si="1"/>
        <v>-2.1420419216156006E-8</v>
      </c>
    </row>
    <row r="2" spans="1:58" ht="15" customHeight="1" x14ac:dyDescent="0.25">
      <c r="A2" s="357"/>
      <c r="B2" s="382" t="s">
        <v>1370</v>
      </c>
      <c r="G2" s="411" t="s">
        <v>944</v>
      </c>
      <c r="H2" s="411" t="s">
        <v>1366</v>
      </c>
      <c r="I2" s="411" t="s">
        <v>1368</v>
      </c>
      <c r="J2" s="411" t="s">
        <v>2949</v>
      </c>
      <c r="L2" s="411" t="s">
        <v>2949</v>
      </c>
      <c r="M2" s="883"/>
      <c r="N2" s="411" t="s">
        <v>1366</v>
      </c>
      <c r="O2" s="411" t="s">
        <v>1368</v>
      </c>
      <c r="P2" s="411" t="s">
        <v>2949</v>
      </c>
      <c r="Q2" s="1813" t="s">
        <v>3504</v>
      </c>
      <c r="R2" s="1813"/>
      <c r="S2" s="1813"/>
      <c r="T2" s="1813"/>
      <c r="U2" s="1813"/>
      <c r="V2" s="1813"/>
      <c r="W2" s="1813"/>
      <c r="X2" s="1813"/>
      <c r="Y2" s="1813"/>
      <c r="Z2" s="1813"/>
      <c r="AA2" s="1813"/>
      <c r="AB2" s="411"/>
      <c r="AC2" s="869"/>
      <c r="AD2" s="1814" t="s">
        <v>3505</v>
      </c>
      <c r="AE2" s="1814"/>
      <c r="AF2" s="1814"/>
      <c r="AG2" s="1814"/>
      <c r="AH2" s="1814"/>
      <c r="AI2" s="1814"/>
      <c r="AJ2" s="1814"/>
      <c r="AK2" s="1814"/>
      <c r="AL2" s="1814"/>
      <c r="AM2" s="1814"/>
      <c r="AN2" s="1814"/>
      <c r="AO2" s="868">
        <v>-2597003.5499999998</v>
      </c>
      <c r="AP2" s="868"/>
      <c r="AQ2" s="868"/>
      <c r="AR2" s="915"/>
      <c r="AS2" s="868"/>
      <c r="AT2" s="868"/>
      <c r="AU2" s="868"/>
      <c r="AW2" s="411" t="s">
        <v>1366</v>
      </c>
      <c r="AX2" s="411" t="s">
        <v>1368</v>
      </c>
      <c r="AY2" s="411" t="s">
        <v>2949</v>
      </c>
    </row>
    <row r="3" spans="1:58" ht="45.75" thickBot="1" x14ac:dyDescent="0.3">
      <c r="A3" s="362"/>
      <c r="B3" s="385"/>
      <c r="G3" s="412" t="s">
        <v>1047</v>
      </c>
      <c r="H3" s="412" t="s">
        <v>1367</v>
      </c>
      <c r="I3" s="412" t="s">
        <v>1367</v>
      </c>
      <c r="J3" s="412" t="s">
        <v>1367</v>
      </c>
      <c r="L3" s="412" t="s">
        <v>1367</v>
      </c>
      <c r="M3" s="912" t="s">
        <v>3516</v>
      </c>
      <c r="N3" s="412" t="s">
        <v>2950</v>
      </c>
      <c r="O3" s="412" t="s">
        <v>2950</v>
      </c>
      <c r="P3" s="412" t="s">
        <v>2950</v>
      </c>
      <c r="Q3" s="881" t="s">
        <v>798</v>
      </c>
      <c r="R3" s="881" t="s">
        <v>3077</v>
      </c>
      <c r="S3" s="881" t="s">
        <v>3524</v>
      </c>
      <c r="T3" s="881" t="s">
        <v>916</v>
      </c>
      <c r="U3" s="881" t="s">
        <v>3488</v>
      </c>
      <c r="V3" s="881" t="s">
        <v>3525</v>
      </c>
      <c r="W3" s="881" t="s">
        <v>879</v>
      </c>
      <c r="X3" s="881" t="s">
        <v>3415</v>
      </c>
      <c r="Y3" s="881" t="s">
        <v>3482</v>
      </c>
      <c r="Z3" s="881" t="s">
        <v>3510</v>
      </c>
      <c r="AA3" s="881" t="s">
        <v>3511</v>
      </c>
      <c r="AB3" s="869" t="s">
        <v>3514</v>
      </c>
      <c r="AC3" s="869" t="s">
        <v>3506</v>
      </c>
      <c r="AD3" s="876" t="s">
        <v>3523</v>
      </c>
      <c r="AE3" s="876" t="s">
        <v>800</v>
      </c>
      <c r="AF3" s="876" t="s">
        <v>3480</v>
      </c>
      <c r="AG3" s="876" t="s">
        <v>916</v>
      </c>
      <c r="AH3" s="876" t="s">
        <v>3488</v>
      </c>
      <c r="AI3" s="876" t="s">
        <v>3525</v>
      </c>
      <c r="AJ3" s="876" t="s">
        <v>3415</v>
      </c>
      <c r="AK3" s="876" t="s">
        <v>3482</v>
      </c>
      <c r="AL3" s="876" t="s">
        <v>3510</v>
      </c>
      <c r="AM3" s="876" t="s">
        <v>3511</v>
      </c>
      <c r="AN3" s="877" t="s">
        <v>3512</v>
      </c>
      <c r="AO3" s="869" t="s">
        <v>3513</v>
      </c>
      <c r="AP3" s="869" t="s">
        <v>3506</v>
      </c>
      <c r="AQ3" s="869" t="s">
        <v>3507</v>
      </c>
      <c r="AR3" s="880" t="s">
        <v>3519</v>
      </c>
      <c r="AS3" s="869" t="s">
        <v>3522</v>
      </c>
      <c r="AT3" s="869" t="s">
        <v>3520</v>
      </c>
      <c r="AU3" s="869" t="s">
        <v>3521</v>
      </c>
      <c r="AV3" s="868" t="s">
        <v>3508</v>
      </c>
      <c r="AW3" s="412" t="s">
        <v>3155</v>
      </c>
      <c r="AX3" s="412" t="s">
        <v>3155</v>
      </c>
      <c r="AY3" s="412" t="s">
        <v>3155</v>
      </c>
      <c r="BA3" s="869" t="s">
        <v>3509</v>
      </c>
    </row>
    <row r="4" spans="1:58" ht="15.75" customHeight="1" thickBot="1" x14ac:dyDescent="0.3">
      <c r="A4" s="386" t="s">
        <v>94</v>
      </c>
      <c r="B4" s="387" t="s">
        <v>95</v>
      </c>
      <c r="C4" s="388"/>
      <c r="D4" s="389" t="s">
        <v>179</v>
      </c>
      <c r="E4" s="389" t="s">
        <v>1371</v>
      </c>
      <c r="F4" s="390"/>
      <c r="G4" s="391" t="s">
        <v>1372</v>
      </c>
      <c r="H4" s="391" t="s">
        <v>1372</v>
      </c>
      <c r="I4" s="391" t="s">
        <v>1372</v>
      </c>
      <c r="J4" s="517" t="s">
        <v>1372</v>
      </c>
      <c r="L4" s="565" t="s">
        <v>1372</v>
      </c>
      <c r="M4" s="518"/>
      <c r="N4" s="518" t="s">
        <v>1372</v>
      </c>
      <c r="O4" s="518" t="s">
        <v>1372</v>
      </c>
      <c r="P4" s="520"/>
      <c r="Q4" s="827"/>
      <c r="R4" s="827"/>
      <c r="S4" s="827"/>
      <c r="T4" s="827"/>
      <c r="U4" s="827"/>
      <c r="V4" s="827"/>
      <c r="W4" s="827"/>
      <c r="X4" s="827"/>
      <c r="Y4" s="827"/>
      <c r="Z4" s="827"/>
      <c r="AA4" s="827"/>
      <c r="AB4" s="827"/>
      <c r="AC4" s="870"/>
      <c r="AD4" s="870"/>
      <c r="AE4" s="870"/>
      <c r="AF4" s="870"/>
      <c r="AG4" s="870"/>
      <c r="AH4" s="870"/>
      <c r="AI4" s="870"/>
      <c r="AJ4" s="870"/>
      <c r="AK4" s="870"/>
      <c r="AL4" s="870"/>
      <c r="AM4" s="870"/>
      <c r="AN4" s="870"/>
      <c r="AO4" s="870"/>
      <c r="AP4" s="870"/>
      <c r="AQ4" s="870"/>
      <c r="AR4" s="870"/>
      <c r="AS4" s="870"/>
      <c r="AT4" s="870"/>
      <c r="AU4" s="870"/>
      <c r="AW4" s="518" t="s">
        <v>1372</v>
      </c>
      <c r="AX4" s="518" t="s">
        <v>1372</v>
      </c>
      <c r="AY4" s="520"/>
    </row>
    <row r="5" spans="1:58" ht="15" customHeight="1" x14ac:dyDescent="0.25">
      <c r="A5" s="392"/>
      <c r="B5" s="392" t="s">
        <v>96</v>
      </c>
      <c r="C5" s="393">
        <v>3</v>
      </c>
      <c r="D5" s="394">
        <v>8000</v>
      </c>
      <c r="E5" s="393" t="s">
        <v>1373</v>
      </c>
      <c r="F5" s="394">
        <v>0</v>
      </c>
      <c r="G5" s="395">
        <v>-11155452.939999999</v>
      </c>
      <c r="H5" s="395">
        <v>-11247728.48</v>
      </c>
      <c r="I5" s="395"/>
      <c r="J5" s="516">
        <f>H5+I5</f>
        <v>-11247728.48</v>
      </c>
      <c r="L5" s="354">
        <v>-11247728.48</v>
      </c>
      <c r="M5" s="354"/>
      <c r="N5" s="354">
        <v>-10754921.609999999</v>
      </c>
      <c r="O5" s="213"/>
      <c r="P5" s="354">
        <f>N5+O5</f>
        <v>-10754921.609999999</v>
      </c>
      <c r="Q5" s="496"/>
      <c r="R5" s="496"/>
      <c r="S5" s="496"/>
      <c r="T5" s="496"/>
      <c r="U5" s="496"/>
      <c r="V5" s="496"/>
      <c r="W5" s="496"/>
      <c r="X5" s="496"/>
      <c r="Y5" s="496"/>
      <c r="Z5" s="496"/>
      <c r="AA5" s="496"/>
      <c r="AB5" s="496"/>
      <c r="AC5" s="871"/>
      <c r="AD5" s="871"/>
      <c r="AE5" s="871"/>
      <c r="AF5" s="871"/>
      <c r="AG5" s="871"/>
      <c r="AH5" s="871"/>
      <c r="AI5" s="871"/>
      <c r="AJ5" s="871"/>
      <c r="AK5" s="871"/>
      <c r="AL5" s="871"/>
      <c r="AM5" s="871"/>
      <c r="AN5" s="871"/>
      <c r="AO5" s="871"/>
      <c r="AP5" s="871"/>
      <c r="AQ5" s="871"/>
      <c r="AR5" s="871"/>
      <c r="AS5" s="871"/>
      <c r="AT5" s="871"/>
      <c r="AU5" s="871"/>
      <c r="AW5" s="573">
        <v>-10444441.98</v>
      </c>
      <c r="AX5" s="213"/>
      <c r="AY5" s="354">
        <f>AW5+AX5</f>
        <v>-10444441.98</v>
      </c>
    </row>
    <row r="6" spans="1:58" ht="15" customHeight="1" x14ac:dyDescent="0.25">
      <c r="A6" s="214"/>
      <c r="B6" s="214"/>
      <c r="C6" s="396"/>
      <c r="D6" s="396"/>
      <c r="E6" s="396"/>
      <c r="F6" s="396"/>
      <c r="G6" s="212"/>
      <c r="H6" s="212"/>
      <c r="I6" s="212"/>
      <c r="J6" s="213"/>
      <c r="L6" s="213"/>
      <c r="M6" s="213"/>
      <c r="N6" s="213"/>
      <c r="O6" s="213"/>
      <c r="P6" s="213"/>
      <c r="Q6" s="827"/>
      <c r="R6" s="827"/>
      <c r="S6" s="827"/>
      <c r="T6" s="827"/>
      <c r="U6" s="827"/>
      <c r="V6" s="827"/>
      <c r="W6" s="827"/>
      <c r="X6" s="827"/>
      <c r="Y6" s="827"/>
      <c r="Z6" s="827"/>
      <c r="AA6" s="827"/>
      <c r="AB6" s="827"/>
      <c r="AC6" s="870"/>
      <c r="AD6" s="870"/>
      <c r="AE6" s="870"/>
      <c r="AF6" s="870"/>
      <c r="AG6" s="870"/>
      <c r="AH6" s="870"/>
      <c r="AI6" s="870"/>
      <c r="AJ6" s="870"/>
      <c r="AK6" s="870"/>
      <c r="AL6" s="870"/>
      <c r="AM6" s="870"/>
      <c r="AN6" s="870"/>
      <c r="AO6" s="870"/>
      <c r="AP6" s="870"/>
      <c r="AQ6" s="870"/>
      <c r="AR6" s="870"/>
      <c r="AS6" s="870"/>
      <c r="AT6" s="870"/>
      <c r="AU6" s="870"/>
      <c r="AW6" s="213"/>
      <c r="AX6" s="213"/>
      <c r="AY6" s="213"/>
      <c r="BE6" s="211">
        <v>13573154.23</v>
      </c>
      <c r="BF6" s="211" t="s">
        <v>3387</v>
      </c>
    </row>
    <row r="7" spans="1:58" ht="15" customHeight="1" x14ac:dyDescent="0.25">
      <c r="A7" s="238" t="s">
        <v>97</v>
      </c>
      <c r="B7" s="238" t="s">
        <v>593</v>
      </c>
      <c r="C7" s="396"/>
      <c r="D7" s="396"/>
      <c r="E7" s="396"/>
      <c r="F7" s="396"/>
      <c r="G7" s="212"/>
      <c r="H7" s="212"/>
      <c r="I7" s="212"/>
      <c r="J7" s="213"/>
      <c r="L7" s="213"/>
      <c r="M7" s="213"/>
      <c r="N7" s="213"/>
      <c r="O7" s="213"/>
      <c r="P7" s="213"/>
      <c r="Q7" s="827"/>
      <c r="R7" s="827"/>
      <c r="S7" s="827"/>
      <c r="T7" s="827"/>
      <c r="U7" s="827"/>
      <c r="V7" s="827"/>
      <c r="W7" s="827"/>
      <c r="X7" s="827"/>
      <c r="Y7" s="827"/>
      <c r="Z7" s="827"/>
      <c r="AA7" s="827"/>
      <c r="AB7" s="827"/>
      <c r="AC7" s="870"/>
      <c r="AD7" s="870"/>
      <c r="AE7" s="870"/>
      <c r="AF7" s="870"/>
      <c r="AG7" s="870"/>
      <c r="AH7" s="870"/>
      <c r="AI7" s="870"/>
      <c r="AJ7" s="870"/>
      <c r="AK7" s="870"/>
      <c r="AL7" s="870"/>
      <c r="AM7" s="870"/>
      <c r="AN7" s="870"/>
      <c r="AO7" s="870"/>
      <c r="AP7" s="870"/>
      <c r="AQ7" s="870"/>
      <c r="AR7" s="870"/>
      <c r="AS7" s="870"/>
      <c r="AT7" s="870"/>
      <c r="AU7" s="870"/>
      <c r="AW7" s="213"/>
      <c r="AX7" s="213"/>
      <c r="AY7" s="213"/>
      <c r="BE7" s="211">
        <v>-1918739068.4400001</v>
      </c>
    </row>
    <row r="8" spans="1:58" s="911" customFormat="1" ht="15" customHeight="1" x14ac:dyDescent="0.25">
      <c r="A8" s="885"/>
      <c r="B8" s="885" t="s">
        <v>98</v>
      </c>
      <c r="C8" s="886">
        <v>3</v>
      </c>
      <c r="D8" s="886">
        <v>8001</v>
      </c>
      <c r="E8" s="887" t="s">
        <v>1373</v>
      </c>
      <c r="F8" s="886">
        <v>0</v>
      </c>
      <c r="G8" s="906">
        <v>-347827216</v>
      </c>
      <c r="H8" s="906">
        <v>-770838771.13999999</v>
      </c>
      <c r="I8" s="906"/>
      <c r="J8" s="354">
        <f>H8+I8</f>
        <v>-770838771.13999999</v>
      </c>
      <c r="K8" s="211"/>
      <c r="L8" s="907">
        <v>-770838771.13999999</v>
      </c>
      <c r="M8" s="907">
        <v>-770838771.13999999</v>
      </c>
      <c r="N8" s="907">
        <v>-770838771.13999999</v>
      </c>
      <c r="O8" s="890"/>
      <c r="P8" s="907">
        <f>N8+O8</f>
        <v>-770838771.13999999</v>
      </c>
      <c r="Q8" s="496"/>
      <c r="R8" s="496"/>
      <c r="S8" s="897"/>
      <c r="T8" s="897">
        <v>-1935956825.7699146</v>
      </c>
      <c r="U8" s="897"/>
      <c r="V8" s="897"/>
      <c r="W8" s="908">
        <v>770838771.13999999</v>
      </c>
      <c r="X8" s="908"/>
      <c r="Y8" s="908"/>
      <c r="Z8" s="908"/>
      <c r="AA8" s="908"/>
      <c r="AB8" s="891">
        <f>SUM(Q8:AA8)</f>
        <v>-1165118054.6299148</v>
      </c>
      <c r="AC8" s="892"/>
      <c r="AD8" s="898"/>
      <c r="AE8" s="892"/>
      <c r="AF8" s="892"/>
      <c r="AG8" s="892"/>
      <c r="AH8" s="892">
        <v>6585251.3991951579</v>
      </c>
      <c r="AI8" s="892"/>
      <c r="AJ8" s="892"/>
      <c r="AK8" s="892"/>
      <c r="AL8" s="892"/>
      <c r="AM8" s="892"/>
      <c r="AN8" s="884">
        <f>SUM(AD8:AM8)</f>
        <v>6585251.3991951579</v>
      </c>
      <c r="AO8" s="892"/>
      <c r="AP8" s="884">
        <f>+M8+AB8</f>
        <v>-1935956825.7699146</v>
      </c>
      <c r="AQ8" s="884">
        <f>+P8+AB8+AN8</f>
        <v>-1929371574.3707194</v>
      </c>
      <c r="AR8" s="916">
        <v>-1935956825</v>
      </c>
      <c r="AS8" s="892">
        <f>+AR8-AP8</f>
        <v>0.76991462707519531</v>
      </c>
      <c r="AT8" s="916">
        <v>-1929371574</v>
      </c>
      <c r="AU8" s="892">
        <f>+AT8-AQ8</f>
        <v>0.37071943283081055</v>
      </c>
      <c r="AW8" s="907">
        <f>-770838771.14-3395585500.56+2247685003.26</f>
        <v>-1918739268.4399996</v>
      </c>
      <c r="AX8" s="890"/>
      <c r="AY8" s="907">
        <f>AW8+AX8</f>
        <v>-1918739268.4399996</v>
      </c>
      <c r="BE8" s="893">
        <f>-1915798420.14-2940848.3</f>
        <v>-1918739268.4400001</v>
      </c>
      <c r="BF8" s="893">
        <f>BE8-AY8</f>
        <v>0</v>
      </c>
    </row>
    <row r="9" spans="1:58" ht="15" customHeight="1" x14ac:dyDescent="0.25">
      <c r="A9" s="214"/>
      <c r="B9" s="214"/>
      <c r="C9" s="396"/>
      <c r="D9" s="396"/>
      <c r="E9" s="396"/>
      <c r="F9" s="396"/>
      <c r="G9" s="212"/>
      <c r="H9" s="212"/>
      <c r="I9" s="212"/>
      <c r="J9" s="213"/>
      <c r="L9" s="213"/>
      <c r="M9" s="213"/>
      <c r="N9" s="213"/>
      <c r="O9" s="213"/>
      <c r="P9" s="213"/>
      <c r="Q9" s="827"/>
      <c r="R9" s="827"/>
      <c r="S9" s="827"/>
      <c r="T9" s="827"/>
      <c r="U9" s="827"/>
      <c r="V9" s="827"/>
      <c r="W9" s="827"/>
      <c r="X9" s="827"/>
      <c r="Y9" s="827"/>
      <c r="Z9" s="827"/>
      <c r="AA9" s="827"/>
      <c r="AB9" s="827"/>
      <c r="AC9" s="870"/>
      <c r="AD9" s="870"/>
      <c r="AE9" s="870"/>
      <c r="AF9" s="870"/>
      <c r="AG9" s="870"/>
      <c r="AH9" s="870"/>
      <c r="AI9" s="870"/>
      <c r="AJ9" s="870"/>
      <c r="AK9" s="870"/>
      <c r="AL9" s="870"/>
      <c r="AM9" s="870"/>
      <c r="AN9" s="870"/>
      <c r="AO9" s="870"/>
      <c r="AP9" s="870"/>
      <c r="AQ9" s="870"/>
      <c r="AR9" s="870"/>
      <c r="AS9" s="870"/>
      <c r="AT9" s="870"/>
      <c r="AU9" s="870"/>
      <c r="AW9" s="213"/>
      <c r="AX9" s="213"/>
      <c r="AY9" s="213"/>
      <c r="BE9" s="306">
        <f>BE7-BE8</f>
        <v>200</v>
      </c>
    </row>
    <row r="10" spans="1:58" s="571" customFormat="1" ht="15" customHeight="1" x14ac:dyDescent="0.25">
      <c r="A10" s="894"/>
      <c r="B10" s="894" t="s">
        <v>3517</v>
      </c>
      <c r="C10" s="895"/>
      <c r="D10" s="895"/>
      <c r="E10" s="895"/>
      <c r="F10" s="895"/>
      <c r="G10" s="899"/>
      <c r="H10" s="899"/>
      <c r="I10" s="899"/>
      <c r="J10" s="213"/>
      <c r="K10" s="211"/>
      <c r="L10" s="826"/>
      <c r="M10" s="826"/>
      <c r="N10" s="826"/>
      <c r="O10" s="826"/>
      <c r="P10" s="826"/>
      <c r="Q10" s="827"/>
      <c r="R10" s="827"/>
      <c r="S10" s="849"/>
      <c r="T10" s="849"/>
      <c r="U10" s="849"/>
      <c r="V10" s="849"/>
      <c r="W10" s="849"/>
      <c r="X10" s="849"/>
      <c r="Y10" s="849"/>
      <c r="Z10" s="849"/>
      <c r="AA10" s="849"/>
      <c r="AB10" s="849">
        <f>SUM(Q10:AA10)</f>
        <v>0</v>
      </c>
      <c r="AC10" s="902"/>
      <c r="AD10" s="902"/>
      <c r="AE10" s="902">
        <v>-1802209.97</v>
      </c>
      <c r="AF10" s="902">
        <v>-7991946.2973572845</v>
      </c>
      <c r="AG10" s="902">
        <v>-238890771.30000001</v>
      </c>
      <c r="AH10" s="902">
        <v>421845502.01446617</v>
      </c>
      <c r="AI10" s="902"/>
      <c r="AJ10" s="902">
        <v>-2779704.8784527043</v>
      </c>
      <c r="AK10" s="902">
        <v>8158862.5187687343</v>
      </c>
      <c r="AL10" s="902"/>
      <c r="AM10" s="902"/>
      <c r="AN10" s="902">
        <f>SUM(AD10:AM10)</f>
        <v>178539732.08742487</v>
      </c>
      <c r="AO10" s="902"/>
      <c r="AP10" s="902">
        <f>+M10+AB10</f>
        <v>0</v>
      </c>
      <c r="AQ10" s="902">
        <f>+P10+AB10+AN10</f>
        <v>178539732.08742487</v>
      </c>
      <c r="AR10" s="917"/>
      <c r="AS10" s="898">
        <f>+AR10-AP10</f>
        <v>0</v>
      </c>
      <c r="AT10" s="902"/>
      <c r="AU10" s="898">
        <f>+AT10-AQ10</f>
        <v>-178539732.08742487</v>
      </c>
      <c r="AW10" s="826"/>
      <c r="AX10" s="826"/>
      <c r="AY10" s="826"/>
    </row>
    <row r="11" spans="1:58" s="571" customFormat="1" x14ac:dyDescent="0.25">
      <c r="A11" s="894"/>
      <c r="B11" s="894" t="s">
        <v>99</v>
      </c>
      <c r="C11" s="896">
        <v>3</v>
      </c>
      <c r="D11" s="895">
        <v>8005</v>
      </c>
      <c r="E11" s="896" t="s">
        <v>1373</v>
      </c>
      <c r="F11" s="895">
        <v>0</v>
      </c>
      <c r="G11" s="900">
        <v>-4496765367.1499996</v>
      </c>
      <c r="H11" s="900">
        <f>-4589995368.86-133974948.41</f>
        <v>-4723970317.2699995</v>
      </c>
      <c r="I11" s="900"/>
      <c r="J11" s="399">
        <f>H11+I11</f>
        <v>-4723970317.2699995</v>
      </c>
      <c r="K11" s="211"/>
      <c r="L11" s="901">
        <v>-4723970317.2699995</v>
      </c>
      <c r="M11" s="901">
        <v>4852201579.5500002</v>
      </c>
      <c r="N11" s="901">
        <f>-4723762262.09-5635968.56</f>
        <v>-4729398230.6500006</v>
      </c>
      <c r="O11" s="826">
        <f>-2228853.33+35518.61+31398377</f>
        <v>29205042.280000001</v>
      </c>
      <c r="P11" s="826">
        <f>N11+O11</f>
        <v>-4700193188.3700008</v>
      </c>
      <c r="Q11" s="827">
        <v>7473748.6300000018</v>
      </c>
      <c r="R11" s="870">
        <v>4734625.4926599329</v>
      </c>
      <c r="S11" s="849">
        <v>-295464622.63250488</v>
      </c>
      <c r="T11" s="849">
        <v>34194980.670000002</v>
      </c>
      <c r="U11" s="849"/>
      <c r="V11" s="849"/>
      <c r="W11" s="849">
        <v>-762199742.50135005</v>
      </c>
      <c r="X11" s="849">
        <v>2332990.879999999</v>
      </c>
      <c r="Y11" s="849">
        <v>22646527.52884803</v>
      </c>
      <c r="Z11" s="849"/>
      <c r="AA11" s="849"/>
      <c r="AB11" s="849">
        <f>SUM(Q11:AA11)</f>
        <v>-986281491.93234694</v>
      </c>
      <c r="AC11" s="902"/>
      <c r="AD11" s="902"/>
      <c r="AE11" s="902"/>
      <c r="AF11" s="902"/>
      <c r="AG11" s="902">
        <v>222680697.33999991</v>
      </c>
      <c r="AH11" s="902">
        <v>-206191119.09919512</v>
      </c>
      <c r="AI11" s="902"/>
      <c r="AJ11" s="902">
        <v>292598.71000000089</v>
      </c>
      <c r="AK11" s="902">
        <v>8748189.8689780496</v>
      </c>
      <c r="AL11" s="902"/>
      <c r="AM11" s="902"/>
      <c r="AN11" s="902">
        <f>SUM(AD11:AM11)</f>
        <v>25530366.819782842</v>
      </c>
      <c r="AO11" s="902">
        <f>+AF11</f>
        <v>0</v>
      </c>
      <c r="AP11" s="902">
        <f>+M11+AB11</f>
        <v>3865920087.6176534</v>
      </c>
      <c r="AQ11" s="902">
        <f>+P11+AB11+AN11</f>
        <v>-5660944313.4825649</v>
      </c>
      <c r="AR11" s="917"/>
      <c r="AS11" s="898">
        <f>+AR11-AP11</f>
        <v>-3865920087.6176534</v>
      </c>
      <c r="AT11" s="902"/>
      <c r="AU11" s="898">
        <f>+AT11-AQ11</f>
        <v>5660944313.4825649</v>
      </c>
      <c r="AW11" s="901">
        <v>-4901853640.5799999</v>
      </c>
      <c r="AX11" s="826"/>
      <c r="AY11" s="826">
        <f>AW11+AX11</f>
        <v>-4901853640.5799999</v>
      </c>
    </row>
    <row r="12" spans="1:58" ht="15" customHeight="1" x14ac:dyDescent="0.25">
      <c r="A12" s="214"/>
      <c r="B12" s="214" t="s">
        <v>3072</v>
      </c>
      <c r="C12" s="397">
        <v>3</v>
      </c>
      <c r="D12" s="396">
        <v>8005</v>
      </c>
      <c r="E12" s="397" t="s">
        <v>1379</v>
      </c>
      <c r="F12" s="396">
        <v>1</v>
      </c>
      <c r="G12" s="400"/>
      <c r="H12" s="400"/>
      <c r="I12" s="400"/>
      <c r="J12" s="399"/>
      <c r="L12" s="399"/>
      <c r="M12" s="399"/>
      <c r="N12" s="399">
        <v>-133415544.09999999</v>
      </c>
      <c r="O12" s="213">
        <f>-416715.97189378+2768018.81-1624072.27+8589459.35-4340462.91</f>
        <v>4976227.0081062205</v>
      </c>
      <c r="P12" s="213">
        <f>N12+O12</f>
        <v>-128439317.09189378</v>
      </c>
      <c r="Q12" s="827"/>
      <c r="R12" s="827"/>
      <c r="S12" s="827"/>
      <c r="T12" s="827"/>
      <c r="U12" s="827"/>
      <c r="V12" s="827"/>
      <c r="W12" s="827"/>
      <c r="X12" s="827"/>
      <c r="Y12" s="827"/>
      <c r="Z12" s="827"/>
      <c r="AA12" s="827"/>
      <c r="AB12" s="827"/>
      <c r="AC12" s="870"/>
      <c r="AD12" s="870"/>
      <c r="AE12" s="870"/>
      <c r="AF12" s="870"/>
      <c r="AG12" s="870"/>
      <c r="AH12" s="870"/>
      <c r="AI12" s="870"/>
      <c r="AJ12" s="870"/>
      <c r="AK12" s="870"/>
      <c r="AL12" s="870"/>
      <c r="AM12" s="870"/>
      <c r="AN12" s="870"/>
      <c r="AO12" s="870"/>
      <c r="AP12" s="870"/>
      <c r="AQ12" s="870"/>
      <c r="AR12" s="870"/>
      <c r="AS12" s="870"/>
      <c r="AT12" s="870"/>
      <c r="AU12" s="870"/>
      <c r="AW12" s="399">
        <f>'TB3'!R623</f>
        <v>40699968.180061817</v>
      </c>
      <c r="AX12" s="213"/>
      <c r="AY12" s="213">
        <f>AW12+AX12</f>
        <v>40699968.180061817</v>
      </c>
    </row>
    <row r="13" spans="1:58" ht="15" customHeight="1" x14ac:dyDescent="0.25">
      <c r="A13" s="214"/>
      <c r="B13" s="214" t="s">
        <v>1374</v>
      </c>
      <c r="C13" s="397">
        <v>3</v>
      </c>
      <c r="D13" s="396">
        <v>8005</v>
      </c>
      <c r="E13" s="397" t="s">
        <v>1375</v>
      </c>
      <c r="F13" s="396">
        <v>0</v>
      </c>
      <c r="G13" s="212">
        <v>0</v>
      </c>
      <c r="H13" s="212">
        <v>0</v>
      </c>
      <c r="I13" s="212"/>
      <c r="J13" s="399">
        <f>H13+I13</f>
        <v>0</v>
      </c>
      <c r="L13" s="399">
        <v>0</v>
      </c>
      <c r="M13" s="399"/>
      <c r="N13" s="399">
        <f>'TB3'!J623</f>
        <v>-89217401.779999733</v>
      </c>
      <c r="O13" s="213">
        <v>16180892.98</v>
      </c>
      <c r="P13" s="213">
        <f>N13+O13</f>
        <v>-73036508.799999729</v>
      </c>
      <c r="Q13" s="827"/>
      <c r="R13" s="827"/>
      <c r="S13" s="827"/>
      <c r="T13" s="827"/>
      <c r="U13" s="827"/>
      <c r="V13" s="827"/>
      <c r="W13" s="827"/>
      <c r="X13" s="827"/>
      <c r="Y13" s="827"/>
      <c r="Z13" s="827"/>
      <c r="AA13" s="827"/>
      <c r="AB13" s="827"/>
      <c r="AC13" s="870"/>
      <c r="AD13" s="870"/>
      <c r="AE13" s="870"/>
      <c r="AF13" s="870"/>
      <c r="AG13" s="870"/>
      <c r="AH13" s="870"/>
      <c r="AI13" s="870"/>
      <c r="AJ13" s="870"/>
      <c r="AK13" s="870"/>
      <c r="AL13" s="870"/>
      <c r="AM13" s="870"/>
      <c r="AN13" s="870"/>
      <c r="AO13" s="870"/>
      <c r="AP13" s="870"/>
      <c r="AQ13" s="870"/>
      <c r="AR13" s="870"/>
      <c r="AS13" s="870"/>
      <c r="AT13" s="870"/>
      <c r="AU13" s="870"/>
      <c r="AW13" s="399">
        <f>66150.23-16745532.43-14645730+7498537.76+5863469229.44+988824898.65-29968742.65-16448576.25+36655436.84+4730621.73-6641417304.08-30028826.98+11886960.55-12215834.71+496830.5-612064.31+323296.65+10108905.99+16745532.43-66150.23+0.87+2892467334.45-863732941.91-24789.13+26192013.46-16578565.65-629528285.08+238869746.06+42754158.58+8698083.2-80289000-310370118.33-2247685003.26+432686.75+3202728.13-37739570.42+20422825.64+6914865.85-31398377-10108905.99</f>
        <v>-808843474.65000033</v>
      </c>
      <c r="AX13" s="213"/>
      <c r="AY13" s="213">
        <f>AW13+AX13</f>
        <v>-808843474.65000033</v>
      </c>
      <c r="BE13" s="306">
        <f>2892467334.45-863732941.91-24789.13+26192013.46-16578565.65-629528285.08+238869746.06+42754158.58+8698083.2-80289000-310370118.33-2247685003.26</f>
        <v>-939227367.61000037</v>
      </c>
    </row>
    <row r="14" spans="1:58" ht="15" customHeight="1" x14ac:dyDescent="0.25">
      <c r="A14" s="214"/>
      <c r="B14" s="214" t="s">
        <v>101</v>
      </c>
      <c r="C14" s="396"/>
      <c r="D14" s="396"/>
      <c r="E14" s="396"/>
      <c r="F14" s="396"/>
      <c r="G14" s="398">
        <f>SUM(G11:G13)</f>
        <v>-4496765367.1499996</v>
      </c>
      <c r="H14" s="398">
        <f>SUM(H11:H13)</f>
        <v>-4723970317.2699995</v>
      </c>
      <c r="I14" s="398">
        <f>SUM(I11:I13)</f>
        <v>0</v>
      </c>
      <c r="J14" s="354">
        <f>SUM(J11:J13)</f>
        <v>-4723970317.2699995</v>
      </c>
      <c r="L14" s="354">
        <f>SUM(L11:L13)</f>
        <v>-4723970317.2699995</v>
      </c>
      <c r="M14" s="354"/>
      <c r="N14" s="354">
        <f>SUM(N11:N13)</f>
        <v>-4952031176.5300007</v>
      </c>
      <c r="O14" s="354">
        <f>SUM(O11:O13)</f>
        <v>50362162.268106222</v>
      </c>
      <c r="P14" s="354">
        <f>SUM(P11:P13)</f>
        <v>-4901669014.2618952</v>
      </c>
      <c r="Q14" s="496"/>
      <c r="R14" s="496"/>
      <c r="S14" s="496"/>
      <c r="T14" s="496"/>
      <c r="U14" s="496"/>
      <c r="V14" s="496"/>
      <c r="W14" s="496"/>
      <c r="X14" s="496"/>
      <c r="Y14" s="496"/>
      <c r="Z14" s="496"/>
      <c r="AA14" s="496"/>
      <c r="AB14" s="496"/>
      <c r="AC14" s="871">
        <f>+'Statement of Fin Pos'!F56</f>
        <v>0</v>
      </c>
      <c r="AD14" s="871"/>
      <c r="AE14" s="871"/>
      <c r="AF14" s="871"/>
      <c r="AG14" s="871"/>
      <c r="AH14" s="871"/>
      <c r="AI14" s="871"/>
      <c r="AJ14" s="871"/>
      <c r="AK14" s="871"/>
      <c r="AL14" s="871"/>
      <c r="AM14" s="871"/>
      <c r="AN14" s="871"/>
      <c r="AO14" s="871"/>
      <c r="AP14" s="871"/>
      <c r="AQ14" s="871"/>
      <c r="AR14" s="871"/>
      <c r="AS14" s="871"/>
      <c r="AT14" s="871"/>
      <c r="AU14" s="871"/>
      <c r="AW14" s="354">
        <f>SUM(AW11:AW13)</f>
        <v>-5669997147.0499392</v>
      </c>
      <c r="AX14" s="354">
        <f>SUM(AX11:AX13)</f>
        <v>0</v>
      </c>
      <c r="AY14" s="354">
        <f>SUM(AY11:AY13)</f>
        <v>-5669997147.0499392</v>
      </c>
    </row>
    <row r="15" spans="1:58" ht="15" customHeight="1" x14ac:dyDescent="0.25">
      <c r="A15" s="214"/>
      <c r="B15" s="214"/>
      <c r="C15" s="397"/>
      <c r="D15" s="396"/>
      <c r="E15" s="397"/>
      <c r="F15" s="396"/>
      <c r="G15" s="398"/>
      <c r="H15" s="398"/>
      <c r="I15" s="398"/>
      <c r="J15" s="354"/>
      <c r="L15" s="354"/>
      <c r="M15" s="354"/>
      <c r="N15" s="354"/>
      <c r="O15" s="213"/>
      <c r="P15" s="213"/>
      <c r="Q15" s="827"/>
      <c r="R15" s="827"/>
      <c r="S15" s="827"/>
      <c r="T15" s="827"/>
      <c r="U15" s="827"/>
      <c r="V15" s="827"/>
      <c r="W15" s="827"/>
      <c r="X15" s="827"/>
      <c r="Y15" s="827"/>
      <c r="Z15" s="827"/>
      <c r="AA15" s="827"/>
      <c r="AB15" s="827"/>
      <c r="AC15" s="870"/>
      <c r="AD15" s="870"/>
      <c r="AE15" s="870"/>
      <c r="AF15" s="870"/>
      <c r="AG15" s="870"/>
      <c r="AH15" s="870"/>
      <c r="AI15" s="870"/>
      <c r="AJ15" s="870"/>
      <c r="AK15" s="870"/>
      <c r="AL15" s="870"/>
      <c r="AM15" s="870"/>
      <c r="AN15" s="870"/>
      <c r="AO15" s="870"/>
      <c r="AP15" s="870"/>
      <c r="AQ15" s="870"/>
      <c r="AR15" s="870"/>
      <c r="AS15" s="870"/>
      <c r="AT15" s="870"/>
      <c r="AU15" s="870"/>
      <c r="AW15" s="354"/>
      <c r="AX15" s="213"/>
      <c r="AY15" s="213"/>
    </row>
    <row r="16" spans="1:58" ht="15" customHeight="1" x14ac:dyDescent="0.25">
      <c r="A16" s="214"/>
      <c r="B16" s="214"/>
      <c r="C16" s="396"/>
      <c r="D16" s="396"/>
      <c r="E16" s="396"/>
      <c r="F16" s="396"/>
      <c r="G16" s="212"/>
      <c r="H16" s="212"/>
      <c r="I16" s="212"/>
      <c r="J16" s="213"/>
      <c r="L16" s="213"/>
      <c r="M16" s="213"/>
      <c r="N16" s="213"/>
      <c r="O16" s="213"/>
      <c r="P16" s="213"/>
      <c r="Q16" s="827"/>
      <c r="R16" s="827"/>
      <c r="S16" s="827"/>
      <c r="T16" s="827"/>
      <c r="U16" s="827"/>
      <c r="V16" s="827"/>
      <c r="W16" s="827"/>
      <c r="X16" s="827"/>
      <c r="Y16" s="827"/>
      <c r="Z16" s="827"/>
      <c r="AA16" s="827"/>
      <c r="AB16" s="827"/>
      <c r="AC16" s="870"/>
      <c r="AD16" s="870"/>
      <c r="AE16" s="870"/>
      <c r="AF16" s="870"/>
      <c r="AG16" s="870"/>
      <c r="AH16" s="870"/>
      <c r="AI16" s="870"/>
      <c r="AJ16" s="870"/>
      <c r="AK16" s="870"/>
      <c r="AL16" s="870"/>
      <c r="AM16" s="870"/>
      <c r="AN16" s="870"/>
      <c r="AO16" s="870"/>
      <c r="AP16" s="870"/>
      <c r="AQ16" s="870"/>
      <c r="AR16" s="870"/>
      <c r="AS16" s="870"/>
      <c r="AT16" s="870"/>
      <c r="AU16" s="870"/>
      <c r="AW16" s="213"/>
      <c r="AX16" s="213"/>
      <c r="AY16" s="213"/>
    </row>
    <row r="17" spans="1:51" ht="15" customHeight="1" x14ac:dyDescent="0.25">
      <c r="A17" s="238" t="s">
        <v>102</v>
      </c>
      <c r="B17" s="238" t="s">
        <v>396</v>
      </c>
      <c r="C17" s="396"/>
      <c r="D17" s="396"/>
      <c r="E17" s="396"/>
      <c r="F17" s="396"/>
      <c r="G17" s="212"/>
      <c r="H17" s="212"/>
      <c r="I17" s="212"/>
      <c r="J17" s="213"/>
      <c r="L17" s="213"/>
      <c r="M17" s="213"/>
      <c r="N17" s="213"/>
      <c r="O17" s="213"/>
      <c r="P17" s="213"/>
      <c r="Q17" s="827"/>
      <c r="R17" s="827"/>
      <c r="S17" s="827"/>
      <c r="T17" s="827"/>
      <c r="U17" s="827"/>
      <c r="V17" s="827"/>
      <c r="W17" s="827"/>
      <c r="X17" s="827"/>
      <c r="Y17" s="827"/>
      <c r="Z17" s="827"/>
      <c r="AA17" s="827"/>
      <c r="AB17" s="827"/>
      <c r="AC17" s="870"/>
      <c r="AD17" s="870"/>
      <c r="AE17" s="870"/>
      <c r="AF17" s="870"/>
      <c r="AG17" s="870"/>
      <c r="AH17" s="870"/>
      <c r="AI17" s="870"/>
      <c r="AJ17" s="870"/>
      <c r="AK17" s="870"/>
      <c r="AL17" s="870"/>
      <c r="AM17" s="870"/>
      <c r="AN17" s="870"/>
      <c r="AO17" s="870"/>
      <c r="AP17" s="870"/>
      <c r="AQ17" s="870"/>
      <c r="AR17" s="870"/>
      <c r="AS17" s="870"/>
      <c r="AT17" s="870"/>
      <c r="AU17" s="870"/>
      <c r="AW17" s="213"/>
      <c r="AX17" s="213"/>
      <c r="AY17" s="213"/>
    </row>
    <row r="18" spans="1:51" ht="15" customHeight="1" x14ac:dyDescent="0.25">
      <c r="A18" s="214"/>
      <c r="B18" s="214" t="s">
        <v>1376</v>
      </c>
      <c r="C18" s="396">
        <v>3</v>
      </c>
      <c r="D18" s="396">
        <v>8010</v>
      </c>
      <c r="E18" s="397" t="s">
        <v>1373</v>
      </c>
      <c r="F18" s="396">
        <v>0</v>
      </c>
      <c r="G18" s="212">
        <v>-781994.9</v>
      </c>
      <c r="H18" s="212">
        <v>-516594.57299999997</v>
      </c>
      <c r="I18" s="212"/>
      <c r="J18" s="399">
        <f>H18+I18</f>
        <v>-516594.57299999997</v>
      </c>
      <c r="L18" s="399">
        <v>-516594.57299999997</v>
      </c>
      <c r="M18" s="399"/>
      <c r="N18" s="399">
        <v>-516594.57299999997</v>
      </c>
      <c r="O18" s="213"/>
      <c r="P18" s="213">
        <f>N18+O18</f>
        <v>-516594.57299999997</v>
      </c>
      <c r="Q18" s="827"/>
      <c r="R18" s="827"/>
      <c r="S18" s="827"/>
      <c r="T18" s="827"/>
      <c r="U18" s="827"/>
      <c r="V18" s="827"/>
      <c r="W18" s="827"/>
      <c r="X18" s="827"/>
      <c r="Y18" s="827"/>
      <c r="Z18" s="827"/>
      <c r="AA18" s="827"/>
      <c r="AB18" s="827"/>
      <c r="AC18" s="870"/>
      <c r="AD18" s="870"/>
      <c r="AE18" s="870"/>
      <c r="AF18" s="870"/>
      <c r="AG18" s="870"/>
      <c r="AH18" s="870"/>
      <c r="AI18" s="870"/>
      <c r="AJ18" s="870"/>
      <c r="AK18" s="870"/>
      <c r="AL18" s="870"/>
      <c r="AM18" s="870"/>
      <c r="AN18" s="870"/>
      <c r="AO18" s="870"/>
      <c r="AP18" s="870"/>
      <c r="AQ18" s="870"/>
      <c r="AR18" s="870"/>
      <c r="AS18" s="870"/>
      <c r="AT18" s="870"/>
      <c r="AU18" s="870"/>
      <c r="AW18" s="572">
        <v>-357961.23</v>
      </c>
      <c r="AX18" s="213"/>
      <c r="AY18" s="213">
        <f>AW18+AX18</f>
        <v>-357961.23</v>
      </c>
    </row>
    <row r="19" spans="1:51" ht="15" customHeight="1" x14ac:dyDescent="0.25">
      <c r="A19" s="214"/>
      <c r="B19" s="214" t="s">
        <v>286</v>
      </c>
      <c r="C19" s="396">
        <v>3</v>
      </c>
      <c r="D19" s="396">
        <v>8010</v>
      </c>
      <c r="E19" s="397" t="s">
        <v>1377</v>
      </c>
      <c r="F19" s="396">
        <v>0</v>
      </c>
      <c r="G19" s="212">
        <v>-280277094.81</v>
      </c>
      <c r="H19" s="212">
        <v>-333879228.54000002</v>
      </c>
      <c r="I19" s="212"/>
      <c r="J19" s="399">
        <f>H19+I19</f>
        <v>-333879228.54000002</v>
      </c>
      <c r="L19" s="399">
        <v>-333879228.54000002</v>
      </c>
      <c r="M19" s="399"/>
      <c r="N19" s="399">
        <v>-298071321.93000001</v>
      </c>
      <c r="O19" s="213"/>
      <c r="P19" s="213">
        <f>N19+O19</f>
        <v>-298071321.93000001</v>
      </c>
      <c r="Q19" s="827"/>
      <c r="R19" s="827"/>
      <c r="S19" s="827"/>
      <c r="T19" s="827"/>
      <c r="U19" s="827"/>
      <c r="V19" s="827"/>
      <c r="W19" s="827"/>
      <c r="X19" s="827"/>
      <c r="Y19" s="827"/>
      <c r="Z19" s="827"/>
      <c r="AA19" s="827"/>
      <c r="AB19" s="827"/>
      <c r="AC19" s="870"/>
      <c r="AD19" s="870"/>
      <c r="AE19" s="870"/>
      <c r="AF19" s="870"/>
      <c r="AG19" s="870"/>
      <c r="AH19" s="870"/>
      <c r="AI19" s="870"/>
      <c r="AJ19" s="870"/>
      <c r="AK19" s="870"/>
      <c r="AL19" s="870"/>
      <c r="AM19" s="870"/>
      <c r="AN19" s="870"/>
      <c r="AO19" s="870"/>
      <c r="AP19" s="870"/>
      <c r="AQ19" s="870"/>
      <c r="AR19" s="870"/>
      <c r="AS19" s="870"/>
      <c r="AT19" s="870"/>
      <c r="AU19" s="870"/>
      <c r="AW19" s="572">
        <v>-261836365.61000001</v>
      </c>
      <c r="AX19" s="213"/>
      <c r="AY19" s="213">
        <f>AW19+AX19</f>
        <v>-261836365.61000001</v>
      </c>
    </row>
    <row r="20" spans="1:51" s="571" customFormat="1" ht="15" customHeight="1" x14ac:dyDescent="0.25">
      <c r="A20" s="903" t="s">
        <v>158</v>
      </c>
      <c r="B20" s="894" t="s">
        <v>1078</v>
      </c>
      <c r="C20" s="895">
        <v>3</v>
      </c>
      <c r="D20" s="895">
        <v>8010</v>
      </c>
      <c r="E20" s="896" t="s">
        <v>1378</v>
      </c>
      <c r="F20" s="895">
        <v>0</v>
      </c>
      <c r="G20" s="899">
        <v>-6566299.2199999997</v>
      </c>
      <c r="H20" s="899">
        <v>-2597003.5499999998</v>
      </c>
      <c r="I20" s="899"/>
      <c r="J20" s="399">
        <f>H20+I20</f>
        <v>-2597003.5499999998</v>
      </c>
      <c r="K20" s="211"/>
      <c r="L20" s="901">
        <v>-2597003.5499999998</v>
      </c>
      <c r="M20" s="901">
        <v>-2597003.5499999998</v>
      </c>
      <c r="N20" s="901">
        <v>0</v>
      </c>
      <c r="O20" s="826">
        <f>-24060149.95+292598.71</f>
        <v>-23767551.239999998</v>
      </c>
      <c r="P20" s="826">
        <f>N20+O20</f>
        <v>-23767551.239999998</v>
      </c>
      <c r="Q20" s="827"/>
      <c r="R20" s="827"/>
      <c r="S20" s="849"/>
      <c r="T20" s="849"/>
      <c r="U20" s="849"/>
      <c r="V20" s="849"/>
      <c r="W20" s="849"/>
      <c r="X20" s="849">
        <v>2597003.5499999998</v>
      </c>
      <c r="Y20" s="849"/>
      <c r="Z20" s="849"/>
      <c r="AA20" s="849"/>
      <c r="AB20" s="849">
        <f>SUM(Q20:AA20)</f>
        <v>2597003.5499999998</v>
      </c>
      <c r="AC20" s="902"/>
      <c r="AD20" s="902"/>
      <c r="AE20" s="902"/>
      <c r="AF20" s="902"/>
      <c r="AG20" s="902"/>
      <c r="AH20" s="902"/>
      <c r="AI20" s="902"/>
      <c r="AJ20" s="902">
        <v>-10813565.049578508</v>
      </c>
      <c r="AK20" s="902"/>
      <c r="AL20" s="902"/>
      <c r="AM20" s="902"/>
      <c r="AN20" s="902">
        <f>SUM(AD20:AM20)</f>
        <v>-10813565.049578508</v>
      </c>
      <c r="AO20" s="902"/>
      <c r="AP20" s="902">
        <f>+M20+AB20</f>
        <v>0</v>
      </c>
      <c r="AQ20" s="902">
        <f>+P20+AB20+AN20</f>
        <v>-31984112.739578508</v>
      </c>
      <c r="AR20" s="917">
        <v>0</v>
      </c>
      <c r="AS20" s="898">
        <f>+AR20-AP20</f>
        <v>0</v>
      </c>
      <c r="AT20" s="902">
        <v>-34236109.819560818</v>
      </c>
      <c r="AU20" s="898">
        <f>+AT20-AQ20</f>
        <v>-2251997.0799823105</v>
      </c>
      <c r="AW20" s="901">
        <f>-23767551.24+35654511.79-11886960.55-25905959.27-113542198.96+612064.31+20149918.6</f>
        <v>-118686175.31999999</v>
      </c>
      <c r="AX20" s="826">
        <v>0</v>
      </c>
      <c r="AY20" s="826">
        <f>AW20+AX20</f>
        <v>-118686175.31999999</v>
      </c>
    </row>
    <row r="21" spans="1:51" s="571" customFormat="1" ht="15" customHeight="1" x14ac:dyDescent="0.25">
      <c r="A21" s="903"/>
      <c r="B21" s="894" t="s">
        <v>3518</v>
      </c>
      <c r="C21" s="895"/>
      <c r="D21" s="895"/>
      <c r="E21" s="896"/>
      <c r="F21" s="895"/>
      <c r="G21" s="899"/>
      <c r="H21" s="899"/>
      <c r="I21" s="899"/>
      <c r="J21" s="399"/>
      <c r="K21" s="211"/>
      <c r="L21" s="901"/>
      <c r="M21" s="901">
        <v>0</v>
      </c>
      <c r="N21" s="901"/>
      <c r="O21" s="826"/>
      <c r="P21" s="826"/>
      <c r="Q21" s="827"/>
      <c r="R21" s="891"/>
      <c r="S21" s="891"/>
      <c r="T21" s="891"/>
      <c r="U21" s="891"/>
      <c r="V21" s="891"/>
      <c r="W21" s="891"/>
      <c r="X21" s="891">
        <v>-2597003.5499999998</v>
      </c>
      <c r="Y21" s="849"/>
      <c r="Z21" s="849"/>
      <c r="AA21" s="849"/>
      <c r="AB21" s="849">
        <f>SUM(Q21:AA21)</f>
        <v>-2597003.5499999998</v>
      </c>
      <c r="AC21" s="902"/>
      <c r="AD21" s="902"/>
      <c r="AE21" s="902"/>
      <c r="AF21" s="902"/>
      <c r="AG21" s="902"/>
      <c r="AH21" s="904"/>
      <c r="AI21" s="902"/>
      <c r="AJ21" s="902"/>
      <c r="AK21" s="902"/>
      <c r="AL21" s="902"/>
      <c r="AM21" s="902"/>
      <c r="AN21" s="902">
        <f>SUM(AD21:AM21)</f>
        <v>0</v>
      </c>
      <c r="AO21" s="902"/>
      <c r="AP21" s="902">
        <f>+M21+AB21</f>
        <v>-2597003.5499999998</v>
      </c>
      <c r="AQ21" s="902">
        <f>+P21+AB21+AN21</f>
        <v>-2597003.5499999998</v>
      </c>
      <c r="AR21" s="917"/>
      <c r="AS21" s="898">
        <f>+AR21-AP21</f>
        <v>2597003.5499999998</v>
      </c>
      <c r="AT21" s="902"/>
      <c r="AU21" s="898">
        <f>+AT21-AQ21</f>
        <v>2597003.5499999998</v>
      </c>
      <c r="AW21" s="901"/>
      <c r="AX21" s="826"/>
      <c r="AY21" s="826"/>
    </row>
    <row r="22" spans="1:51" ht="15" customHeight="1" x14ac:dyDescent="0.25">
      <c r="A22" s="214"/>
      <c r="B22" s="214"/>
      <c r="C22" s="396"/>
      <c r="D22" s="396"/>
      <c r="E22" s="396"/>
      <c r="F22" s="396"/>
      <c r="G22" s="398">
        <f>SUM(G18:G20)</f>
        <v>-287625388.93000001</v>
      </c>
      <c r="H22" s="398">
        <f>SUM(H18:H20)</f>
        <v>-336992826.66300005</v>
      </c>
      <c r="I22" s="398">
        <f>SUM(I18:I20)</f>
        <v>0</v>
      </c>
      <c r="J22" s="354">
        <f>SUM(J18:J20)</f>
        <v>-336992826.66300005</v>
      </c>
      <c r="L22" s="354">
        <f>SUM(L18:L20)</f>
        <v>-336992826.66300005</v>
      </c>
      <c r="M22" s="354"/>
      <c r="N22" s="354">
        <f>SUM(N18:N20)</f>
        <v>-298587916.50300002</v>
      </c>
      <c r="O22" s="354">
        <f>SUM(O18:O20)</f>
        <v>-23767551.239999998</v>
      </c>
      <c r="P22" s="354">
        <f>SUM(P18:P20)</f>
        <v>-322355467.74300003</v>
      </c>
      <c r="Q22" s="496"/>
      <c r="R22" s="496"/>
      <c r="S22" s="496"/>
      <c r="T22" s="496"/>
      <c r="U22" s="496"/>
      <c r="V22" s="496"/>
      <c r="W22" s="496"/>
      <c r="X22" s="496"/>
      <c r="Y22" s="496"/>
      <c r="Z22" s="496"/>
      <c r="AA22" s="496"/>
      <c r="AB22" s="496"/>
      <c r="AC22" s="871"/>
      <c r="AD22" s="871"/>
      <c r="AE22" s="871"/>
      <c r="AF22" s="871"/>
      <c r="AG22" s="871"/>
      <c r="AH22" s="871"/>
      <c r="AI22" s="871"/>
      <c r="AJ22" s="871"/>
      <c r="AK22" s="871"/>
      <c r="AL22" s="871"/>
      <c r="AM22" s="871"/>
      <c r="AN22" s="871"/>
      <c r="AO22" s="871"/>
      <c r="AP22" s="871"/>
      <c r="AQ22" s="871"/>
      <c r="AR22" s="871"/>
      <c r="AS22" s="871"/>
      <c r="AT22" s="871"/>
      <c r="AU22" s="871"/>
      <c r="AW22" s="354">
        <f>SUM(AW18:AW20)</f>
        <v>-380880502.15999997</v>
      </c>
      <c r="AX22" s="354">
        <f>SUM(AX18:AX20)</f>
        <v>0</v>
      </c>
      <c r="AY22" s="354">
        <f>SUM(AY18:AY20)</f>
        <v>-380880502.15999997</v>
      </c>
    </row>
    <row r="23" spans="1:51" ht="15" customHeight="1" x14ac:dyDescent="0.25">
      <c r="A23" s="214"/>
      <c r="B23" s="214"/>
      <c r="C23" s="396"/>
      <c r="D23" s="396"/>
      <c r="E23" s="396"/>
      <c r="F23" s="396"/>
      <c r="G23" s="212"/>
      <c r="H23" s="212"/>
      <c r="I23" s="212"/>
      <c r="J23" s="213"/>
      <c r="L23" s="213"/>
      <c r="M23" s="213"/>
      <c r="N23" s="213"/>
      <c r="O23" s="213"/>
      <c r="P23" s="213"/>
      <c r="Q23" s="827"/>
      <c r="R23" s="827"/>
      <c r="S23" s="827"/>
      <c r="T23" s="827"/>
      <c r="U23" s="827"/>
      <c r="V23" s="827"/>
      <c r="W23" s="827"/>
      <c r="X23" s="827"/>
      <c r="Y23" s="827"/>
      <c r="Z23" s="827"/>
      <c r="AA23" s="827"/>
      <c r="AB23" s="827"/>
      <c r="AC23" s="870"/>
      <c r="AD23" s="870"/>
      <c r="AE23" s="870"/>
      <c r="AF23" s="870"/>
      <c r="AG23" s="870"/>
      <c r="AH23" s="870"/>
      <c r="AI23" s="870"/>
      <c r="AJ23" s="870"/>
      <c r="AK23" s="870"/>
      <c r="AL23" s="870"/>
      <c r="AM23" s="870"/>
      <c r="AN23" s="870"/>
      <c r="AO23" s="870"/>
      <c r="AP23" s="870"/>
      <c r="AQ23" s="870"/>
      <c r="AR23" s="870"/>
      <c r="AS23" s="870"/>
      <c r="AT23" s="870"/>
      <c r="AU23" s="870"/>
      <c r="AW23" s="213"/>
      <c r="AX23" s="213"/>
      <c r="AY23" s="213"/>
    </row>
    <row r="24" spans="1:51" ht="15" customHeight="1" x14ac:dyDescent="0.25">
      <c r="A24" s="238" t="s">
        <v>104</v>
      </c>
      <c r="B24" s="238" t="s">
        <v>600</v>
      </c>
      <c r="C24" s="396"/>
      <c r="D24" s="396"/>
      <c r="E24" s="396"/>
      <c r="F24" s="396"/>
      <c r="G24" s="212"/>
      <c r="H24" s="212"/>
      <c r="I24" s="212"/>
      <c r="J24" s="213"/>
      <c r="L24" s="213"/>
      <c r="M24" s="213"/>
      <c r="N24" s="213"/>
      <c r="O24" s="213"/>
      <c r="P24" s="213"/>
      <c r="Q24" s="827"/>
      <c r="R24" s="827"/>
      <c r="S24" s="827"/>
      <c r="T24" s="827"/>
      <c r="U24" s="827"/>
      <c r="V24" s="827"/>
      <c r="W24" s="827"/>
      <c r="X24" s="827"/>
      <c r="Y24" s="827"/>
      <c r="Z24" s="827"/>
      <c r="AA24" s="827"/>
      <c r="AB24" s="827"/>
      <c r="AC24" s="870"/>
      <c r="AD24" s="870"/>
      <c r="AE24" s="870"/>
      <c r="AF24" s="870"/>
      <c r="AG24" s="870"/>
      <c r="AH24" s="870"/>
      <c r="AI24" s="870"/>
      <c r="AJ24" s="870"/>
      <c r="AK24" s="870"/>
      <c r="AL24" s="870"/>
      <c r="AM24" s="870"/>
      <c r="AN24" s="870"/>
      <c r="AO24" s="870"/>
      <c r="AP24" s="870"/>
      <c r="AQ24" s="870"/>
      <c r="AR24" s="870"/>
      <c r="AS24" s="870"/>
      <c r="AT24" s="870"/>
      <c r="AU24" s="870"/>
      <c r="AW24" s="213"/>
      <c r="AX24" s="213"/>
      <c r="AY24" s="213"/>
    </row>
    <row r="25" spans="1:51" ht="15" customHeight="1" x14ac:dyDescent="0.25">
      <c r="A25" s="214"/>
      <c r="B25" s="214" t="s">
        <v>809</v>
      </c>
      <c r="C25" s="396">
        <v>3</v>
      </c>
      <c r="D25" s="396">
        <v>8030</v>
      </c>
      <c r="E25" s="397" t="s">
        <v>1373</v>
      </c>
      <c r="F25" s="396">
        <v>0</v>
      </c>
      <c r="G25" s="400">
        <v>-57596426.710000001</v>
      </c>
      <c r="H25" s="400">
        <v>-61979213.090000004</v>
      </c>
      <c r="I25" s="400"/>
      <c r="J25" s="399">
        <f>H25+I25</f>
        <v>-61979213.090000004</v>
      </c>
      <c r="L25" s="399">
        <v>-61979213.090000004</v>
      </c>
      <c r="M25" s="399"/>
      <c r="N25" s="399">
        <v>-61979213.090000004</v>
      </c>
      <c r="O25" s="213"/>
      <c r="P25" s="213">
        <f>N25+O25</f>
        <v>-61979213.090000004</v>
      </c>
      <c r="Q25" s="827"/>
      <c r="R25" s="827"/>
      <c r="S25" s="827"/>
      <c r="T25" s="827"/>
      <c r="U25" s="827"/>
      <c r="V25" s="827"/>
      <c r="W25" s="827"/>
      <c r="X25" s="827"/>
      <c r="Y25" s="827"/>
      <c r="Z25" s="827"/>
      <c r="AA25" s="827"/>
      <c r="AB25" s="827"/>
      <c r="AC25" s="870"/>
      <c r="AD25" s="870"/>
      <c r="AE25" s="870"/>
      <c r="AF25" s="870"/>
      <c r="AG25" s="870"/>
      <c r="AH25" s="870"/>
      <c r="AI25" s="870"/>
      <c r="AJ25" s="870"/>
      <c r="AK25" s="870"/>
      <c r="AL25" s="870"/>
      <c r="AM25" s="870"/>
      <c r="AN25" s="870"/>
      <c r="AO25" s="870"/>
      <c r="AP25" s="870"/>
      <c r="AQ25" s="870"/>
      <c r="AR25" s="870"/>
      <c r="AS25" s="870"/>
      <c r="AT25" s="870"/>
      <c r="AU25" s="870"/>
      <c r="AW25" s="399">
        <f>-61979213.09+61979213.09</f>
        <v>0</v>
      </c>
      <c r="AX25" s="213"/>
      <c r="AY25" s="213">
        <f>AW25+AX25</f>
        <v>0</v>
      </c>
    </row>
    <row r="26" spans="1:51" s="384" customFormat="1" ht="15" customHeight="1" x14ac:dyDescent="0.25">
      <c r="A26" s="214"/>
      <c r="B26" s="214" t="s">
        <v>438</v>
      </c>
      <c r="C26" s="396">
        <v>3</v>
      </c>
      <c r="D26" s="396">
        <v>8030</v>
      </c>
      <c r="E26" s="397" t="s">
        <v>1379</v>
      </c>
      <c r="F26" s="396">
        <v>0</v>
      </c>
      <c r="G26" s="212">
        <v>0</v>
      </c>
      <c r="H26" s="212">
        <v>-140258.5</v>
      </c>
      <c r="I26" s="212"/>
      <c r="J26" s="399">
        <f>H26+I26</f>
        <v>-140258.5</v>
      </c>
      <c r="K26" s="211"/>
      <c r="L26" s="399">
        <v>-140258.5</v>
      </c>
      <c r="M26" s="399"/>
      <c r="N26" s="399">
        <v>-1969448.24</v>
      </c>
      <c r="O26" s="521"/>
      <c r="P26" s="213">
        <f>N26+O26</f>
        <v>-1969448.24</v>
      </c>
      <c r="Q26" s="827"/>
      <c r="R26" s="827"/>
      <c r="S26" s="827"/>
      <c r="T26" s="827"/>
      <c r="U26" s="827"/>
      <c r="V26" s="827"/>
      <c r="W26" s="827"/>
      <c r="X26" s="827"/>
      <c r="Y26" s="827"/>
      <c r="Z26" s="827"/>
      <c r="AA26" s="827"/>
      <c r="AB26" s="827"/>
      <c r="AC26" s="870"/>
      <c r="AD26" s="870"/>
      <c r="AE26" s="870"/>
      <c r="AF26" s="870"/>
      <c r="AG26" s="870"/>
      <c r="AH26" s="870"/>
      <c r="AI26" s="870"/>
      <c r="AJ26" s="870"/>
      <c r="AK26" s="870"/>
      <c r="AL26" s="870"/>
      <c r="AM26" s="870"/>
      <c r="AN26" s="870"/>
      <c r="AO26" s="870"/>
      <c r="AP26" s="870"/>
      <c r="AQ26" s="870"/>
      <c r="AR26" s="870"/>
      <c r="AS26" s="870"/>
      <c r="AT26" s="870"/>
      <c r="AU26" s="870"/>
      <c r="AW26" s="572">
        <f>-3626218.98-4300</f>
        <v>-3630518.98</v>
      </c>
      <c r="AX26" s="521"/>
      <c r="AY26" s="213">
        <f>AW26+AX26</f>
        <v>-3630518.98</v>
      </c>
    </row>
    <row r="27" spans="1:51" s="384" customFormat="1" ht="15" customHeight="1" x14ac:dyDescent="0.25">
      <c r="A27" s="214"/>
      <c r="B27" s="214" t="s">
        <v>321</v>
      </c>
      <c r="C27" s="396">
        <v>3</v>
      </c>
      <c r="D27" s="396">
        <v>8030</v>
      </c>
      <c r="E27" s="397" t="s">
        <v>1380</v>
      </c>
      <c r="F27" s="396">
        <v>0</v>
      </c>
      <c r="G27" s="212">
        <v>0</v>
      </c>
      <c r="H27" s="212">
        <v>436155.72</v>
      </c>
      <c r="I27" s="212"/>
      <c r="J27" s="399">
        <f>H27+I27</f>
        <v>436155.72</v>
      </c>
      <c r="K27" s="211"/>
      <c r="L27" s="399">
        <v>436155.72</v>
      </c>
      <c r="M27" s="399"/>
      <c r="N27" s="213">
        <v>2572390.35</v>
      </c>
      <c r="O27" s="521"/>
      <c r="P27" s="213">
        <f>N27+O27</f>
        <v>2572390.35</v>
      </c>
      <c r="Q27" s="827"/>
      <c r="R27" s="827"/>
      <c r="S27" s="827"/>
      <c r="T27" s="827"/>
      <c r="U27" s="827"/>
      <c r="V27" s="827"/>
      <c r="W27" s="827"/>
      <c r="X27" s="827"/>
      <c r="Y27" s="827"/>
      <c r="Z27" s="827"/>
      <c r="AA27" s="827"/>
      <c r="AB27" s="827"/>
      <c r="AC27" s="870"/>
      <c r="AD27" s="870"/>
      <c r="AE27" s="870"/>
      <c r="AF27" s="870"/>
      <c r="AG27" s="870"/>
      <c r="AH27" s="870"/>
      <c r="AI27" s="870"/>
      <c r="AJ27" s="870"/>
      <c r="AK27" s="870"/>
      <c r="AL27" s="870"/>
      <c r="AM27" s="870"/>
      <c r="AN27" s="870"/>
      <c r="AO27" s="870"/>
      <c r="AP27" s="870"/>
      <c r="AQ27" s="870"/>
      <c r="AR27" s="870"/>
      <c r="AS27" s="870"/>
      <c r="AT27" s="870"/>
      <c r="AU27" s="870"/>
      <c r="AW27" s="577">
        <f>3934279.4-57977.43-61979213.09</f>
        <v>-58102911.120000005</v>
      </c>
      <c r="AX27" s="521"/>
      <c r="AY27" s="213">
        <f>AW27+AX27</f>
        <v>-58102911.120000005</v>
      </c>
    </row>
    <row r="28" spans="1:51" s="384" customFormat="1" ht="15" customHeight="1" x14ac:dyDescent="0.25">
      <c r="A28" s="214"/>
      <c r="B28" s="214" t="s">
        <v>1381</v>
      </c>
      <c r="C28" s="396">
        <v>3</v>
      </c>
      <c r="D28" s="396">
        <v>8030</v>
      </c>
      <c r="E28" s="397" t="s">
        <v>1382</v>
      </c>
      <c r="F28" s="396">
        <v>0</v>
      </c>
      <c r="G28" s="212">
        <v>0</v>
      </c>
      <c r="H28" s="212">
        <v>-388878.52</v>
      </c>
      <c r="I28" s="212"/>
      <c r="J28" s="399">
        <f>H28+I28</f>
        <v>-388878.52</v>
      </c>
      <c r="K28" s="211"/>
      <c r="L28" s="399">
        <v>-388878.52</v>
      </c>
      <c r="M28" s="399"/>
      <c r="N28" s="399">
        <v>-2411843.19</v>
      </c>
      <c r="O28" s="521"/>
      <c r="P28" s="213">
        <f>N28+O28</f>
        <v>-2411843.19</v>
      </c>
      <c r="Q28" s="827"/>
      <c r="R28" s="827"/>
      <c r="S28" s="827"/>
      <c r="T28" s="827"/>
      <c r="U28" s="827"/>
      <c r="V28" s="827"/>
      <c r="W28" s="827"/>
      <c r="X28" s="827"/>
      <c r="Y28" s="827"/>
      <c r="Z28" s="827"/>
      <c r="AA28" s="827"/>
      <c r="AB28" s="827"/>
      <c r="AC28" s="870"/>
      <c r="AD28" s="870"/>
      <c r="AE28" s="870"/>
      <c r="AF28" s="870"/>
      <c r="AG28" s="870"/>
      <c r="AH28" s="870"/>
      <c r="AI28" s="870"/>
      <c r="AJ28" s="870"/>
      <c r="AK28" s="870"/>
      <c r="AL28" s="870"/>
      <c r="AM28" s="870"/>
      <c r="AN28" s="870"/>
      <c r="AO28" s="870"/>
      <c r="AP28" s="870"/>
      <c r="AQ28" s="870"/>
      <c r="AR28" s="870"/>
      <c r="AS28" s="870"/>
      <c r="AT28" s="870"/>
      <c r="AU28" s="870"/>
      <c r="AW28" s="572">
        <f>-3912969.92-3872.8</f>
        <v>-3916842.7199999997</v>
      </c>
      <c r="AX28" s="521"/>
      <c r="AY28" s="213">
        <f>AW28+AX28</f>
        <v>-3916842.7199999997</v>
      </c>
    </row>
    <row r="29" spans="1:51" s="384" customFormat="1" ht="15" customHeight="1" x14ac:dyDescent="0.25">
      <c r="A29" s="214"/>
      <c r="B29" s="214"/>
      <c r="C29" s="396"/>
      <c r="D29" s="396"/>
      <c r="E29" s="396"/>
      <c r="F29" s="396"/>
      <c r="G29" s="398">
        <f>SUM(G25:G28)</f>
        <v>-57596426.710000001</v>
      </c>
      <c r="H29" s="398">
        <f>SUM(H25:H28)</f>
        <v>-62072194.390000008</v>
      </c>
      <c r="I29" s="398">
        <f>SUM(I25:I28)</f>
        <v>0</v>
      </c>
      <c r="J29" s="354">
        <f>SUM(J25:J28)</f>
        <v>-62072194.390000008</v>
      </c>
      <c r="K29" s="211"/>
      <c r="L29" s="354">
        <f>SUM(L25:L28)</f>
        <v>-62072194.390000008</v>
      </c>
      <c r="M29" s="354"/>
      <c r="N29" s="354">
        <f>SUM(N25:N28)</f>
        <v>-63788114.170000002</v>
      </c>
      <c r="O29" s="354">
        <f>SUM(O25:O28)</f>
        <v>0</v>
      </c>
      <c r="P29" s="354">
        <f>SUM(P25:P28)</f>
        <v>-63788114.170000002</v>
      </c>
      <c r="Q29" s="496"/>
      <c r="R29" s="496"/>
      <c r="S29" s="496"/>
      <c r="T29" s="496"/>
      <c r="U29" s="496"/>
      <c r="V29" s="496"/>
      <c r="W29" s="496"/>
      <c r="X29" s="496"/>
      <c r="Y29" s="496"/>
      <c r="Z29" s="496"/>
      <c r="AA29" s="496"/>
      <c r="AB29" s="496"/>
      <c r="AC29" s="871"/>
      <c r="AD29" s="871"/>
      <c r="AE29" s="871"/>
      <c r="AF29" s="871"/>
      <c r="AG29" s="871"/>
      <c r="AH29" s="871"/>
      <c r="AI29" s="871"/>
      <c r="AJ29" s="871"/>
      <c r="AK29" s="871"/>
      <c r="AL29" s="871"/>
      <c r="AM29" s="871"/>
      <c r="AN29" s="871"/>
      <c r="AO29" s="871"/>
      <c r="AP29" s="871"/>
      <c r="AQ29" s="871"/>
      <c r="AR29" s="871"/>
      <c r="AS29" s="871"/>
      <c r="AT29" s="871"/>
      <c r="AU29" s="871"/>
      <c r="AW29" s="354">
        <f>SUM(AW25:AW28)</f>
        <v>-65650272.82</v>
      </c>
      <c r="AX29" s="354">
        <f>SUM(AX25:AX28)</f>
        <v>0</v>
      </c>
      <c r="AY29" s="354">
        <f>SUM(AY25:AY28)</f>
        <v>-65650272.82</v>
      </c>
    </row>
    <row r="30" spans="1:51" s="384" customFormat="1" ht="15" customHeight="1" x14ac:dyDescent="0.25">
      <c r="A30" s="214"/>
      <c r="B30" s="214"/>
      <c r="C30" s="396"/>
      <c r="D30" s="396"/>
      <c r="E30" s="396"/>
      <c r="F30" s="396"/>
      <c r="G30" s="212"/>
      <c r="H30" s="212"/>
      <c r="I30" s="212"/>
      <c r="J30" s="213"/>
      <c r="K30" s="211"/>
      <c r="L30" s="213"/>
      <c r="M30" s="213"/>
      <c r="N30" s="213"/>
      <c r="O30" s="521"/>
      <c r="P30" s="521"/>
      <c r="Q30" s="878"/>
      <c r="R30" s="878"/>
      <c r="S30" s="878"/>
      <c r="T30" s="878"/>
      <c r="U30" s="878"/>
      <c r="V30" s="878"/>
      <c r="W30" s="878"/>
      <c r="X30" s="878"/>
      <c r="Y30" s="878"/>
      <c r="Z30" s="878"/>
      <c r="AA30" s="878"/>
      <c r="AB30" s="878"/>
      <c r="AC30" s="872"/>
      <c r="AD30" s="872"/>
      <c r="AE30" s="872"/>
      <c r="AF30" s="872"/>
      <c r="AG30" s="872"/>
      <c r="AH30" s="872"/>
      <c r="AI30" s="872"/>
      <c r="AJ30" s="872"/>
      <c r="AK30" s="872"/>
      <c r="AL30" s="872"/>
      <c r="AM30" s="872"/>
      <c r="AN30" s="872"/>
      <c r="AO30" s="872"/>
      <c r="AP30" s="872"/>
      <c r="AQ30" s="872"/>
      <c r="AR30" s="872"/>
      <c r="AS30" s="872"/>
      <c r="AT30" s="872"/>
      <c r="AU30" s="872"/>
      <c r="AW30" s="213"/>
      <c r="AX30" s="521"/>
      <c r="AY30" s="521"/>
    </row>
    <row r="31" spans="1:51" s="384" customFormat="1" ht="15" customHeight="1" x14ac:dyDescent="0.25">
      <c r="A31" s="238" t="s">
        <v>105</v>
      </c>
      <c r="B31" s="238" t="s">
        <v>106</v>
      </c>
      <c r="C31" s="396"/>
      <c r="D31" s="396"/>
      <c r="E31" s="396"/>
      <c r="F31" s="396"/>
      <c r="G31" s="212"/>
      <c r="H31" s="212"/>
      <c r="I31" s="212"/>
      <c r="J31" s="213"/>
      <c r="K31" s="211"/>
      <c r="L31" s="213"/>
      <c r="M31" s="213"/>
      <c r="N31" s="213"/>
      <c r="O31" s="521"/>
      <c r="P31" s="521"/>
      <c r="Q31" s="878"/>
      <c r="R31" s="878"/>
      <c r="S31" s="878"/>
      <c r="T31" s="878"/>
      <c r="U31" s="878"/>
      <c r="V31" s="878"/>
      <c r="W31" s="878"/>
      <c r="X31" s="878"/>
      <c r="Y31" s="878"/>
      <c r="Z31" s="878"/>
      <c r="AA31" s="878"/>
      <c r="AB31" s="878"/>
      <c r="AC31" s="872"/>
      <c r="AD31" s="872"/>
      <c r="AE31" s="872"/>
      <c r="AF31" s="872"/>
      <c r="AG31" s="872"/>
      <c r="AH31" s="872"/>
      <c r="AI31" s="872"/>
      <c r="AJ31" s="872"/>
      <c r="AK31" s="872"/>
      <c r="AL31" s="872"/>
      <c r="AM31" s="872"/>
      <c r="AN31" s="872"/>
      <c r="AO31" s="872"/>
      <c r="AP31" s="872"/>
      <c r="AQ31" s="872"/>
      <c r="AR31" s="872"/>
      <c r="AS31" s="872"/>
      <c r="AT31" s="872"/>
      <c r="AU31" s="872"/>
      <c r="AW31" s="213"/>
      <c r="AX31" s="521"/>
      <c r="AY31" s="521"/>
    </row>
    <row r="32" spans="1:51" s="384" customFormat="1" ht="15" customHeight="1" x14ac:dyDescent="0.25">
      <c r="A32" s="238"/>
      <c r="B32" s="238" t="s">
        <v>107</v>
      </c>
      <c r="C32" s="396"/>
      <c r="D32" s="396"/>
      <c r="E32" s="396"/>
      <c r="F32" s="396"/>
      <c r="G32" s="212"/>
      <c r="H32" s="212"/>
      <c r="I32" s="212"/>
      <c r="J32" s="213"/>
      <c r="K32" s="211"/>
      <c r="L32" s="213"/>
      <c r="M32" s="213"/>
      <c r="N32" s="213"/>
      <c r="O32" s="521"/>
      <c r="P32" s="521"/>
      <c r="Q32" s="878"/>
      <c r="R32" s="878"/>
      <c r="S32" s="878"/>
      <c r="T32" s="878"/>
      <c r="U32" s="878"/>
      <c r="V32" s="878"/>
      <c r="W32" s="878"/>
      <c r="X32" s="878"/>
      <c r="Y32" s="878"/>
      <c r="Z32" s="878"/>
      <c r="AA32" s="878"/>
      <c r="AB32" s="878"/>
      <c r="AC32" s="872"/>
      <c r="AD32" s="872"/>
      <c r="AE32" s="872"/>
      <c r="AF32" s="872"/>
      <c r="AG32" s="872"/>
      <c r="AH32" s="872"/>
      <c r="AI32" s="872"/>
      <c r="AJ32" s="872"/>
      <c r="AK32" s="872"/>
      <c r="AL32" s="872"/>
      <c r="AM32" s="872"/>
      <c r="AN32" s="872"/>
      <c r="AO32" s="872"/>
      <c r="AP32" s="872"/>
      <c r="AQ32" s="872"/>
      <c r="AR32" s="872"/>
      <c r="AS32" s="872"/>
      <c r="AT32" s="872"/>
      <c r="AU32" s="872"/>
      <c r="AW32" s="213"/>
      <c r="AX32" s="521"/>
      <c r="AY32" s="521"/>
    </row>
    <row r="33" spans="1:51" s="384" customFormat="1" ht="15" customHeight="1" x14ac:dyDescent="0.25">
      <c r="A33" s="238"/>
      <c r="B33" s="239" t="s">
        <v>107</v>
      </c>
      <c r="C33" s="396">
        <v>3</v>
      </c>
      <c r="D33" s="396">
        <v>8050</v>
      </c>
      <c r="E33" s="397" t="s">
        <v>1373</v>
      </c>
      <c r="F33" s="396">
        <v>0</v>
      </c>
      <c r="G33" s="212"/>
      <c r="H33" s="212"/>
      <c r="I33" s="212"/>
      <c r="J33" s="399">
        <f t="shared" ref="J33:J77" si="2">H33+I33</f>
        <v>0</v>
      </c>
      <c r="K33" s="211"/>
      <c r="L33" s="399">
        <v>0</v>
      </c>
      <c r="M33" s="399"/>
      <c r="N33" s="399">
        <v>0</v>
      </c>
      <c r="O33" s="521"/>
      <c r="P33" s="213">
        <f>N33+O33</f>
        <v>0</v>
      </c>
      <c r="Q33" s="827"/>
      <c r="R33" s="827"/>
      <c r="S33" s="827"/>
      <c r="T33" s="827"/>
      <c r="U33" s="827"/>
      <c r="V33" s="827"/>
      <c r="W33" s="827"/>
      <c r="X33" s="827"/>
      <c r="Y33" s="827"/>
      <c r="Z33" s="827"/>
      <c r="AA33" s="827"/>
      <c r="AB33" s="827"/>
      <c r="AC33" s="870"/>
      <c r="AD33" s="870"/>
      <c r="AE33" s="870"/>
      <c r="AF33" s="870"/>
      <c r="AG33" s="870"/>
      <c r="AH33" s="870"/>
      <c r="AI33" s="870"/>
      <c r="AJ33" s="870"/>
      <c r="AK33" s="870"/>
      <c r="AL33" s="870"/>
      <c r="AM33" s="870"/>
      <c r="AN33" s="870"/>
      <c r="AO33" s="870"/>
      <c r="AP33" s="870"/>
      <c r="AQ33" s="870"/>
      <c r="AR33" s="870"/>
      <c r="AS33" s="870"/>
      <c r="AT33" s="870"/>
      <c r="AU33" s="870"/>
      <c r="AW33" s="399">
        <v>0</v>
      </c>
      <c r="AX33" s="521"/>
      <c r="AY33" s="213">
        <f>AW33+AX33</f>
        <v>0</v>
      </c>
    </row>
    <row r="34" spans="1:51" s="384" customFormat="1" ht="15" customHeight="1" x14ac:dyDescent="0.25">
      <c r="A34" s="238"/>
      <c r="B34" s="239" t="s">
        <v>1383</v>
      </c>
      <c r="C34" s="396">
        <v>3</v>
      </c>
      <c r="D34" s="396">
        <v>8050</v>
      </c>
      <c r="E34" s="397" t="s">
        <v>1379</v>
      </c>
      <c r="F34" s="396">
        <v>0</v>
      </c>
      <c r="G34" s="212">
        <v>-69811674.709999993</v>
      </c>
      <c r="H34" s="212">
        <v>-90279194.5</v>
      </c>
      <c r="I34" s="212">
        <v>-237182.91</v>
      </c>
      <c r="J34" s="399">
        <f t="shared" si="2"/>
        <v>-90516377.409999996</v>
      </c>
      <c r="K34" s="211"/>
      <c r="L34" s="399">
        <v>-90516377.409999996</v>
      </c>
      <c r="M34" s="399"/>
      <c r="N34" s="399">
        <v>-105115011.93000001</v>
      </c>
      <c r="O34" s="354"/>
      <c r="P34" s="213">
        <f>N34+O34</f>
        <v>-105115011.93000001</v>
      </c>
      <c r="Q34" s="827"/>
      <c r="R34" s="827"/>
      <c r="S34" s="827"/>
      <c r="T34" s="827"/>
      <c r="U34" s="827"/>
      <c r="V34" s="827"/>
      <c r="W34" s="827"/>
      <c r="X34" s="827"/>
      <c r="Y34" s="827"/>
      <c r="Z34" s="827"/>
      <c r="AA34" s="827"/>
      <c r="AB34" s="827"/>
      <c r="AC34" s="870"/>
      <c r="AD34" s="870"/>
      <c r="AE34" s="870"/>
      <c r="AF34" s="870"/>
      <c r="AG34" s="870"/>
      <c r="AH34" s="870"/>
      <c r="AI34" s="870"/>
      <c r="AJ34" s="870"/>
      <c r="AK34" s="870"/>
      <c r="AL34" s="870"/>
      <c r="AM34" s="870"/>
      <c r="AN34" s="870"/>
      <c r="AO34" s="870"/>
      <c r="AP34" s="870"/>
      <c r="AQ34" s="870"/>
      <c r="AR34" s="870"/>
      <c r="AS34" s="870"/>
      <c r="AT34" s="870"/>
      <c r="AU34" s="870"/>
      <c r="AW34" s="572">
        <v>-125957226.26000001</v>
      </c>
      <c r="AX34" s="354"/>
      <c r="AY34" s="213">
        <f>AW34+AX34</f>
        <v>-125957226.26000001</v>
      </c>
    </row>
    <row r="35" spans="1:51" s="384" customFormat="1" ht="15" customHeight="1" x14ac:dyDescent="0.25">
      <c r="A35" s="238"/>
      <c r="B35" s="239" t="s">
        <v>2970</v>
      </c>
      <c r="C35" s="396">
        <v>3</v>
      </c>
      <c r="D35" s="396">
        <v>8050</v>
      </c>
      <c r="E35" s="397" t="s">
        <v>1380</v>
      </c>
      <c r="F35" s="396">
        <v>0</v>
      </c>
      <c r="G35" s="212"/>
      <c r="H35" s="212"/>
      <c r="I35" s="212"/>
      <c r="J35" s="399"/>
      <c r="K35" s="211"/>
      <c r="L35" s="399"/>
      <c r="M35" s="399"/>
      <c r="N35" s="399">
        <v>-12527814.630000001</v>
      </c>
      <c r="O35" s="354"/>
      <c r="P35" s="213">
        <f>N35+O35</f>
        <v>-12527814.630000001</v>
      </c>
      <c r="Q35" s="827"/>
      <c r="R35" s="827"/>
      <c r="S35" s="827"/>
      <c r="T35" s="827"/>
      <c r="U35" s="827"/>
      <c r="V35" s="827"/>
      <c r="W35" s="827"/>
      <c r="X35" s="827"/>
      <c r="Y35" s="827"/>
      <c r="Z35" s="827"/>
      <c r="AA35" s="827"/>
      <c r="AB35" s="827"/>
      <c r="AC35" s="870"/>
      <c r="AD35" s="870"/>
      <c r="AE35" s="870"/>
      <c r="AF35" s="870"/>
      <c r="AG35" s="870"/>
      <c r="AH35" s="870"/>
      <c r="AI35" s="870"/>
      <c r="AJ35" s="870"/>
      <c r="AK35" s="870"/>
      <c r="AL35" s="870"/>
      <c r="AM35" s="870"/>
      <c r="AN35" s="870"/>
      <c r="AO35" s="870"/>
      <c r="AP35" s="870"/>
      <c r="AQ35" s="870"/>
      <c r="AR35" s="870"/>
      <c r="AS35" s="870"/>
      <c r="AT35" s="870"/>
      <c r="AU35" s="870"/>
      <c r="AW35" s="572">
        <f>-7107851.18-180000-369600-443984.4-51744-62157.86</f>
        <v>-8215337.4400000004</v>
      </c>
      <c r="AX35" s="354"/>
      <c r="AY35" s="213">
        <f>AW35+AX35</f>
        <v>-8215337.4400000004</v>
      </c>
    </row>
    <row r="36" spans="1:51" s="384" customFormat="1" ht="15" customHeight="1" x14ac:dyDescent="0.25">
      <c r="A36" s="214"/>
      <c r="B36" s="214" t="s">
        <v>110</v>
      </c>
      <c r="C36" s="396">
        <v>3</v>
      </c>
      <c r="D36" s="396">
        <v>8050</v>
      </c>
      <c r="E36" s="397" t="s">
        <v>1384</v>
      </c>
      <c r="F36" s="396">
        <v>0</v>
      </c>
      <c r="G36" s="212">
        <v>-1030397.27</v>
      </c>
      <c r="H36" s="212">
        <v>-1030397.27</v>
      </c>
      <c r="I36" s="212"/>
      <c r="J36" s="399">
        <f t="shared" si="2"/>
        <v>-1030397.27</v>
      </c>
      <c r="K36" s="211"/>
      <c r="L36" s="399">
        <v>-1030397.27</v>
      </c>
      <c r="M36" s="399"/>
      <c r="N36" s="399">
        <v>0</v>
      </c>
      <c r="O36" s="521"/>
      <c r="P36" s="213">
        <f>N36+O36</f>
        <v>0</v>
      </c>
      <c r="Q36" s="827"/>
      <c r="R36" s="827"/>
      <c r="S36" s="827"/>
      <c r="T36" s="827"/>
      <c r="U36" s="827"/>
      <c r="V36" s="827"/>
      <c r="W36" s="827"/>
      <c r="X36" s="827"/>
      <c r="Y36" s="827"/>
      <c r="Z36" s="827"/>
      <c r="AA36" s="827"/>
      <c r="AB36" s="827"/>
      <c r="AC36" s="870"/>
      <c r="AD36" s="870"/>
      <c r="AE36" s="870"/>
      <c r="AF36" s="870"/>
      <c r="AG36" s="870"/>
      <c r="AH36" s="870"/>
      <c r="AI36" s="870"/>
      <c r="AJ36" s="870"/>
      <c r="AK36" s="870"/>
      <c r="AL36" s="870"/>
      <c r="AM36" s="870"/>
      <c r="AN36" s="870"/>
      <c r="AO36" s="870"/>
      <c r="AP36" s="870"/>
      <c r="AQ36" s="870"/>
      <c r="AR36" s="870"/>
      <c r="AS36" s="870"/>
      <c r="AT36" s="870"/>
      <c r="AU36" s="870"/>
      <c r="AW36" s="399">
        <v>0</v>
      </c>
      <c r="AX36" s="521"/>
      <c r="AY36" s="213">
        <f>AW36+AX36</f>
        <v>0</v>
      </c>
    </row>
    <row r="37" spans="1:51" s="306" customFormat="1" ht="15" customHeight="1" x14ac:dyDescent="0.25">
      <c r="A37" s="238"/>
      <c r="B37" s="239" t="s">
        <v>1497</v>
      </c>
      <c r="C37" s="396">
        <v>4</v>
      </c>
      <c r="D37" s="396">
        <v>9060</v>
      </c>
      <c r="E37" s="397" t="s">
        <v>1385</v>
      </c>
      <c r="F37" s="396">
        <v>0</v>
      </c>
      <c r="G37" s="399">
        <v>0</v>
      </c>
      <c r="H37" s="399">
        <v>10191589.23</v>
      </c>
      <c r="I37" s="399">
        <v>-10191589.23</v>
      </c>
      <c r="J37" s="399">
        <f t="shared" si="2"/>
        <v>0</v>
      </c>
      <c r="K37" s="211"/>
      <c r="L37" s="399">
        <v>0</v>
      </c>
      <c r="M37" s="399"/>
      <c r="N37" s="399">
        <v>0</v>
      </c>
      <c r="O37" s="213"/>
      <c r="P37" s="213">
        <f>N37+O37</f>
        <v>0</v>
      </c>
      <c r="Q37" s="827"/>
      <c r="R37" s="827"/>
      <c r="S37" s="827"/>
      <c r="T37" s="827"/>
      <c r="U37" s="827"/>
      <c r="V37" s="827"/>
      <c r="W37" s="827"/>
      <c r="X37" s="827"/>
      <c r="Y37" s="827"/>
      <c r="Z37" s="827"/>
      <c r="AA37" s="827"/>
      <c r="AB37" s="827"/>
      <c r="AC37" s="870"/>
      <c r="AD37" s="870"/>
      <c r="AE37" s="870"/>
      <c r="AF37" s="870"/>
      <c r="AG37" s="870"/>
      <c r="AH37" s="870"/>
      <c r="AI37" s="870"/>
      <c r="AJ37" s="870"/>
      <c r="AK37" s="870"/>
      <c r="AL37" s="870"/>
      <c r="AM37" s="870"/>
      <c r="AN37" s="870"/>
      <c r="AO37" s="870"/>
      <c r="AP37" s="870"/>
      <c r="AQ37" s="870"/>
      <c r="AR37" s="870"/>
      <c r="AS37" s="870"/>
      <c r="AT37" s="870"/>
      <c r="AU37" s="870"/>
      <c r="AW37" s="399">
        <v>0</v>
      </c>
      <c r="AX37" s="213"/>
      <c r="AY37" s="213">
        <f>AW37+AX37</f>
        <v>0</v>
      </c>
    </row>
    <row r="38" spans="1:51" ht="15" customHeight="1" x14ac:dyDescent="0.25">
      <c r="A38" s="214"/>
      <c r="B38" s="214"/>
      <c r="C38" s="396"/>
      <c r="D38" s="396"/>
      <c r="E38" s="396"/>
      <c r="F38" s="396"/>
      <c r="G38" s="354">
        <f>SUM(G33:G37)</f>
        <v>-70842071.979999989</v>
      </c>
      <c r="H38" s="354">
        <f>SUM(H33:H37)</f>
        <v>-81118002.539999992</v>
      </c>
      <c r="I38" s="354">
        <f>SUM(I33:I37)</f>
        <v>-10428772.140000001</v>
      </c>
      <c r="J38" s="354">
        <f>SUM(J33:J37)</f>
        <v>-91546774.679999992</v>
      </c>
      <c r="L38" s="354">
        <f>SUM(L33:L37)</f>
        <v>-91546774.679999992</v>
      </c>
      <c r="M38" s="354"/>
      <c r="N38" s="354">
        <f>SUM(N33:N37)</f>
        <v>-117642826.56</v>
      </c>
      <c r="O38" s="354">
        <f>SUM(O33:O37)</f>
        <v>0</v>
      </c>
      <c r="P38" s="354">
        <f>SUM(P33:P37)</f>
        <v>-117642826.56</v>
      </c>
      <c r="Q38" s="496"/>
      <c r="R38" s="496"/>
      <c r="S38" s="496"/>
      <c r="T38" s="496"/>
      <c r="U38" s="496"/>
      <c r="V38" s="496"/>
      <c r="W38" s="496"/>
      <c r="X38" s="496"/>
      <c r="Y38" s="496"/>
      <c r="Z38" s="496"/>
      <c r="AA38" s="496"/>
      <c r="AB38" s="496"/>
      <c r="AC38" s="871"/>
      <c r="AD38" s="871"/>
      <c r="AE38" s="871"/>
      <c r="AF38" s="871"/>
      <c r="AG38" s="871"/>
      <c r="AH38" s="871"/>
      <c r="AI38" s="871"/>
      <c r="AJ38" s="871"/>
      <c r="AK38" s="871"/>
      <c r="AL38" s="871"/>
      <c r="AM38" s="871"/>
      <c r="AN38" s="871"/>
      <c r="AO38" s="871"/>
      <c r="AP38" s="871"/>
      <c r="AQ38" s="871"/>
      <c r="AR38" s="871"/>
      <c r="AS38" s="871"/>
      <c r="AT38" s="871"/>
      <c r="AU38" s="871"/>
      <c r="AW38" s="354">
        <f>SUM(AW33:AW37)</f>
        <v>-134172563.7</v>
      </c>
      <c r="AX38" s="354">
        <f>SUM(AX33:AX37)</f>
        <v>0</v>
      </c>
      <c r="AY38" s="354">
        <f>SUM(AY33:AY37)</f>
        <v>-134172563.7</v>
      </c>
    </row>
    <row r="39" spans="1:51" ht="15" customHeight="1" x14ac:dyDescent="0.25">
      <c r="A39" s="214"/>
      <c r="B39" s="214"/>
      <c r="C39" s="396"/>
      <c r="D39" s="396"/>
      <c r="E39" s="396"/>
      <c r="F39" s="396"/>
      <c r="G39" s="213"/>
      <c r="H39" s="213"/>
      <c r="I39" s="213"/>
      <c r="J39" s="213"/>
      <c r="L39" s="213"/>
      <c r="M39" s="213"/>
      <c r="N39" s="213"/>
      <c r="O39" s="213"/>
      <c r="P39" s="213"/>
      <c r="Q39" s="827"/>
      <c r="R39" s="827"/>
      <c r="S39" s="827"/>
      <c r="T39" s="827"/>
      <c r="U39" s="827"/>
      <c r="V39" s="827"/>
      <c r="W39" s="827"/>
      <c r="X39" s="827"/>
      <c r="Y39" s="827"/>
      <c r="Z39" s="827"/>
      <c r="AA39" s="827"/>
      <c r="AB39" s="827"/>
      <c r="AC39" s="870"/>
      <c r="AD39" s="870"/>
      <c r="AE39" s="870"/>
      <c r="AF39" s="870"/>
      <c r="AG39" s="870"/>
      <c r="AH39" s="870"/>
      <c r="AI39" s="870"/>
      <c r="AJ39" s="870"/>
      <c r="AK39" s="870"/>
      <c r="AL39" s="870"/>
      <c r="AM39" s="870"/>
      <c r="AN39" s="870"/>
      <c r="AO39" s="870"/>
      <c r="AP39" s="870"/>
      <c r="AQ39" s="870"/>
      <c r="AR39" s="870"/>
      <c r="AS39" s="870"/>
      <c r="AT39" s="870"/>
      <c r="AU39" s="870"/>
      <c r="AW39" s="213"/>
      <c r="AX39" s="213"/>
      <c r="AY39" s="213"/>
    </row>
    <row r="40" spans="1:51" s="236" customFormat="1" ht="15" customHeight="1" x14ac:dyDescent="0.25">
      <c r="A40" s="401"/>
      <c r="B40" s="574" t="s">
        <v>328</v>
      </c>
      <c r="C40" s="403">
        <v>3</v>
      </c>
      <c r="D40" s="403">
        <v>8050</v>
      </c>
      <c r="E40" s="404" t="s">
        <v>1450</v>
      </c>
      <c r="F40" s="403">
        <v>0</v>
      </c>
      <c r="G40" s="354">
        <v>-15568870.789999999</v>
      </c>
      <c r="H40" s="354">
        <v>-21564913.140000001</v>
      </c>
      <c r="I40" s="354">
        <v>-6990992.9000000004</v>
      </c>
      <c r="J40" s="354">
        <f t="shared" si="2"/>
        <v>-28555906.039999999</v>
      </c>
      <c r="K40" s="484"/>
      <c r="L40" s="354">
        <v>-28555906.039999999</v>
      </c>
      <c r="M40" s="354"/>
      <c r="N40" s="354">
        <v>-33522919.399999999</v>
      </c>
      <c r="O40" s="354">
        <v>1443781.54</v>
      </c>
      <c r="P40" s="354">
        <f>N40+O40</f>
        <v>-32079137.859999999</v>
      </c>
      <c r="Q40" s="496"/>
      <c r="R40" s="496"/>
      <c r="S40" s="496"/>
      <c r="T40" s="496"/>
      <c r="U40" s="496"/>
      <c r="V40" s="496"/>
      <c r="W40" s="496"/>
      <c r="X40" s="496"/>
      <c r="Y40" s="496"/>
      <c r="Z40" s="496"/>
      <c r="AA40" s="496"/>
      <c r="AB40" s="496"/>
      <c r="AC40" s="871"/>
      <c r="AD40" s="871"/>
      <c r="AE40" s="871"/>
      <c r="AF40" s="871"/>
      <c r="AG40" s="871"/>
      <c r="AH40" s="871"/>
      <c r="AI40" s="871"/>
      <c r="AJ40" s="871"/>
      <c r="AK40" s="871"/>
      <c r="AL40" s="871"/>
      <c r="AM40" s="871"/>
      <c r="AN40" s="871"/>
      <c r="AO40" s="871"/>
      <c r="AP40" s="871"/>
      <c r="AQ40" s="871"/>
      <c r="AR40" s="871"/>
      <c r="AS40" s="871"/>
      <c r="AT40" s="871"/>
      <c r="AU40" s="871"/>
      <c r="AW40" s="573">
        <f>-39557759.6+4336452.23</f>
        <v>-35221307.370000005</v>
      </c>
      <c r="AX40" s="354"/>
      <c r="AY40" s="354">
        <f>AW40+AX40</f>
        <v>-35221307.370000005</v>
      </c>
    </row>
    <row r="41" spans="1:51" ht="15" customHeight="1" x14ac:dyDescent="0.25">
      <c r="A41" s="214"/>
      <c r="B41" s="214"/>
      <c r="C41" s="396"/>
      <c r="D41" s="396"/>
      <c r="E41" s="397"/>
      <c r="F41" s="396"/>
      <c r="G41" s="400"/>
      <c r="H41" s="400"/>
      <c r="I41" s="400"/>
      <c r="J41" s="399"/>
      <c r="L41" s="399"/>
      <c r="M41" s="399"/>
      <c r="N41" s="399"/>
      <c r="O41" s="213"/>
      <c r="P41" s="213"/>
      <c r="Q41" s="827"/>
      <c r="R41" s="827"/>
      <c r="S41" s="827"/>
      <c r="T41" s="827"/>
      <c r="U41" s="827"/>
      <c r="V41" s="827"/>
      <c r="W41" s="827"/>
      <c r="X41" s="827"/>
      <c r="Y41" s="827"/>
      <c r="Z41" s="827"/>
      <c r="AA41" s="827"/>
      <c r="AB41" s="827"/>
      <c r="AC41" s="870"/>
      <c r="AD41" s="870"/>
      <c r="AE41" s="870"/>
      <c r="AF41" s="870"/>
      <c r="AG41" s="870"/>
      <c r="AH41" s="870"/>
      <c r="AI41" s="870"/>
      <c r="AJ41" s="870"/>
      <c r="AK41" s="870"/>
      <c r="AL41" s="870"/>
      <c r="AM41" s="870"/>
      <c r="AN41" s="870"/>
      <c r="AO41" s="870"/>
      <c r="AP41" s="870"/>
      <c r="AQ41" s="870"/>
      <c r="AR41" s="870"/>
      <c r="AS41" s="870"/>
      <c r="AT41" s="870"/>
      <c r="AU41" s="870"/>
      <c r="AW41" s="399"/>
      <c r="AX41" s="213"/>
      <c r="AY41" s="213"/>
    </row>
    <row r="42" spans="1:51" s="384" customFormat="1" ht="15" customHeight="1" x14ac:dyDescent="0.25">
      <c r="A42" s="214"/>
      <c r="B42" s="214" t="s">
        <v>108</v>
      </c>
      <c r="C42" s="396">
        <v>3</v>
      </c>
      <c r="D42" s="396">
        <v>8050</v>
      </c>
      <c r="E42" s="397" t="s">
        <v>1380</v>
      </c>
      <c r="F42" s="396">
        <v>0</v>
      </c>
      <c r="G42" s="212">
        <v>0</v>
      </c>
      <c r="H42" s="212">
        <v>0</v>
      </c>
      <c r="I42" s="212"/>
      <c r="J42" s="399">
        <f>H42+I42</f>
        <v>0</v>
      </c>
      <c r="K42" s="211"/>
      <c r="L42" s="399">
        <v>0</v>
      </c>
      <c r="M42" s="399"/>
      <c r="N42" s="399">
        <v>0</v>
      </c>
      <c r="O42" s="521">
        <v>-1634938.26</v>
      </c>
      <c r="P42" s="213">
        <f t="shared" ref="P42:P77" si="3">N42+O42</f>
        <v>-1634938.26</v>
      </c>
      <c r="Q42" s="827"/>
      <c r="R42" s="827"/>
      <c r="S42" s="827"/>
      <c r="T42" s="827"/>
      <c r="U42" s="827"/>
      <c r="V42" s="827"/>
      <c r="W42" s="827"/>
      <c r="X42" s="827"/>
      <c r="Y42" s="827"/>
      <c r="Z42" s="827"/>
      <c r="AA42" s="827"/>
      <c r="AB42" s="827"/>
      <c r="AC42" s="870"/>
      <c r="AD42" s="870"/>
      <c r="AE42" s="870"/>
      <c r="AF42" s="870"/>
      <c r="AG42" s="870"/>
      <c r="AH42" s="870"/>
      <c r="AI42" s="870"/>
      <c r="AJ42" s="870"/>
      <c r="AK42" s="870"/>
      <c r="AL42" s="870"/>
      <c r="AM42" s="870"/>
      <c r="AN42" s="870"/>
      <c r="AO42" s="870"/>
      <c r="AP42" s="870"/>
      <c r="AQ42" s="870"/>
      <c r="AR42" s="870"/>
      <c r="AS42" s="870"/>
      <c r="AT42" s="870"/>
      <c r="AU42" s="870"/>
      <c r="AW42" s="399">
        <v>0</v>
      </c>
      <c r="AX42" s="521"/>
      <c r="AY42" s="213">
        <f t="shared" ref="AY42:AY77" si="4">AW42+AX42</f>
        <v>0</v>
      </c>
    </row>
    <row r="43" spans="1:51" s="384" customFormat="1" ht="15" customHeight="1" x14ac:dyDescent="0.25">
      <c r="A43" s="214"/>
      <c r="B43" s="214" t="s">
        <v>111</v>
      </c>
      <c r="C43" s="396">
        <v>3</v>
      </c>
      <c r="D43" s="396">
        <v>8050</v>
      </c>
      <c r="E43" s="397" t="s">
        <v>1382</v>
      </c>
      <c r="F43" s="396">
        <v>0</v>
      </c>
      <c r="G43" s="212">
        <v>-201243.27</v>
      </c>
      <c r="H43" s="212">
        <v>0</v>
      </c>
      <c r="I43" s="212"/>
      <c r="J43" s="399">
        <f>H43+I43</f>
        <v>0</v>
      </c>
      <c r="K43" s="211"/>
      <c r="L43" s="399">
        <v>0</v>
      </c>
      <c r="M43" s="399"/>
      <c r="N43" s="399">
        <v>0</v>
      </c>
      <c r="O43" s="521"/>
      <c r="P43" s="213">
        <f t="shared" si="3"/>
        <v>0</v>
      </c>
      <c r="Q43" s="827"/>
      <c r="R43" s="827"/>
      <c r="S43" s="827"/>
      <c r="T43" s="827"/>
      <c r="U43" s="827"/>
      <c r="V43" s="827"/>
      <c r="W43" s="827"/>
      <c r="X43" s="827"/>
      <c r="Y43" s="827"/>
      <c r="Z43" s="827"/>
      <c r="AA43" s="827"/>
      <c r="AB43" s="827"/>
      <c r="AC43" s="870"/>
      <c r="AD43" s="870"/>
      <c r="AE43" s="870"/>
      <c r="AF43" s="870"/>
      <c r="AG43" s="870"/>
      <c r="AH43" s="870"/>
      <c r="AI43" s="870"/>
      <c r="AJ43" s="870"/>
      <c r="AK43" s="870"/>
      <c r="AL43" s="870"/>
      <c r="AM43" s="870"/>
      <c r="AN43" s="870"/>
      <c r="AO43" s="870"/>
      <c r="AP43" s="870"/>
      <c r="AQ43" s="870"/>
      <c r="AR43" s="870"/>
      <c r="AS43" s="870"/>
      <c r="AT43" s="870"/>
      <c r="AU43" s="870"/>
      <c r="AW43" s="399">
        <v>0</v>
      </c>
      <c r="AX43" s="521"/>
      <c r="AY43" s="213">
        <f t="shared" si="4"/>
        <v>0</v>
      </c>
    </row>
    <row r="44" spans="1:51" s="384" customFormat="1" ht="15" customHeight="1" x14ac:dyDescent="0.25">
      <c r="A44" s="214"/>
      <c r="B44" s="214" t="s">
        <v>110</v>
      </c>
      <c r="C44" s="396">
        <v>3</v>
      </c>
      <c r="D44" s="396">
        <v>8050</v>
      </c>
      <c r="E44" s="397" t="s">
        <v>1384</v>
      </c>
      <c r="F44" s="396">
        <v>0</v>
      </c>
      <c r="G44" s="212"/>
      <c r="H44" s="212"/>
      <c r="I44" s="212"/>
      <c r="J44" s="399"/>
      <c r="K44" s="211"/>
      <c r="L44" s="399"/>
      <c r="M44" s="399"/>
      <c r="N44" s="399">
        <v>-1030397.27</v>
      </c>
      <c r="O44" s="521"/>
      <c r="P44" s="213">
        <f t="shared" si="3"/>
        <v>-1030397.27</v>
      </c>
      <c r="Q44" s="827"/>
      <c r="R44" s="827"/>
      <c r="S44" s="827"/>
      <c r="T44" s="827"/>
      <c r="U44" s="827"/>
      <c r="V44" s="827"/>
      <c r="W44" s="827"/>
      <c r="X44" s="827"/>
      <c r="Y44" s="827"/>
      <c r="Z44" s="827"/>
      <c r="AA44" s="827"/>
      <c r="AB44" s="827"/>
      <c r="AC44" s="870"/>
      <c r="AD44" s="870"/>
      <c r="AE44" s="870"/>
      <c r="AF44" s="870"/>
      <c r="AG44" s="870"/>
      <c r="AH44" s="870"/>
      <c r="AI44" s="870"/>
      <c r="AJ44" s="870"/>
      <c r="AK44" s="870"/>
      <c r="AL44" s="870"/>
      <c r="AM44" s="870"/>
      <c r="AN44" s="870"/>
      <c r="AO44" s="870"/>
      <c r="AP44" s="870"/>
      <c r="AQ44" s="870"/>
      <c r="AR44" s="870"/>
      <c r="AS44" s="870"/>
      <c r="AT44" s="870"/>
      <c r="AU44" s="870"/>
      <c r="AW44" s="399">
        <v>0</v>
      </c>
      <c r="AX44" s="521"/>
      <c r="AY44" s="213">
        <f t="shared" si="4"/>
        <v>0</v>
      </c>
    </row>
    <row r="45" spans="1:51" s="384" customFormat="1" ht="15" customHeight="1" x14ac:dyDescent="0.25">
      <c r="A45" s="214"/>
      <c r="B45" s="214" t="s">
        <v>114</v>
      </c>
      <c r="C45" s="396">
        <v>3</v>
      </c>
      <c r="D45" s="396">
        <v>8050</v>
      </c>
      <c r="E45" s="397" t="s">
        <v>1385</v>
      </c>
      <c r="F45" s="396">
        <v>0</v>
      </c>
      <c r="G45" s="212">
        <v>-5488.76</v>
      </c>
      <c r="H45" s="212">
        <v>-36466.39</v>
      </c>
      <c r="I45" s="212"/>
      <c r="J45" s="399">
        <f>H45+I45</f>
        <v>-36466.39</v>
      </c>
      <c r="K45" s="211"/>
      <c r="L45" s="399">
        <v>-36466.39</v>
      </c>
      <c r="M45" s="399"/>
      <c r="N45" s="399">
        <v>-2545</v>
      </c>
      <c r="O45" s="521">
        <v>-538572</v>
      </c>
      <c r="P45" s="213">
        <f t="shared" si="3"/>
        <v>-541117</v>
      </c>
      <c r="Q45" s="827"/>
      <c r="R45" s="827"/>
      <c r="S45" s="827"/>
      <c r="T45" s="827"/>
      <c r="U45" s="827"/>
      <c r="V45" s="827"/>
      <c r="W45" s="827"/>
      <c r="X45" s="827"/>
      <c r="Y45" s="827"/>
      <c r="Z45" s="827"/>
      <c r="AA45" s="827"/>
      <c r="AB45" s="827"/>
      <c r="AC45" s="870"/>
      <c r="AD45" s="870"/>
      <c r="AE45" s="870"/>
      <c r="AF45" s="870"/>
      <c r="AG45" s="870"/>
      <c r="AH45" s="870"/>
      <c r="AI45" s="870"/>
      <c r="AJ45" s="870"/>
      <c r="AK45" s="870"/>
      <c r="AL45" s="870"/>
      <c r="AM45" s="870"/>
      <c r="AN45" s="870"/>
      <c r="AO45" s="870"/>
      <c r="AP45" s="870"/>
      <c r="AQ45" s="870"/>
      <c r="AR45" s="870"/>
      <c r="AS45" s="870"/>
      <c r="AT45" s="870"/>
      <c r="AU45" s="870"/>
      <c r="AW45" s="399">
        <v>0</v>
      </c>
      <c r="AX45" s="521"/>
      <c r="AY45" s="213">
        <f t="shared" si="4"/>
        <v>0</v>
      </c>
    </row>
    <row r="46" spans="1:51" ht="15" customHeight="1" x14ac:dyDescent="0.25">
      <c r="A46" s="214"/>
      <c r="B46" s="214" t="s">
        <v>1388</v>
      </c>
      <c r="C46" s="396">
        <v>3</v>
      </c>
      <c r="D46" s="396">
        <v>8050</v>
      </c>
      <c r="E46" s="397" t="s">
        <v>1450</v>
      </c>
      <c r="F46" s="396">
        <v>0</v>
      </c>
      <c r="G46" s="400">
        <v>0</v>
      </c>
      <c r="H46" s="400">
        <v>0</v>
      </c>
      <c r="I46" s="400"/>
      <c r="J46" s="399">
        <f t="shared" si="2"/>
        <v>0</v>
      </c>
      <c r="L46" s="399">
        <v>0</v>
      </c>
      <c r="M46" s="399"/>
      <c r="N46" s="399">
        <v>0</v>
      </c>
      <c r="O46" s="213"/>
      <c r="P46" s="213">
        <f t="shared" si="3"/>
        <v>0</v>
      </c>
      <c r="Q46" s="827"/>
      <c r="R46" s="827"/>
      <c r="S46" s="827"/>
      <c r="T46" s="827"/>
      <c r="U46" s="827"/>
      <c r="V46" s="827"/>
      <c r="W46" s="827"/>
      <c r="X46" s="827"/>
      <c r="Y46" s="827"/>
      <c r="Z46" s="827"/>
      <c r="AA46" s="827"/>
      <c r="AB46" s="827"/>
      <c r="AC46" s="870"/>
      <c r="AD46" s="870"/>
      <c r="AE46" s="870"/>
      <c r="AF46" s="870"/>
      <c r="AG46" s="870"/>
      <c r="AH46" s="870"/>
      <c r="AI46" s="870"/>
      <c r="AJ46" s="870"/>
      <c r="AK46" s="870"/>
      <c r="AL46" s="870"/>
      <c r="AM46" s="870"/>
      <c r="AN46" s="870"/>
      <c r="AO46" s="870"/>
      <c r="AP46" s="870"/>
      <c r="AQ46" s="870"/>
      <c r="AR46" s="870"/>
      <c r="AS46" s="870"/>
      <c r="AT46" s="870"/>
      <c r="AU46" s="870"/>
      <c r="AW46" s="399">
        <v>0</v>
      </c>
      <c r="AX46" s="213"/>
      <c r="AY46" s="213">
        <f t="shared" si="4"/>
        <v>0</v>
      </c>
    </row>
    <row r="47" spans="1:51" ht="15" customHeight="1" x14ac:dyDescent="0.25">
      <c r="A47" s="214"/>
      <c r="B47" s="214" t="s">
        <v>112</v>
      </c>
      <c r="C47" s="396">
        <v>3</v>
      </c>
      <c r="D47" s="396">
        <v>8050</v>
      </c>
      <c r="E47" s="397" t="s">
        <v>1389</v>
      </c>
      <c r="F47" s="396">
        <v>0</v>
      </c>
      <c r="G47" s="212">
        <v>-2559186.08</v>
      </c>
      <c r="H47" s="212">
        <v>-2559186.08</v>
      </c>
      <c r="I47" s="212"/>
      <c r="J47" s="399">
        <f t="shared" si="2"/>
        <v>-2559186.08</v>
      </c>
      <c r="L47" s="399">
        <v>-2559186.08</v>
      </c>
      <c r="M47" s="399"/>
      <c r="N47" s="399">
        <v>-2559186.08</v>
      </c>
      <c r="O47" s="213"/>
      <c r="P47" s="213">
        <f t="shared" si="3"/>
        <v>-2559186.08</v>
      </c>
      <c r="Q47" s="827"/>
      <c r="R47" s="827"/>
      <c r="S47" s="827"/>
      <c r="T47" s="827"/>
      <c r="U47" s="827"/>
      <c r="V47" s="827"/>
      <c r="W47" s="827"/>
      <c r="X47" s="827"/>
      <c r="Y47" s="827"/>
      <c r="Z47" s="827"/>
      <c r="AA47" s="827"/>
      <c r="AB47" s="827"/>
      <c r="AC47" s="870"/>
      <c r="AD47" s="870"/>
      <c r="AE47" s="870"/>
      <c r="AF47" s="870"/>
      <c r="AG47" s="870"/>
      <c r="AH47" s="870"/>
      <c r="AI47" s="870"/>
      <c r="AJ47" s="870"/>
      <c r="AK47" s="870"/>
      <c r="AL47" s="870"/>
      <c r="AM47" s="870"/>
      <c r="AN47" s="870"/>
      <c r="AO47" s="870"/>
      <c r="AP47" s="870"/>
      <c r="AQ47" s="870"/>
      <c r="AR47" s="870"/>
      <c r="AS47" s="870"/>
      <c r="AT47" s="870"/>
      <c r="AU47" s="870"/>
      <c r="AW47" s="399">
        <v>0</v>
      </c>
      <c r="AX47" s="213"/>
      <c r="AY47" s="213">
        <f t="shared" si="4"/>
        <v>0</v>
      </c>
    </row>
    <row r="48" spans="1:51" ht="15" customHeight="1" x14ac:dyDescent="0.25">
      <c r="A48" s="214"/>
      <c r="B48" s="214" t="s">
        <v>113</v>
      </c>
      <c r="C48" s="396">
        <v>3</v>
      </c>
      <c r="D48" s="396">
        <v>8050</v>
      </c>
      <c r="E48" s="397" t="s">
        <v>1390</v>
      </c>
      <c r="F48" s="396">
        <v>0</v>
      </c>
      <c r="G48" s="212">
        <v>-258904</v>
      </c>
      <c r="H48" s="212">
        <v>-241348</v>
      </c>
      <c r="I48" s="212"/>
      <c r="J48" s="399">
        <f t="shared" si="2"/>
        <v>-241348</v>
      </c>
      <c r="L48" s="399">
        <v>-241348</v>
      </c>
      <c r="M48" s="399"/>
      <c r="N48" s="399">
        <v>-334762</v>
      </c>
      <c r="O48" s="213"/>
      <c r="P48" s="213">
        <f t="shared" si="3"/>
        <v>-334762</v>
      </c>
      <c r="Q48" s="827"/>
      <c r="R48" s="827"/>
      <c r="S48" s="827"/>
      <c r="T48" s="827"/>
      <c r="U48" s="827"/>
      <c r="V48" s="827"/>
      <c r="W48" s="827"/>
      <c r="X48" s="827"/>
      <c r="Y48" s="827"/>
      <c r="Z48" s="827"/>
      <c r="AA48" s="827"/>
      <c r="AB48" s="827"/>
      <c r="AC48" s="870"/>
      <c r="AD48" s="870"/>
      <c r="AE48" s="870"/>
      <c r="AF48" s="870"/>
      <c r="AG48" s="870"/>
      <c r="AH48" s="870"/>
      <c r="AI48" s="870"/>
      <c r="AJ48" s="870"/>
      <c r="AK48" s="870"/>
      <c r="AL48" s="870"/>
      <c r="AM48" s="870"/>
      <c r="AN48" s="870"/>
      <c r="AO48" s="870"/>
      <c r="AP48" s="870"/>
      <c r="AQ48" s="870"/>
      <c r="AR48" s="870"/>
      <c r="AS48" s="870"/>
      <c r="AT48" s="870"/>
      <c r="AU48" s="870"/>
      <c r="AW48" s="572">
        <v>-409809</v>
      </c>
      <c r="AX48" s="213"/>
      <c r="AY48" s="213">
        <f t="shared" si="4"/>
        <v>-409809</v>
      </c>
    </row>
    <row r="49" spans="1:51" ht="15" customHeight="1" x14ac:dyDescent="0.25">
      <c r="A49" s="214"/>
      <c r="B49" s="214" t="s">
        <v>802</v>
      </c>
      <c r="C49" s="396">
        <v>3</v>
      </c>
      <c r="D49" s="396">
        <v>8050</v>
      </c>
      <c r="E49" s="397" t="s">
        <v>1391</v>
      </c>
      <c r="F49" s="396">
        <v>0</v>
      </c>
      <c r="G49" s="212">
        <v>-598819.07999999996</v>
      </c>
      <c r="H49" s="212">
        <v>-598819.07999999996</v>
      </c>
      <c r="I49" s="212"/>
      <c r="J49" s="399">
        <f t="shared" si="2"/>
        <v>-598819.07999999996</v>
      </c>
      <c r="L49" s="399">
        <v>-598819.07999999996</v>
      </c>
      <c r="M49" s="399"/>
      <c r="N49" s="399">
        <v>-598819.07999999996</v>
      </c>
      <c r="O49" s="213"/>
      <c r="P49" s="213">
        <f t="shared" si="3"/>
        <v>-598819.07999999996</v>
      </c>
      <c r="Q49" s="827"/>
      <c r="R49" s="827"/>
      <c r="S49" s="827"/>
      <c r="T49" s="827"/>
      <c r="U49" s="827"/>
      <c r="V49" s="827"/>
      <c r="W49" s="827"/>
      <c r="X49" s="827"/>
      <c r="Y49" s="827"/>
      <c r="Z49" s="827"/>
      <c r="AA49" s="827"/>
      <c r="AB49" s="827"/>
      <c r="AC49" s="870"/>
      <c r="AD49" s="870"/>
      <c r="AE49" s="870"/>
      <c r="AF49" s="870"/>
      <c r="AG49" s="870"/>
      <c r="AH49" s="870"/>
      <c r="AI49" s="870"/>
      <c r="AJ49" s="870"/>
      <c r="AK49" s="870"/>
      <c r="AL49" s="870"/>
      <c r="AM49" s="870"/>
      <c r="AN49" s="870"/>
      <c r="AO49" s="870"/>
      <c r="AP49" s="870"/>
      <c r="AQ49" s="870"/>
      <c r="AR49" s="870"/>
      <c r="AS49" s="870"/>
      <c r="AT49" s="870"/>
      <c r="AU49" s="870"/>
      <c r="AW49" s="399">
        <v>0</v>
      </c>
      <c r="AX49" s="213"/>
      <c r="AY49" s="213">
        <f t="shared" si="4"/>
        <v>0</v>
      </c>
    </row>
    <row r="50" spans="1:51" ht="15" customHeight="1" x14ac:dyDescent="0.25">
      <c r="A50" s="214"/>
      <c r="B50" s="214" t="s">
        <v>115</v>
      </c>
      <c r="C50" s="396">
        <v>3</v>
      </c>
      <c r="D50" s="396">
        <v>8050</v>
      </c>
      <c r="E50" s="397" t="s">
        <v>1392</v>
      </c>
      <c r="F50" s="396">
        <v>0</v>
      </c>
      <c r="G50" s="212">
        <v>-115967.2</v>
      </c>
      <c r="H50" s="212">
        <v>-96607.15</v>
      </c>
      <c r="I50" s="212"/>
      <c r="J50" s="399">
        <f t="shared" si="2"/>
        <v>-96607.15</v>
      </c>
      <c r="L50" s="399">
        <v>-96607.15</v>
      </c>
      <c r="M50" s="399"/>
      <c r="N50" s="399">
        <v>-96959.32</v>
      </c>
      <c r="O50" s="213"/>
      <c r="P50" s="213">
        <f t="shared" si="3"/>
        <v>-96959.32</v>
      </c>
      <c r="Q50" s="827"/>
      <c r="R50" s="827"/>
      <c r="S50" s="827"/>
      <c r="T50" s="827"/>
      <c r="U50" s="827"/>
      <c r="V50" s="827"/>
      <c r="W50" s="827"/>
      <c r="X50" s="827"/>
      <c r="Y50" s="827"/>
      <c r="Z50" s="827"/>
      <c r="AA50" s="827"/>
      <c r="AB50" s="827"/>
      <c r="AC50" s="870"/>
      <c r="AD50" s="870"/>
      <c r="AE50" s="870"/>
      <c r="AF50" s="870"/>
      <c r="AG50" s="870"/>
      <c r="AH50" s="870"/>
      <c r="AI50" s="870"/>
      <c r="AJ50" s="870"/>
      <c r="AK50" s="870"/>
      <c r="AL50" s="870"/>
      <c r="AM50" s="870"/>
      <c r="AN50" s="870"/>
      <c r="AO50" s="870"/>
      <c r="AP50" s="870"/>
      <c r="AQ50" s="870"/>
      <c r="AR50" s="870"/>
      <c r="AS50" s="870"/>
      <c r="AT50" s="870"/>
      <c r="AU50" s="870"/>
      <c r="AW50" s="572">
        <v>-101563.34</v>
      </c>
      <c r="AX50" s="213"/>
      <c r="AY50" s="213">
        <f t="shared" si="4"/>
        <v>-101563.34</v>
      </c>
    </row>
    <row r="51" spans="1:51" s="306" customFormat="1" ht="15" customHeight="1" x14ac:dyDescent="0.25">
      <c r="A51" s="214"/>
      <c r="B51" s="214" t="s">
        <v>1080</v>
      </c>
      <c r="C51" s="396">
        <v>3</v>
      </c>
      <c r="D51" s="396">
        <v>8050</v>
      </c>
      <c r="E51" s="397" t="s">
        <v>1395</v>
      </c>
      <c r="F51" s="396">
        <v>0</v>
      </c>
      <c r="G51" s="212">
        <v>-3869958.96</v>
      </c>
      <c r="H51" s="212">
        <v>-4724929.96</v>
      </c>
      <c r="I51" s="212"/>
      <c r="J51" s="399">
        <f t="shared" si="2"/>
        <v>-4724929.96</v>
      </c>
      <c r="K51" s="211"/>
      <c r="L51" s="399">
        <v>-4724929.96</v>
      </c>
      <c r="M51" s="399"/>
      <c r="N51" s="399">
        <v>-3690186.35</v>
      </c>
      <c r="O51" s="213"/>
      <c r="P51" s="213">
        <f t="shared" si="3"/>
        <v>-3690186.35</v>
      </c>
      <c r="Q51" s="827"/>
      <c r="R51" s="827"/>
      <c r="S51" s="827"/>
      <c r="T51" s="827"/>
      <c r="U51" s="827"/>
      <c r="V51" s="827"/>
      <c r="W51" s="827"/>
      <c r="X51" s="827"/>
      <c r="Y51" s="827"/>
      <c r="Z51" s="827"/>
      <c r="AA51" s="827"/>
      <c r="AB51" s="827"/>
      <c r="AC51" s="870"/>
      <c r="AD51" s="870"/>
      <c r="AE51" s="870"/>
      <c r="AF51" s="870"/>
      <c r="AG51" s="870"/>
      <c r="AH51" s="870"/>
      <c r="AI51" s="870"/>
      <c r="AJ51" s="870"/>
      <c r="AK51" s="870"/>
      <c r="AL51" s="870"/>
      <c r="AM51" s="870"/>
      <c r="AN51" s="870"/>
      <c r="AO51" s="870"/>
      <c r="AP51" s="870"/>
      <c r="AQ51" s="870"/>
      <c r="AR51" s="870"/>
      <c r="AS51" s="870"/>
      <c r="AT51" s="870"/>
      <c r="AU51" s="870"/>
      <c r="AW51" s="572">
        <v>-3309185</v>
      </c>
      <c r="AX51" s="213"/>
      <c r="AY51" s="213">
        <f t="shared" si="4"/>
        <v>-3309185</v>
      </c>
    </row>
    <row r="52" spans="1:51" s="306" customFormat="1" ht="15" customHeight="1" x14ac:dyDescent="0.25">
      <c r="A52" s="214"/>
      <c r="B52" s="214" t="s">
        <v>1396</v>
      </c>
      <c r="C52" s="396">
        <v>3</v>
      </c>
      <c r="D52" s="396">
        <v>8050</v>
      </c>
      <c r="E52" s="397" t="s">
        <v>1397</v>
      </c>
      <c r="F52" s="396">
        <v>0</v>
      </c>
      <c r="G52" s="212">
        <v>0</v>
      </c>
      <c r="H52" s="212">
        <v>0</v>
      </c>
      <c r="I52" s="212"/>
      <c r="J52" s="399">
        <f t="shared" si="2"/>
        <v>0</v>
      </c>
      <c r="K52" s="211"/>
      <c r="L52" s="399">
        <v>0</v>
      </c>
      <c r="M52" s="399"/>
      <c r="N52" s="399">
        <v>0</v>
      </c>
      <c r="O52" s="213"/>
      <c r="P52" s="213">
        <f t="shared" si="3"/>
        <v>0</v>
      </c>
      <c r="Q52" s="827"/>
      <c r="R52" s="827"/>
      <c r="S52" s="827"/>
      <c r="T52" s="827"/>
      <c r="U52" s="827"/>
      <c r="V52" s="827"/>
      <c r="W52" s="827"/>
      <c r="X52" s="827"/>
      <c r="Y52" s="827"/>
      <c r="Z52" s="827"/>
      <c r="AA52" s="827"/>
      <c r="AB52" s="827"/>
      <c r="AC52" s="870"/>
      <c r="AD52" s="870"/>
      <c r="AE52" s="870"/>
      <c r="AF52" s="870"/>
      <c r="AG52" s="870"/>
      <c r="AH52" s="870"/>
      <c r="AI52" s="870"/>
      <c r="AJ52" s="870"/>
      <c r="AK52" s="870"/>
      <c r="AL52" s="870"/>
      <c r="AM52" s="870"/>
      <c r="AN52" s="870"/>
      <c r="AO52" s="870"/>
      <c r="AP52" s="870"/>
      <c r="AQ52" s="870"/>
      <c r="AR52" s="870"/>
      <c r="AS52" s="870"/>
      <c r="AT52" s="870"/>
      <c r="AU52" s="870"/>
      <c r="AW52" s="399">
        <v>0</v>
      </c>
      <c r="AX52" s="213"/>
      <c r="AY52" s="213">
        <f t="shared" si="4"/>
        <v>0</v>
      </c>
    </row>
    <row r="53" spans="1:51" s="306" customFormat="1" ht="15" customHeight="1" x14ac:dyDescent="0.25">
      <c r="A53" s="214"/>
      <c r="B53" s="214" t="s">
        <v>2971</v>
      </c>
      <c r="C53" s="396">
        <v>3</v>
      </c>
      <c r="D53" s="396">
        <v>8050</v>
      </c>
      <c r="E53" s="397" t="s">
        <v>2972</v>
      </c>
      <c r="F53" s="396">
        <v>0</v>
      </c>
      <c r="G53" s="212"/>
      <c r="H53" s="212"/>
      <c r="I53" s="212"/>
      <c r="J53" s="399"/>
      <c r="K53" s="211"/>
      <c r="L53" s="399"/>
      <c r="M53" s="399"/>
      <c r="N53" s="399">
        <v>0</v>
      </c>
      <c r="O53" s="213"/>
      <c r="P53" s="213">
        <f t="shared" si="3"/>
        <v>0</v>
      </c>
      <c r="Q53" s="827"/>
      <c r="R53" s="827"/>
      <c r="S53" s="827"/>
      <c r="T53" s="827"/>
      <c r="U53" s="827"/>
      <c r="V53" s="827"/>
      <c r="W53" s="827"/>
      <c r="X53" s="827"/>
      <c r="Y53" s="827"/>
      <c r="Z53" s="827"/>
      <c r="AA53" s="827"/>
      <c r="AB53" s="827"/>
      <c r="AC53" s="870"/>
      <c r="AD53" s="870"/>
      <c r="AE53" s="870"/>
      <c r="AF53" s="870"/>
      <c r="AG53" s="870"/>
      <c r="AH53" s="870"/>
      <c r="AI53" s="870"/>
      <c r="AJ53" s="870"/>
      <c r="AK53" s="870"/>
      <c r="AL53" s="870"/>
      <c r="AM53" s="870"/>
      <c r="AN53" s="870"/>
      <c r="AO53" s="870"/>
      <c r="AP53" s="870"/>
      <c r="AQ53" s="870"/>
      <c r="AR53" s="870"/>
      <c r="AS53" s="870"/>
      <c r="AT53" s="870"/>
      <c r="AU53" s="870"/>
      <c r="AW53" s="399">
        <v>0</v>
      </c>
      <c r="AX53" s="213"/>
      <c r="AY53" s="213">
        <f t="shared" si="4"/>
        <v>0</v>
      </c>
    </row>
    <row r="54" spans="1:51" s="306" customFormat="1" ht="15" customHeight="1" x14ac:dyDescent="0.25">
      <c r="A54" s="214"/>
      <c r="B54" s="214" t="s">
        <v>1398</v>
      </c>
      <c r="C54" s="396">
        <v>3</v>
      </c>
      <c r="D54" s="396">
        <v>8050</v>
      </c>
      <c r="E54" s="397" t="s">
        <v>1399</v>
      </c>
      <c r="F54" s="396">
        <v>0</v>
      </c>
      <c r="G54" s="212"/>
      <c r="H54" s="212">
        <v>0</v>
      </c>
      <c r="I54" s="212"/>
      <c r="J54" s="399">
        <f t="shared" si="2"/>
        <v>0</v>
      </c>
      <c r="K54" s="211"/>
      <c r="L54" s="399">
        <v>0</v>
      </c>
      <c r="M54" s="399"/>
      <c r="N54" s="399">
        <v>0</v>
      </c>
      <c r="O54" s="213"/>
      <c r="P54" s="213">
        <f t="shared" si="3"/>
        <v>0</v>
      </c>
      <c r="Q54" s="827"/>
      <c r="R54" s="827"/>
      <c r="S54" s="827"/>
      <c r="T54" s="827"/>
      <c r="U54" s="827"/>
      <c r="V54" s="827"/>
      <c r="W54" s="827"/>
      <c r="X54" s="827"/>
      <c r="Y54" s="827"/>
      <c r="Z54" s="827"/>
      <c r="AA54" s="827"/>
      <c r="AB54" s="827"/>
      <c r="AC54" s="870"/>
      <c r="AD54" s="870"/>
      <c r="AE54" s="870"/>
      <c r="AF54" s="870"/>
      <c r="AG54" s="870"/>
      <c r="AH54" s="870"/>
      <c r="AI54" s="870"/>
      <c r="AJ54" s="870"/>
      <c r="AK54" s="870"/>
      <c r="AL54" s="870"/>
      <c r="AM54" s="870"/>
      <c r="AN54" s="870"/>
      <c r="AO54" s="870"/>
      <c r="AP54" s="870"/>
      <c r="AQ54" s="870"/>
      <c r="AR54" s="870"/>
      <c r="AS54" s="870"/>
      <c r="AT54" s="870"/>
      <c r="AU54" s="870"/>
      <c r="AW54" s="399">
        <v>0</v>
      </c>
      <c r="AX54" s="213"/>
      <c r="AY54" s="213">
        <f t="shared" si="4"/>
        <v>0</v>
      </c>
    </row>
    <row r="55" spans="1:51" s="306" customFormat="1" ht="15" customHeight="1" x14ac:dyDescent="0.25">
      <c r="A55" s="214"/>
      <c r="B55" s="214" t="s">
        <v>1401</v>
      </c>
      <c r="C55" s="396">
        <v>3</v>
      </c>
      <c r="D55" s="396">
        <v>8050</v>
      </c>
      <c r="E55" s="397" t="s">
        <v>1402</v>
      </c>
      <c r="F55" s="396">
        <v>0</v>
      </c>
      <c r="G55" s="212">
        <v>0</v>
      </c>
      <c r="H55" s="212">
        <v>-63159.57</v>
      </c>
      <c r="I55" s="212"/>
      <c r="J55" s="399">
        <f t="shared" si="2"/>
        <v>-63159.57</v>
      </c>
      <c r="K55" s="211"/>
      <c r="L55" s="399">
        <v>-63159.57</v>
      </c>
      <c r="M55" s="399"/>
      <c r="N55" s="399">
        <v>0</v>
      </c>
      <c r="O55" s="213"/>
      <c r="P55" s="213">
        <f t="shared" si="3"/>
        <v>0</v>
      </c>
      <c r="Q55" s="827"/>
      <c r="R55" s="827"/>
      <c r="S55" s="827"/>
      <c r="T55" s="827"/>
      <c r="U55" s="827"/>
      <c r="V55" s="827"/>
      <c r="W55" s="827"/>
      <c r="X55" s="827"/>
      <c r="Y55" s="827"/>
      <c r="Z55" s="827"/>
      <c r="AA55" s="827"/>
      <c r="AB55" s="827"/>
      <c r="AC55" s="870"/>
      <c r="AD55" s="870"/>
      <c r="AE55" s="870"/>
      <c r="AF55" s="870"/>
      <c r="AG55" s="870"/>
      <c r="AH55" s="870"/>
      <c r="AI55" s="870"/>
      <c r="AJ55" s="870"/>
      <c r="AK55" s="870"/>
      <c r="AL55" s="870"/>
      <c r="AM55" s="870"/>
      <c r="AN55" s="870"/>
      <c r="AO55" s="870"/>
      <c r="AP55" s="870"/>
      <c r="AQ55" s="870"/>
      <c r="AR55" s="870"/>
      <c r="AS55" s="870"/>
      <c r="AT55" s="870"/>
      <c r="AU55" s="870"/>
      <c r="AW55" s="399">
        <v>0</v>
      </c>
      <c r="AX55" s="213"/>
      <c r="AY55" s="213">
        <f t="shared" si="4"/>
        <v>0</v>
      </c>
    </row>
    <row r="56" spans="1:51" s="306" customFormat="1" ht="15" customHeight="1" x14ac:dyDescent="0.25">
      <c r="A56" s="214"/>
      <c r="B56" s="214" t="s">
        <v>1403</v>
      </c>
      <c r="C56" s="396">
        <v>3</v>
      </c>
      <c r="D56" s="396">
        <v>8050</v>
      </c>
      <c r="E56" s="397" t="s">
        <v>1404</v>
      </c>
      <c r="F56" s="396">
        <v>0</v>
      </c>
      <c r="G56" s="212">
        <v>0</v>
      </c>
      <c r="H56" s="212">
        <v>0</v>
      </c>
      <c r="I56" s="212"/>
      <c r="J56" s="399">
        <f t="shared" si="2"/>
        <v>0</v>
      </c>
      <c r="K56" s="211"/>
      <c r="L56" s="399">
        <v>0</v>
      </c>
      <c r="M56" s="399"/>
      <c r="N56" s="399">
        <v>0</v>
      </c>
      <c r="O56" s="213"/>
      <c r="P56" s="213">
        <f t="shared" si="3"/>
        <v>0</v>
      </c>
      <c r="Q56" s="827"/>
      <c r="R56" s="827"/>
      <c r="S56" s="827"/>
      <c r="T56" s="827"/>
      <c r="U56" s="827"/>
      <c r="V56" s="827"/>
      <c r="W56" s="827"/>
      <c r="X56" s="827"/>
      <c r="Y56" s="827"/>
      <c r="Z56" s="827"/>
      <c r="AA56" s="827"/>
      <c r="AB56" s="827"/>
      <c r="AC56" s="870"/>
      <c r="AD56" s="870"/>
      <c r="AE56" s="870"/>
      <c r="AF56" s="870"/>
      <c r="AG56" s="870"/>
      <c r="AH56" s="870"/>
      <c r="AI56" s="870"/>
      <c r="AJ56" s="870"/>
      <c r="AK56" s="870"/>
      <c r="AL56" s="870"/>
      <c r="AM56" s="870"/>
      <c r="AN56" s="870"/>
      <c r="AO56" s="870"/>
      <c r="AP56" s="870"/>
      <c r="AQ56" s="870"/>
      <c r="AR56" s="870"/>
      <c r="AS56" s="870"/>
      <c r="AT56" s="870"/>
      <c r="AU56" s="870"/>
      <c r="AW56" s="399">
        <v>0</v>
      </c>
      <c r="AX56" s="213"/>
      <c r="AY56" s="213">
        <f t="shared" si="4"/>
        <v>0</v>
      </c>
    </row>
    <row r="57" spans="1:51" s="306" customFormat="1" ht="15" customHeight="1" x14ac:dyDescent="0.25">
      <c r="A57" s="214"/>
      <c r="B57" s="214" t="s">
        <v>49</v>
      </c>
      <c r="C57" s="396">
        <v>3</v>
      </c>
      <c r="D57" s="396">
        <v>8050</v>
      </c>
      <c r="E57" s="397" t="s">
        <v>2974</v>
      </c>
      <c r="F57" s="396">
        <v>0</v>
      </c>
      <c r="G57" s="212"/>
      <c r="H57" s="212"/>
      <c r="I57" s="212"/>
      <c r="J57" s="399"/>
      <c r="K57" s="211"/>
      <c r="L57" s="399"/>
      <c r="M57" s="399"/>
      <c r="N57" s="399"/>
      <c r="O57" s="213"/>
      <c r="P57" s="213"/>
      <c r="Q57" s="827"/>
      <c r="R57" s="827"/>
      <c r="S57" s="827"/>
      <c r="T57" s="827"/>
      <c r="U57" s="827"/>
      <c r="V57" s="827"/>
      <c r="W57" s="827"/>
      <c r="X57" s="827"/>
      <c r="Y57" s="827"/>
      <c r="Z57" s="827"/>
      <c r="AA57" s="827"/>
      <c r="AB57" s="827"/>
      <c r="AC57" s="870"/>
      <c r="AD57" s="870"/>
      <c r="AE57" s="870"/>
      <c r="AF57" s="870"/>
      <c r="AG57" s="870"/>
      <c r="AH57" s="870"/>
      <c r="AI57" s="870"/>
      <c r="AJ57" s="870"/>
      <c r="AK57" s="870"/>
      <c r="AL57" s="870"/>
      <c r="AM57" s="870"/>
      <c r="AN57" s="870"/>
      <c r="AO57" s="870"/>
      <c r="AP57" s="870"/>
      <c r="AQ57" s="870"/>
      <c r="AR57" s="870"/>
      <c r="AS57" s="870"/>
      <c r="AT57" s="870"/>
      <c r="AU57" s="870"/>
      <c r="AW57" s="572">
        <v>-504471.1</v>
      </c>
      <c r="AX57" s="213"/>
      <c r="AY57" s="213">
        <f t="shared" si="4"/>
        <v>-504471.1</v>
      </c>
    </row>
    <row r="58" spans="1:51" s="306" customFormat="1" ht="15" customHeight="1" x14ac:dyDescent="0.25">
      <c r="A58" s="214"/>
      <c r="B58" s="214" t="s">
        <v>1405</v>
      </c>
      <c r="C58" s="396">
        <v>3</v>
      </c>
      <c r="D58" s="396">
        <v>8050</v>
      </c>
      <c r="E58" s="397" t="s">
        <v>1406</v>
      </c>
      <c r="F58" s="396">
        <v>0</v>
      </c>
      <c r="G58" s="212">
        <v>0</v>
      </c>
      <c r="H58" s="212">
        <v>0</v>
      </c>
      <c r="I58" s="212"/>
      <c r="J58" s="399">
        <f t="shared" si="2"/>
        <v>0</v>
      </c>
      <c r="K58" s="211"/>
      <c r="L58" s="399">
        <v>0</v>
      </c>
      <c r="M58" s="399"/>
      <c r="N58" s="399">
        <v>0</v>
      </c>
      <c r="O58" s="213"/>
      <c r="P58" s="213">
        <f t="shared" si="3"/>
        <v>0</v>
      </c>
      <c r="Q58" s="827"/>
      <c r="R58" s="827"/>
      <c r="S58" s="827"/>
      <c r="T58" s="827"/>
      <c r="U58" s="827"/>
      <c r="V58" s="827"/>
      <c r="W58" s="827"/>
      <c r="X58" s="827"/>
      <c r="Y58" s="827"/>
      <c r="Z58" s="827"/>
      <c r="AA58" s="827"/>
      <c r="AB58" s="827"/>
      <c r="AC58" s="870"/>
      <c r="AD58" s="870"/>
      <c r="AE58" s="870"/>
      <c r="AF58" s="870"/>
      <c r="AG58" s="870"/>
      <c r="AH58" s="870"/>
      <c r="AI58" s="870"/>
      <c r="AJ58" s="870"/>
      <c r="AK58" s="870"/>
      <c r="AL58" s="870"/>
      <c r="AM58" s="870"/>
      <c r="AN58" s="870"/>
      <c r="AO58" s="870"/>
      <c r="AP58" s="870"/>
      <c r="AQ58" s="870"/>
      <c r="AR58" s="870"/>
      <c r="AS58" s="870"/>
      <c r="AT58" s="870"/>
      <c r="AU58" s="870"/>
      <c r="AW58" s="399">
        <v>0</v>
      </c>
      <c r="AX58" s="213"/>
      <c r="AY58" s="213">
        <f t="shared" si="4"/>
        <v>0</v>
      </c>
    </row>
    <row r="59" spans="1:51" s="306" customFormat="1" ht="15" customHeight="1" x14ac:dyDescent="0.25">
      <c r="A59" s="214"/>
      <c r="B59" s="214" t="s">
        <v>217</v>
      </c>
      <c r="C59" s="396">
        <v>3</v>
      </c>
      <c r="D59" s="396">
        <v>8050</v>
      </c>
      <c r="E59" s="397" t="s">
        <v>1407</v>
      </c>
      <c r="F59" s="396">
        <v>0</v>
      </c>
      <c r="G59" s="212">
        <v>-2085416.23</v>
      </c>
      <c r="H59" s="212">
        <v>0</v>
      </c>
      <c r="I59" s="212"/>
      <c r="J59" s="399">
        <f t="shared" si="2"/>
        <v>0</v>
      </c>
      <c r="K59" s="211"/>
      <c r="L59" s="399">
        <v>0</v>
      </c>
      <c r="M59" s="399"/>
      <c r="N59" s="399">
        <v>0</v>
      </c>
      <c r="O59" s="213"/>
      <c r="P59" s="213">
        <f t="shared" si="3"/>
        <v>0</v>
      </c>
      <c r="Q59" s="827"/>
      <c r="R59" s="827"/>
      <c r="S59" s="827"/>
      <c r="T59" s="827"/>
      <c r="U59" s="827"/>
      <c r="V59" s="827"/>
      <c r="W59" s="827"/>
      <c r="X59" s="827"/>
      <c r="Y59" s="827"/>
      <c r="Z59" s="827"/>
      <c r="AA59" s="827"/>
      <c r="AB59" s="827"/>
      <c r="AC59" s="870"/>
      <c r="AD59" s="870"/>
      <c r="AE59" s="870"/>
      <c r="AF59" s="870"/>
      <c r="AG59" s="870"/>
      <c r="AH59" s="870"/>
      <c r="AI59" s="870"/>
      <c r="AJ59" s="870"/>
      <c r="AK59" s="870"/>
      <c r="AL59" s="870"/>
      <c r="AM59" s="870"/>
      <c r="AN59" s="870"/>
      <c r="AO59" s="870"/>
      <c r="AP59" s="870"/>
      <c r="AQ59" s="870"/>
      <c r="AR59" s="870"/>
      <c r="AS59" s="870"/>
      <c r="AT59" s="870"/>
      <c r="AU59" s="870"/>
      <c r="AW59" s="572">
        <f>-3050339.84+1287220.13-238155.39</f>
        <v>-2001275.1</v>
      </c>
      <c r="AX59" s="213"/>
      <c r="AY59" s="213">
        <f t="shared" si="4"/>
        <v>-2001275.1</v>
      </c>
    </row>
    <row r="60" spans="1:51" s="306" customFormat="1" ht="15" customHeight="1" x14ac:dyDescent="0.25">
      <c r="A60" s="214"/>
      <c r="B60" s="214" t="s">
        <v>1408</v>
      </c>
      <c r="C60" s="396">
        <v>3</v>
      </c>
      <c r="D60" s="396">
        <v>8050</v>
      </c>
      <c r="E60" s="397" t="s">
        <v>1409</v>
      </c>
      <c r="F60" s="396">
        <v>0</v>
      </c>
      <c r="G60" s="212">
        <v>0</v>
      </c>
      <c r="H60" s="212">
        <v>0</v>
      </c>
      <c r="I60" s="212"/>
      <c r="J60" s="399">
        <f t="shared" si="2"/>
        <v>0</v>
      </c>
      <c r="K60" s="211"/>
      <c r="L60" s="399">
        <v>0</v>
      </c>
      <c r="M60" s="399"/>
      <c r="N60" s="399">
        <v>0</v>
      </c>
      <c r="O60" s="213"/>
      <c r="P60" s="213">
        <f t="shared" si="3"/>
        <v>0</v>
      </c>
      <c r="Q60" s="827"/>
      <c r="R60" s="827"/>
      <c r="S60" s="827"/>
      <c r="T60" s="827"/>
      <c r="U60" s="827"/>
      <c r="V60" s="827"/>
      <c r="W60" s="827"/>
      <c r="X60" s="827"/>
      <c r="Y60" s="827"/>
      <c r="Z60" s="827"/>
      <c r="AA60" s="827"/>
      <c r="AB60" s="827"/>
      <c r="AC60" s="870"/>
      <c r="AD60" s="870"/>
      <c r="AE60" s="870"/>
      <c r="AF60" s="870"/>
      <c r="AG60" s="870"/>
      <c r="AH60" s="870"/>
      <c r="AI60" s="870"/>
      <c r="AJ60" s="870"/>
      <c r="AK60" s="870"/>
      <c r="AL60" s="870"/>
      <c r="AM60" s="870"/>
      <c r="AN60" s="870"/>
      <c r="AO60" s="870"/>
      <c r="AP60" s="870"/>
      <c r="AQ60" s="870"/>
      <c r="AR60" s="870"/>
      <c r="AS60" s="870"/>
      <c r="AT60" s="870"/>
      <c r="AU60" s="870"/>
      <c r="AW60" s="399">
        <v>0</v>
      </c>
      <c r="AX60" s="213"/>
      <c r="AY60" s="213">
        <f t="shared" si="4"/>
        <v>0</v>
      </c>
    </row>
    <row r="61" spans="1:51" s="306" customFormat="1" ht="15" customHeight="1" x14ac:dyDescent="0.25">
      <c r="A61" s="214"/>
      <c r="B61" s="214" t="s">
        <v>1410</v>
      </c>
      <c r="C61" s="396">
        <v>3</v>
      </c>
      <c r="D61" s="396">
        <v>8050</v>
      </c>
      <c r="E61" s="397" t="s">
        <v>1411</v>
      </c>
      <c r="F61" s="396">
        <v>0</v>
      </c>
      <c r="G61" s="212">
        <v>0</v>
      </c>
      <c r="H61" s="212">
        <v>0</v>
      </c>
      <c r="I61" s="212"/>
      <c r="J61" s="399">
        <f t="shared" si="2"/>
        <v>0</v>
      </c>
      <c r="K61" s="211"/>
      <c r="L61" s="399">
        <v>0</v>
      </c>
      <c r="M61" s="399"/>
      <c r="N61" s="399">
        <v>0</v>
      </c>
      <c r="O61" s="213"/>
      <c r="P61" s="213">
        <f t="shared" si="3"/>
        <v>0</v>
      </c>
      <c r="Q61" s="827"/>
      <c r="R61" s="827"/>
      <c r="S61" s="827"/>
      <c r="T61" s="827"/>
      <c r="U61" s="827"/>
      <c r="V61" s="827"/>
      <c r="W61" s="827"/>
      <c r="X61" s="827"/>
      <c r="Y61" s="827"/>
      <c r="Z61" s="827"/>
      <c r="AA61" s="827"/>
      <c r="AB61" s="827"/>
      <c r="AC61" s="870"/>
      <c r="AD61" s="870"/>
      <c r="AE61" s="870"/>
      <c r="AF61" s="870"/>
      <c r="AG61" s="870"/>
      <c r="AH61" s="870"/>
      <c r="AI61" s="870"/>
      <c r="AJ61" s="870"/>
      <c r="AK61" s="870"/>
      <c r="AL61" s="870"/>
      <c r="AM61" s="870"/>
      <c r="AN61" s="870"/>
      <c r="AO61" s="870"/>
      <c r="AP61" s="870"/>
      <c r="AQ61" s="870"/>
      <c r="AR61" s="870"/>
      <c r="AS61" s="870"/>
      <c r="AT61" s="870"/>
      <c r="AU61" s="870"/>
      <c r="AW61" s="399">
        <v>0</v>
      </c>
      <c r="AX61" s="213"/>
      <c r="AY61" s="213">
        <f t="shared" si="4"/>
        <v>0</v>
      </c>
    </row>
    <row r="62" spans="1:51" s="306" customFormat="1" ht="15" customHeight="1" x14ac:dyDescent="0.25">
      <c r="A62" s="214"/>
      <c r="B62" s="214" t="s">
        <v>1412</v>
      </c>
      <c r="C62" s="396">
        <v>3</v>
      </c>
      <c r="D62" s="396">
        <v>8050</v>
      </c>
      <c r="E62" s="397" t="s">
        <v>1413</v>
      </c>
      <c r="F62" s="396">
        <v>0</v>
      </c>
      <c r="G62" s="212">
        <v>0</v>
      </c>
      <c r="H62" s="212">
        <v>0</v>
      </c>
      <c r="I62" s="212"/>
      <c r="J62" s="399">
        <f t="shared" si="2"/>
        <v>0</v>
      </c>
      <c r="K62" s="211"/>
      <c r="L62" s="399">
        <v>0</v>
      </c>
      <c r="M62" s="399"/>
      <c r="N62" s="399">
        <v>0</v>
      </c>
      <c r="O62" s="213"/>
      <c r="P62" s="213">
        <f t="shared" si="3"/>
        <v>0</v>
      </c>
      <c r="Q62" s="827"/>
      <c r="R62" s="827"/>
      <c r="S62" s="827"/>
      <c r="T62" s="827"/>
      <c r="U62" s="827"/>
      <c r="V62" s="827"/>
      <c r="W62" s="827"/>
      <c r="X62" s="827"/>
      <c r="Y62" s="827"/>
      <c r="Z62" s="827"/>
      <c r="AA62" s="827"/>
      <c r="AB62" s="827"/>
      <c r="AC62" s="870"/>
      <c r="AD62" s="870"/>
      <c r="AE62" s="870"/>
      <c r="AF62" s="870"/>
      <c r="AG62" s="870"/>
      <c r="AH62" s="870"/>
      <c r="AI62" s="870"/>
      <c r="AJ62" s="870"/>
      <c r="AK62" s="870"/>
      <c r="AL62" s="870"/>
      <c r="AM62" s="870"/>
      <c r="AN62" s="870"/>
      <c r="AO62" s="870"/>
      <c r="AP62" s="870"/>
      <c r="AQ62" s="870"/>
      <c r="AR62" s="870"/>
      <c r="AS62" s="870"/>
      <c r="AT62" s="870"/>
      <c r="AU62" s="870"/>
      <c r="AW62" s="399">
        <v>0</v>
      </c>
      <c r="AX62" s="213"/>
      <c r="AY62" s="213">
        <f t="shared" si="4"/>
        <v>0</v>
      </c>
    </row>
    <row r="63" spans="1:51" ht="15" customHeight="1" x14ac:dyDescent="0.25">
      <c r="A63" s="214"/>
      <c r="B63" s="214" t="s">
        <v>3006</v>
      </c>
      <c r="C63" s="396">
        <v>3</v>
      </c>
      <c r="D63" s="396">
        <v>8050</v>
      </c>
      <c r="E63" s="397" t="s">
        <v>1414</v>
      </c>
      <c r="F63" s="396">
        <v>0</v>
      </c>
      <c r="G63" s="212">
        <v>0</v>
      </c>
      <c r="H63" s="212">
        <v>0</v>
      </c>
      <c r="I63" s="212"/>
      <c r="J63" s="399">
        <f t="shared" si="2"/>
        <v>0</v>
      </c>
      <c r="L63" s="399">
        <v>0</v>
      </c>
      <c r="M63" s="399"/>
      <c r="N63" s="399">
        <v>-184099.36</v>
      </c>
      <c r="O63" s="213"/>
      <c r="P63" s="213">
        <f t="shared" si="3"/>
        <v>-184099.36</v>
      </c>
      <c r="Q63" s="827"/>
      <c r="R63" s="827"/>
      <c r="S63" s="827"/>
      <c r="T63" s="827"/>
      <c r="U63" s="827"/>
      <c r="V63" s="827"/>
      <c r="W63" s="827"/>
      <c r="X63" s="827"/>
      <c r="Y63" s="827"/>
      <c r="Z63" s="827"/>
      <c r="AA63" s="827"/>
      <c r="AB63" s="827"/>
      <c r="AC63" s="870"/>
      <c r="AD63" s="870"/>
      <c r="AE63" s="870"/>
      <c r="AF63" s="870"/>
      <c r="AG63" s="870"/>
      <c r="AH63" s="870"/>
      <c r="AI63" s="870"/>
      <c r="AJ63" s="870"/>
      <c r="AK63" s="870"/>
      <c r="AL63" s="870"/>
      <c r="AM63" s="870"/>
      <c r="AN63" s="870"/>
      <c r="AO63" s="870"/>
      <c r="AP63" s="870"/>
      <c r="AQ63" s="870"/>
      <c r="AR63" s="870"/>
      <c r="AS63" s="870"/>
      <c r="AT63" s="870"/>
      <c r="AU63" s="870"/>
      <c r="AW63" s="399">
        <v>0</v>
      </c>
      <c r="AX63" s="213"/>
      <c r="AY63" s="213">
        <f t="shared" si="4"/>
        <v>0</v>
      </c>
    </row>
    <row r="64" spans="1:51" ht="15" customHeight="1" x14ac:dyDescent="0.25">
      <c r="A64" s="214"/>
      <c r="B64" s="214" t="s">
        <v>1415</v>
      </c>
      <c r="C64" s="396">
        <v>3</v>
      </c>
      <c r="D64" s="396">
        <v>8050</v>
      </c>
      <c r="E64" s="397" t="s">
        <v>1416</v>
      </c>
      <c r="F64" s="396">
        <v>0</v>
      </c>
      <c r="G64" s="212">
        <v>0</v>
      </c>
      <c r="H64" s="212">
        <v>0</v>
      </c>
      <c r="I64" s="212"/>
      <c r="J64" s="399">
        <f t="shared" si="2"/>
        <v>0</v>
      </c>
      <c r="L64" s="399">
        <v>0</v>
      </c>
      <c r="M64" s="399"/>
      <c r="N64" s="399">
        <v>0</v>
      </c>
      <c r="O64" s="213"/>
      <c r="P64" s="213">
        <f t="shared" si="3"/>
        <v>0</v>
      </c>
      <c r="Q64" s="827"/>
      <c r="R64" s="827"/>
      <c r="S64" s="827"/>
      <c r="T64" s="827"/>
      <c r="U64" s="827"/>
      <c r="V64" s="827"/>
      <c r="W64" s="827"/>
      <c r="X64" s="827"/>
      <c r="Y64" s="827"/>
      <c r="Z64" s="827"/>
      <c r="AA64" s="827"/>
      <c r="AB64" s="827"/>
      <c r="AC64" s="870"/>
      <c r="AD64" s="870"/>
      <c r="AE64" s="870"/>
      <c r="AF64" s="870"/>
      <c r="AG64" s="870"/>
      <c r="AH64" s="870"/>
      <c r="AI64" s="870"/>
      <c r="AJ64" s="870"/>
      <c r="AK64" s="870"/>
      <c r="AL64" s="870"/>
      <c r="AM64" s="870"/>
      <c r="AN64" s="870"/>
      <c r="AO64" s="870"/>
      <c r="AP64" s="870"/>
      <c r="AQ64" s="870"/>
      <c r="AR64" s="870"/>
      <c r="AS64" s="870"/>
      <c r="AT64" s="870"/>
      <c r="AU64" s="870"/>
      <c r="AW64" s="399">
        <v>0</v>
      </c>
      <c r="AX64" s="213"/>
      <c r="AY64" s="213">
        <f t="shared" si="4"/>
        <v>0</v>
      </c>
    </row>
    <row r="65" spans="1:51" ht="15" customHeight="1" x14ac:dyDescent="0.25">
      <c r="A65" s="214"/>
      <c r="B65" s="214" t="s">
        <v>1417</v>
      </c>
      <c r="C65" s="396">
        <v>3</v>
      </c>
      <c r="D65" s="396">
        <v>8050</v>
      </c>
      <c r="E65" s="397" t="s">
        <v>1418</v>
      </c>
      <c r="F65" s="396">
        <v>0</v>
      </c>
      <c r="G65" s="212">
        <v>0</v>
      </c>
      <c r="H65" s="212">
        <v>0</v>
      </c>
      <c r="I65" s="212"/>
      <c r="J65" s="399">
        <f t="shared" si="2"/>
        <v>0</v>
      </c>
      <c r="L65" s="399">
        <v>0</v>
      </c>
      <c r="M65" s="399"/>
      <c r="N65" s="399">
        <v>0</v>
      </c>
      <c r="O65" s="213"/>
      <c r="P65" s="213">
        <f t="shared" si="3"/>
        <v>0</v>
      </c>
      <c r="Q65" s="827"/>
      <c r="R65" s="827"/>
      <c r="S65" s="827"/>
      <c r="T65" s="827"/>
      <c r="U65" s="827"/>
      <c r="V65" s="827"/>
      <c r="W65" s="827"/>
      <c r="X65" s="827"/>
      <c r="Y65" s="827"/>
      <c r="Z65" s="827"/>
      <c r="AA65" s="827"/>
      <c r="AB65" s="827"/>
      <c r="AC65" s="870"/>
      <c r="AD65" s="870"/>
      <c r="AE65" s="870"/>
      <c r="AF65" s="870"/>
      <c r="AG65" s="870"/>
      <c r="AH65" s="870"/>
      <c r="AI65" s="870"/>
      <c r="AJ65" s="870"/>
      <c r="AK65" s="870"/>
      <c r="AL65" s="870"/>
      <c r="AM65" s="870"/>
      <c r="AN65" s="870"/>
      <c r="AO65" s="870"/>
      <c r="AP65" s="870"/>
      <c r="AQ65" s="870"/>
      <c r="AR65" s="870"/>
      <c r="AS65" s="870"/>
      <c r="AT65" s="870"/>
      <c r="AU65" s="870"/>
      <c r="AW65" s="399">
        <v>0</v>
      </c>
      <c r="AX65" s="213"/>
      <c r="AY65" s="213">
        <f t="shared" si="4"/>
        <v>0</v>
      </c>
    </row>
    <row r="66" spans="1:51" ht="15" customHeight="1" x14ac:dyDescent="0.25">
      <c r="A66" s="214"/>
      <c r="B66" s="214" t="s">
        <v>1419</v>
      </c>
      <c r="C66" s="396">
        <v>3</v>
      </c>
      <c r="D66" s="396">
        <v>8050</v>
      </c>
      <c r="E66" s="397" t="s">
        <v>1418</v>
      </c>
      <c r="F66" s="396">
        <v>0</v>
      </c>
      <c r="G66" s="212">
        <v>0</v>
      </c>
      <c r="H66" s="212">
        <v>0</v>
      </c>
      <c r="I66" s="212"/>
      <c r="J66" s="399">
        <f t="shared" si="2"/>
        <v>0</v>
      </c>
      <c r="L66" s="399">
        <v>0</v>
      </c>
      <c r="M66" s="399"/>
      <c r="N66" s="399">
        <v>0</v>
      </c>
      <c r="O66" s="213"/>
      <c r="P66" s="213">
        <f t="shared" si="3"/>
        <v>0</v>
      </c>
      <c r="Q66" s="827"/>
      <c r="R66" s="827"/>
      <c r="S66" s="827"/>
      <c r="T66" s="827"/>
      <c r="U66" s="827"/>
      <c r="V66" s="827"/>
      <c r="W66" s="827"/>
      <c r="X66" s="827"/>
      <c r="Y66" s="827"/>
      <c r="Z66" s="827"/>
      <c r="AA66" s="827"/>
      <c r="AB66" s="827"/>
      <c r="AC66" s="870"/>
      <c r="AD66" s="870"/>
      <c r="AE66" s="870"/>
      <c r="AF66" s="870"/>
      <c r="AG66" s="870"/>
      <c r="AH66" s="870"/>
      <c r="AI66" s="870"/>
      <c r="AJ66" s="870"/>
      <c r="AK66" s="870"/>
      <c r="AL66" s="870"/>
      <c r="AM66" s="870"/>
      <c r="AN66" s="870"/>
      <c r="AO66" s="870"/>
      <c r="AP66" s="870"/>
      <c r="AQ66" s="870"/>
      <c r="AR66" s="870"/>
      <c r="AS66" s="870"/>
      <c r="AT66" s="870"/>
      <c r="AU66" s="870"/>
      <c r="AW66" s="399">
        <v>0</v>
      </c>
      <c r="AX66" s="213"/>
      <c r="AY66" s="213">
        <f t="shared" si="4"/>
        <v>0</v>
      </c>
    </row>
    <row r="67" spans="1:51" ht="15" customHeight="1" x14ac:dyDescent="0.25">
      <c r="A67" s="214"/>
      <c r="B67" s="214" t="s">
        <v>1420</v>
      </c>
      <c r="C67" s="396">
        <v>3</v>
      </c>
      <c r="D67" s="396">
        <v>8050</v>
      </c>
      <c r="E67" s="397" t="s">
        <v>1421</v>
      </c>
      <c r="F67" s="396">
        <v>0</v>
      </c>
      <c r="G67" s="212">
        <v>0</v>
      </c>
      <c r="H67" s="212">
        <v>0</v>
      </c>
      <c r="I67" s="212"/>
      <c r="J67" s="399">
        <f t="shared" si="2"/>
        <v>0</v>
      </c>
      <c r="L67" s="399">
        <v>0</v>
      </c>
      <c r="M67" s="399"/>
      <c r="N67" s="399">
        <v>0</v>
      </c>
      <c r="O67" s="213"/>
      <c r="P67" s="213">
        <f t="shared" si="3"/>
        <v>0</v>
      </c>
      <c r="Q67" s="827"/>
      <c r="R67" s="827"/>
      <c r="S67" s="827"/>
      <c r="T67" s="827"/>
      <c r="U67" s="827"/>
      <c r="V67" s="827"/>
      <c r="W67" s="827"/>
      <c r="X67" s="827"/>
      <c r="Y67" s="827"/>
      <c r="Z67" s="827"/>
      <c r="AA67" s="827"/>
      <c r="AB67" s="827"/>
      <c r="AC67" s="870"/>
      <c r="AD67" s="870"/>
      <c r="AE67" s="870"/>
      <c r="AF67" s="870"/>
      <c r="AG67" s="870"/>
      <c r="AH67" s="870"/>
      <c r="AI67" s="870"/>
      <c r="AJ67" s="870"/>
      <c r="AK67" s="870"/>
      <c r="AL67" s="870"/>
      <c r="AM67" s="870"/>
      <c r="AN67" s="870"/>
      <c r="AO67" s="870"/>
      <c r="AP67" s="870"/>
      <c r="AQ67" s="870"/>
      <c r="AR67" s="870"/>
      <c r="AS67" s="870"/>
      <c r="AT67" s="870"/>
      <c r="AU67" s="870"/>
      <c r="AW67" s="399">
        <v>0</v>
      </c>
      <c r="AX67" s="213"/>
      <c r="AY67" s="213">
        <f t="shared" si="4"/>
        <v>0</v>
      </c>
    </row>
    <row r="68" spans="1:51" ht="15" customHeight="1" x14ac:dyDescent="0.25">
      <c r="A68" s="214"/>
      <c r="B68" s="214" t="s">
        <v>1422</v>
      </c>
      <c r="C68" s="396">
        <v>3</v>
      </c>
      <c r="D68" s="396">
        <v>8050</v>
      </c>
      <c r="E68" s="397" t="s">
        <v>1423</v>
      </c>
      <c r="F68" s="396">
        <v>0</v>
      </c>
      <c r="G68" s="212">
        <v>0</v>
      </c>
      <c r="H68" s="212">
        <v>0</v>
      </c>
      <c r="I68" s="212"/>
      <c r="J68" s="399">
        <f t="shared" si="2"/>
        <v>0</v>
      </c>
      <c r="L68" s="399">
        <v>0</v>
      </c>
      <c r="M68" s="399"/>
      <c r="N68" s="399">
        <v>0</v>
      </c>
      <c r="O68" s="213"/>
      <c r="P68" s="213">
        <f t="shared" si="3"/>
        <v>0</v>
      </c>
      <c r="Q68" s="827"/>
      <c r="R68" s="827"/>
      <c r="S68" s="827"/>
      <c r="T68" s="827"/>
      <c r="U68" s="827"/>
      <c r="V68" s="827"/>
      <c r="W68" s="827"/>
      <c r="X68" s="827"/>
      <c r="Y68" s="827"/>
      <c r="Z68" s="827"/>
      <c r="AA68" s="827"/>
      <c r="AB68" s="827"/>
      <c r="AC68" s="870"/>
      <c r="AD68" s="870"/>
      <c r="AE68" s="870"/>
      <c r="AF68" s="870"/>
      <c r="AG68" s="870"/>
      <c r="AH68" s="870"/>
      <c r="AI68" s="870"/>
      <c r="AJ68" s="870"/>
      <c r="AK68" s="870"/>
      <c r="AL68" s="870"/>
      <c r="AM68" s="870"/>
      <c r="AN68" s="870"/>
      <c r="AO68" s="870"/>
      <c r="AP68" s="870"/>
      <c r="AQ68" s="870"/>
      <c r="AR68" s="870"/>
      <c r="AS68" s="870"/>
      <c r="AT68" s="870"/>
      <c r="AU68" s="870"/>
      <c r="AW68" s="399">
        <v>0</v>
      </c>
      <c r="AX68" s="213"/>
      <c r="AY68" s="213">
        <f t="shared" si="4"/>
        <v>0</v>
      </c>
    </row>
    <row r="69" spans="1:51" ht="15" customHeight="1" x14ac:dyDescent="0.25">
      <c r="A69" s="214"/>
      <c r="B69" s="214" t="s">
        <v>1424</v>
      </c>
      <c r="C69" s="396">
        <v>3</v>
      </c>
      <c r="D69" s="396">
        <v>8050</v>
      </c>
      <c r="E69" s="397" t="s">
        <v>1425</v>
      </c>
      <c r="F69" s="396">
        <v>0</v>
      </c>
      <c r="G69" s="212">
        <v>0</v>
      </c>
      <c r="H69" s="212">
        <v>0</v>
      </c>
      <c r="I69" s="212"/>
      <c r="J69" s="399">
        <f t="shared" si="2"/>
        <v>0</v>
      </c>
      <c r="L69" s="399">
        <v>0</v>
      </c>
      <c r="M69" s="399"/>
      <c r="N69" s="399">
        <v>0</v>
      </c>
      <c r="O69" s="213"/>
      <c r="P69" s="213">
        <f t="shared" si="3"/>
        <v>0</v>
      </c>
      <c r="Q69" s="827"/>
      <c r="R69" s="827"/>
      <c r="S69" s="827"/>
      <c r="T69" s="827"/>
      <c r="U69" s="827"/>
      <c r="V69" s="827"/>
      <c r="W69" s="827"/>
      <c r="X69" s="827"/>
      <c r="Y69" s="827"/>
      <c r="Z69" s="827"/>
      <c r="AA69" s="827"/>
      <c r="AB69" s="827"/>
      <c r="AC69" s="870"/>
      <c r="AD69" s="870"/>
      <c r="AE69" s="870"/>
      <c r="AF69" s="870"/>
      <c r="AG69" s="870"/>
      <c r="AH69" s="870"/>
      <c r="AI69" s="870"/>
      <c r="AJ69" s="870"/>
      <c r="AK69" s="870"/>
      <c r="AL69" s="870"/>
      <c r="AM69" s="870"/>
      <c r="AN69" s="870"/>
      <c r="AO69" s="870"/>
      <c r="AP69" s="870"/>
      <c r="AQ69" s="870"/>
      <c r="AR69" s="870"/>
      <c r="AS69" s="870"/>
      <c r="AT69" s="870"/>
      <c r="AU69" s="870"/>
      <c r="AW69" s="399">
        <v>0</v>
      </c>
      <c r="AX69" s="213"/>
      <c r="AY69" s="213">
        <f t="shared" si="4"/>
        <v>0</v>
      </c>
    </row>
    <row r="70" spans="1:51" ht="15" customHeight="1" x14ac:dyDescent="0.25">
      <c r="A70" s="214"/>
      <c r="B70" s="214" t="s">
        <v>1426</v>
      </c>
      <c r="C70" s="396">
        <v>3</v>
      </c>
      <c r="D70" s="396">
        <v>8050</v>
      </c>
      <c r="E70" s="397" t="s">
        <v>1427</v>
      </c>
      <c r="F70" s="396">
        <v>0</v>
      </c>
      <c r="G70" s="212">
        <v>0</v>
      </c>
      <c r="H70" s="212">
        <v>0</v>
      </c>
      <c r="I70" s="212"/>
      <c r="J70" s="399">
        <f t="shared" si="2"/>
        <v>0</v>
      </c>
      <c r="L70" s="399">
        <v>0</v>
      </c>
      <c r="M70" s="399"/>
      <c r="N70" s="399">
        <v>0</v>
      </c>
      <c r="O70" s="213"/>
      <c r="P70" s="213">
        <f t="shared" si="3"/>
        <v>0</v>
      </c>
      <c r="Q70" s="827"/>
      <c r="R70" s="827"/>
      <c r="S70" s="827"/>
      <c r="T70" s="827"/>
      <c r="U70" s="827"/>
      <c r="V70" s="827"/>
      <c r="W70" s="827"/>
      <c r="X70" s="827"/>
      <c r="Y70" s="827"/>
      <c r="Z70" s="827"/>
      <c r="AA70" s="827"/>
      <c r="AB70" s="827"/>
      <c r="AC70" s="870"/>
      <c r="AD70" s="870"/>
      <c r="AE70" s="870"/>
      <c r="AF70" s="870"/>
      <c r="AG70" s="870"/>
      <c r="AH70" s="870"/>
      <c r="AI70" s="870"/>
      <c r="AJ70" s="870"/>
      <c r="AK70" s="870"/>
      <c r="AL70" s="870"/>
      <c r="AM70" s="870"/>
      <c r="AN70" s="870"/>
      <c r="AO70" s="870"/>
      <c r="AP70" s="870"/>
      <c r="AQ70" s="870"/>
      <c r="AR70" s="870"/>
      <c r="AS70" s="870"/>
      <c r="AT70" s="870"/>
      <c r="AU70" s="870"/>
      <c r="AW70" s="399">
        <v>0</v>
      </c>
      <c r="AX70" s="213"/>
      <c r="AY70" s="213">
        <f t="shared" si="4"/>
        <v>0</v>
      </c>
    </row>
    <row r="71" spans="1:51" ht="15" customHeight="1" x14ac:dyDescent="0.25">
      <c r="A71" s="214"/>
      <c r="B71" s="214" t="s">
        <v>1428</v>
      </c>
      <c r="C71" s="396">
        <v>3</v>
      </c>
      <c r="D71" s="396">
        <v>8050</v>
      </c>
      <c r="E71" s="397" t="s">
        <v>1429</v>
      </c>
      <c r="F71" s="396">
        <v>0</v>
      </c>
      <c r="G71" s="212">
        <v>0</v>
      </c>
      <c r="H71" s="212">
        <v>0</v>
      </c>
      <c r="I71" s="212"/>
      <c r="J71" s="399">
        <f t="shared" si="2"/>
        <v>0</v>
      </c>
      <c r="L71" s="399">
        <v>0</v>
      </c>
      <c r="M71" s="399"/>
      <c r="N71" s="399">
        <v>0</v>
      </c>
      <c r="O71" s="213"/>
      <c r="P71" s="213">
        <f t="shared" si="3"/>
        <v>0</v>
      </c>
      <c r="Q71" s="827"/>
      <c r="R71" s="827"/>
      <c r="S71" s="827"/>
      <c r="T71" s="827"/>
      <c r="U71" s="827"/>
      <c r="V71" s="827"/>
      <c r="W71" s="827"/>
      <c r="X71" s="827"/>
      <c r="Y71" s="827"/>
      <c r="Z71" s="827"/>
      <c r="AA71" s="827"/>
      <c r="AB71" s="827"/>
      <c r="AC71" s="870"/>
      <c r="AD71" s="870"/>
      <c r="AE71" s="870"/>
      <c r="AF71" s="870"/>
      <c r="AG71" s="870"/>
      <c r="AH71" s="870"/>
      <c r="AI71" s="870"/>
      <c r="AJ71" s="870"/>
      <c r="AK71" s="870"/>
      <c r="AL71" s="870"/>
      <c r="AM71" s="870"/>
      <c r="AN71" s="870"/>
      <c r="AO71" s="870"/>
      <c r="AP71" s="870"/>
      <c r="AQ71" s="870"/>
      <c r="AR71" s="870"/>
      <c r="AS71" s="870"/>
      <c r="AT71" s="870"/>
      <c r="AU71" s="870"/>
      <c r="AW71" s="399">
        <v>0</v>
      </c>
      <c r="AX71" s="213"/>
      <c r="AY71" s="213">
        <f t="shared" si="4"/>
        <v>0</v>
      </c>
    </row>
    <row r="72" spans="1:51" ht="15" customHeight="1" x14ac:dyDescent="0.25">
      <c r="A72" s="214"/>
      <c r="B72" s="214" t="s">
        <v>1430</v>
      </c>
      <c r="C72" s="396">
        <v>3</v>
      </c>
      <c r="D72" s="396">
        <v>8050</v>
      </c>
      <c r="E72" s="397" t="s">
        <v>1431</v>
      </c>
      <c r="F72" s="396">
        <v>0</v>
      </c>
      <c r="G72" s="212">
        <v>0</v>
      </c>
      <c r="H72" s="212">
        <v>0</v>
      </c>
      <c r="I72" s="212"/>
      <c r="J72" s="399">
        <f t="shared" si="2"/>
        <v>0</v>
      </c>
      <c r="L72" s="399">
        <v>0</v>
      </c>
      <c r="M72" s="399"/>
      <c r="N72" s="399">
        <v>0</v>
      </c>
      <c r="O72" s="213"/>
      <c r="P72" s="213">
        <f t="shared" si="3"/>
        <v>0</v>
      </c>
      <c r="Q72" s="827"/>
      <c r="R72" s="827"/>
      <c r="S72" s="827"/>
      <c r="T72" s="827"/>
      <c r="U72" s="827"/>
      <c r="V72" s="827"/>
      <c r="W72" s="827"/>
      <c r="X72" s="827"/>
      <c r="Y72" s="827"/>
      <c r="Z72" s="827"/>
      <c r="AA72" s="827"/>
      <c r="AB72" s="827"/>
      <c r="AC72" s="870"/>
      <c r="AD72" s="870"/>
      <c r="AE72" s="870"/>
      <c r="AF72" s="870"/>
      <c r="AG72" s="870"/>
      <c r="AH72" s="870"/>
      <c r="AI72" s="870"/>
      <c r="AJ72" s="870"/>
      <c r="AK72" s="870"/>
      <c r="AL72" s="870"/>
      <c r="AM72" s="870"/>
      <c r="AN72" s="870"/>
      <c r="AO72" s="870"/>
      <c r="AP72" s="870"/>
      <c r="AQ72" s="870"/>
      <c r="AR72" s="870"/>
      <c r="AS72" s="870"/>
      <c r="AT72" s="870"/>
      <c r="AU72" s="870"/>
      <c r="AW72" s="399">
        <v>0</v>
      </c>
      <c r="AX72" s="213"/>
      <c r="AY72" s="213">
        <f t="shared" si="4"/>
        <v>0</v>
      </c>
    </row>
    <row r="73" spans="1:51" s="306" customFormat="1" ht="15" customHeight="1" x14ac:dyDescent="0.25">
      <c r="A73" s="214"/>
      <c r="B73" s="214" t="s">
        <v>2979</v>
      </c>
      <c r="C73" s="396">
        <v>4</v>
      </c>
      <c r="D73" s="396">
        <v>9044</v>
      </c>
      <c r="E73" s="397">
        <v>1114</v>
      </c>
      <c r="F73" s="396">
        <v>0</v>
      </c>
      <c r="G73" s="212">
        <v>0</v>
      </c>
      <c r="H73" s="212">
        <v>0</v>
      </c>
      <c r="I73" s="212"/>
      <c r="J73" s="399">
        <f t="shared" si="2"/>
        <v>0</v>
      </c>
      <c r="K73" s="211"/>
      <c r="L73" s="399">
        <v>0</v>
      </c>
      <c r="M73" s="399"/>
      <c r="N73" s="399">
        <v>-103318.9</v>
      </c>
      <c r="O73" s="213"/>
      <c r="P73" s="213">
        <f t="shared" si="3"/>
        <v>-103318.9</v>
      </c>
      <c r="Q73" s="827"/>
      <c r="R73" s="827"/>
      <c r="S73" s="827"/>
      <c r="T73" s="827"/>
      <c r="U73" s="827"/>
      <c r="V73" s="827"/>
      <c r="W73" s="827"/>
      <c r="X73" s="827"/>
      <c r="Y73" s="827"/>
      <c r="Z73" s="827"/>
      <c r="AA73" s="827"/>
      <c r="AB73" s="827"/>
      <c r="AC73" s="870"/>
      <c r="AD73" s="870"/>
      <c r="AE73" s="870"/>
      <c r="AF73" s="870"/>
      <c r="AG73" s="870"/>
      <c r="AH73" s="870"/>
      <c r="AI73" s="870"/>
      <c r="AJ73" s="870"/>
      <c r="AK73" s="870"/>
      <c r="AL73" s="870"/>
      <c r="AM73" s="870"/>
      <c r="AN73" s="870"/>
      <c r="AO73" s="870"/>
      <c r="AP73" s="870"/>
      <c r="AQ73" s="870"/>
      <c r="AR73" s="870"/>
      <c r="AS73" s="870"/>
      <c r="AT73" s="870"/>
      <c r="AU73" s="870"/>
      <c r="AW73" s="399">
        <v>0</v>
      </c>
      <c r="AX73" s="213"/>
      <c r="AY73" s="213">
        <f t="shared" si="4"/>
        <v>0</v>
      </c>
    </row>
    <row r="74" spans="1:51" s="306" customFormat="1" ht="15" customHeight="1" x14ac:dyDescent="0.25">
      <c r="A74" s="214"/>
      <c r="B74" s="214" t="s">
        <v>3204</v>
      </c>
      <c r="C74" s="396">
        <v>4</v>
      </c>
      <c r="D74" s="396">
        <v>9047</v>
      </c>
      <c r="E74" s="397" t="s">
        <v>1373</v>
      </c>
      <c r="F74" s="396">
        <v>0</v>
      </c>
      <c r="G74" s="212"/>
      <c r="H74" s="212"/>
      <c r="I74" s="212"/>
      <c r="J74" s="399"/>
      <c r="K74" s="211"/>
      <c r="L74" s="399"/>
      <c r="M74" s="399"/>
      <c r="N74" s="399"/>
      <c r="O74" s="213"/>
      <c r="P74" s="213"/>
      <c r="Q74" s="827"/>
      <c r="R74" s="827"/>
      <c r="S74" s="827"/>
      <c r="T74" s="827"/>
      <c r="U74" s="827"/>
      <c r="V74" s="827"/>
      <c r="W74" s="827"/>
      <c r="X74" s="827"/>
      <c r="Y74" s="827"/>
      <c r="Z74" s="827"/>
      <c r="AA74" s="827"/>
      <c r="AB74" s="827"/>
      <c r="AC74" s="870"/>
      <c r="AD74" s="870"/>
      <c r="AE74" s="870"/>
      <c r="AF74" s="870"/>
      <c r="AG74" s="870"/>
      <c r="AH74" s="870"/>
      <c r="AI74" s="870"/>
      <c r="AJ74" s="870"/>
      <c r="AK74" s="870"/>
      <c r="AL74" s="870"/>
      <c r="AM74" s="870"/>
      <c r="AN74" s="870"/>
      <c r="AO74" s="870"/>
      <c r="AP74" s="870"/>
      <c r="AQ74" s="870"/>
      <c r="AR74" s="870"/>
      <c r="AS74" s="870"/>
      <c r="AT74" s="870"/>
      <c r="AU74" s="870"/>
      <c r="AW74" s="572">
        <v>-57193.79</v>
      </c>
      <c r="AX74" s="213"/>
      <c r="AY74" s="213">
        <f t="shared" si="4"/>
        <v>-57193.79</v>
      </c>
    </row>
    <row r="75" spans="1:51" s="306" customFormat="1" ht="15" customHeight="1" x14ac:dyDescent="0.25">
      <c r="A75" s="214"/>
      <c r="B75" s="239" t="s">
        <v>49</v>
      </c>
      <c r="C75" s="396">
        <v>4</v>
      </c>
      <c r="D75" s="396">
        <v>9047</v>
      </c>
      <c r="E75" s="397" t="s">
        <v>1387</v>
      </c>
      <c r="F75" s="396">
        <v>0</v>
      </c>
      <c r="G75" s="212">
        <v>77130.27</v>
      </c>
      <c r="H75" s="212">
        <v>-1065349.43</v>
      </c>
      <c r="I75" s="212"/>
      <c r="J75" s="399">
        <f t="shared" si="2"/>
        <v>-1065349.43</v>
      </c>
      <c r="K75" s="211"/>
      <c r="L75" s="399">
        <v>-1065349.43</v>
      </c>
      <c r="M75" s="399"/>
      <c r="N75" s="399">
        <v>-665261.04</v>
      </c>
      <c r="O75" s="213"/>
      <c r="P75" s="213">
        <f t="shared" si="3"/>
        <v>-665261.04</v>
      </c>
      <c r="Q75" s="827"/>
      <c r="R75" s="827"/>
      <c r="S75" s="827"/>
      <c r="T75" s="827"/>
      <c r="U75" s="827"/>
      <c r="V75" s="827"/>
      <c r="W75" s="827"/>
      <c r="X75" s="827"/>
      <c r="Y75" s="827"/>
      <c r="Z75" s="827"/>
      <c r="AA75" s="827"/>
      <c r="AB75" s="827"/>
      <c r="AC75" s="870"/>
      <c r="AD75" s="870"/>
      <c r="AE75" s="870"/>
      <c r="AF75" s="870"/>
      <c r="AG75" s="870"/>
      <c r="AH75" s="870"/>
      <c r="AI75" s="870"/>
      <c r="AJ75" s="870"/>
      <c r="AK75" s="870"/>
      <c r="AL75" s="870"/>
      <c r="AM75" s="870"/>
      <c r="AN75" s="870"/>
      <c r="AO75" s="870"/>
      <c r="AP75" s="870"/>
      <c r="AQ75" s="870"/>
      <c r="AR75" s="870"/>
      <c r="AS75" s="870"/>
      <c r="AT75" s="870"/>
      <c r="AU75" s="870"/>
      <c r="AW75" s="572">
        <v>-149441.81</v>
      </c>
      <c r="AX75" s="213"/>
      <c r="AY75" s="213">
        <f t="shared" si="4"/>
        <v>-149441.81</v>
      </c>
    </row>
    <row r="76" spans="1:51" s="306" customFormat="1" ht="15" customHeight="1" x14ac:dyDescent="0.25">
      <c r="A76" s="214"/>
      <c r="B76" s="214" t="s">
        <v>1504</v>
      </c>
      <c r="C76" s="396">
        <v>4</v>
      </c>
      <c r="D76" s="396">
        <v>9047</v>
      </c>
      <c r="E76" s="397" t="s">
        <v>1379</v>
      </c>
      <c r="F76" s="396">
        <v>0</v>
      </c>
      <c r="G76" s="212"/>
      <c r="H76" s="212"/>
      <c r="I76" s="212"/>
      <c r="J76" s="399"/>
      <c r="K76" s="211"/>
      <c r="L76" s="399"/>
      <c r="M76" s="399"/>
      <c r="N76" s="399">
        <f>-15290001.34+2197120.7</f>
        <v>-13092880.640000001</v>
      </c>
      <c r="O76" s="213">
        <v>13092880.640000001</v>
      </c>
      <c r="P76" s="213">
        <f t="shared" si="3"/>
        <v>0</v>
      </c>
      <c r="Q76" s="827"/>
      <c r="R76" s="827"/>
      <c r="S76" s="827"/>
      <c r="T76" s="827"/>
      <c r="U76" s="827"/>
      <c r="V76" s="827"/>
      <c r="W76" s="827"/>
      <c r="X76" s="827"/>
      <c r="Y76" s="827"/>
      <c r="Z76" s="827"/>
      <c r="AA76" s="827"/>
      <c r="AB76" s="827"/>
      <c r="AC76" s="870"/>
      <c r="AD76" s="870"/>
      <c r="AE76" s="870"/>
      <c r="AF76" s="870"/>
      <c r="AG76" s="870"/>
      <c r="AH76" s="870"/>
      <c r="AI76" s="870"/>
      <c r="AJ76" s="870"/>
      <c r="AK76" s="870"/>
      <c r="AL76" s="870"/>
      <c r="AM76" s="870"/>
      <c r="AN76" s="870"/>
      <c r="AO76" s="870"/>
      <c r="AP76" s="870"/>
      <c r="AQ76" s="870"/>
      <c r="AR76" s="870"/>
      <c r="AS76" s="870"/>
      <c r="AT76" s="870"/>
      <c r="AU76" s="870"/>
      <c r="AW76" s="399">
        <v>0</v>
      </c>
      <c r="AX76" s="213"/>
      <c r="AY76" s="213">
        <f t="shared" si="4"/>
        <v>0</v>
      </c>
    </row>
    <row r="77" spans="1:51" s="306" customFormat="1" ht="15" customHeight="1" x14ac:dyDescent="0.25">
      <c r="A77" s="238"/>
      <c r="B77" s="239" t="s">
        <v>1496</v>
      </c>
      <c r="C77" s="396">
        <v>4</v>
      </c>
      <c r="D77" s="396">
        <v>9060</v>
      </c>
      <c r="E77" s="397" t="s">
        <v>1373</v>
      </c>
      <c r="F77" s="396">
        <v>0</v>
      </c>
      <c r="G77" s="400">
        <v>0</v>
      </c>
      <c r="H77" s="400">
        <v>-1932391.62</v>
      </c>
      <c r="I77" s="400"/>
      <c r="J77" s="399">
        <f t="shared" si="2"/>
        <v>-1932391.62</v>
      </c>
      <c r="K77" s="211"/>
      <c r="L77" s="399">
        <v>-1932391.62</v>
      </c>
      <c r="M77" s="399"/>
      <c r="N77" s="399">
        <v>-23920628.039999999</v>
      </c>
      <c r="O77" s="213">
        <v>23920628.039999999</v>
      </c>
      <c r="P77" s="213">
        <f t="shared" si="3"/>
        <v>0</v>
      </c>
      <c r="Q77" s="827"/>
      <c r="R77" s="827"/>
      <c r="S77" s="827"/>
      <c r="T77" s="827"/>
      <c r="U77" s="827"/>
      <c r="V77" s="827"/>
      <c r="W77" s="827"/>
      <c r="X77" s="827"/>
      <c r="Y77" s="827"/>
      <c r="Z77" s="827"/>
      <c r="AA77" s="827"/>
      <c r="AB77" s="827"/>
      <c r="AC77" s="870"/>
      <c r="AD77" s="870"/>
      <c r="AE77" s="870"/>
      <c r="AF77" s="870"/>
      <c r="AG77" s="870"/>
      <c r="AH77" s="870"/>
      <c r="AI77" s="870"/>
      <c r="AJ77" s="870"/>
      <c r="AK77" s="870"/>
      <c r="AL77" s="870"/>
      <c r="AM77" s="870"/>
      <c r="AN77" s="870"/>
      <c r="AO77" s="870"/>
      <c r="AP77" s="870"/>
      <c r="AQ77" s="870"/>
      <c r="AR77" s="870"/>
      <c r="AS77" s="870"/>
      <c r="AT77" s="870"/>
      <c r="AU77" s="870"/>
      <c r="AW77" s="399">
        <v>0</v>
      </c>
      <c r="AX77" s="213"/>
      <c r="AY77" s="213">
        <f t="shared" si="4"/>
        <v>0</v>
      </c>
    </row>
    <row r="78" spans="1:51" s="306" customFormat="1" ht="15" customHeight="1" x14ac:dyDescent="0.25">
      <c r="A78" s="214"/>
      <c r="B78" s="214"/>
      <c r="C78" s="396"/>
      <c r="D78" s="396"/>
      <c r="E78" s="397"/>
      <c r="F78" s="396"/>
      <c r="G78" s="398">
        <f>SUM(G42:G77)</f>
        <v>-9617853.3100000005</v>
      </c>
      <c r="H78" s="398">
        <f>SUM(H42:H77)</f>
        <v>-11318257.280000001</v>
      </c>
      <c r="I78" s="398">
        <f>SUM(I42:I77)</f>
        <v>0</v>
      </c>
      <c r="J78" s="398">
        <f>SUM(J42:J77)</f>
        <v>-11318257.280000001</v>
      </c>
      <c r="K78" s="211"/>
      <c r="L78" s="354">
        <f>SUM(L42:L77)</f>
        <v>-11318257.280000001</v>
      </c>
      <c r="M78" s="354"/>
      <c r="N78" s="354">
        <f>SUM(N42:N77)</f>
        <v>-46279043.079999998</v>
      </c>
      <c r="O78" s="354">
        <f>SUM(O42:O77)</f>
        <v>34839998.420000002</v>
      </c>
      <c r="P78" s="354">
        <f>SUM(P42:P77)</f>
        <v>-11439044.66</v>
      </c>
      <c r="Q78" s="496"/>
      <c r="R78" s="496"/>
      <c r="S78" s="496"/>
      <c r="T78" s="496"/>
      <c r="U78" s="496"/>
      <c r="V78" s="496"/>
      <c r="W78" s="496"/>
      <c r="X78" s="496"/>
      <c r="Y78" s="496"/>
      <c r="Z78" s="496"/>
      <c r="AA78" s="496"/>
      <c r="AB78" s="496"/>
      <c r="AC78" s="871"/>
      <c r="AD78" s="871"/>
      <c r="AE78" s="871"/>
      <c r="AF78" s="871"/>
      <c r="AG78" s="871"/>
      <c r="AH78" s="871"/>
      <c r="AI78" s="871"/>
      <c r="AJ78" s="871"/>
      <c r="AK78" s="871"/>
      <c r="AL78" s="871"/>
      <c r="AM78" s="871"/>
      <c r="AN78" s="871"/>
      <c r="AO78" s="871"/>
      <c r="AP78" s="871"/>
      <c r="AQ78" s="871"/>
      <c r="AR78" s="871"/>
      <c r="AS78" s="871"/>
      <c r="AT78" s="871"/>
      <c r="AU78" s="871"/>
      <c r="AW78" s="354">
        <f>SUM(AW42:AW77)</f>
        <v>-6532939.1399999987</v>
      </c>
      <c r="AX78" s="354">
        <f>SUM(AX42:AX77)</f>
        <v>0</v>
      </c>
      <c r="AY78" s="354">
        <f>SUM(AY42:AY77)</f>
        <v>-6532939.1399999987</v>
      </c>
    </row>
    <row r="79" spans="1:51" s="306" customFormat="1" ht="15" customHeight="1" x14ac:dyDescent="0.25">
      <c r="A79" s="214"/>
      <c r="B79" s="214"/>
      <c r="C79" s="396"/>
      <c r="D79" s="396"/>
      <c r="E79" s="397"/>
      <c r="F79" s="396"/>
      <c r="G79" s="212"/>
      <c r="H79" s="212"/>
      <c r="I79" s="212"/>
      <c r="J79" s="399"/>
      <c r="K79" s="211"/>
      <c r="L79" s="399"/>
      <c r="M79" s="399"/>
      <c r="N79" s="399"/>
      <c r="O79" s="213"/>
      <c r="P79" s="213"/>
      <c r="Q79" s="827"/>
      <c r="R79" s="827"/>
      <c r="S79" s="827"/>
      <c r="T79" s="827"/>
      <c r="U79" s="827"/>
      <c r="V79" s="827"/>
      <c r="W79" s="827"/>
      <c r="X79" s="827"/>
      <c r="Y79" s="827"/>
      <c r="Z79" s="827"/>
      <c r="AA79" s="827"/>
      <c r="AB79" s="827"/>
      <c r="AC79" s="870"/>
      <c r="AD79" s="870"/>
      <c r="AE79" s="870"/>
      <c r="AF79" s="870"/>
      <c r="AG79" s="870"/>
      <c r="AH79" s="870"/>
      <c r="AI79" s="870"/>
      <c r="AJ79" s="870"/>
      <c r="AK79" s="870"/>
      <c r="AL79" s="870"/>
      <c r="AM79" s="870"/>
      <c r="AN79" s="870"/>
      <c r="AO79" s="870"/>
      <c r="AP79" s="870"/>
      <c r="AQ79" s="870"/>
      <c r="AR79" s="870"/>
      <c r="AS79" s="870"/>
      <c r="AT79" s="870"/>
      <c r="AU79" s="870"/>
      <c r="AW79" s="399"/>
      <c r="AX79" s="213"/>
      <c r="AY79" s="213"/>
    </row>
    <row r="80" spans="1:51" ht="15" customHeight="1" x14ac:dyDescent="0.25">
      <c r="A80" s="214"/>
      <c r="B80" s="214" t="s">
        <v>116</v>
      </c>
      <c r="C80" s="396">
        <v>3</v>
      </c>
      <c r="D80" s="396">
        <v>8050</v>
      </c>
      <c r="E80" s="397" t="s">
        <v>1393</v>
      </c>
      <c r="F80" s="396">
        <v>0</v>
      </c>
      <c r="G80" s="212">
        <v>-261795.36</v>
      </c>
      <c r="H80" s="212">
        <v>-261795.36</v>
      </c>
      <c r="I80" s="212"/>
      <c r="J80" s="399">
        <f>H80+I80</f>
        <v>-261795.36</v>
      </c>
      <c r="L80" s="399">
        <v>-261795.36</v>
      </c>
      <c r="M80" s="399"/>
      <c r="N80" s="399">
        <v>0</v>
      </c>
      <c r="O80" s="213"/>
      <c r="P80" s="213">
        <f t="shared" ref="P80:P85" si="5">N80+O80</f>
        <v>0</v>
      </c>
      <c r="Q80" s="827"/>
      <c r="R80" s="827"/>
      <c r="S80" s="827"/>
      <c r="T80" s="827"/>
      <c r="U80" s="827"/>
      <c r="V80" s="827"/>
      <c r="W80" s="827"/>
      <c r="X80" s="827"/>
      <c r="Y80" s="827"/>
      <c r="Z80" s="827"/>
      <c r="AA80" s="827"/>
      <c r="AB80" s="827"/>
      <c r="AC80" s="870"/>
      <c r="AD80" s="870"/>
      <c r="AE80" s="870"/>
      <c r="AF80" s="870"/>
      <c r="AG80" s="870"/>
      <c r="AH80" s="870"/>
      <c r="AI80" s="870"/>
      <c r="AJ80" s="870"/>
      <c r="AK80" s="870"/>
      <c r="AL80" s="870"/>
      <c r="AM80" s="870"/>
      <c r="AN80" s="870"/>
      <c r="AO80" s="870"/>
      <c r="AP80" s="870"/>
      <c r="AQ80" s="870"/>
      <c r="AR80" s="870"/>
      <c r="AS80" s="870"/>
      <c r="AT80" s="870"/>
      <c r="AU80" s="870"/>
      <c r="AW80" s="399">
        <v>0</v>
      </c>
      <c r="AX80" s="213"/>
      <c r="AY80" s="213">
        <f t="shared" ref="AY80:AY85" si="6">AW80+AX80</f>
        <v>0</v>
      </c>
    </row>
    <row r="81" spans="1:51" s="306" customFormat="1" ht="15" customHeight="1" x14ac:dyDescent="0.25">
      <c r="A81" s="214"/>
      <c r="B81" s="214" t="s">
        <v>1079</v>
      </c>
      <c r="C81" s="396">
        <v>3</v>
      </c>
      <c r="D81" s="396">
        <v>8050</v>
      </c>
      <c r="E81" s="397" t="s">
        <v>1400</v>
      </c>
      <c r="F81" s="396">
        <v>0</v>
      </c>
      <c r="G81" s="212">
        <v>-7384390</v>
      </c>
      <c r="H81" s="212">
        <v>-7701607</v>
      </c>
      <c r="I81" s="212"/>
      <c r="J81" s="399">
        <f>H81+I81</f>
        <v>-7701607</v>
      </c>
      <c r="K81" s="211"/>
      <c r="L81" s="399">
        <v>-7701607</v>
      </c>
      <c r="M81" s="399"/>
      <c r="N81" s="399">
        <v>-10357827</v>
      </c>
      <c r="O81" s="213"/>
      <c r="P81" s="213">
        <f t="shared" si="5"/>
        <v>-10357827</v>
      </c>
      <c r="Q81" s="827"/>
      <c r="R81" s="827"/>
      <c r="S81" s="827"/>
      <c r="T81" s="827"/>
      <c r="U81" s="827"/>
      <c r="V81" s="827"/>
      <c r="W81" s="827"/>
      <c r="X81" s="827"/>
      <c r="Y81" s="827"/>
      <c r="Z81" s="827"/>
      <c r="AA81" s="827"/>
      <c r="AB81" s="827"/>
      <c r="AC81" s="870"/>
      <c r="AD81" s="870"/>
      <c r="AE81" s="870"/>
      <c r="AF81" s="870"/>
      <c r="AG81" s="870"/>
      <c r="AH81" s="870"/>
      <c r="AI81" s="870"/>
      <c r="AJ81" s="870"/>
      <c r="AK81" s="870"/>
      <c r="AL81" s="870"/>
      <c r="AM81" s="870"/>
      <c r="AN81" s="870"/>
      <c r="AO81" s="870"/>
      <c r="AP81" s="870"/>
      <c r="AQ81" s="870"/>
      <c r="AR81" s="870"/>
      <c r="AS81" s="870"/>
      <c r="AT81" s="870"/>
      <c r="AU81" s="870"/>
      <c r="AW81" s="572">
        <v>-9224415</v>
      </c>
      <c r="AX81" s="213"/>
      <c r="AY81" s="213">
        <f t="shared" si="6"/>
        <v>-9224415</v>
      </c>
    </row>
    <row r="82" spans="1:51" s="384" customFormat="1" ht="15" customHeight="1" x14ac:dyDescent="0.25">
      <c r="A82" s="214"/>
      <c r="B82" s="214" t="s">
        <v>814</v>
      </c>
      <c r="C82" s="396">
        <v>3</v>
      </c>
      <c r="D82" s="396">
        <v>8050</v>
      </c>
      <c r="E82" s="397" t="s">
        <v>1386</v>
      </c>
      <c r="F82" s="396">
        <v>0</v>
      </c>
      <c r="G82" s="212">
        <v>-40099206</v>
      </c>
      <c r="H82" s="212">
        <v>-43831646</v>
      </c>
      <c r="I82" s="212"/>
      <c r="J82" s="399">
        <f>H82+I82</f>
        <v>-43831646</v>
      </c>
      <c r="K82" s="211"/>
      <c r="L82" s="399">
        <v>-43831646</v>
      </c>
      <c r="M82" s="399"/>
      <c r="N82" s="399">
        <v>-44166793</v>
      </c>
      <c r="O82" s="521"/>
      <c r="P82" s="213">
        <f t="shared" si="5"/>
        <v>-44166793</v>
      </c>
      <c r="Q82" s="827"/>
      <c r="R82" s="827"/>
      <c r="S82" s="827"/>
      <c r="T82" s="827"/>
      <c r="U82" s="827"/>
      <c r="V82" s="827"/>
      <c r="W82" s="827"/>
      <c r="X82" s="827"/>
      <c r="Y82" s="827"/>
      <c r="Z82" s="827"/>
      <c r="AA82" s="827"/>
      <c r="AB82" s="827"/>
      <c r="AC82" s="870"/>
      <c r="AD82" s="870"/>
      <c r="AE82" s="870"/>
      <c r="AF82" s="870"/>
      <c r="AG82" s="870"/>
      <c r="AH82" s="870"/>
      <c r="AI82" s="870"/>
      <c r="AJ82" s="870"/>
      <c r="AK82" s="870"/>
      <c r="AL82" s="870"/>
      <c r="AM82" s="870"/>
      <c r="AN82" s="870"/>
      <c r="AO82" s="870"/>
      <c r="AP82" s="870"/>
      <c r="AQ82" s="870"/>
      <c r="AR82" s="870"/>
      <c r="AS82" s="870"/>
      <c r="AT82" s="870"/>
      <c r="AU82" s="870"/>
      <c r="AW82" s="572">
        <v>-52351415</v>
      </c>
      <c r="AX82" s="521"/>
      <c r="AY82" s="213">
        <f t="shared" si="6"/>
        <v>-52351415</v>
      </c>
    </row>
    <row r="83" spans="1:51" ht="15" customHeight="1" x14ac:dyDescent="0.25">
      <c r="A83" s="214"/>
      <c r="B83" s="214" t="s">
        <v>117</v>
      </c>
      <c r="C83" s="396">
        <v>3</v>
      </c>
      <c r="D83" s="396">
        <v>8050</v>
      </c>
      <c r="E83" s="397" t="s">
        <v>1394</v>
      </c>
      <c r="F83" s="396">
        <v>0</v>
      </c>
      <c r="G83" s="212">
        <v>-36457268.020000003</v>
      </c>
      <c r="H83" s="212">
        <v>-35203057.740000002</v>
      </c>
      <c r="I83" s="212"/>
      <c r="J83" s="399">
        <f>H83+I83</f>
        <v>-35203057.740000002</v>
      </c>
      <c r="L83" s="399">
        <v>-35203057.740000002</v>
      </c>
      <c r="M83" s="399"/>
      <c r="N83" s="399">
        <v>-34326540.369999997</v>
      </c>
      <c r="O83" s="213"/>
      <c r="P83" s="213">
        <f t="shared" si="5"/>
        <v>-34326540.369999997</v>
      </c>
      <c r="Q83" s="827"/>
      <c r="R83" s="827"/>
      <c r="S83" s="827"/>
      <c r="T83" s="827"/>
      <c r="U83" s="827"/>
      <c r="V83" s="827"/>
      <c r="W83" s="827"/>
      <c r="X83" s="827"/>
      <c r="Y83" s="827"/>
      <c r="Z83" s="827"/>
      <c r="AA83" s="827"/>
      <c r="AB83" s="827"/>
      <c r="AC83" s="870"/>
      <c r="AD83" s="870"/>
      <c r="AE83" s="870"/>
      <c r="AF83" s="870"/>
      <c r="AG83" s="870"/>
      <c r="AH83" s="870"/>
      <c r="AI83" s="870"/>
      <c r="AJ83" s="870"/>
      <c r="AK83" s="870"/>
      <c r="AL83" s="870"/>
      <c r="AM83" s="870"/>
      <c r="AN83" s="870"/>
      <c r="AO83" s="870"/>
      <c r="AP83" s="870"/>
      <c r="AQ83" s="870"/>
      <c r="AR83" s="870"/>
      <c r="AS83" s="870"/>
      <c r="AT83" s="870"/>
      <c r="AU83" s="870"/>
      <c r="AW83" s="572">
        <v>-29648336.16</v>
      </c>
      <c r="AX83" s="213"/>
      <c r="AY83" s="213">
        <f t="shared" si="6"/>
        <v>-29648336.16</v>
      </c>
    </row>
    <row r="84" spans="1:51" ht="15" customHeight="1" x14ac:dyDescent="0.25">
      <c r="A84" s="214"/>
      <c r="B84" s="576" t="s">
        <v>1504</v>
      </c>
      <c r="C84" s="396">
        <v>4</v>
      </c>
      <c r="D84" s="396">
        <v>9047</v>
      </c>
      <c r="E84" s="397" t="s">
        <v>1379</v>
      </c>
      <c r="F84" s="396">
        <v>0</v>
      </c>
      <c r="G84" s="212"/>
      <c r="H84" s="212"/>
      <c r="I84" s="212"/>
      <c r="J84" s="400"/>
      <c r="L84" s="399"/>
      <c r="M84" s="399"/>
      <c r="N84" s="399"/>
      <c r="O84" s="399">
        <f>-15290001.34+2197120.7-1443781.54</f>
        <v>-14536662.18</v>
      </c>
      <c r="P84" s="213">
        <f t="shared" si="5"/>
        <v>-14536662.18</v>
      </c>
      <c r="Q84" s="827"/>
      <c r="R84" s="827"/>
      <c r="S84" s="827"/>
      <c r="T84" s="827"/>
      <c r="U84" s="827"/>
      <c r="V84" s="827"/>
      <c r="W84" s="827"/>
      <c r="X84" s="827"/>
      <c r="Y84" s="827"/>
      <c r="Z84" s="827"/>
      <c r="AA84" s="827"/>
      <c r="AB84" s="827"/>
      <c r="AC84" s="870"/>
      <c r="AD84" s="870"/>
      <c r="AE84" s="870"/>
      <c r="AF84" s="870"/>
      <c r="AG84" s="870"/>
      <c r="AH84" s="870"/>
      <c r="AI84" s="870"/>
      <c r="AJ84" s="870"/>
      <c r="AK84" s="870"/>
      <c r="AL84" s="870"/>
      <c r="AM84" s="870"/>
      <c r="AN84" s="870"/>
      <c r="AO84" s="870"/>
      <c r="AP84" s="870"/>
      <c r="AQ84" s="870"/>
      <c r="AR84" s="870"/>
      <c r="AS84" s="870"/>
      <c r="AT84" s="870"/>
      <c r="AU84" s="870"/>
      <c r="AV84" s="306"/>
      <c r="AW84" s="577">
        <v>-12863556.9</v>
      </c>
      <c r="AX84" s="399"/>
      <c r="AY84" s="213">
        <f t="shared" si="6"/>
        <v>-12863556.9</v>
      </c>
    </row>
    <row r="85" spans="1:51" ht="15" customHeight="1" x14ac:dyDescent="0.25">
      <c r="A85" s="214"/>
      <c r="B85" s="575" t="s">
        <v>1496</v>
      </c>
      <c r="C85" s="396">
        <v>4</v>
      </c>
      <c r="D85" s="396">
        <v>9060</v>
      </c>
      <c r="E85" s="397" t="s">
        <v>1373</v>
      </c>
      <c r="F85" s="396">
        <v>0</v>
      </c>
      <c r="G85" s="212"/>
      <c r="H85" s="212"/>
      <c r="I85" s="212"/>
      <c r="J85" s="400"/>
      <c r="L85" s="399"/>
      <c r="M85" s="399"/>
      <c r="N85" s="399"/>
      <c r="O85" s="399">
        <v>-23920628.039999999</v>
      </c>
      <c r="P85" s="213">
        <f t="shared" si="5"/>
        <v>-23920628.039999999</v>
      </c>
      <c r="Q85" s="827"/>
      <c r="R85" s="827"/>
      <c r="S85" s="827"/>
      <c r="T85" s="827"/>
      <c r="U85" s="827"/>
      <c r="V85" s="827"/>
      <c r="W85" s="827"/>
      <c r="X85" s="827"/>
      <c r="Y85" s="827"/>
      <c r="Z85" s="827"/>
      <c r="AA85" s="827"/>
      <c r="AB85" s="827"/>
      <c r="AC85" s="870"/>
      <c r="AD85" s="870"/>
      <c r="AE85" s="870"/>
      <c r="AF85" s="870"/>
      <c r="AG85" s="870"/>
      <c r="AH85" s="870"/>
      <c r="AI85" s="870"/>
      <c r="AJ85" s="870"/>
      <c r="AK85" s="870"/>
      <c r="AL85" s="870"/>
      <c r="AM85" s="870"/>
      <c r="AN85" s="870"/>
      <c r="AO85" s="870"/>
      <c r="AP85" s="870"/>
      <c r="AQ85" s="870"/>
      <c r="AR85" s="870"/>
      <c r="AS85" s="870"/>
      <c r="AT85" s="870"/>
      <c r="AU85" s="870"/>
      <c r="AV85" s="306"/>
      <c r="AW85" s="577">
        <f>-34166034.33</f>
        <v>-34166034.329999998</v>
      </c>
      <c r="AX85" s="399"/>
      <c r="AY85" s="213">
        <f t="shared" si="6"/>
        <v>-34166034.329999998</v>
      </c>
    </row>
    <row r="86" spans="1:51" s="306" customFormat="1" ht="15" customHeight="1" x14ac:dyDescent="0.25">
      <c r="A86" s="214"/>
      <c r="B86" s="214"/>
      <c r="C86" s="396"/>
      <c r="D86" s="396"/>
      <c r="E86" s="396"/>
      <c r="F86" s="396"/>
      <c r="G86" s="398">
        <f>G38+G40+G78+G80+G81+G82+G83</f>
        <v>-180231455.46000001</v>
      </c>
      <c r="H86" s="398">
        <f>H38+H40+H78+H80+H81+H82+H83</f>
        <v>-200999279.06</v>
      </c>
      <c r="I86" s="398">
        <f>I38+I40+I78+I80+I81+I82+I83</f>
        <v>-17419765.039999999</v>
      </c>
      <c r="J86" s="398">
        <f>J38+J40+J78+J80+J81+J82+J83</f>
        <v>-218419044.10000002</v>
      </c>
      <c r="K86" s="211"/>
      <c r="L86" s="354">
        <f>L38+L40+L78+L80+L81+L82+L83+L84+L85</f>
        <v>-218419044.10000002</v>
      </c>
      <c r="M86" s="354"/>
      <c r="N86" s="354">
        <f>N38+N40+N78+N80+N81+N82+N83+N84+N85</f>
        <v>-286295949.41000003</v>
      </c>
      <c r="O86" s="354">
        <f>O38+O40+O78+O80+O81+O82+O83+O84+O85</f>
        <v>-2173510.2599999979</v>
      </c>
      <c r="P86" s="354">
        <f>P38+P40+P78+P80+P81+P82+P83+P84+P85</f>
        <v>-288469459.67000002</v>
      </c>
      <c r="Q86" s="496"/>
      <c r="R86" s="496"/>
      <c r="S86" s="496"/>
      <c r="T86" s="496"/>
      <c r="U86" s="496"/>
      <c r="V86" s="496"/>
      <c r="W86" s="496"/>
      <c r="X86" s="496"/>
      <c r="Y86" s="496"/>
      <c r="Z86" s="496"/>
      <c r="AA86" s="496"/>
      <c r="AB86" s="496"/>
      <c r="AC86" s="871"/>
      <c r="AD86" s="871"/>
      <c r="AE86" s="871"/>
      <c r="AF86" s="871"/>
      <c r="AG86" s="871"/>
      <c r="AH86" s="871"/>
      <c r="AI86" s="871"/>
      <c r="AJ86" s="871"/>
      <c r="AK86" s="871"/>
      <c r="AL86" s="871"/>
      <c r="AM86" s="871"/>
      <c r="AN86" s="871"/>
      <c r="AO86" s="871"/>
      <c r="AP86" s="871"/>
      <c r="AQ86" s="871"/>
      <c r="AR86" s="871"/>
      <c r="AS86" s="871"/>
      <c r="AT86" s="871"/>
      <c r="AU86" s="871"/>
      <c r="AW86" s="354">
        <f>AW38+AW40+AW78+AW80+AW81+AW82+AW83+AW84+AW85</f>
        <v>-314180567.59999996</v>
      </c>
      <c r="AX86" s="354">
        <f>AX38+AX40+AX78+AX80+AX81+AX82+AX83+AX84+AX85</f>
        <v>0</v>
      </c>
      <c r="AY86" s="354">
        <f>AY38+AY40+AY78+AY80+AY81+AY82+AY83+AY84+AY85</f>
        <v>-314180567.59999996</v>
      </c>
    </row>
    <row r="87" spans="1:51" s="306" customFormat="1" ht="15" customHeight="1" x14ac:dyDescent="0.25">
      <c r="A87" s="214"/>
      <c r="B87" s="214"/>
      <c r="C87" s="396"/>
      <c r="D87" s="396"/>
      <c r="E87" s="396"/>
      <c r="F87" s="396"/>
      <c r="G87" s="212"/>
      <c r="H87" s="212"/>
      <c r="I87" s="212"/>
      <c r="J87" s="213"/>
      <c r="K87" s="211"/>
      <c r="L87" s="213"/>
      <c r="M87" s="213"/>
      <c r="N87" s="213"/>
      <c r="O87" s="213"/>
      <c r="P87" s="213"/>
      <c r="Q87" s="827"/>
      <c r="R87" s="827"/>
      <c r="S87" s="827"/>
      <c r="T87" s="827"/>
      <c r="U87" s="827"/>
      <c r="V87" s="827"/>
      <c r="W87" s="827"/>
      <c r="X87" s="827"/>
      <c r="Y87" s="827"/>
      <c r="Z87" s="827"/>
      <c r="AA87" s="827"/>
      <c r="AB87" s="827"/>
      <c r="AC87" s="870"/>
      <c r="AD87" s="870"/>
      <c r="AE87" s="870"/>
      <c r="AF87" s="870"/>
      <c r="AG87" s="870"/>
      <c r="AH87" s="870"/>
      <c r="AI87" s="870"/>
      <c r="AJ87" s="870"/>
      <c r="AK87" s="870"/>
      <c r="AL87" s="870"/>
      <c r="AM87" s="870"/>
      <c r="AN87" s="870"/>
      <c r="AO87" s="870"/>
      <c r="AP87" s="870"/>
      <c r="AQ87" s="870"/>
      <c r="AR87" s="870"/>
      <c r="AS87" s="870"/>
      <c r="AT87" s="870"/>
      <c r="AU87" s="870"/>
      <c r="AW87" s="213"/>
      <c r="AX87" s="213"/>
      <c r="AY87" s="213"/>
    </row>
    <row r="88" spans="1:51" s="306" customFormat="1" ht="15" customHeight="1" x14ac:dyDescent="0.25">
      <c r="A88" s="238" t="s">
        <v>1081</v>
      </c>
      <c r="B88" s="238" t="s">
        <v>547</v>
      </c>
      <c r="C88" s="396"/>
      <c r="D88" s="396"/>
      <c r="E88" s="396"/>
      <c r="F88" s="396"/>
      <c r="G88" s="212"/>
      <c r="H88" s="212"/>
      <c r="I88" s="212"/>
      <c r="J88" s="213"/>
      <c r="K88" s="211"/>
      <c r="L88" s="213"/>
      <c r="M88" s="213"/>
      <c r="N88" s="213"/>
      <c r="O88" s="213"/>
      <c r="P88" s="213">
        <f t="shared" ref="P88:P93" si="7">N88+O88</f>
        <v>0</v>
      </c>
      <c r="Q88" s="827"/>
      <c r="R88" s="827"/>
      <c r="S88" s="827"/>
      <c r="T88" s="827"/>
      <c r="U88" s="827"/>
      <c r="V88" s="827"/>
      <c r="W88" s="827"/>
      <c r="X88" s="827"/>
      <c r="Y88" s="827"/>
      <c r="Z88" s="827"/>
      <c r="AA88" s="827"/>
      <c r="AB88" s="827"/>
      <c r="AC88" s="870"/>
      <c r="AD88" s="870"/>
      <c r="AE88" s="870"/>
      <c r="AF88" s="870"/>
      <c r="AG88" s="870"/>
      <c r="AH88" s="870"/>
      <c r="AI88" s="870"/>
      <c r="AJ88" s="870"/>
      <c r="AK88" s="870"/>
      <c r="AL88" s="870"/>
      <c r="AM88" s="870"/>
      <c r="AN88" s="870"/>
      <c r="AO88" s="870"/>
      <c r="AP88" s="870"/>
      <c r="AQ88" s="870"/>
      <c r="AR88" s="870"/>
      <c r="AS88" s="870"/>
      <c r="AT88" s="870"/>
      <c r="AU88" s="870"/>
      <c r="AW88" s="213"/>
      <c r="AX88" s="213"/>
      <c r="AY88" s="213">
        <f t="shared" ref="AY88:AY93" si="8">AW88+AX88</f>
        <v>0</v>
      </c>
    </row>
    <row r="89" spans="1:51" s="306" customFormat="1" ht="15" customHeight="1" x14ac:dyDescent="0.25">
      <c r="A89" s="214"/>
      <c r="B89" s="214" t="s">
        <v>1038</v>
      </c>
      <c r="C89" s="396">
        <v>3</v>
      </c>
      <c r="D89" s="396">
        <v>8020</v>
      </c>
      <c r="E89" s="397" t="s">
        <v>1373</v>
      </c>
      <c r="F89" s="396">
        <v>0</v>
      </c>
      <c r="G89" s="212">
        <v>-138685784.47999999</v>
      </c>
      <c r="H89" s="212">
        <v>-154437733.25999999</v>
      </c>
      <c r="I89" s="212"/>
      <c r="J89" s="399">
        <f>H89+I89</f>
        <v>-154437733.25999999</v>
      </c>
      <c r="K89" s="211"/>
      <c r="L89" s="399">
        <v>-154437733.25999999</v>
      </c>
      <c r="M89" s="399"/>
      <c r="N89" s="399">
        <v>-160387000</v>
      </c>
      <c r="O89" s="213"/>
      <c r="P89" s="213">
        <f t="shared" si="7"/>
        <v>-160387000</v>
      </c>
      <c r="Q89" s="827"/>
      <c r="R89" s="827"/>
      <c r="S89" s="827"/>
      <c r="T89" s="827"/>
      <c r="U89" s="827"/>
      <c r="V89" s="827"/>
      <c r="W89" s="827"/>
      <c r="X89" s="827"/>
      <c r="Y89" s="827"/>
      <c r="Z89" s="827"/>
      <c r="AA89" s="827"/>
      <c r="AB89" s="827"/>
      <c r="AC89" s="870"/>
      <c r="AD89" s="870"/>
      <c r="AE89" s="870"/>
      <c r="AF89" s="870"/>
      <c r="AG89" s="870"/>
      <c r="AH89" s="870"/>
      <c r="AI89" s="870"/>
      <c r="AJ89" s="870"/>
      <c r="AK89" s="870"/>
      <c r="AL89" s="870"/>
      <c r="AM89" s="870"/>
      <c r="AN89" s="870"/>
      <c r="AO89" s="870"/>
      <c r="AP89" s="870"/>
      <c r="AQ89" s="870"/>
      <c r="AR89" s="870"/>
      <c r="AS89" s="870"/>
      <c r="AT89" s="870"/>
      <c r="AU89" s="870"/>
      <c r="AW89" s="572">
        <f>-160387000+9360000</f>
        <v>-151027000</v>
      </c>
      <c r="AX89" s="213"/>
      <c r="AY89" s="213">
        <f t="shared" si="8"/>
        <v>-151027000</v>
      </c>
    </row>
    <row r="90" spans="1:51" s="306" customFormat="1" ht="15" customHeight="1" x14ac:dyDescent="0.25">
      <c r="A90" s="214"/>
      <c r="B90" s="214" t="s">
        <v>157</v>
      </c>
      <c r="C90" s="396">
        <v>3</v>
      </c>
      <c r="D90" s="396">
        <v>8020</v>
      </c>
      <c r="E90" s="397" t="s">
        <v>1382</v>
      </c>
      <c r="F90" s="396">
        <v>0</v>
      </c>
      <c r="G90" s="212">
        <v>-3046683</v>
      </c>
      <c r="H90" s="212">
        <v>-3351351</v>
      </c>
      <c r="I90" s="212"/>
      <c r="J90" s="399">
        <f>H90+I90</f>
        <v>-3351351</v>
      </c>
      <c r="K90" s="211"/>
      <c r="L90" s="399">
        <v>-3351351</v>
      </c>
      <c r="M90" s="399"/>
      <c r="N90" s="399">
        <v>-3686486</v>
      </c>
      <c r="O90" s="213"/>
      <c r="P90" s="213">
        <f t="shared" si="7"/>
        <v>-3686486</v>
      </c>
      <c r="Q90" s="827"/>
      <c r="R90" s="827"/>
      <c r="S90" s="827"/>
      <c r="T90" s="827"/>
      <c r="U90" s="827"/>
      <c r="V90" s="827"/>
      <c r="W90" s="827"/>
      <c r="X90" s="827"/>
      <c r="Y90" s="827"/>
      <c r="Z90" s="827"/>
      <c r="AA90" s="827"/>
      <c r="AB90" s="827"/>
      <c r="AC90" s="870"/>
      <c r="AD90" s="870"/>
      <c r="AE90" s="870"/>
      <c r="AF90" s="870"/>
      <c r="AG90" s="870"/>
      <c r="AH90" s="870"/>
      <c r="AI90" s="870"/>
      <c r="AJ90" s="870"/>
      <c r="AK90" s="870"/>
      <c r="AL90" s="870"/>
      <c r="AM90" s="870"/>
      <c r="AN90" s="870"/>
      <c r="AO90" s="870"/>
      <c r="AP90" s="870"/>
      <c r="AQ90" s="870"/>
      <c r="AR90" s="870"/>
      <c r="AS90" s="870"/>
      <c r="AT90" s="870"/>
      <c r="AU90" s="870"/>
      <c r="AW90" s="572">
        <v>-4055135</v>
      </c>
      <c r="AX90" s="213"/>
      <c r="AY90" s="213">
        <f t="shared" si="8"/>
        <v>-4055135</v>
      </c>
    </row>
    <row r="91" spans="1:51" s="306" customFormat="1" ht="15" customHeight="1" x14ac:dyDescent="0.25">
      <c r="A91" s="214"/>
      <c r="B91" s="214" t="s">
        <v>3249</v>
      </c>
      <c r="C91" s="396">
        <v>3</v>
      </c>
      <c r="D91" s="396">
        <v>8020</v>
      </c>
      <c r="E91" s="397" t="s">
        <v>1384</v>
      </c>
      <c r="F91" s="396">
        <v>0</v>
      </c>
      <c r="G91" s="212"/>
      <c r="H91" s="212"/>
      <c r="I91" s="212"/>
      <c r="J91" s="399"/>
      <c r="K91" s="211"/>
      <c r="L91" s="399"/>
      <c r="M91" s="399"/>
      <c r="N91" s="399"/>
      <c r="O91" s="213"/>
      <c r="P91" s="213"/>
      <c r="Q91" s="827"/>
      <c r="R91" s="827"/>
      <c r="S91" s="827"/>
      <c r="T91" s="827"/>
      <c r="U91" s="827"/>
      <c r="V91" s="827"/>
      <c r="W91" s="827"/>
      <c r="X91" s="827"/>
      <c r="Y91" s="827"/>
      <c r="Z91" s="827"/>
      <c r="AA91" s="827"/>
      <c r="AB91" s="827"/>
      <c r="AC91" s="870"/>
      <c r="AD91" s="870"/>
      <c r="AE91" s="870"/>
      <c r="AF91" s="870"/>
      <c r="AG91" s="870"/>
      <c r="AH91" s="870"/>
      <c r="AI91" s="870"/>
      <c r="AJ91" s="870"/>
      <c r="AK91" s="870"/>
      <c r="AL91" s="870"/>
      <c r="AM91" s="870"/>
      <c r="AN91" s="870"/>
      <c r="AO91" s="870"/>
      <c r="AP91" s="870"/>
      <c r="AQ91" s="870"/>
      <c r="AR91" s="870"/>
      <c r="AS91" s="870"/>
      <c r="AT91" s="870"/>
      <c r="AU91" s="870"/>
      <c r="AW91" s="572">
        <v>-14536585.699999999</v>
      </c>
      <c r="AX91" s="213"/>
      <c r="AY91" s="213">
        <f t="shared" si="8"/>
        <v>-14536585.699999999</v>
      </c>
    </row>
    <row r="92" spans="1:51" s="306" customFormat="1" ht="15" customHeight="1" x14ac:dyDescent="0.25">
      <c r="A92" s="214"/>
      <c r="B92" s="214" t="s">
        <v>382</v>
      </c>
      <c r="C92" s="396">
        <v>3</v>
      </c>
      <c r="D92" s="396">
        <v>8020</v>
      </c>
      <c r="E92" s="397" t="s">
        <v>1432</v>
      </c>
      <c r="F92" s="396">
        <v>0</v>
      </c>
      <c r="G92" s="212">
        <v>-10891470.720000001</v>
      </c>
      <c r="H92" s="212">
        <v>-13154853.74</v>
      </c>
      <c r="I92" s="212"/>
      <c r="J92" s="399">
        <f>H92+I92</f>
        <v>-13154853.74</v>
      </c>
      <c r="K92" s="211"/>
      <c r="L92" s="399">
        <v>-13154853.74</v>
      </c>
      <c r="M92" s="399"/>
      <c r="N92" s="399">
        <v>-24897000</v>
      </c>
      <c r="O92" s="213"/>
      <c r="P92" s="213">
        <f t="shared" si="7"/>
        <v>-24897000</v>
      </c>
      <c r="Q92" s="827"/>
      <c r="R92" s="827"/>
      <c r="S92" s="827"/>
      <c r="T92" s="827"/>
      <c r="U92" s="827"/>
      <c r="V92" s="827"/>
      <c r="W92" s="827"/>
      <c r="X92" s="827"/>
      <c r="Y92" s="827"/>
      <c r="Z92" s="827"/>
      <c r="AA92" s="827"/>
      <c r="AB92" s="827"/>
      <c r="AC92" s="870"/>
      <c r="AD92" s="870"/>
      <c r="AE92" s="870"/>
      <c r="AF92" s="870"/>
      <c r="AG92" s="870"/>
      <c r="AH92" s="870"/>
      <c r="AI92" s="870"/>
      <c r="AJ92" s="870"/>
      <c r="AK92" s="870"/>
      <c r="AL92" s="870"/>
      <c r="AM92" s="870"/>
      <c r="AN92" s="870"/>
      <c r="AO92" s="870"/>
      <c r="AP92" s="870"/>
      <c r="AQ92" s="870"/>
      <c r="AR92" s="870"/>
      <c r="AS92" s="870"/>
      <c r="AT92" s="870"/>
      <c r="AU92" s="870"/>
      <c r="AW92" s="572">
        <f>-24897000-2035000</f>
        <v>-26932000</v>
      </c>
      <c r="AX92" s="213"/>
      <c r="AY92" s="213">
        <f t="shared" si="8"/>
        <v>-26932000</v>
      </c>
    </row>
    <row r="93" spans="1:51" s="306" customFormat="1" ht="15" customHeight="1" x14ac:dyDescent="0.25">
      <c r="A93" s="214"/>
      <c r="B93" s="214" t="s">
        <v>1039</v>
      </c>
      <c r="C93" s="396">
        <v>3</v>
      </c>
      <c r="D93" s="396">
        <v>8020</v>
      </c>
      <c r="E93" s="397" t="s">
        <v>1433</v>
      </c>
      <c r="F93" s="396">
        <v>0</v>
      </c>
      <c r="G93" s="212">
        <v>-6186486.1900000004</v>
      </c>
      <c r="H93" s="212">
        <v>-6807810.5099999998</v>
      </c>
      <c r="I93" s="212"/>
      <c r="J93" s="399">
        <f>H93+I93</f>
        <v>-6807810.5099999998</v>
      </c>
      <c r="K93" s="211"/>
      <c r="L93" s="399">
        <v>-6807810.5099999998</v>
      </c>
      <c r="M93" s="399"/>
      <c r="N93" s="399">
        <v>-5417000</v>
      </c>
      <c r="O93" s="213"/>
      <c r="P93" s="213">
        <f t="shared" si="7"/>
        <v>-5417000</v>
      </c>
      <c r="Q93" s="827"/>
      <c r="R93" s="827"/>
      <c r="S93" s="827"/>
      <c r="T93" s="827"/>
      <c r="U93" s="827"/>
      <c r="V93" s="827"/>
      <c r="W93" s="827"/>
      <c r="X93" s="827"/>
      <c r="Y93" s="827"/>
      <c r="Z93" s="827"/>
      <c r="AA93" s="827"/>
      <c r="AB93" s="827"/>
      <c r="AC93" s="870"/>
      <c r="AD93" s="870"/>
      <c r="AE93" s="870"/>
      <c r="AF93" s="870"/>
      <c r="AG93" s="870"/>
      <c r="AH93" s="870"/>
      <c r="AI93" s="870"/>
      <c r="AJ93" s="870"/>
      <c r="AK93" s="870"/>
      <c r="AL93" s="870"/>
      <c r="AM93" s="870"/>
      <c r="AN93" s="870"/>
      <c r="AO93" s="870"/>
      <c r="AP93" s="870"/>
      <c r="AQ93" s="870"/>
      <c r="AR93" s="870"/>
      <c r="AS93" s="870"/>
      <c r="AT93" s="870"/>
      <c r="AU93" s="870"/>
      <c r="AW93" s="572">
        <f>-5417000-2821000</f>
        <v>-8238000</v>
      </c>
      <c r="AX93" s="213"/>
      <c r="AY93" s="213">
        <f t="shared" si="8"/>
        <v>-8238000</v>
      </c>
    </row>
    <row r="94" spans="1:51" s="306" customFormat="1" ht="15" customHeight="1" x14ac:dyDescent="0.25">
      <c r="A94" s="214"/>
      <c r="B94" s="214"/>
      <c r="C94" s="396"/>
      <c r="D94" s="396"/>
      <c r="E94" s="396"/>
      <c r="F94" s="396"/>
      <c r="G94" s="398">
        <f t="shared" ref="G94:P94" si="9">SUM(G89:G93)</f>
        <v>-158810424.38999999</v>
      </c>
      <c r="H94" s="398">
        <f t="shared" si="9"/>
        <v>-177751748.50999999</v>
      </c>
      <c r="I94" s="398">
        <f t="shared" si="9"/>
        <v>0</v>
      </c>
      <c r="J94" s="354">
        <f t="shared" si="9"/>
        <v>-177751748.50999999</v>
      </c>
      <c r="K94" s="211"/>
      <c r="L94" s="354">
        <f t="shared" si="9"/>
        <v>-177751748.50999999</v>
      </c>
      <c r="M94" s="354"/>
      <c r="N94" s="354">
        <f>SUM(N89:N93)</f>
        <v>-194387486</v>
      </c>
      <c r="O94" s="354">
        <f t="shared" si="9"/>
        <v>0</v>
      </c>
      <c r="P94" s="354">
        <f t="shared" si="9"/>
        <v>-194387486</v>
      </c>
      <c r="Q94" s="496"/>
      <c r="R94" s="496"/>
      <c r="S94" s="496"/>
      <c r="T94" s="496"/>
      <c r="U94" s="496"/>
      <c r="V94" s="496"/>
      <c r="W94" s="496"/>
      <c r="X94" s="496"/>
      <c r="Y94" s="496"/>
      <c r="Z94" s="496"/>
      <c r="AA94" s="496"/>
      <c r="AB94" s="496"/>
      <c r="AC94" s="871"/>
      <c r="AD94" s="871"/>
      <c r="AE94" s="871"/>
      <c r="AF94" s="871"/>
      <c r="AG94" s="871"/>
      <c r="AH94" s="871"/>
      <c r="AI94" s="871"/>
      <c r="AJ94" s="871"/>
      <c r="AK94" s="871"/>
      <c r="AL94" s="871"/>
      <c r="AM94" s="871"/>
      <c r="AN94" s="871"/>
      <c r="AO94" s="871"/>
      <c r="AP94" s="871"/>
      <c r="AQ94" s="871"/>
      <c r="AR94" s="871"/>
      <c r="AS94" s="871"/>
      <c r="AT94" s="871"/>
      <c r="AU94" s="871"/>
      <c r="AW94" s="354">
        <f>SUM(AW89:AW93)</f>
        <v>-204788720.69999999</v>
      </c>
      <c r="AX94" s="354">
        <f>SUM(AX89:AX93)</f>
        <v>0</v>
      </c>
      <c r="AY94" s="354">
        <f>SUM(AY89:AY93)</f>
        <v>-204788720.69999999</v>
      </c>
    </row>
    <row r="95" spans="1:51" s="306" customFormat="1" ht="15" customHeight="1" x14ac:dyDescent="0.25">
      <c r="A95" s="214"/>
      <c r="B95" s="214"/>
      <c r="C95" s="396"/>
      <c r="D95" s="396"/>
      <c r="E95" s="396"/>
      <c r="F95" s="396"/>
      <c r="G95" s="212"/>
      <c r="H95" s="212"/>
      <c r="I95" s="212"/>
      <c r="J95" s="213"/>
      <c r="K95" s="211"/>
      <c r="L95" s="213"/>
      <c r="M95" s="213"/>
      <c r="N95" s="213"/>
      <c r="O95" s="213"/>
      <c r="P95" s="213"/>
      <c r="Q95" s="827"/>
      <c r="R95" s="827"/>
      <c r="S95" s="827"/>
      <c r="T95" s="827"/>
      <c r="U95" s="827"/>
      <c r="V95" s="827"/>
      <c r="W95" s="827"/>
      <c r="X95" s="827"/>
      <c r="Y95" s="827"/>
      <c r="Z95" s="827"/>
      <c r="AA95" s="827"/>
      <c r="AB95" s="827"/>
      <c r="AC95" s="870"/>
      <c r="AD95" s="870"/>
      <c r="AE95" s="870"/>
      <c r="AF95" s="870"/>
      <c r="AG95" s="870"/>
      <c r="AH95" s="870"/>
      <c r="AI95" s="870"/>
      <c r="AJ95" s="870"/>
      <c r="AK95" s="870"/>
      <c r="AL95" s="870"/>
      <c r="AM95" s="870"/>
      <c r="AN95" s="870"/>
      <c r="AO95" s="870"/>
      <c r="AP95" s="870"/>
      <c r="AQ95" s="870"/>
      <c r="AR95" s="870"/>
      <c r="AS95" s="870"/>
      <c r="AT95" s="870"/>
      <c r="AU95" s="870"/>
      <c r="AW95" s="213"/>
      <c r="AX95" s="213"/>
      <c r="AY95" s="213"/>
    </row>
    <row r="96" spans="1:51" s="306" customFormat="1" ht="15" customHeight="1" x14ac:dyDescent="0.25">
      <c r="A96" s="214"/>
      <c r="B96" s="214"/>
      <c r="C96" s="396"/>
      <c r="D96" s="396"/>
      <c r="E96" s="396"/>
      <c r="F96" s="396"/>
      <c r="G96" s="212"/>
      <c r="H96" s="212"/>
      <c r="I96" s="212"/>
      <c r="J96" s="213"/>
      <c r="K96" s="211"/>
      <c r="L96" s="213"/>
      <c r="M96" s="213"/>
      <c r="N96" s="213"/>
      <c r="O96" s="213"/>
      <c r="P96" s="213"/>
      <c r="Q96" s="827"/>
      <c r="R96" s="827"/>
      <c r="S96" s="827"/>
      <c r="T96" s="827"/>
      <c r="U96" s="827"/>
      <c r="V96" s="827"/>
      <c r="W96" s="827"/>
      <c r="X96" s="827"/>
      <c r="Y96" s="827"/>
      <c r="Z96" s="827"/>
      <c r="AA96" s="827"/>
      <c r="AB96" s="827"/>
      <c r="AC96" s="870"/>
      <c r="AD96" s="870"/>
      <c r="AE96" s="870"/>
      <c r="AF96" s="870"/>
      <c r="AG96" s="870"/>
      <c r="AH96" s="870"/>
      <c r="AI96" s="870"/>
      <c r="AJ96" s="870"/>
      <c r="AK96" s="870"/>
      <c r="AL96" s="870"/>
      <c r="AM96" s="870"/>
      <c r="AN96" s="870"/>
      <c r="AO96" s="870"/>
      <c r="AP96" s="870"/>
      <c r="AQ96" s="870"/>
      <c r="AR96" s="870"/>
      <c r="AS96" s="870"/>
      <c r="AT96" s="870"/>
      <c r="AU96" s="870"/>
      <c r="AW96" s="213"/>
      <c r="AX96" s="213"/>
      <c r="AY96" s="213"/>
    </row>
    <row r="97" spans="1:51" s="306" customFormat="1" ht="15" customHeight="1" x14ac:dyDescent="0.25">
      <c r="A97" s="238" t="s">
        <v>118</v>
      </c>
      <c r="B97" s="238" t="s">
        <v>119</v>
      </c>
      <c r="C97" s="396"/>
      <c r="D97" s="396"/>
      <c r="E97" s="396"/>
      <c r="F97" s="396"/>
      <c r="G97" s="212"/>
      <c r="H97" s="212"/>
      <c r="I97" s="212"/>
      <c r="J97" s="213"/>
      <c r="K97" s="211"/>
      <c r="L97" s="213"/>
      <c r="M97" s="213"/>
      <c r="N97" s="213"/>
      <c r="O97" s="213"/>
      <c r="P97" s="213"/>
      <c r="Q97" s="827"/>
      <c r="R97" s="827"/>
      <c r="S97" s="827"/>
      <c r="T97" s="827"/>
      <c r="U97" s="827"/>
      <c r="V97" s="827"/>
      <c r="W97" s="827"/>
      <c r="X97" s="827"/>
      <c r="Y97" s="827"/>
      <c r="Z97" s="827"/>
      <c r="AA97" s="827"/>
      <c r="AB97" s="827"/>
      <c r="AC97" s="870"/>
      <c r="AD97" s="870"/>
      <c r="AE97" s="870"/>
      <c r="AF97" s="870"/>
      <c r="AG97" s="870"/>
      <c r="AH97" s="870"/>
      <c r="AI97" s="870"/>
      <c r="AJ97" s="870"/>
      <c r="AK97" s="870"/>
      <c r="AL97" s="870"/>
      <c r="AM97" s="870"/>
      <c r="AN97" s="870"/>
      <c r="AO97" s="870"/>
      <c r="AP97" s="870"/>
      <c r="AQ97" s="870"/>
      <c r="AR97" s="870"/>
      <c r="AS97" s="870"/>
      <c r="AT97" s="870"/>
      <c r="AU97" s="870"/>
      <c r="AW97" s="213"/>
      <c r="AX97" s="213"/>
      <c r="AY97" s="213"/>
    </row>
    <row r="98" spans="1:51" s="306" customFormat="1" ht="25.5" customHeight="1" x14ac:dyDescent="0.25">
      <c r="A98" s="214"/>
      <c r="B98" s="240" t="s">
        <v>331</v>
      </c>
      <c r="C98" s="396">
        <v>3</v>
      </c>
      <c r="D98" s="396">
        <v>8060</v>
      </c>
      <c r="E98" s="397" t="s">
        <v>1379</v>
      </c>
      <c r="F98" s="396">
        <v>0</v>
      </c>
      <c r="G98" s="212">
        <v>-953926.67</v>
      </c>
      <c r="H98" s="212">
        <v>-953926.67</v>
      </c>
      <c r="I98" s="212"/>
      <c r="J98" s="399">
        <f>H98+I98</f>
        <v>-953926.67</v>
      </c>
      <c r="K98" s="211"/>
      <c r="L98" s="399">
        <v>-953926.67</v>
      </c>
      <c r="M98" s="399"/>
      <c r="N98" s="399">
        <v>-953926.67</v>
      </c>
      <c r="O98" s="213"/>
      <c r="P98" s="213">
        <f t="shared" ref="P98:P113" si="10">N98+O98</f>
        <v>-953926.67</v>
      </c>
      <c r="Q98" s="827"/>
      <c r="R98" s="827"/>
      <c r="S98" s="827"/>
      <c r="T98" s="827"/>
      <c r="U98" s="827"/>
      <c r="V98" s="827"/>
      <c r="W98" s="827"/>
      <c r="X98" s="827"/>
      <c r="Y98" s="827"/>
      <c r="Z98" s="827"/>
      <c r="AA98" s="827"/>
      <c r="AB98" s="827"/>
      <c r="AC98" s="870"/>
      <c r="AD98" s="870"/>
      <c r="AE98" s="870"/>
      <c r="AF98" s="870"/>
      <c r="AG98" s="870"/>
      <c r="AH98" s="870"/>
      <c r="AI98" s="870"/>
      <c r="AJ98" s="870"/>
      <c r="AK98" s="870"/>
      <c r="AL98" s="870"/>
      <c r="AM98" s="870"/>
      <c r="AN98" s="870"/>
      <c r="AO98" s="870"/>
      <c r="AP98" s="870"/>
      <c r="AQ98" s="870"/>
      <c r="AR98" s="870"/>
      <c r="AS98" s="870"/>
      <c r="AT98" s="870"/>
      <c r="AU98" s="870"/>
      <c r="AW98" s="399">
        <v>0</v>
      </c>
      <c r="AX98" s="213"/>
      <c r="AY98" s="213">
        <f t="shared" ref="AY98:AY113" si="11">AW98+AX98</f>
        <v>0</v>
      </c>
    </row>
    <row r="99" spans="1:51" s="306" customFormat="1" ht="25.5" customHeight="1" x14ac:dyDescent="0.25">
      <c r="A99" s="214"/>
      <c r="B99" s="240" t="s">
        <v>332</v>
      </c>
      <c r="C99" s="396">
        <v>3</v>
      </c>
      <c r="D99" s="396">
        <v>8060</v>
      </c>
      <c r="E99" s="397" t="s">
        <v>1380</v>
      </c>
      <c r="F99" s="396">
        <v>0</v>
      </c>
      <c r="G99" s="212">
        <v>-649873.88</v>
      </c>
      <c r="H99" s="212">
        <v>-649873.88</v>
      </c>
      <c r="I99" s="212"/>
      <c r="J99" s="399">
        <f>H99+I99</f>
        <v>-649873.88</v>
      </c>
      <c r="K99" s="211"/>
      <c r="L99" s="399">
        <v>-649873.88</v>
      </c>
      <c r="M99" s="399"/>
      <c r="N99" s="399">
        <v>-649873.88</v>
      </c>
      <c r="O99" s="213"/>
      <c r="P99" s="213">
        <f t="shared" si="10"/>
        <v>-649873.88</v>
      </c>
      <c r="Q99" s="827"/>
      <c r="R99" s="827"/>
      <c r="S99" s="827"/>
      <c r="T99" s="827"/>
      <c r="U99" s="827"/>
      <c r="V99" s="827"/>
      <c r="W99" s="827"/>
      <c r="X99" s="827"/>
      <c r="Y99" s="827"/>
      <c r="Z99" s="827"/>
      <c r="AA99" s="827"/>
      <c r="AB99" s="827"/>
      <c r="AC99" s="870"/>
      <c r="AD99" s="870"/>
      <c r="AE99" s="870"/>
      <c r="AF99" s="870"/>
      <c r="AG99" s="870"/>
      <c r="AH99" s="870"/>
      <c r="AI99" s="870"/>
      <c r="AJ99" s="870"/>
      <c r="AK99" s="870"/>
      <c r="AL99" s="870"/>
      <c r="AM99" s="870"/>
      <c r="AN99" s="870"/>
      <c r="AO99" s="870"/>
      <c r="AP99" s="870"/>
      <c r="AQ99" s="870"/>
      <c r="AR99" s="870"/>
      <c r="AS99" s="870"/>
      <c r="AT99" s="870"/>
      <c r="AU99" s="870"/>
      <c r="AW99" s="399">
        <v>0</v>
      </c>
      <c r="AX99" s="213"/>
      <c r="AY99" s="213">
        <f t="shared" si="11"/>
        <v>0</v>
      </c>
    </row>
    <row r="100" spans="1:51" s="306" customFormat="1" ht="15" customHeight="1" x14ac:dyDescent="0.25">
      <c r="A100" s="214"/>
      <c r="B100" s="240" t="s">
        <v>1495</v>
      </c>
      <c r="C100" s="396">
        <v>3</v>
      </c>
      <c r="D100" s="396">
        <v>8060</v>
      </c>
      <c r="E100" s="397" t="s">
        <v>1384</v>
      </c>
      <c r="F100" s="396">
        <v>0</v>
      </c>
      <c r="G100" s="212"/>
      <c r="H100" s="212">
        <v>-6153144.4800000004</v>
      </c>
      <c r="I100" s="212"/>
      <c r="J100" s="399">
        <f>H100+I100</f>
        <v>-6153144.4800000004</v>
      </c>
      <c r="K100" s="211"/>
      <c r="L100" s="399">
        <v>-6153144.4800000004</v>
      </c>
      <c r="M100" s="399"/>
      <c r="N100" s="399">
        <v>-6153144.4800000004</v>
      </c>
      <c r="O100" s="213"/>
      <c r="P100" s="213">
        <f t="shared" si="10"/>
        <v>-6153144.4800000004</v>
      </c>
      <c r="Q100" s="827"/>
      <c r="R100" s="827"/>
      <c r="S100" s="827"/>
      <c r="T100" s="827"/>
      <c r="U100" s="827"/>
      <c r="V100" s="827"/>
      <c r="W100" s="827"/>
      <c r="X100" s="827"/>
      <c r="Y100" s="827"/>
      <c r="Z100" s="827"/>
      <c r="AA100" s="827"/>
      <c r="AB100" s="827"/>
      <c r="AC100" s="870"/>
      <c r="AD100" s="870"/>
      <c r="AE100" s="870"/>
      <c r="AF100" s="870"/>
      <c r="AG100" s="870"/>
      <c r="AH100" s="870"/>
      <c r="AI100" s="870"/>
      <c r="AJ100" s="870"/>
      <c r="AK100" s="870"/>
      <c r="AL100" s="870"/>
      <c r="AM100" s="870"/>
      <c r="AN100" s="870"/>
      <c r="AO100" s="870"/>
      <c r="AP100" s="870"/>
      <c r="AQ100" s="870"/>
      <c r="AR100" s="870"/>
      <c r="AS100" s="870"/>
      <c r="AT100" s="870"/>
      <c r="AU100" s="870"/>
      <c r="AW100" s="572">
        <v>-6153144.4800000004</v>
      </c>
      <c r="AX100" s="213"/>
      <c r="AY100" s="213">
        <f t="shared" si="11"/>
        <v>-6153144.4800000004</v>
      </c>
    </row>
    <row r="101" spans="1:51" s="306" customFormat="1" ht="15" customHeight="1" x14ac:dyDescent="0.25">
      <c r="A101" s="214"/>
      <c r="B101" s="240" t="s">
        <v>596</v>
      </c>
      <c r="C101" s="396">
        <v>3</v>
      </c>
      <c r="D101" s="396">
        <v>8060</v>
      </c>
      <c r="E101" s="397" t="s">
        <v>1447</v>
      </c>
      <c r="F101" s="396">
        <v>0</v>
      </c>
      <c r="G101" s="212"/>
      <c r="H101" s="212">
        <v>-371197.42</v>
      </c>
      <c r="I101" s="212"/>
      <c r="J101" s="399">
        <f>H101+I101</f>
        <v>-371197.42</v>
      </c>
      <c r="K101" s="211"/>
      <c r="L101" s="399">
        <v>-371197.42</v>
      </c>
      <c r="M101" s="399"/>
      <c r="N101" s="399">
        <v>0</v>
      </c>
      <c r="O101" s="213"/>
      <c r="P101" s="213">
        <f t="shared" si="10"/>
        <v>0</v>
      </c>
      <c r="Q101" s="827"/>
      <c r="R101" s="827"/>
      <c r="S101" s="827"/>
      <c r="T101" s="827"/>
      <c r="U101" s="827"/>
      <c r="V101" s="827"/>
      <c r="W101" s="827"/>
      <c r="X101" s="827"/>
      <c r="Y101" s="827"/>
      <c r="Z101" s="827"/>
      <c r="AA101" s="827"/>
      <c r="AB101" s="827"/>
      <c r="AC101" s="870"/>
      <c r="AD101" s="870"/>
      <c r="AE101" s="870"/>
      <c r="AF101" s="870"/>
      <c r="AG101" s="870"/>
      <c r="AH101" s="870"/>
      <c r="AI101" s="870"/>
      <c r="AJ101" s="870"/>
      <c r="AK101" s="870"/>
      <c r="AL101" s="870"/>
      <c r="AM101" s="870"/>
      <c r="AN101" s="870"/>
      <c r="AO101" s="870"/>
      <c r="AP101" s="870"/>
      <c r="AQ101" s="870"/>
      <c r="AR101" s="870"/>
      <c r="AS101" s="870"/>
      <c r="AT101" s="870"/>
      <c r="AU101" s="870"/>
      <c r="AW101" s="572">
        <v>-3270507.53</v>
      </c>
      <c r="AX101" s="213"/>
      <c r="AY101" s="213">
        <f t="shared" si="11"/>
        <v>-3270507.53</v>
      </c>
    </row>
    <row r="102" spans="1:51" s="306" customFormat="1" ht="15" customHeight="1" x14ac:dyDescent="0.25">
      <c r="A102" s="214"/>
      <c r="B102" s="240" t="s">
        <v>329</v>
      </c>
      <c r="C102" s="396">
        <v>3</v>
      </c>
      <c r="D102" s="396">
        <v>8060</v>
      </c>
      <c r="E102" s="397" t="s">
        <v>1432</v>
      </c>
      <c r="F102" s="396">
        <v>0</v>
      </c>
      <c r="G102" s="212">
        <v>-54714.19</v>
      </c>
      <c r="H102" s="212">
        <v>-54714.19</v>
      </c>
      <c r="I102" s="212"/>
      <c r="J102" s="399">
        <f t="shared" ref="J102:J113" si="12">H102+I102</f>
        <v>-54714.19</v>
      </c>
      <c r="K102" s="211"/>
      <c r="L102" s="399">
        <v>-54714.19</v>
      </c>
      <c r="M102" s="399"/>
      <c r="N102" s="399">
        <v>-54714.19</v>
      </c>
      <c r="O102" s="213"/>
      <c r="P102" s="213">
        <f t="shared" si="10"/>
        <v>-54714.19</v>
      </c>
      <c r="Q102" s="827"/>
      <c r="R102" s="827"/>
      <c r="S102" s="827"/>
      <c r="T102" s="827"/>
      <c r="U102" s="827"/>
      <c r="V102" s="827"/>
      <c r="W102" s="827"/>
      <c r="X102" s="827"/>
      <c r="Y102" s="827"/>
      <c r="Z102" s="827"/>
      <c r="AA102" s="827"/>
      <c r="AB102" s="827"/>
      <c r="AC102" s="870"/>
      <c r="AD102" s="870"/>
      <c r="AE102" s="870"/>
      <c r="AF102" s="870"/>
      <c r="AG102" s="870"/>
      <c r="AH102" s="870"/>
      <c r="AI102" s="870"/>
      <c r="AJ102" s="870"/>
      <c r="AK102" s="870"/>
      <c r="AL102" s="870"/>
      <c r="AM102" s="870"/>
      <c r="AN102" s="870"/>
      <c r="AO102" s="870"/>
      <c r="AP102" s="870"/>
      <c r="AQ102" s="870"/>
      <c r="AR102" s="870"/>
      <c r="AS102" s="870"/>
      <c r="AT102" s="870"/>
      <c r="AU102" s="870"/>
      <c r="AW102" s="399">
        <v>0</v>
      </c>
      <c r="AX102" s="213"/>
      <c r="AY102" s="213">
        <f t="shared" si="11"/>
        <v>0</v>
      </c>
    </row>
    <row r="103" spans="1:51" ht="15" customHeight="1" x14ac:dyDescent="0.25">
      <c r="A103" s="214"/>
      <c r="B103" s="241" t="s">
        <v>919</v>
      </c>
      <c r="C103" s="396">
        <v>3</v>
      </c>
      <c r="D103" s="396">
        <v>8060</v>
      </c>
      <c r="E103" s="397" t="s">
        <v>1433</v>
      </c>
      <c r="F103" s="396">
        <v>0</v>
      </c>
      <c r="G103" s="212"/>
      <c r="H103" s="212">
        <v>-6407000</v>
      </c>
      <c r="I103" s="212"/>
      <c r="J103" s="399">
        <f t="shared" si="12"/>
        <v>-6407000</v>
      </c>
      <c r="L103" s="399">
        <v>-6407000</v>
      </c>
      <c r="M103" s="399"/>
      <c r="N103" s="399">
        <v>-2057677.42</v>
      </c>
      <c r="O103" s="213"/>
      <c r="P103" s="213">
        <f t="shared" si="10"/>
        <v>-2057677.42</v>
      </c>
      <c r="Q103" s="827"/>
      <c r="R103" s="827"/>
      <c r="S103" s="827"/>
      <c r="T103" s="827"/>
      <c r="U103" s="827"/>
      <c r="V103" s="827"/>
      <c r="W103" s="827"/>
      <c r="X103" s="827"/>
      <c r="Y103" s="827"/>
      <c r="Z103" s="827"/>
      <c r="AA103" s="827"/>
      <c r="AB103" s="827"/>
      <c r="AC103" s="870"/>
      <c r="AD103" s="870"/>
      <c r="AE103" s="870"/>
      <c r="AF103" s="870"/>
      <c r="AG103" s="870"/>
      <c r="AH103" s="870"/>
      <c r="AI103" s="870"/>
      <c r="AJ103" s="870"/>
      <c r="AK103" s="870"/>
      <c r="AL103" s="870"/>
      <c r="AM103" s="870"/>
      <c r="AN103" s="870"/>
      <c r="AO103" s="870"/>
      <c r="AP103" s="870"/>
      <c r="AQ103" s="870"/>
      <c r="AR103" s="870"/>
      <c r="AS103" s="870"/>
      <c r="AT103" s="870"/>
      <c r="AU103" s="870"/>
      <c r="AW103" s="572">
        <v>-7731052.3700000001</v>
      </c>
      <c r="AX103" s="213"/>
      <c r="AY103" s="213">
        <f t="shared" si="11"/>
        <v>-7731052.3700000001</v>
      </c>
    </row>
    <row r="104" spans="1:51" ht="15" customHeight="1" x14ac:dyDescent="0.25">
      <c r="A104" s="214"/>
      <c r="B104" s="241" t="s">
        <v>1434</v>
      </c>
      <c r="C104" s="396">
        <v>3</v>
      </c>
      <c r="D104" s="396">
        <v>8060</v>
      </c>
      <c r="E104" s="397" t="s">
        <v>1435</v>
      </c>
      <c r="F104" s="396">
        <v>0</v>
      </c>
      <c r="G104" s="212">
        <v>-7992204</v>
      </c>
      <c r="H104" s="212">
        <v>0</v>
      </c>
      <c r="I104" s="212"/>
      <c r="J104" s="399">
        <f t="shared" si="12"/>
        <v>0</v>
      </c>
      <c r="L104" s="399">
        <v>0</v>
      </c>
      <c r="M104" s="399"/>
      <c r="N104" s="399">
        <v>-1374328.2</v>
      </c>
      <c r="O104" s="213"/>
      <c r="P104" s="213">
        <f t="shared" si="10"/>
        <v>-1374328.2</v>
      </c>
      <c r="Q104" s="827"/>
      <c r="R104" s="827"/>
      <c r="S104" s="827"/>
      <c r="T104" s="827"/>
      <c r="U104" s="827"/>
      <c r="V104" s="827"/>
      <c r="W104" s="827"/>
      <c r="X104" s="827"/>
      <c r="Y104" s="827"/>
      <c r="Z104" s="827"/>
      <c r="AA104" s="827"/>
      <c r="AB104" s="827"/>
      <c r="AC104" s="870"/>
      <c r="AD104" s="870"/>
      <c r="AE104" s="870"/>
      <c r="AF104" s="870"/>
      <c r="AG104" s="870"/>
      <c r="AH104" s="870"/>
      <c r="AI104" s="870"/>
      <c r="AJ104" s="870"/>
      <c r="AK104" s="870"/>
      <c r="AL104" s="870"/>
      <c r="AM104" s="870"/>
      <c r="AN104" s="870"/>
      <c r="AO104" s="870"/>
      <c r="AP104" s="870"/>
      <c r="AQ104" s="870"/>
      <c r="AR104" s="870"/>
      <c r="AS104" s="870"/>
      <c r="AT104" s="870"/>
      <c r="AU104" s="870"/>
      <c r="AW104" s="399">
        <v>0</v>
      </c>
      <c r="AX104" s="213"/>
      <c r="AY104" s="213">
        <f t="shared" si="11"/>
        <v>0</v>
      </c>
    </row>
    <row r="105" spans="1:51" ht="15" customHeight="1" x14ac:dyDescent="0.25">
      <c r="A105" s="214"/>
      <c r="B105" s="240" t="s">
        <v>334</v>
      </c>
      <c r="C105" s="396">
        <v>3</v>
      </c>
      <c r="D105" s="396">
        <v>8060</v>
      </c>
      <c r="E105" s="397" t="s">
        <v>1436</v>
      </c>
      <c r="F105" s="396">
        <v>0</v>
      </c>
      <c r="G105" s="212">
        <v>-2949709.53</v>
      </c>
      <c r="H105" s="212">
        <v>-2949709.53</v>
      </c>
      <c r="I105" s="212"/>
      <c r="J105" s="399">
        <f t="shared" si="12"/>
        <v>-2949709.53</v>
      </c>
      <c r="L105" s="399">
        <v>-2949709.53</v>
      </c>
      <c r="M105" s="399"/>
      <c r="N105" s="399">
        <v>-2949709.53</v>
      </c>
      <c r="O105" s="213"/>
      <c r="P105" s="213">
        <f t="shared" si="10"/>
        <v>-2949709.53</v>
      </c>
      <c r="Q105" s="827"/>
      <c r="R105" s="827"/>
      <c r="S105" s="827"/>
      <c r="T105" s="827"/>
      <c r="U105" s="827"/>
      <c r="V105" s="827"/>
      <c r="W105" s="827"/>
      <c r="X105" s="827"/>
      <c r="Y105" s="827"/>
      <c r="Z105" s="827"/>
      <c r="AA105" s="827"/>
      <c r="AB105" s="827"/>
      <c r="AC105" s="870"/>
      <c r="AD105" s="870"/>
      <c r="AE105" s="870"/>
      <c r="AF105" s="870"/>
      <c r="AG105" s="870"/>
      <c r="AH105" s="870"/>
      <c r="AI105" s="870"/>
      <c r="AJ105" s="870"/>
      <c r="AK105" s="870"/>
      <c r="AL105" s="870"/>
      <c r="AM105" s="870"/>
      <c r="AN105" s="870"/>
      <c r="AO105" s="870"/>
      <c r="AP105" s="870"/>
      <c r="AQ105" s="870"/>
      <c r="AR105" s="870"/>
      <c r="AS105" s="870"/>
      <c r="AT105" s="870"/>
      <c r="AU105" s="870"/>
      <c r="AW105" s="572">
        <v>-2949709.53</v>
      </c>
      <c r="AX105" s="213"/>
      <c r="AY105" s="213">
        <f t="shared" si="11"/>
        <v>-2949709.53</v>
      </c>
    </row>
    <row r="106" spans="1:51" ht="15" customHeight="1" x14ac:dyDescent="0.25">
      <c r="A106" s="214"/>
      <c r="B106" s="240" t="s">
        <v>333</v>
      </c>
      <c r="C106" s="396">
        <v>3</v>
      </c>
      <c r="D106" s="396">
        <v>8060</v>
      </c>
      <c r="E106" s="397" t="s">
        <v>1437</v>
      </c>
      <c r="F106" s="396">
        <v>0</v>
      </c>
      <c r="G106" s="212">
        <v>-5250000</v>
      </c>
      <c r="H106" s="212">
        <v>-34276855.210000001</v>
      </c>
      <c r="I106" s="212"/>
      <c r="J106" s="399">
        <f t="shared" si="12"/>
        <v>-34276855.210000001</v>
      </c>
      <c r="L106" s="399">
        <v>-34276855.210000001</v>
      </c>
      <c r="M106" s="399"/>
      <c r="N106" s="399">
        <v>-42338276.600000001</v>
      </c>
      <c r="O106" s="213"/>
      <c r="P106" s="213">
        <f t="shared" si="10"/>
        <v>-42338276.600000001</v>
      </c>
      <c r="Q106" s="827"/>
      <c r="R106" s="827"/>
      <c r="S106" s="827"/>
      <c r="T106" s="827"/>
      <c r="U106" s="827"/>
      <c r="V106" s="827"/>
      <c r="W106" s="827"/>
      <c r="X106" s="827"/>
      <c r="Y106" s="827"/>
      <c r="Z106" s="827"/>
      <c r="AA106" s="827"/>
      <c r="AB106" s="827"/>
      <c r="AC106" s="870"/>
      <c r="AD106" s="870"/>
      <c r="AE106" s="870"/>
      <c r="AF106" s="870"/>
      <c r="AG106" s="870"/>
      <c r="AH106" s="870"/>
      <c r="AI106" s="870"/>
      <c r="AJ106" s="870"/>
      <c r="AK106" s="870"/>
      <c r="AL106" s="870"/>
      <c r="AM106" s="870"/>
      <c r="AN106" s="870"/>
      <c r="AO106" s="870"/>
      <c r="AP106" s="870"/>
      <c r="AQ106" s="870"/>
      <c r="AR106" s="870"/>
      <c r="AS106" s="870"/>
      <c r="AT106" s="870"/>
      <c r="AU106" s="870"/>
      <c r="AW106" s="572">
        <v>-111917691.28</v>
      </c>
      <c r="AX106" s="213"/>
      <c r="AY106" s="213">
        <f t="shared" si="11"/>
        <v>-111917691.28</v>
      </c>
    </row>
    <row r="107" spans="1:51" ht="15" customHeight="1" x14ac:dyDescent="0.25">
      <c r="A107" s="214"/>
      <c r="B107" s="240" t="s">
        <v>330</v>
      </c>
      <c r="C107" s="396">
        <v>3</v>
      </c>
      <c r="D107" s="396">
        <v>8060</v>
      </c>
      <c r="E107" s="397" t="s">
        <v>1438</v>
      </c>
      <c r="F107" s="396">
        <v>0</v>
      </c>
      <c r="G107" s="212">
        <v>-333424.02</v>
      </c>
      <c r="H107" s="212">
        <v>-349571.77</v>
      </c>
      <c r="I107" s="212"/>
      <c r="J107" s="399">
        <f t="shared" si="12"/>
        <v>-349571.77</v>
      </c>
      <c r="L107" s="399">
        <v>-349571.77</v>
      </c>
      <c r="M107" s="399"/>
      <c r="N107" s="399">
        <v>-364781.03</v>
      </c>
      <c r="O107" s="213"/>
      <c r="P107" s="213">
        <f t="shared" si="10"/>
        <v>-364781.03</v>
      </c>
      <c r="Q107" s="827"/>
      <c r="R107" s="827"/>
      <c r="S107" s="827"/>
      <c r="T107" s="827"/>
      <c r="U107" s="827"/>
      <c r="V107" s="827"/>
      <c r="W107" s="827"/>
      <c r="X107" s="827"/>
      <c r="Y107" s="827"/>
      <c r="Z107" s="827"/>
      <c r="AA107" s="827"/>
      <c r="AB107" s="827"/>
      <c r="AC107" s="870"/>
      <c r="AD107" s="870"/>
      <c r="AE107" s="870"/>
      <c r="AF107" s="870"/>
      <c r="AG107" s="870"/>
      <c r="AH107" s="870"/>
      <c r="AI107" s="870"/>
      <c r="AJ107" s="870"/>
      <c r="AK107" s="870"/>
      <c r="AL107" s="870"/>
      <c r="AM107" s="870"/>
      <c r="AN107" s="870"/>
      <c r="AO107" s="870"/>
      <c r="AP107" s="870"/>
      <c r="AQ107" s="870"/>
      <c r="AR107" s="870"/>
      <c r="AS107" s="870"/>
      <c r="AT107" s="870"/>
      <c r="AU107" s="870"/>
      <c r="AW107" s="572">
        <v>-385777.15</v>
      </c>
      <c r="AX107" s="213"/>
      <c r="AY107" s="213">
        <f t="shared" si="11"/>
        <v>-385777.15</v>
      </c>
    </row>
    <row r="108" spans="1:51" ht="15" customHeight="1" x14ac:dyDescent="0.25">
      <c r="A108" s="214"/>
      <c r="B108" s="240" t="s">
        <v>815</v>
      </c>
      <c r="C108" s="396">
        <v>3</v>
      </c>
      <c r="D108" s="396">
        <v>8060</v>
      </c>
      <c r="E108" s="397" t="s">
        <v>1439</v>
      </c>
      <c r="F108" s="396">
        <v>0</v>
      </c>
      <c r="G108" s="212">
        <v>-118520005.75</v>
      </c>
      <c r="H108" s="212">
        <v>-111398780.28</v>
      </c>
      <c r="I108" s="212"/>
      <c r="J108" s="399">
        <f t="shared" si="12"/>
        <v>-111398780.28</v>
      </c>
      <c r="L108" s="399">
        <v>-111398780.28</v>
      </c>
      <c r="M108" s="399"/>
      <c r="N108" s="399">
        <v>-137656169.13</v>
      </c>
      <c r="O108" s="213"/>
      <c r="P108" s="213">
        <f t="shared" si="10"/>
        <v>-137656169.13</v>
      </c>
      <c r="Q108" s="827"/>
      <c r="R108" s="827"/>
      <c r="S108" s="827"/>
      <c r="T108" s="827"/>
      <c r="U108" s="827"/>
      <c r="V108" s="827"/>
      <c r="W108" s="827"/>
      <c r="X108" s="827"/>
      <c r="Y108" s="827"/>
      <c r="Z108" s="827"/>
      <c r="AA108" s="827"/>
      <c r="AB108" s="827"/>
      <c r="AC108" s="870"/>
      <c r="AD108" s="870"/>
      <c r="AE108" s="870"/>
      <c r="AF108" s="870"/>
      <c r="AG108" s="870"/>
      <c r="AH108" s="870"/>
      <c r="AI108" s="870"/>
      <c r="AJ108" s="870"/>
      <c r="AK108" s="870"/>
      <c r="AL108" s="870"/>
      <c r="AM108" s="870"/>
      <c r="AN108" s="870"/>
      <c r="AO108" s="870"/>
      <c r="AP108" s="870"/>
      <c r="AQ108" s="870"/>
      <c r="AR108" s="870"/>
      <c r="AS108" s="870"/>
      <c r="AT108" s="870"/>
      <c r="AU108" s="870"/>
      <c r="AW108" s="572">
        <v>-136106614.19999999</v>
      </c>
      <c r="AX108" s="213"/>
      <c r="AY108" s="213">
        <f t="shared" si="11"/>
        <v>-136106614.19999999</v>
      </c>
    </row>
    <row r="109" spans="1:51" ht="15" customHeight="1" x14ac:dyDescent="0.25">
      <c r="A109" s="214"/>
      <c r="B109" s="241" t="s">
        <v>1440</v>
      </c>
      <c r="C109" s="396">
        <v>3</v>
      </c>
      <c r="D109" s="396">
        <v>8060</v>
      </c>
      <c r="E109" s="397" t="s">
        <v>1441</v>
      </c>
      <c r="F109" s="396">
        <v>0</v>
      </c>
      <c r="G109" s="212">
        <v>-257208.3</v>
      </c>
      <c r="H109" s="212">
        <v>-8537557.9900000002</v>
      </c>
      <c r="I109" s="212"/>
      <c r="J109" s="399">
        <f t="shared" si="12"/>
        <v>-8537557.9900000002</v>
      </c>
      <c r="L109" s="399">
        <v>-8537557.9900000002</v>
      </c>
      <c r="M109" s="399"/>
      <c r="N109" s="399">
        <v>0</v>
      </c>
      <c r="O109" s="213"/>
      <c r="P109" s="213">
        <f t="shared" si="10"/>
        <v>0</v>
      </c>
      <c r="Q109" s="827"/>
      <c r="R109" s="827"/>
      <c r="S109" s="827"/>
      <c r="T109" s="827"/>
      <c r="U109" s="827"/>
      <c r="V109" s="827"/>
      <c r="W109" s="827"/>
      <c r="X109" s="827"/>
      <c r="Y109" s="827"/>
      <c r="Z109" s="827"/>
      <c r="AA109" s="827"/>
      <c r="AB109" s="827"/>
      <c r="AC109" s="870"/>
      <c r="AD109" s="870"/>
      <c r="AE109" s="870"/>
      <c r="AF109" s="870"/>
      <c r="AG109" s="870"/>
      <c r="AH109" s="870"/>
      <c r="AI109" s="870"/>
      <c r="AJ109" s="870"/>
      <c r="AK109" s="870"/>
      <c r="AL109" s="870"/>
      <c r="AM109" s="870"/>
      <c r="AN109" s="870"/>
      <c r="AO109" s="870"/>
      <c r="AP109" s="870"/>
      <c r="AQ109" s="870"/>
      <c r="AR109" s="870"/>
      <c r="AS109" s="870"/>
      <c r="AT109" s="870"/>
      <c r="AU109" s="870"/>
      <c r="AW109" s="572">
        <v>-4057089.67</v>
      </c>
      <c r="AX109" s="213"/>
      <c r="AY109" s="213">
        <f t="shared" si="11"/>
        <v>-4057089.67</v>
      </c>
    </row>
    <row r="110" spans="1:51" ht="15" customHeight="1" x14ac:dyDescent="0.25">
      <c r="A110" s="238"/>
      <c r="B110" s="239" t="s">
        <v>791</v>
      </c>
      <c r="C110" s="396">
        <v>3</v>
      </c>
      <c r="D110" s="396">
        <v>8060</v>
      </c>
      <c r="E110" s="397" t="s">
        <v>1442</v>
      </c>
      <c r="F110" s="396">
        <v>0</v>
      </c>
      <c r="G110" s="212">
        <v>-970098</v>
      </c>
      <c r="H110" s="212">
        <v>-2464616.52</v>
      </c>
      <c r="I110" s="212"/>
      <c r="J110" s="399">
        <f t="shared" si="12"/>
        <v>-2464616.52</v>
      </c>
      <c r="L110" s="399">
        <v>-2464616.52</v>
      </c>
      <c r="M110" s="399"/>
      <c r="N110" s="399">
        <v>0</v>
      </c>
      <c r="O110" s="213"/>
      <c r="P110" s="213">
        <f t="shared" si="10"/>
        <v>0</v>
      </c>
      <c r="Q110" s="827"/>
      <c r="R110" s="827"/>
      <c r="S110" s="827"/>
      <c r="T110" s="827"/>
      <c r="U110" s="827"/>
      <c r="V110" s="827"/>
      <c r="W110" s="827"/>
      <c r="X110" s="827"/>
      <c r="Y110" s="827"/>
      <c r="Z110" s="827"/>
      <c r="AA110" s="827"/>
      <c r="AB110" s="827"/>
      <c r="AC110" s="870"/>
      <c r="AD110" s="870"/>
      <c r="AE110" s="870"/>
      <c r="AF110" s="870"/>
      <c r="AG110" s="870"/>
      <c r="AH110" s="870"/>
      <c r="AI110" s="870"/>
      <c r="AJ110" s="870"/>
      <c r="AK110" s="870"/>
      <c r="AL110" s="870"/>
      <c r="AM110" s="870"/>
      <c r="AN110" s="870"/>
      <c r="AO110" s="870"/>
      <c r="AP110" s="870"/>
      <c r="AQ110" s="870"/>
      <c r="AR110" s="870"/>
      <c r="AS110" s="870"/>
      <c r="AT110" s="870"/>
      <c r="AU110" s="870"/>
      <c r="AW110" s="399">
        <v>0</v>
      </c>
      <c r="AX110" s="213"/>
      <c r="AY110" s="213">
        <f t="shared" si="11"/>
        <v>0</v>
      </c>
    </row>
    <row r="111" spans="1:51" ht="15" customHeight="1" x14ac:dyDescent="0.25">
      <c r="A111" s="238"/>
      <c r="B111" s="239" t="s">
        <v>215</v>
      </c>
      <c r="C111" s="396">
        <v>3</v>
      </c>
      <c r="D111" s="396">
        <v>8060</v>
      </c>
      <c r="E111" s="397" t="s">
        <v>1443</v>
      </c>
      <c r="F111" s="396">
        <v>0</v>
      </c>
      <c r="G111" s="212">
        <v>-25000000</v>
      </c>
      <c r="H111" s="212">
        <v>0</v>
      </c>
      <c r="I111" s="212"/>
      <c r="J111" s="399">
        <f t="shared" si="12"/>
        <v>0</v>
      </c>
      <c r="L111" s="399">
        <v>0</v>
      </c>
      <c r="M111" s="399"/>
      <c r="N111" s="399">
        <v>0</v>
      </c>
      <c r="O111" s="213"/>
      <c r="P111" s="213">
        <f t="shared" si="10"/>
        <v>0</v>
      </c>
      <c r="Q111" s="827"/>
      <c r="R111" s="827"/>
      <c r="S111" s="827"/>
      <c r="T111" s="827"/>
      <c r="U111" s="827"/>
      <c r="V111" s="827"/>
      <c r="W111" s="827"/>
      <c r="X111" s="827"/>
      <c r="Y111" s="827"/>
      <c r="Z111" s="827"/>
      <c r="AA111" s="827"/>
      <c r="AB111" s="827"/>
      <c r="AC111" s="870"/>
      <c r="AD111" s="870"/>
      <c r="AE111" s="870"/>
      <c r="AF111" s="870"/>
      <c r="AG111" s="870"/>
      <c r="AH111" s="870"/>
      <c r="AI111" s="870"/>
      <c r="AJ111" s="870"/>
      <c r="AK111" s="870"/>
      <c r="AL111" s="870"/>
      <c r="AM111" s="870"/>
      <c r="AN111" s="870"/>
      <c r="AO111" s="870"/>
      <c r="AP111" s="870"/>
      <c r="AQ111" s="870"/>
      <c r="AR111" s="870"/>
      <c r="AS111" s="870"/>
      <c r="AT111" s="870"/>
      <c r="AU111" s="870"/>
      <c r="AW111" s="399">
        <v>0</v>
      </c>
      <c r="AX111" s="213"/>
      <c r="AY111" s="213">
        <f t="shared" si="11"/>
        <v>0</v>
      </c>
    </row>
    <row r="112" spans="1:51" ht="15" customHeight="1" x14ac:dyDescent="0.25">
      <c r="A112" s="238"/>
      <c r="B112" s="239" t="s">
        <v>216</v>
      </c>
      <c r="C112" s="396">
        <v>3</v>
      </c>
      <c r="D112" s="396">
        <v>8060</v>
      </c>
      <c r="E112" s="397" t="s">
        <v>1444</v>
      </c>
      <c r="F112" s="396">
        <v>0</v>
      </c>
      <c r="G112" s="212">
        <v>-2605292.38</v>
      </c>
      <c r="H112" s="212">
        <v>0</v>
      </c>
      <c r="I112" s="212"/>
      <c r="J112" s="399">
        <f t="shared" si="12"/>
        <v>0</v>
      </c>
      <c r="L112" s="399">
        <v>0</v>
      </c>
      <c r="M112" s="399"/>
      <c r="N112" s="399">
        <v>0</v>
      </c>
      <c r="O112" s="213"/>
      <c r="P112" s="213">
        <f t="shared" si="10"/>
        <v>0</v>
      </c>
      <c r="Q112" s="827"/>
      <c r="R112" s="827"/>
      <c r="S112" s="827"/>
      <c r="T112" s="827"/>
      <c r="U112" s="827"/>
      <c r="V112" s="827"/>
      <c r="W112" s="827"/>
      <c r="X112" s="827"/>
      <c r="Y112" s="827"/>
      <c r="Z112" s="827"/>
      <c r="AA112" s="827"/>
      <c r="AB112" s="827"/>
      <c r="AC112" s="870"/>
      <c r="AD112" s="870"/>
      <c r="AE112" s="870"/>
      <c r="AF112" s="870"/>
      <c r="AG112" s="870"/>
      <c r="AH112" s="870"/>
      <c r="AI112" s="870"/>
      <c r="AJ112" s="870"/>
      <c r="AK112" s="870"/>
      <c r="AL112" s="870"/>
      <c r="AM112" s="870"/>
      <c r="AN112" s="870"/>
      <c r="AO112" s="870"/>
      <c r="AP112" s="870"/>
      <c r="AQ112" s="870"/>
      <c r="AR112" s="870"/>
      <c r="AS112" s="870"/>
      <c r="AT112" s="870"/>
      <c r="AU112" s="870"/>
      <c r="AW112" s="399">
        <v>0</v>
      </c>
      <c r="AX112" s="213"/>
      <c r="AY112" s="213">
        <f t="shared" si="11"/>
        <v>0</v>
      </c>
    </row>
    <row r="113" spans="1:64" ht="15" customHeight="1" x14ac:dyDescent="0.25">
      <c r="A113" s="214"/>
      <c r="B113" s="240" t="s">
        <v>3188</v>
      </c>
      <c r="C113" s="396">
        <v>3</v>
      </c>
      <c r="D113" s="396">
        <v>8060</v>
      </c>
      <c r="E113" s="397" t="s">
        <v>1448</v>
      </c>
      <c r="F113" s="396">
        <v>0</v>
      </c>
      <c r="G113" s="212">
        <v>-1296000</v>
      </c>
      <c r="H113" s="212">
        <v>0</v>
      </c>
      <c r="I113" s="212"/>
      <c r="J113" s="399">
        <f t="shared" si="12"/>
        <v>0</v>
      </c>
      <c r="L113" s="399">
        <v>0</v>
      </c>
      <c r="M113" s="399"/>
      <c r="N113" s="399">
        <v>0</v>
      </c>
      <c r="O113" s="213"/>
      <c r="P113" s="213">
        <f t="shared" si="10"/>
        <v>0</v>
      </c>
      <c r="Q113" s="827"/>
      <c r="R113" s="827"/>
      <c r="S113" s="827"/>
      <c r="T113" s="827"/>
      <c r="U113" s="827"/>
      <c r="V113" s="827"/>
      <c r="W113" s="827"/>
      <c r="X113" s="827"/>
      <c r="Y113" s="827"/>
      <c r="Z113" s="827"/>
      <c r="AA113" s="827"/>
      <c r="AB113" s="827"/>
      <c r="AC113" s="870"/>
      <c r="AD113" s="870"/>
      <c r="AE113" s="870"/>
      <c r="AF113" s="870"/>
      <c r="AG113" s="870"/>
      <c r="AH113" s="870"/>
      <c r="AI113" s="870"/>
      <c r="AJ113" s="870"/>
      <c r="AK113" s="870"/>
      <c r="AL113" s="870"/>
      <c r="AM113" s="870"/>
      <c r="AN113" s="870"/>
      <c r="AO113" s="870"/>
      <c r="AP113" s="870"/>
      <c r="AQ113" s="870"/>
      <c r="AR113" s="870"/>
      <c r="AS113" s="870"/>
      <c r="AT113" s="870"/>
      <c r="AU113" s="870"/>
      <c r="AW113" s="572">
        <v>-2007735.35</v>
      </c>
      <c r="AX113" s="213"/>
      <c r="AY113" s="213">
        <f t="shared" si="11"/>
        <v>-2007735.35</v>
      </c>
    </row>
    <row r="114" spans="1:64" ht="15" customHeight="1" x14ac:dyDescent="0.25">
      <c r="A114" s="214"/>
      <c r="B114" s="214"/>
      <c r="C114" s="396"/>
      <c r="D114" s="396"/>
      <c r="E114" s="396"/>
      <c r="F114" s="396"/>
      <c r="G114" s="398">
        <f>SUM(G98:G113)</f>
        <v>-166832456.72</v>
      </c>
      <c r="H114" s="398">
        <f>SUM(H98:H113)</f>
        <v>-174566947.94000003</v>
      </c>
      <c r="I114" s="398">
        <f>SUM(I98:I113)</f>
        <v>0</v>
      </c>
      <c r="J114" s="354">
        <f>SUM(J98:J113)</f>
        <v>-174566947.94000003</v>
      </c>
      <c r="L114" s="354">
        <f>SUM(L98:L113)</f>
        <v>-174566947.94000003</v>
      </c>
      <c r="M114" s="354"/>
      <c r="N114" s="354">
        <f>SUM(N98:N113)</f>
        <v>-194552601.13</v>
      </c>
      <c r="O114" s="354">
        <f>SUM(O98:O113)</f>
        <v>0</v>
      </c>
      <c r="P114" s="354">
        <f>SUM(P98:P113)</f>
        <v>-194552601.13</v>
      </c>
      <c r="Q114" s="496"/>
      <c r="R114" s="496"/>
      <c r="S114" s="496"/>
      <c r="T114" s="496"/>
      <c r="U114" s="496"/>
      <c r="V114" s="496"/>
      <c r="W114" s="496"/>
      <c r="X114" s="496"/>
      <c r="Y114" s="496"/>
      <c r="Z114" s="496"/>
      <c r="AA114" s="496"/>
      <c r="AB114" s="496"/>
      <c r="AC114" s="871"/>
      <c r="AD114" s="871"/>
      <c r="AE114" s="871"/>
      <c r="AF114" s="871"/>
      <c r="AG114" s="871"/>
      <c r="AH114" s="871"/>
      <c r="AI114" s="871"/>
      <c r="AJ114" s="871"/>
      <c r="AK114" s="871"/>
      <c r="AL114" s="871"/>
      <c r="AM114" s="871"/>
      <c r="AN114" s="871"/>
      <c r="AO114" s="871"/>
      <c r="AP114" s="871"/>
      <c r="AQ114" s="871"/>
      <c r="AR114" s="871"/>
      <c r="AS114" s="871"/>
      <c r="AT114" s="871"/>
      <c r="AU114" s="871"/>
      <c r="AW114" s="354">
        <f>SUM(AW98:AW113)</f>
        <v>-274579321.56</v>
      </c>
      <c r="AX114" s="354">
        <f>SUM(AX98:AX113)</f>
        <v>0</v>
      </c>
      <c r="AY114" s="354">
        <f>SUM(AY98:AY113)</f>
        <v>-274579321.56</v>
      </c>
    </row>
    <row r="115" spans="1:64" ht="15" customHeight="1" x14ac:dyDescent="0.25">
      <c r="A115" s="214"/>
      <c r="B115" s="214"/>
      <c r="C115" s="396"/>
      <c r="D115" s="396"/>
      <c r="E115" s="396"/>
      <c r="F115" s="396"/>
      <c r="G115" s="212"/>
      <c r="H115" s="212"/>
      <c r="I115" s="212"/>
      <c r="J115" s="213"/>
      <c r="L115" s="213"/>
      <c r="M115" s="213"/>
      <c r="N115" s="213"/>
      <c r="O115" s="213"/>
      <c r="P115" s="213"/>
      <c r="Q115" s="827"/>
      <c r="R115" s="827"/>
      <c r="S115" s="827"/>
      <c r="T115" s="827"/>
      <c r="U115" s="827"/>
      <c r="V115" s="827"/>
      <c r="W115" s="827"/>
      <c r="X115" s="827"/>
      <c r="Y115" s="827"/>
      <c r="Z115" s="827"/>
      <c r="AA115" s="827"/>
      <c r="AB115" s="827"/>
      <c r="AC115" s="870"/>
      <c r="AD115" s="870"/>
      <c r="AE115" s="870"/>
      <c r="AF115" s="870"/>
      <c r="AG115" s="870"/>
      <c r="AH115" s="870"/>
      <c r="AI115" s="870"/>
      <c r="AJ115" s="870"/>
      <c r="AK115" s="870"/>
      <c r="AL115" s="870"/>
      <c r="AM115" s="870"/>
      <c r="AN115" s="870"/>
      <c r="AO115" s="870"/>
      <c r="AP115" s="870"/>
      <c r="AQ115" s="870"/>
      <c r="AR115" s="870"/>
      <c r="AS115" s="870"/>
      <c r="AT115" s="870"/>
      <c r="AU115" s="870"/>
      <c r="AW115" s="213"/>
      <c r="AX115" s="213"/>
      <c r="AY115" s="213"/>
    </row>
    <row r="116" spans="1:64" ht="15" customHeight="1" x14ac:dyDescent="0.25">
      <c r="A116" s="214"/>
      <c r="B116" s="401" t="s">
        <v>1445</v>
      </c>
      <c r="C116" s="396"/>
      <c r="D116" s="396"/>
      <c r="E116" s="396"/>
      <c r="F116" s="396"/>
      <c r="G116" s="398">
        <f>G5+G8+G14+G22+G29+G86+G94+G114</f>
        <v>-5706844188.3000002</v>
      </c>
      <c r="H116" s="398">
        <f>H5+H8+H14+H22+H29+H86+H94+H114</f>
        <v>-6458439813.4530001</v>
      </c>
      <c r="I116" s="398">
        <f>I5+I8+I14+I22+I29+I86+I94+I114</f>
        <v>-17419765.039999999</v>
      </c>
      <c r="J116" s="398">
        <f>J5+J8+J14+J22+J29+J86+J94+J114</f>
        <v>-6475859578.493</v>
      </c>
      <c r="L116" s="398">
        <f>L5+L8+L14+L22+L29+L86+L94+L114</f>
        <v>-6475859578.493</v>
      </c>
      <c r="M116" s="398"/>
      <c r="N116" s="398">
        <f>N5+N8+N14+N22+N29+N86+N94+N114</f>
        <v>-6771236936.493001</v>
      </c>
      <c r="O116" s="398">
        <f>O5+O8+O14+O22+O29+O86+O94+O114</f>
        <v>24421100.768106226</v>
      </c>
      <c r="P116" s="398">
        <f>P5+P8+P14+P22+P29+P86+P94+P114</f>
        <v>-6746815835.7248955</v>
      </c>
      <c r="Q116" s="496"/>
      <c r="R116" s="496"/>
      <c r="S116" s="496"/>
      <c r="T116" s="496"/>
      <c r="U116" s="496"/>
      <c r="V116" s="496"/>
      <c r="W116" s="496"/>
      <c r="X116" s="496"/>
      <c r="Y116" s="496"/>
      <c r="Z116" s="496"/>
      <c r="AA116" s="496"/>
      <c r="AB116" s="496"/>
      <c r="AC116" s="871"/>
      <c r="AD116" s="871"/>
      <c r="AE116" s="871"/>
      <c r="AF116" s="871"/>
      <c r="AG116" s="871"/>
      <c r="AH116" s="871"/>
      <c r="AI116" s="871"/>
      <c r="AJ116" s="871"/>
      <c r="AK116" s="871"/>
      <c r="AL116" s="871"/>
      <c r="AM116" s="871"/>
      <c r="AN116" s="871"/>
      <c r="AO116" s="871"/>
      <c r="AP116" s="871"/>
      <c r="AQ116" s="871"/>
      <c r="AR116" s="871"/>
      <c r="AS116" s="871"/>
      <c r="AT116" s="871"/>
      <c r="AU116" s="871"/>
      <c r="AW116" s="398">
        <f>AW5+AW8+AW14+AW22+AW29+AW86+AW94+AW114</f>
        <v>-8839260242.3099384</v>
      </c>
      <c r="AX116" s="398">
        <f>AX5+AX8+AX14+AX22+AX29+AX86+AX94+AX114</f>
        <v>0</v>
      </c>
      <c r="AY116" s="398">
        <f>AY5+AY8+AY14+AY22+AY29+AY86+AY94+AY114</f>
        <v>-8839260242.3099384</v>
      </c>
    </row>
    <row r="117" spans="1:64" ht="15" customHeight="1" x14ac:dyDescent="0.25">
      <c r="A117" s="214"/>
      <c r="B117" s="214"/>
      <c r="C117" s="396"/>
      <c r="D117" s="396"/>
      <c r="E117" s="396"/>
      <c r="F117" s="396"/>
      <c r="G117" s="212"/>
      <c r="H117" s="212"/>
      <c r="I117" s="212"/>
      <c r="J117" s="213"/>
      <c r="L117" s="213"/>
      <c r="M117" s="213"/>
      <c r="N117" s="213"/>
      <c r="O117" s="213"/>
      <c r="P117" s="213"/>
      <c r="Q117" s="827"/>
      <c r="R117" s="827"/>
      <c r="S117" s="827"/>
      <c r="T117" s="827"/>
      <c r="U117" s="827"/>
      <c r="V117" s="827"/>
      <c r="W117" s="827"/>
      <c r="X117" s="827"/>
      <c r="Y117" s="827"/>
      <c r="Z117" s="827"/>
      <c r="AA117" s="827"/>
      <c r="AB117" s="827"/>
      <c r="AC117" s="870"/>
      <c r="AD117" s="870"/>
      <c r="AE117" s="870"/>
      <c r="AF117" s="870"/>
      <c r="AG117" s="870"/>
      <c r="AH117" s="870"/>
      <c r="AI117" s="870"/>
      <c r="AJ117" s="870"/>
      <c r="AK117" s="870"/>
      <c r="AL117" s="870"/>
      <c r="AM117" s="870"/>
      <c r="AN117" s="870"/>
      <c r="AO117" s="870"/>
      <c r="AP117" s="870"/>
      <c r="AQ117" s="870"/>
      <c r="AR117" s="870"/>
      <c r="AS117" s="870"/>
      <c r="AT117" s="870"/>
      <c r="AU117" s="870"/>
      <c r="AW117" s="213"/>
      <c r="AX117" s="213"/>
      <c r="AY117" s="213"/>
    </row>
    <row r="118" spans="1:64" ht="15" customHeight="1" x14ac:dyDescent="0.25">
      <c r="A118" s="238" t="s">
        <v>120</v>
      </c>
      <c r="B118" s="238" t="s">
        <v>121</v>
      </c>
      <c r="C118" s="396"/>
      <c r="D118" s="396"/>
      <c r="E118" s="396"/>
      <c r="F118" s="396"/>
      <c r="G118" s="212"/>
      <c r="H118" s="212"/>
      <c r="I118" s="212"/>
      <c r="J118" s="213"/>
      <c r="L118" s="213"/>
      <c r="M118" s="213"/>
      <c r="N118" s="213"/>
      <c r="O118" s="213"/>
      <c r="P118" s="213"/>
      <c r="Q118" s="827"/>
      <c r="R118" s="827"/>
      <c r="S118" s="827"/>
      <c r="T118" s="827"/>
      <c r="U118" s="827"/>
      <c r="V118" s="827"/>
      <c r="W118" s="827"/>
      <c r="X118" s="827"/>
      <c r="Y118" s="827"/>
      <c r="Z118" s="827"/>
      <c r="AA118" s="827"/>
      <c r="AB118" s="827"/>
      <c r="AC118" s="870"/>
      <c r="AD118" s="870"/>
      <c r="AE118" s="870"/>
      <c r="AF118" s="870"/>
      <c r="AG118" s="870"/>
      <c r="AH118" s="870"/>
      <c r="AI118" s="870"/>
      <c r="AJ118" s="870"/>
      <c r="AK118" s="870"/>
      <c r="AL118" s="870"/>
      <c r="AM118" s="870"/>
      <c r="AN118" s="870"/>
      <c r="AO118" s="870"/>
      <c r="AP118" s="870"/>
      <c r="AQ118" s="870"/>
      <c r="AR118" s="870"/>
      <c r="AS118" s="870"/>
      <c r="AT118" s="870"/>
      <c r="AU118" s="870"/>
      <c r="AW118" s="213"/>
      <c r="AX118" s="213"/>
      <c r="AY118" s="213"/>
      <c r="BH118" s="211" t="s">
        <v>3380</v>
      </c>
      <c r="BI118" s="211" t="s">
        <v>3381</v>
      </c>
      <c r="BJ118" s="211" t="s">
        <v>3382</v>
      </c>
    </row>
    <row r="119" spans="1:64" s="893" customFormat="1" ht="15" customHeight="1" x14ac:dyDescent="0.25">
      <c r="A119" s="885"/>
      <c r="B119" s="885" t="s">
        <v>916</v>
      </c>
      <c r="C119" s="886">
        <v>4</v>
      </c>
      <c r="D119" s="886">
        <v>9001</v>
      </c>
      <c r="E119" s="887" t="s">
        <v>1373</v>
      </c>
      <c r="F119" s="886">
        <v>0</v>
      </c>
      <c r="G119" s="888">
        <v>3197528509.3099999</v>
      </c>
      <c r="H119" s="888">
        <v>3457329925.7199998</v>
      </c>
      <c r="I119" s="888"/>
      <c r="J119" s="399">
        <f>H119+I119</f>
        <v>3457329925.7199998</v>
      </c>
      <c r="K119" s="211"/>
      <c r="L119" s="889">
        <v>3457329925.7199998</v>
      </c>
      <c r="M119" s="889">
        <v>3300613409.8499999</v>
      </c>
      <c r="N119" s="889">
        <v>3558879854.98</v>
      </c>
      <c r="O119" s="890">
        <f>416715.97+2228853.33</f>
        <v>2645569.2999999998</v>
      </c>
      <c r="P119" s="890">
        <f t="shared" ref="P119:P135" si="13">N119+O119</f>
        <v>3561525424.2800002</v>
      </c>
      <c r="Q119" s="827"/>
      <c r="R119" s="891"/>
      <c r="S119" s="891"/>
      <c r="T119" s="891">
        <v>7325539555.9199247</v>
      </c>
      <c r="U119" s="891"/>
      <c r="V119" s="891"/>
      <c r="W119" s="891"/>
      <c r="X119" s="891"/>
      <c r="Y119" s="891"/>
      <c r="Z119" s="891"/>
      <c r="AA119" s="891"/>
      <c r="AB119" s="891">
        <f t="shared" ref="AB119:AB135" si="14">SUM(Q119:AA119)</f>
        <v>7325539555.9199247</v>
      </c>
      <c r="AC119" s="884"/>
      <c r="AD119" s="902"/>
      <c r="AE119" s="884"/>
      <c r="AF119" s="884"/>
      <c r="AG119" s="884">
        <v>-61011194.569999926</v>
      </c>
      <c r="AH119" s="884"/>
      <c r="AI119" s="884"/>
      <c r="AJ119" s="884"/>
      <c r="AK119" s="884"/>
      <c r="AL119" s="884"/>
      <c r="AM119" s="884"/>
      <c r="AN119" s="884">
        <f t="shared" ref="AN119:AN135" si="15">SUM(AD119:AM119)</f>
        <v>-61011194.569999926</v>
      </c>
      <c r="AO119" s="884"/>
      <c r="AP119" s="884">
        <f t="shared" ref="AP119:AP135" si="16">+M119+AB119</f>
        <v>10626152965.769924</v>
      </c>
      <c r="AQ119" s="884">
        <f t="shared" ref="AQ119:AQ126" si="17">+P119+AB119+AN119</f>
        <v>10826053785.629925</v>
      </c>
      <c r="AR119" s="917">
        <v>10626152965.009998</v>
      </c>
      <c r="AS119" s="892">
        <f t="shared" ref="AS119:AS135" si="18">+AR119-AP119</f>
        <v>-0.75992584228515625</v>
      </c>
      <c r="AT119" s="917">
        <v>10826053785.629997</v>
      </c>
      <c r="AU119" s="892">
        <f t="shared" ref="AU119:AU135" si="19">+AT119-AQ119</f>
        <v>7.2479248046875E-5</v>
      </c>
      <c r="AW119" s="889">
        <f>3561525424.28+3395585500.56+325355465.99+6641417304.08-2892467334.45</f>
        <v>11031416360.459999</v>
      </c>
      <c r="AX119" s="890"/>
      <c r="AY119" s="890">
        <f t="shared" ref="AY119:AY135" si="20">AW119+AX119</f>
        <v>11031416360.459999</v>
      </c>
      <c r="BE119" s="893">
        <v>11031416360.459927</v>
      </c>
      <c r="BF119" s="893">
        <f>BE119-AY119</f>
        <v>-7.2479248046875E-5</v>
      </c>
    </row>
    <row r="120" spans="1:64" s="893" customFormat="1" ht="15" customHeight="1" x14ac:dyDescent="0.25">
      <c r="A120" s="885"/>
      <c r="B120" s="885" t="s">
        <v>916</v>
      </c>
      <c r="C120" s="886">
        <v>4</v>
      </c>
      <c r="D120" s="886">
        <v>9002</v>
      </c>
      <c r="E120" s="887" t="s">
        <v>1373</v>
      </c>
      <c r="F120" s="886">
        <v>0</v>
      </c>
      <c r="G120" s="888">
        <v>-251853570.22</v>
      </c>
      <c r="H120" s="888">
        <v>-357249325.45999998</v>
      </c>
      <c r="I120" s="888"/>
      <c r="J120" s="399">
        <f t="shared" ref="J120:J134" si="21">H120+I120</f>
        <v>-357249325.45999998</v>
      </c>
      <c r="K120" s="211"/>
      <c r="L120" s="889">
        <v>-357249325.45999998</v>
      </c>
      <c r="M120" s="889">
        <v>-347689462.56999999</v>
      </c>
      <c r="N120" s="889">
        <v>-505267052.06999999</v>
      </c>
      <c r="O120" s="890">
        <v>-35518.61</v>
      </c>
      <c r="P120" s="890">
        <f t="shared" si="13"/>
        <v>-505302570.68000001</v>
      </c>
      <c r="Q120" s="827"/>
      <c r="R120" s="891"/>
      <c r="S120" s="891"/>
      <c r="T120" s="891">
        <v>-4931940415.6200094</v>
      </c>
      <c r="U120" s="891"/>
      <c r="V120" s="891"/>
      <c r="W120" s="891"/>
      <c r="X120" s="891"/>
      <c r="Y120" s="891"/>
      <c r="Z120" s="891"/>
      <c r="AA120" s="891"/>
      <c r="AB120" s="891">
        <f t="shared" si="14"/>
        <v>-4931940415.6200094</v>
      </c>
      <c r="AC120" s="884"/>
      <c r="AD120" s="902"/>
      <c r="AE120" s="884"/>
      <c r="AF120" s="884"/>
      <c r="AG120" s="884">
        <v>-137588409.7067531</v>
      </c>
      <c r="AH120" s="884"/>
      <c r="AI120" s="884"/>
      <c r="AJ120" s="884"/>
      <c r="AK120" s="884"/>
      <c r="AL120" s="884"/>
      <c r="AM120" s="884"/>
      <c r="AN120" s="884">
        <f t="shared" si="15"/>
        <v>-137588409.7067531</v>
      </c>
      <c r="AO120" s="884"/>
      <c r="AP120" s="884">
        <f t="shared" si="16"/>
        <v>-5279629878.1900091</v>
      </c>
      <c r="AQ120" s="884">
        <f t="shared" si="17"/>
        <v>-5574831396.0067625</v>
      </c>
      <c r="AR120" s="917">
        <v>-5279629877.8599997</v>
      </c>
      <c r="AS120" s="892">
        <f t="shared" si="18"/>
        <v>0.33000946044921875</v>
      </c>
      <c r="AT120" s="917">
        <v>-5574831395.8099995</v>
      </c>
      <c r="AU120" s="892">
        <f t="shared" si="19"/>
        <v>0.19676303863525391</v>
      </c>
      <c r="AW120" s="889">
        <f>-505302570.68-354755832.82-5863469229.44-90389.27+863732941.91</f>
        <v>-5859885080.3000002</v>
      </c>
      <c r="AX120" s="890"/>
      <c r="AY120" s="890">
        <f t="shared" si="20"/>
        <v>-5859885080.3000002</v>
      </c>
      <c r="BE120" s="893">
        <v>-5859885080.3044844</v>
      </c>
      <c r="BF120" s="893">
        <f>BE120-AY120</f>
        <v>-4.4841766357421875E-3</v>
      </c>
      <c r="BH120" s="910">
        <v>-354755832.81999999</v>
      </c>
      <c r="BI120" s="893">
        <v>-320539000.16702652</v>
      </c>
      <c r="BJ120" s="893">
        <f>BI120-BH120</f>
        <v>34216832.652973473</v>
      </c>
      <c r="BK120" s="893">
        <v>-320539000.16702652</v>
      </c>
      <c r="BL120" s="893">
        <f>BK120-BI120</f>
        <v>0</v>
      </c>
    </row>
    <row r="121" spans="1:64" s="893" customFormat="1" x14ac:dyDescent="0.25">
      <c r="A121" s="885"/>
      <c r="B121" s="885" t="s">
        <v>798</v>
      </c>
      <c r="C121" s="886">
        <v>4</v>
      </c>
      <c r="D121" s="886">
        <v>9001</v>
      </c>
      <c r="E121" s="887" t="s">
        <v>1384</v>
      </c>
      <c r="F121" s="886">
        <v>0</v>
      </c>
      <c r="G121" s="888">
        <v>8388577.4900000002</v>
      </c>
      <c r="H121" s="888">
        <v>8388577.4500000002</v>
      </c>
      <c r="I121" s="888"/>
      <c r="J121" s="399">
        <f t="shared" si="21"/>
        <v>8388577.4500000002</v>
      </c>
      <c r="K121" s="211"/>
      <c r="L121" s="889">
        <v>8388577.4500000002</v>
      </c>
      <c r="M121" s="889">
        <v>11145452.440000001</v>
      </c>
      <c r="N121" s="889">
        <v>11145452.74</v>
      </c>
      <c r="O121" s="890"/>
      <c r="P121" s="890">
        <f t="shared" si="13"/>
        <v>11145452.74</v>
      </c>
      <c r="Q121" s="891">
        <v>-7473748.6300000018</v>
      </c>
      <c r="R121" s="891"/>
      <c r="S121" s="891"/>
      <c r="T121" s="891"/>
      <c r="U121" s="891"/>
      <c r="V121" s="891"/>
      <c r="W121" s="891"/>
      <c r="X121" s="891"/>
      <c r="Y121" s="891"/>
      <c r="Z121" s="891"/>
      <c r="AA121" s="891"/>
      <c r="AB121" s="891">
        <f t="shared" si="14"/>
        <v>-7473748.6300000018</v>
      </c>
      <c r="AC121" s="884"/>
      <c r="AD121" s="884"/>
      <c r="AE121" s="884"/>
      <c r="AF121" s="884"/>
      <c r="AG121" s="884"/>
      <c r="AH121" s="884"/>
      <c r="AI121" s="884"/>
      <c r="AJ121" s="884"/>
      <c r="AK121" s="884"/>
      <c r="AL121" s="884"/>
      <c r="AM121" s="884"/>
      <c r="AN121" s="884">
        <f t="shared" si="15"/>
        <v>0</v>
      </c>
      <c r="AO121" s="884">
        <f>+AF121</f>
        <v>0</v>
      </c>
      <c r="AP121" s="884">
        <f t="shared" si="16"/>
        <v>3671703.8099999996</v>
      </c>
      <c r="AQ121" s="884">
        <f t="shared" si="17"/>
        <v>3671704.1099999985</v>
      </c>
      <c r="AR121" s="917">
        <v>3671704.11</v>
      </c>
      <c r="AS121" s="892">
        <f t="shared" si="18"/>
        <v>0.30000000027939677</v>
      </c>
      <c r="AT121" s="917">
        <v>3671704.11</v>
      </c>
      <c r="AU121" s="892">
        <f t="shared" si="19"/>
        <v>0</v>
      </c>
      <c r="AW121" s="889">
        <f>11145452.74-7498537.76+24789.13</f>
        <v>3671704.1100000003</v>
      </c>
      <c r="AX121" s="890"/>
      <c r="AY121" s="890">
        <f t="shared" si="20"/>
        <v>3671704.1100000003</v>
      </c>
      <c r="BA121" s="893">
        <f>+AY121</f>
        <v>3671704.1100000003</v>
      </c>
      <c r="BE121" s="893">
        <v>3671704.11</v>
      </c>
      <c r="BF121" s="893">
        <f>BE121-AY121</f>
        <v>0</v>
      </c>
      <c r="BJ121" s="893">
        <f t="shared" ref="BJ121:BJ136" si="22">BI121-BH121</f>
        <v>0</v>
      </c>
      <c r="BL121" s="893">
        <f t="shared" ref="BL121:BL136" si="23">BK121-BI121</f>
        <v>0</v>
      </c>
    </row>
    <row r="122" spans="1:64" s="893" customFormat="1" x14ac:dyDescent="0.25">
      <c r="A122" s="885"/>
      <c r="B122" s="885" t="s">
        <v>798</v>
      </c>
      <c r="C122" s="886">
        <v>4</v>
      </c>
      <c r="D122" s="886">
        <v>9002</v>
      </c>
      <c r="E122" s="887" t="s">
        <v>1384</v>
      </c>
      <c r="F122" s="886">
        <v>0</v>
      </c>
      <c r="G122" s="888">
        <v>-1709474.91</v>
      </c>
      <c r="H122" s="888">
        <v>-5049876.93</v>
      </c>
      <c r="I122" s="888"/>
      <c r="J122" s="399">
        <f t="shared" si="21"/>
        <v>-5049876.93</v>
      </c>
      <c r="K122" s="211"/>
      <c r="L122" s="889">
        <v>-5049876.93</v>
      </c>
      <c r="M122" s="889">
        <v>0</v>
      </c>
      <c r="N122" s="889">
        <f>-5049876.93+5049876.93</f>
        <v>0</v>
      </c>
      <c r="O122" s="890"/>
      <c r="P122" s="890">
        <f t="shared" si="13"/>
        <v>0</v>
      </c>
      <c r="Q122" s="891"/>
      <c r="R122" s="891"/>
      <c r="S122" s="891"/>
      <c r="T122" s="891"/>
      <c r="U122" s="891"/>
      <c r="V122" s="891"/>
      <c r="W122" s="891"/>
      <c r="X122" s="891"/>
      <c r="Y122" s="891"/>
      <c r="Z122" s="891"/>
      <c r="AA122" s="891"/>
      <c r="AB122" s="891">
        <f t="shared" si="14"/>
        <v>0</v>
      </c>
      <c r="AC122" s="884"/>
      <c r="AD122" s="884"/>
      <c r="AE122" s="884"/>
      <c r="AF122" s="884"/>
      <c r="AG122" s="884"/>
      <c r="AH122" s="884"/>
      <c r="AI122" s="884"/>
      <c r="AJ122" s="884"/>
      <c r="AK122" s="884"/>
      <c r="AL122" s="884"/>
      <c r="AM122" s="884"/>
      <c r="AN122" s="884">
        <f t="shared" si="15"/>
        <v>0</v>
      </c>
      <c r="AO122" s="884">
        <f>+AF122</f>
        <v>0</v>
      </c>
      <c r="AP122" s="884">
        <f t="shared" si="16"/>
        <v>0</v>
      </c>
      <c r="AQ122" s="884">
        <f t="shared" si="17"/>
        <v>0</v>
      </c>
      <c r="AR122" s="917"/>
      <c r="AS122" s="892">
        <f t="shared" si="18"/>
        <v>0</v>
      </c>
      <c r="AT122" s="884"/>
      <c r="AU122" s="892">
        <f t="shared" si="19"/>
        <v>0</v>
      </c>
      <c r="AW122" s="889">
        <v>0</v>
      </c>
      <c r="AX122" s="890"/>
      <c r="AY122" s="890">
        <f t="shared" si="20"/>
        <v>0</v>
      </c>
      <c r="BF122" s="893">
        <f t="shared" ref="BF122:BF138" si="24">BE122-AY122</f>
        <v>0</v>
      </c>
      <c r="BJ122" s="893">
        <f t="shared" si="22"/>
        <v>0</v>
      </c>
      <c r="BL122" s="893">
        <f t="shared" si="23"/>
        <v>0</v>
      </c>
    </row>
    <row r="123" spans="1:64" s="893" customFormat="1" ht="15" customHeight="1" x14ac:dyDescent="0.25">
      <c r="A123" s="885"/>
      <c r="B123" s="885" t="s">
        <v>1076</v>
      </c>
      <c r="C123" s="886">
        <v>4</v>
      </c>
      <c r="D123" s="886">
        <v>9001</v>
      </c>
      <c r="E123" s="887" t="s">
        <v>1432</v>
      </c>
      <c r="F123" s="886">
        <v>0</v>
      </c>
      <c r="G123" s="888">
        <v>205068926.84999999</v>
      </c>
      <c r="H123" s="888">
        <v>241909930.59999999</v>
      </c>
      <c r="I123" s="888">
        <v>597039.32999999996</v>
      </c>
      <c r="J123" s="399">
        <f t="shared" si="21"/>
        <v>242506969.93000001</v>
      </c>
      <c r="K123" s="211"/>
      <c r="L123" s="889">
        <v>242506969.93000001</v>
      </c>
      <c r="M123" s="889">
        <v>258811020.59000003</v>
      </c>
      <c r="N123" s="889">
        <v>250452635.68000001</v>
      </c>
      <c r="O123" s="890"/>
      <c r="P123" s="890">
        <f t="shared" si="13"/>
        <v>250452635.68000001</v>
      </c>
      <c r="Q123" s="827"/>
      <c r="R123" s="891"/>
      <c r="S123" s="891"/>
      <c r="T123" s="891"/>
      <c r="U123" s="891"/>
      <c r="V123" s="891"/>
      <c r="W123" s="891"/>
      <c r="X123" s="891"/>
      <c r="Y123" s="891">
        <v>-6828461.8383997018</v>
      </c>
      <c r="Z123" s="891"/>
      <c r="AA123" s="891"/>
      <c r="AB123" s="891">
        <f t="shared" si="14"/>
        <v>-6828461.8383997018</v>
      </c>
      <c r="AC123" s="884"/>
      <c r="AD123" s="902"/>
      <c r="AE123" s="884"/>
      <c r="AF123" s="884"/>
      <c r="AG123" s="884"/>
      <c r="AH123" s="884"/>
      <c r="AI123" s="884"/>
      <c r="AJ123" s="884"/>
      <c r="AK123" s="884">
        <v>-8748189.8689780533</v>
      </c>
      <c r="AL123" s="884"/>
      <c r="AM123" s="884"/>
      <c r="AN123" s="884">
        <f t="shared" si="15"/>
        <v>-8748189.8689780533</v>
      </c>
      <c r="AO123" s="884"/>
      <c r="AP123" s="884">
        <f t="shared" si="16"/>
        <v>251982558.75160033</v>
      </c>
      <c r="AQ123" s="884">
        <f t="shared" si="17"/>
        <v>234875983.97262225</v>
      </c>
      <c r="AR123" s="917">
        <v>251982558.75602192</v>
      </c>
      <c r="AS123" s="892">
        <f t="shared" si="18"/>
        <v>4.4215917587280273E-3</v>
      </c>
      <c r="AT123" s="884">
        <v>234875983.97262225</v>
      </c>
      <c r="AU123" s="892">
        <f t="shared" si="19"/>
        <v>0</v>
      </c>
      <c r="AW123" s="890">
        <f>250452635.68+12000+2147141.93-1835280-27865886.59-36265196.84-36655436.84-26192013.46+37739570.42</f>
        <v>161537534.30000001</v>
      </c>
      <c r="AX123" s="890"/>
      <c r="AY123" s="890">
        <f t="shared" si="20"/>
        <v>161537534.30000001</v>
      </c>
      <c r="BA123" s="893">
        <f>+AY123</f>
        <v>161537534.30000001</v>
      </c>
      <c r="BE123" s="893">
        <f>120921984.58+2875979.3</f>
        <v>123797963.88</v>
      </c>
      <c r="BF123" s="893">
        <f t="shared" si="24"/>
        <v>-37739570.420000017</v>
      </c>
      <c r="BG123" s="893">
        <v>2875979.2999999891</v>
      </c>
      <c r="BJ123" s="893">
        <f t="shared" si="22"/>
        <v>0</v>
      </c>
      <c r="BL123" s="893">
        <f t="shared" si="23"/>
        <v>0</v>
      </c>
    </row>
    <row r="124" spans="1:64" s="893" customFormat="1" ht="15" customHeight="1" x14ac:dyDescent="0.25">
      <c r="A124" s="885"/>
      <c r="B124" s="885" t="s">
        <v>1076</v>
      </c>
      <c r="C124" s="886">
        <v>4</v>
      </c>
      <c r="D124" s="886">
        <v>9002</v>
      </c>
      <c r="E124" s="887" t="s">
        <v>1432</v>
      </c>
      <c r="F124" s="886">
        <v>0</v>
      </c>
      <c r="G124" s="888">
        <v>-55736226.229999997</v>
      </c>
      <c r="H124" s="888">
        <v>-76334292.930000007</v>
      </c>
      <c r="I124" s="888">
        <v>-9261370.9600000009</v>
      </c>
      <c r="J124" s="399">
        <f t="shared" si="21"/>
        <v>-85595663.890000015</v>
      </c>
      <c r="K124" s="211"/>
      <c r="L124" s="889">
        <v>-85595663.890000015</v>
      </c>
      <c r="M124" s="889">
        <v>-89767828.890000001</v>
      </c>
      <c r="N124" s="889">
        <v>-105435936.87</v>
      </c>
      <c r="O124" s="890"/>
      <c r="P124" s="890">
        <f t="shared" si="13"/>
        <v>-105435936.87</v>
      </c>
      <c r="Q124" s="827"/>
      <c r="R124" s="891"/>
      <c r="S124" s="891"/>
      <c r="T124" s="891"/>
      <c r="U124" s="891"/>
      <c r="V124" s="891"/>
      <c r="W124" s="891"/>
      <c r="X124" s="891"/>
      <c r="Y124" s="891">
        <v>-15818065.690448327</v>
      </c>
      <c r="Z124" s="891"/>
      <c r="AA124" s="891"/>
      <c r="AB124" s="891">
        <f t="shared" si="14"/>
        <v>-15818065.690448327</v>
      </c>
      <c r="AC124" s="884"/>
      <c r="AD124" s="902"/>
      <c r="AE124" s="884"/>
      <c r="AF124" s="884"/>
      <c r="AG124" s="884"/>
      <c r="AH124" s="884"/>
      <c r="AI124" s="884"/>
      <c r="AJ124" s="884"/>
      <c r="AK124" s="884">
        <v>-8158862.5187687343</v>
      </c>
      <c r="AL124" s="884"/>
      <c r="AM124" s="884"/>
      <c r="AN124" s="884">
        <f t="shared" si="15"/>
        <v>-8158862.5187687343</v>
      </c>
      <c r="AO124" s="884"/>
      <c r="AP124" s="884">
        <f t="shared" si="16"/>
        <v>-105585894.58044833</v>
      </c>
      <c r="AQ124" s="884">
        <f t="shared" si="17"/>
        <v>-129412865.07921706</v>
      </c>
      <c r="AR124" s="917">
        <v>-105585894.970947</v>
      </c>
      <c r="AS124" s="892">
        <f t="shared" si="18"/>
        <v>-0.39049866795539856</v>
      </c>
      <c r="AT124" s="884">
        <v>-129412865.08042</v>
      </c>
      <c r="AU124" s="892">
        <f t="shared" si="19"/>
        <v>-1.2029409408569336E-3</v>
      </c>
      <c r="AW124" s="889">
        <f>-105435936.87-22744384.72-6674298.52+36265196.84-4730621.73+2031592.24+16578565.65-20422825.64</f>
        <v>-105132712.75000001</v>
      </c>
      <c r="AX124" s="890">
        <v>0</v>
      </c>
      <c r="AY124" s="890">
        <f t="shared" si="20"/>
        <v>-105132712.75000001</v>
      </c>
      <c r="BA124" s="893">
        <f>+AY124+AY122</f>
        <v>-105132712.75000001</v>
      </c>
      <c r="BE124" s="893">
        <f>-84575937.39-133949.72</f>
        <v>-84709887.109999999</v>
      </c>
      <c r="BF124" s="893">
        <f t="shared" si="24"/>
        <v>20422825.640000015</v>
      </c>
      <c r="BG124" s="893">
        <v>-133949.72082191746</v>
      </c>
      <c r="BH124" s="893">
        <v>-29418683.239999998</v>
      </c>
      <c r="BI124" s="893">
        <v>-29095775.859999999</v>
      </c>
      <c r="BJ124" s="893">
        <f t="shared" si="22"/>
        <v>322907.37999999896</v>
      </c>
      <c r="BK124" s="893">
        <v>-29229725.579999998</v>
      </c>
      <c r="BL124" s="893">
        <f t="shared" si="23"/>
        <v>-133949.71999999881</v>
      </c>
    </row>
    <row r="125" spans="1:64" s="893" customFormat="1" ht="15.75" customHeight="1" thickBot="1" x14ac:dyDescent="0.3">
      <c r="A125" s="885"/>
      <c r="B125" s="885" t="s">
        <v>1075</v>
      </c>
      <c r="C125" s="886">
        <v>4</v>
      </c>
      <c r="D125" s="886">
        <v>9001</v>
      </c>
      <c r="E125" s="887" t="s">
        <v>1386</v>
      </c>
      <c r="F125" s="886">
        <v>0</v>
      </c>
      <c r="G125" s="888">
        <v>2058407188</v>
      </c>
      <c r="H125" s="888">
        <v>2534243131.0999999</v>
      </c>
      <c r="I125" s="888"/>
      <c r="J125" s="399">
        <f t="shared" si="21"/>
        <v>2534243131.0999999</v>
      </c>
      <c r="K125" s="211"/>
      <c r="L125" s="889">
        <v>2534243131.0999999</v>
      </c>
      <c r="M125" s="889">
        <v>2527263599.0700002</v>
      </c>
      <c r="N125" s="889">
        <f>2562632530.57+8272000</f>
        <v>2570904530.5700002</v>
      </c>
      <c r="O125" s="890"/>
      <c r="P125" s="890">
        <f t="shared" si="13"/>
        <v>2570904530.5700002</v>
      </c>
      <c r="Q125" s="827"/>
      <c r="R125" s="891"/>
      <c r="S125" s="891"/>
      <c r="T125" s="891"/>
      <c r="U125" s="891"/>
      <c r="V125" s="891">
        <v>-2527263599.0700002</v>
      </c>
      <c r="W125" s="891"/>
      <c r="X125" s="891"/>
      <c r="Y125" s="891"/>
      <c r="Z125" s="891"/>
      <c r="AA125" s="891"/>
      <c r="AB125" s="891">
        <f t="shared" si="14"/>
        <v>-2527263599.0700002</v>
      </c>
      <c r="AC125" s="884"/>
      <c r="AD125" s="902"/>
      <c r="AE125" s="884"/>
      <c r="AF125" s="884"/>
      <c r="AG125" s="884"/>
      <c r="AH125" s="884"/>
      <c r="AI125" s="884">
        <v>-43640931.5</v>
      </c>
      <c r="AJ125" s="884"/>
      <c r="AK125" s="884"/>
      <c r="AL125" s="884"/>
      <c r="AM125" s="884"/>
      <c r="AN125" s="884">
        <f t="shared" si="15"/>
        <v>-43640931.5</v>
      </c>
      <c r="AO125" s="884"/>
      <c r="AP125" s="884">
        <f t="shared" si="16"/>
        <v>0</v>
      </c>
      <c r="AQ125" s="884">
        <f t="shared" si="17"/>
        <v>0</v>
      </c>
      <c r="AR125" s="917">
        <v>0</v>
      </c>
      <c r="AS125" s="892">
        <f t="shared" si="18"/>
        <v>0</v>
      </c>
      <c r="AT125" s="917">
        <v>0</v>
      </c>
      <c r="AU125" s="892">
        <f t="shared" si="19"/>
        <v>0</v>
      </c>
      <c r="AW125" s="889">
        <f>2570904530.57+43213968.84+30028826.98+629528285.08</f>
        <v>3273675611.4700003</v>
      </c>
      <c r="AX125" s="890"/>
      <c r="AY125" s="890">
        <f t="shared" si="20"/>
        <v>3273675611.4700003</v>
      </c>
      <c r="BA125" s="893">
        <f>+AY125+AY119</f>
        <v>14305091971.93</v>
      </c>
      <c r="BE125" s="909">
        <v>3273675611.4699998</v>
      </c>
      <c r="BF125" s="893">
        <f t="shared" si="24"/>
        <v>0</v>
      </c>
      <c r="BJ125" s="893">
        <f t="shared" si="22"/>
        <v>0</v>
      </c>
      <c r="BL125" s="893">
        <f t="shared" si="23"/>
        <v>0</v>
      </c>
    </row>
    <row r="126" spans="1:64" s="893" customFormat="1" ht="15.75" customHeight="1" thickTop="1" x14ac:dyDescent="0.25">
      <c r="A126" s="885"/>
      <c r="B126" s="885" t="s">
        <v>1075</v>
      </c>
      <c r="C126" s="886">
        <v>4</v>
      </c>
      <c r="D126" s="886">
        <v>9002</v>
      </c>
      <c r="E126" s="887" t="s">
        <v>1386</v>
      </c>
      <c r="F126" s="886">
        <v>0</v>
      </c>
      <c r="G126" s="888">
        <v>-162208078.74000001</v>
      </c>
      <c r="H126" s="888">
        <v>-222796704.06</v>
      </c>
      <c r="I126" s="888"/>
      <c r="J126" s="399">
        <f t="shared" si="21"/>
        <v>-222796704.06</v>
      </c>
      <c r="K126" s="211"/>
      <c r="L126" s="889">
        <v>-222796704.06</v>
      </c>
      <c r="M126" s="889">
        <v>-51627443.989999995</v>
      </c>
      <c r="N126" s="889">
        <v>-128609566.09999999</v>
      </c>
      <c r="O126" s="890"/>
      <c r="P126" s="890">
        <f t="shared" si="13"/>
        <v>-128609566.09999999</v>
      </c>
      <c r="Q126" s="827"/>
      <c r="R126" s="891"/>
      <c r="S126" s="891"/>
      <c r="T126" s="891"/>
      <c r="U126" s="891"/>
      <c r="V126" s="891">
        <v>51627443.99000001</v>
      </c>
      <c r="W126" s="891"/>
      <c r="X126" s="891"/>
      <c r="Y126" s="891"/>
      <c r="Z126" s="891"/>
      <c r="AA126" s="891"/>
      <c r="AB126" s="891">
        <f t="shared" si="14"/>
        <v>51627443.99000001</v>
      </c>
      <c r="AC126" s="884"/>
      <c r="AD126" s="902"/>
      <c r="AE126" s="884"/>
      <c r="AF126" s="884"/>
      <c r="AG126" s="884"/>
      <c r="AH126" s="884"/>
      <c r="AI126" s="884">
        <v>76982122.109999999</v>
      </c>
      <c r="AJ126" s="884"/>
      <c r="AK126" s="884"/>
      <c r="AL126" s="884"/>
      <c r="AM126" s="884"/>
      <c r="AN126" s="884">
        <f t="shared" si="15"/>
        <v>76982122.109999999</v>
      </c>
      <c r="AO126" s="884"/>
      <c r="AP126" s="884">
        <f t="shared" si="16"/>
        <v>0</v>
      </c>
      <c r="AQ126" s="884">
        <f t="shared" si="17"/>
        <v>0</v>
      </c>
      <c r="AR126" s="917">
        <v>0</v>
      </c>
      <c r="AS126" s="892">
        <f t="shared" si="18"/>
        <v>0</v>
      </c>
      <c r="AT126" s="917">
        <v>0</v>
      </c>
      <c r="AU126" s="892">
        <f t="shared" si="19"/>
        <v>0</v>
      </c>
      <c r="AW126" s="889">
        <f>-128609566.1-59528428.29-988824898.65-1437.66-238869746.06</f>
        <v>-1415834076.76</v>
      </c>
      <c r="AX126" s="890"/>
      <c r="AY126" s="890">
        <f t="shared" si="20"/>
        <v>-1415834076.76</v>
      </c>
      <c r="BA126" s="893">
        <f>+AY126+AY120</f>
        <v>-7275719157.0600004</v>
      </c>
      <c r="BE126" s="893">
        <v>-1415834076.7581894</v>
      </c>
      <c r="BF126" s="893">
        <f t="shared" si="24"/>
        <v>1.8105506896972656E-3</v>
      </c>
      <c r="BH126" s="888">
        <v>-59528428.289999999</v>
      </c>
      <c r="BI126" s="893">
        <v>-84440567.873553246</v>
      </c>
      <c r="BJ126" s="893">
        <f t="shared" si="22"/>
        <v>-24912139.583553247</v>
      </c>
      <c r="BK126" s="893">
        <v>-84440567.870000005</v>
      </c>
      <c r="BL126" s="893">
        <f t="shared" si="23"/>
        <v>3.553241491317749E-3</v>
      </c>
    </row>
    <row r="127" spans="1:64" s="893" customFormat="1" ht="15.75" customHeight="1" x14ac:dyDescent="0.25">
      <c r="A127" s="885"/>
      <c r="B127" s="885" t="s">
        <v>3488</v>
      </c>
      <c r="C127" s="886"/>
      <c r="D127" s="886"/>
      <c r="E127" s="887"/>
      <c r="F127" s="886"/>
      <c r="G127" s="888"/>
      <c r="H127" s="888"/>
      <c r="I127" s="888"/>
      <c r="J127" s="399"/>
      <c r="K127" s="211"/>
      <c r="L127" s="889"/>
      <c r="M127" s="889">
        <v>0</v>
      </c>
      <c r="N127" s="889"/>
      <c r="O127" s="890"/>
      <c r="P127" s="890"/>
      <c r="Q127" s="827"/>
      <c r="R127" s="891"/>
      <c r="S127" s="891"/>
      <c r="T127" s="891">
        <v>628416224.46999955</v>
      </c>
      <c r="U127" s="891">
        <v>2527263599.0700002</v>
      </c>
      <c r="V127" s="891"/>
      <c r="W127" s="891"/>
      <c r="X127" s="891"/>
      <c r="Y127" s="891"/>
      <c r="Z127" s="891"/>
      <c r="AA127" s="891"/>
      <c r="AB127" s="891">
        <f t="shared" si="14"/>
        <v>3155679823.54</v>
      </c>
      <c r="AC127" s="884"/>
      <c r="AD127" s="902"/>
      <c r="AE127" s="884"/>
      <c r="AF127" s="884"/>
      <c r="AG127" s="884"/>
      <c r="AH127" s="884">
        <v>43372092.160000004</v>
      </c>
      <c r="AI127" s="884"/>
      <c r="AJ127" s="884"/>
      <c r="AK127" s="884"/>
      <c r="AL127" s="884"/>
      <c r="AM127" s="884"/>
      <c r="AN127" s="884">
        <f t="shared" si="15"/>
        <v>43372092.160000004</v>
      </c>
      <c r="AO127" s="884"/>
      <c r="AP127" s="884">
        <f t="shared" si="16"/>
        <v>3155679823.54</v>
      </c>
      <c r="AQ127" s="884">
        <f t="shared" ref="AQ127:AQ135" si="25">+AP127+AN127</f>
        <v>3199051915.6999998</v>
      </c>
      <c r="AR127" s="917">
        <v>3155679823.9699998</v>
      </c>
      <c r="AS127" s="892">
        <f t="shared" si="18"/>
        <v>0.42999982833862305</v>
      </c>
      <c r="AT127" s="917">
        <v>3199051915.6999998</v>
      </c>
      <c r="AU127" s="892">
        <f t="shared" si="19"/>
        <v>0</v>
      </c>
      <c r="AW127" s="889"/>
      <c r="AX127" s="890"/>
      <c r="AY127" s="890"/>
      <c r="BH127" s="891"/>
    </row>
    <row r="128" spans="1:64" s="893" customFormat="1" ht="15.75" customHeight="1" x14ac:dyDescent="0.25">
      <c r="A128" s="885"/>
      <c r="B128" s="885" t="s">
        <v>3488</v>
      </c>
      <c r="C128" s="886"/>
      <c r="D128" s="886"/>
      <c r="E128" s="887"/>
      <c r="F128" s="886"/>
      <c r="G128" s="888"/>
      <c r="H128" s="888"/>
      <c r="I128" s="888"/>
      <c r="J128" s="399"/>
      <c r="K128" s="211"/>
      <c r="L128" s="889"/>
      <c r="M128" s="889">
        <v>0</v>
      </c>
      <c r="N128" s="889"/>
      <c r="O128" s="890"/>
      <c r="P128" s="890"/>
      <c r="Q128" s="827"/>
      <c r="R128" s="891"/>
      <c r="S128" s="891"/>
      <c r="T128" s="891">
        <v>-1206240900.0100007</v>
      </c>
      <c r="U128" s="891">
        <v>-51627443.99000001</v>
      </c>
      <c r="V128" s="891"/>
      <c r="W128" s="891"/>
      <c r="X128" s="891"/>
      <c r="Y128" s="891"/>
      <c r="Z128" s="891"/>
      <c r="AA128" s="891"/>
      <c r="AB128" s="891">
        <f t="shared" si="14"/>
        <v>-1257868344.0000007</v>
      </c>
      <c r="AC128" s="884"/>
      <c r="AD128" s="902"/>
      <c r="AE128" s="884"/>
      <c r="AF128" s="884"/>
      <c r="AG128" s="884"/>
      <c r="AH128" s="884">
        <v>-84143238.847713068</v>
      </c>
      <c r="AI128" s="884"/>
      <c r="AJ128" s="884"/>
      <c r="AK128" s="884"/>
      <c r="AL128" s="884"/>
      <c r="AM128" s="884"/>
      <c r="AN128" s="884">
        <f t="shared" si="15"/>
        <v>-84143238.847713068</v>
      </c>
      <c r="AO128" s="884"/>
      <c r="AP128" s="884">
        <f t="shared" si="16"/>
        <v>-1257868344.0000007</v>
      </c>
      <c r="AQ128" s="884">
        <f t="shared" si="25"/>
        <v>-1342011582.8477137</v>
      </c>
      <c r="AR128" s="917">
        <v>-1257868343.97</v>
      </c>
      <c r="AS128" s="892">
        <f t="shared" si="18"/>
        <v>3.0000686645507813E-2</v>
      </c>
      <c r="AT128" s="917">
        <v>-1342011582.8500001</v>
      </c>
      <c r="AU128" s="892">
        <f t="shared" si="19"/>
        <v>-2.2864341735839844E-3</v>
      </c>
      <c r="AW128" s="889"/>
      <c r="AX128" s="890"/>
      <c r="AY128" s="890"/>
      <c r="BH128" s="891"/>
    </row>
    <row r="129" spans="1:64" s="893" customFormat="1" x14ac:dyDescent="0.25">
      <c r="A129" s="885"/>
      <c r="B129" s="885" t="s">
        <v>800</v>
      </c>
      <c r="C129" s="886">
        <v>4</v>
      </c>
      <c r="D129" s="886">
        <v>9001</v>
      </c>
      <c r="E129" s="887" t="s">
        <v>1437</v>
      </c>
      <c r="F129" s="886">
        <v>0</v>
      </c>
      <c r="G129" s="888">
        <v>48555935.670000002</v>
      </c>
      <c r="H129" s="888">
        <v>56955313.399999999</v>
      </c>
      <c r="I129" s="888">
        <v>-597039.32999999996</v>
      </c>
      <c r="J129" s="399">
        <f t="shared" si="21"/>
        <v>56358274.07</v>
      </c>
      <c r="K129" s="211"/>
      <c r="L129" s="889">
        <v>56358274.07</v>
      </c>
      <c r="M129" s="889">
        <v>34282878.019999996</v>
      </c>
      <c r="N129" s="889">
        <v>45640356.18</v>
      </c>
      <c r="O129" s="890">
        <f>-2768018.81-8589459.35</f>
        <v>-11357478.16</v>
      </c>
      <c r="P129" s="890">
        <f t="shared" si="13"/>
        <v>34282878.019999996</v>
      </c>
      <c r="Q129" s="891"/>
      <c r="R129" s="891">
        <v>-12829006.720000001</v>
      </c>
      <c r="S129" s="891"/>
      <c r="T129" s="891"/>
      <c r="U129" s="891"/>
      <c r="V129" s="891"/>
      <c r="W129" s="891"/>
      <c r="X129" s="891"/>
      <c r="Y129" s="891"/>
      <c r="Z129" s="891"/>
      <c r="AA129" s="891"/>
      <c r="AB129" s="891">
        <f t="shared" si="14"/>
        <v>-12829006.720000001</v>
      </c>
      <c r="AC129" s="884"/>
      <c r="AD129" s="884"/>
      <c r="AE129" s="884"/>
      <c r="AF129" s="884"/>
      <c r="AG129" s="884"/>
      <c r="AH129" s="884"/>
      <c r="AI129" s="884"/>
      <c r="AJ129" s="884"/>
      <c r="AK129" s="884"/>
      <c r="AL129" s="884"/>
      <c r="AM129" s="884"/>
      <c r="AN129" s="884">
        <f t="shared" si="15"/>
        <v>0</v>
      </c>
      <c r="AO129" s="884"/>
      <c r="AP129" s="884">
        <f t="shared" si="16"/>
        <v>21453871.299999997</v>
      </c>
      <c r="AQ129" s="884">
        <f>+P129+AB129+AN129</f>
        <v>21453871.299999997</v>
      </c>
      <c r="AR129" s="917">
        <v>21453871.299999997</v>
      </c>
      <c r="AS129" s="892">
        <f t="shared" si="18"/>
        <v>0</v>
      </c>
      <c r="AT129" s="917">
        <v>21453871.299999997</v>
      </c>
      <c r="AU129" s="892">
        <f t="shared" si="19"/>
        <v>0</v>
      </c>
      <c r="AW129" s="889">
        <f>34282878.02+29968742.65-42754158.58</f>
        <v>21497462.090000004</v>
      </c>
      <c r="AX129" s="890"/>
      <c r="AY129" s="890">
        <f t="shared" si="20"/>
        <v>21497462.090000004</v>
      </c>
      <c r="BA129" s="893">
        <v>21497462.090000004</v>
      </c>
      <c r="BE129" s="893">
        <v>21497462.09</v>
      </c>
      <c r="BF129" s="893">
        <f t="shared" si="24"/>
        <v>0</v>
      </c>
      <c r="BJ129" s="893">
        <f t="shared" si="22"/>
        <v>0</v>
      </c>
      <c r="BL129" s="893">
        <f t="shared" si="23"/>
        <v>0</v>
      </c>
    </row>
    <row r="130" spans="1:64" s="893" customFormat="1" x14ac:dyDescent="0.25">
      <c r="A130" s="885"/>
      <c r="B130" s="885" t="s">
        <v>800</v>
      </c>
      <c r="C130" s="886">
        <v>4</v>
      </c>
      <c r="D130" s="886">
        <v>9002</v>
      </c>
      <c r="E130" s="887" t="s">
        <v>1437</v>
      </c>
      <c r="F130" s="886">
        <v>0</v>
      </c>
      <c r="G130" s="888">
        <v>-7370654.1299999999</v>
      </c>
      <c r="H130" s="888">
        <v>-31789053.129999999</v>
      </c>
      <c r="I130" s="888">
        <v>9261370.9600000009</v>
      </c>
      <c r="J130" s="399">
        <f t="shared" si="21"/>
        <v>-22527682.169999998</v>
      </c>
      <c r="K130" s="211"/>
      <c r="L130" s="889">
        <v>-22527682.169999998</v>
      </c>
      <c r="M130" s="889">
        <v>-12531991</v>
      </c>
      <c r="N130" s="889">
        <v>-25086802.82</v>
      </c>
      <c r="O130" s="890">
        <f>548617.25+1624072.27+2125074.14+4340462.91</f>
        <v>8638226.5700000003</v>
      </c>
      <c r="P130" s="890">
        <f t="shared" si="13"/>
        <v>-16448576.25</v>
      </c>
      <c r="Q130" s="891"/>
      <c r="R130" s="891">
        <v>8094381.2273400677</v>
      </c>
      <c r="S130" s="891"/>
      <c r="T130" s="891"/>
      <c r="U130" s="891"/>
      <c r="V130" s="891"/>
      <c r="W130" s="891"/>
      <c r="X130" s="891"/>
      <c r="Y130" s="891"/>
      <c r="Z130" s="891"/>
      <c r="AA130" s="891"/>
      <c r="AB130" s="891">
        <f t="shared" si="14"/>
        <v>8094381.2273400677</v>
      </c>
      <c r="AC130" s="884"/>
      <c r="AD130" s="884"/>
      <c r="AE130" s="884">
        <v>1802209.97</v>
      </c>
      <c r="AF130" s="884"/>
      <c r="AG130" s="884"/>
      <c r="AH130" s="884"/>
      <c r="AI130" s="884"/>
      <c r="AJ130" s="884"/>
      <c r="AK130" s="884"/>
      <c r="AL130" s="884"/>
      <c r="AM130" s="884"/>
      <c r="AN130" s="884">
        <f t="shared" si="15"/>
        <v>1802209.97</v>
      </c>
      <c r="AO130" s="884"/>
      <c r="AP130" s="884">
        <f t="shared" si="16"/>
        <v>-4437609.7726599323</v>
      </c>
      <c r="AQ130" s="884">
        <f>+P130+AB130+AN130</f>
        <v>-6551985.0526599325</v>
      </c>
      <c r="AR130" s="917">
        <v>-4437609.9277464403</v>
      </c>
      <c r="AS130" s="892">
        <f t="shared" si="18"/>
        <v>-0.15508650802075863</v>
      </c>
      <c r="AT130" s="917">
        <v>-6551985.0660268348</v>
      </c>
      <c r="AU130" s="892">
        <f t="shared" si="19"/>
        <v>-1.3366902247071266E-2</v>
      </c>
      <c r="AW130" s="889">
        <v>-8698083.1999999993</v>
      </c>
      <c r="AX130" s="890"/>
      <c r="AY130" s="890">
        <f t="shared" si="20"/>
        <v>-8698083.1999999993</v>
      </c>
      <c r="BA130" s="893">
        <v>-8698083.1999999993</v>
      </c>
      <c r="BE130" s="893">
        <v>-8698083.1956325304</v>
      </c>
      <c r="BF130" s="893">
        <f t="shared" si="24"/>
        <v>4.3674688786268234E-3</v>
      </c>
      <c r="BH130" s="893">
        <v>0</v>
      </c>
      <c r="BI130" s="893">
        <v>-8698083.1999999993</v>
      </c>
      <c r="BJ130" s="893">
        <f t="shared" si="22"/>
        <v>-8698083.1999999993</v>
      </c>
      <c r="BK130" s="893">
        <v>-2146098.13</v>
      </c>
      <c r="BL130" s="893">
        <f t="shared" si="23"/>
        <v>6551985.0699999994</v>
      </c>
    </row>
    <row r="131" spans="1:64" s="893" customFormat="1" ht="15" customHeight="1" x14ac:dyDescent="0.25">
      <c r="A131" s="885"/>
      <c r="B131" s="885" t="s">
        <v>799</v>
      </c>
      <c r="C131" s="886">
        <v>4</v>
      </c>
      <c r="D131" s="886">
        <v>9001</v>
      </c>
      <c r="E131" s="887" t="s">
        <v>1444</v>
      </c>
      <c r="F131" s="886">
        <v>0</v>
      </c>
      <c r="G131" s="888">
        <v>10353325</v>
      </c>
      <c r="H131" s="888">
        <v>14609293</v>
      </c>
      <c r="I131" s="888"/>
      <c r="J131" s="399">
        <f t="shared" si="21"/>
        <v>14609293</v>
      </c>
      <c r="K131" s="211"/>
      <c r="L131" s="889">
        <v>14609293</v>
      </c>
      <c r="M131" s="889">
        <v>14609293</v>
      </c>
      <c r="N131" s="889">
        <v>13356983.960000001</v>
      </c>
      <c r="O131" s="890">
        <v>608364.56000000006</v>
      </c>
      <c r="P131" s="890">
        <f t="shared" si="13"/>
        <v>13965348.520000001</v>
      </c>
      <c r="Q131" s="827"/>
      <c r="R131" s="891"/>
      <c r="S131" s="891"/>
      <c r="T131" s="891"/>
      <c r="U131" s="891"/>
      <c r="V131" s="891"/>
      <c r="W131" s="891"/>
      <c r="X131" s="891"/>
      <c r="Y131" s="891"/>
      <c r="Z131" s="891"/>
      <c r="AA131" s="891"/>
      <c r="AB131" s="891">
        <f t="shared" si="14"/>
        <v>0</v>
      </c>
      <c r="AC131" s="884"/>
      <c r="AD131" s="884"/>
      <c r="AE131" s="884"/>
      <c r="AF131" s="884"/>
      <c r="AG131" s="884"/>
      <c r="AH131" s="884"/>
      <c r="AI131" s="884"/>
      <c r="AJ131" s="884"/>
      <c r="AK131" s="884"/>
      <c r="AL131" s="884"/>
      <c r="AM131" s="884"/>
      <c r="AN131" s="884">
        <f t="shared" si="15"/>
        <v>0</v>
      </c>
      <c r="AO131" s="884"/>
      <c r="AP131" s="884">
        <f t="shared" si="16"/>
        <v>14609293</v>
      </c>
      <c r="AQ131" s="884">
        <f>+P131+AB131+AN131</f>
        <v>13965348.520000001</v>
      </c>
      <c r="AR131" s="917">
        <v>14609293</v>
      </c>
      <c r="AS131" s="892">
        <f t="shared" si="18"/>
        <v>0</v>
      </c>
      <c r="AT131" s="917">
        <v>13965348.52</v>
      </c>
      <c r="AU131" s="892">
        <f t="shared" si="19"/>
        <v>0</v>
      </c>
      <c r="AW131" s="889">
        <f>13965348.52+2667651.48</f>
        <v>16633000</v>
      </c>
      <c r="AX131" s="890"/>
      <c r="AY131" s="890">
        <f t="shared" si="20"/>
        <v>16633000</v>
      </c>
      <c r="BA131" s="893">
        <v>16633000</v>
      </c>
      <c r="BE131" s="890">
        <f>AY131+AZ131</f>
        <v>16633000</v>
      </c>
      <c r="BF131" s="893">
        <f t="shared" si="24"/>
        <v>0</v>
      </c>
      <c r="BJ131" s="893">
        <f t="shared" si="22"/>
        <v>0</v>
      </c>
      <c r="BL131" s="893">
        <f t="shared" si="23"/>
        <v>0</v>
      </c>
    </row>
    <row r="132" spans="1:64" s="893" customFormat="1" ht="15" customHeight="1" x14ac:dyDescent="0.25">
      <c r="A132" s="885"/>
      <c r="B132" s="885" t="s">
        <v>799</v>
      </c>
      <c r="C132" s="886">
        <v>4</v>
      </c>
      <c r="D132" s="886">
        <v>9002</v>
      </c>
      <c r="E132" s="887" t="s">
        <v>1444</v>
      </c>
      <c r="F132" s="886">
        <v>0</v>
      </c>
      <c r="G132" s="888">
        <v>0</v>
      </c>
      <c r="H132" s="888">
        <v>-7304646.5</v>
      </c>
      <c r="I132" s="888"/>
      <c r="J132" s="399">
        <f t="shared" si="21"/>
        <v>-7304646.5</v>
      </c>
      <c r="K132" s="211"/>
      <c r="L132" s="889">
        <v>-7304646.5</v>
      </c>
      <c r="M132" s="889"/>
      <c r="N132" s="889">
        <v>0</v>
      </c>
      <c r="O132" s="890"/>
      <c r="P132" s="890">
        <f t="shared" si="13"/>
        <v>0</v>
      </c>
      <c r="Q132" s="827"/>
      <c r="R132" s="891"/>
      <c r="S132" s="891"/>
      <c r="T132" s="891"/>
      <c r="U132" s="891"/>
      <c r="V132" s="891"/>
      <c r="W132" s="891"/>
      <c r="X132" s="891"/>
      <c r="Y132" s="891"/>
      <c r="Z132" s="891"/>
      <c r="AA132" s="891"/>
      <c r="AB132" s="891">
        <f t="shared" si="14"/>
        <v>0</v>
      </c>
      <c r="AC132" s="884"/>
      <c r="AD132" s="884"/>
      <c r="AE132" s="884"/>
      <c r="AF132" s="884"/>
      <c r="AG132" s="884"/>
      <c r="AH132" s="884"/>
      <c r="AI132" s="884"/>
      <c r="AJ132" s="884"/>
      <c r="AK132" s="884"/>
      <c r="AL132" s="884"/>
      <c r="AM132" s="884"/>
      <c r="AN132" s="884">
        <f t="shared" si="15"/>
        <v>0</v>
      </c>
      <c r="AO132" s="884"/>
      <c r="AP132" s="884">
        <f t="shared" si="16"/>
        <v>0</v>
      </c>
      <c r="AQ132" s="884">
        <f t="shared" si="25"/>
        <v>0</v>
      </c>
      <c r="AR132" s="917"/>
      <c r="AS132" s="892">
        <f t="shared" si="18"/>
        <v>0</v>
      </c>
      <c r="AT132" s="917"/>
      <c r="AU132" s="892">
        <f t="shared" si="19"/>
        <v>0</v>
      </c>
      <c r="AW132" s="889">
        <v>0</v>
      </c>
      <c r="AX132" s="890"/>
      <c r="AY132" s="890">
        <f t="shared" si="20"/>
        <v>0</v>
      </c>
      <c r="BF132" s="893">
        <f t="shared" si="24"/>
        <v>0</v>
      </c>
      <c r="BJ132" s="893">
        <f t="shared" si="22"/>
        <v>0</v>
      </c>
      <c r="BL132" s="893">
        <f t="shared" si="23"/>
        <v>0</v>
      </c>
    </row>
    <row r="133" spans="1:64" s="893" customFormat="1" x14ac:dyDescent="0.25">
      <c r="A133" s="885"/>
      <c r="B133" s="885" t="s">
        <v>1077</v>
      </c>
      <c r="C133" s="886">
        <v>4</v>
      </c>
      <c r="D133" s="886">
        <v>9001</v>
      </c>
      <c r="E133" s="887" t="s">
        <v>1446</v>
      </c>
      <c r="F133" s="886">
        <v>0</v>
      </c>
      <c r="G133" s="888">
        <v>11594361.84</v>
      </c>
      <c r="H133" s="888">
        <v>11594361.84</v>
      </c>
      <c r="I133" s="888"/>
      <c r="J133" s="399">
        <f t="shared" si="21"/>
        <v>11594361.84</v>
      </c>
      <c r="K133" s="211"/>
      <c r="L133" s="889">
        <v>11594361.84</v>
      </c>
      <c r="M133" s="889">
        <v>11594361.84</v>
      </c>
      <c r="N133" s="889">
        <v>11594361.84</v>
      </c>
      <c r="O133" s="890">
        <v>24060149.949999999</v>
      </c>
      <c r="P133" s="890">
        <f t="shared" si="13"/>
        <v>35654511.789999999</v>
      </c>
      <c r="Q133" s="870"/>
      <c r="R133" s="891"/>
      <c r="S133" s="891"/>
      <c r="T133" s="891"/>
      <c r="U133" s="891"/>
      <c r="V133" s="891"/>
      <c r="W133" s="891"/>
      <c r="X133" s="891">
        <v>-11594361.84</v>
      </c>
      <c r="Y133" s="891"/>
      <c r="Z133" s="891"/>
      <c r="AA133" s="891"/>
      <c r="AB133" s="891">
        <f t="shared" si="14"/>
        <v>-11594361.84</v>
      </c>
      <c r="AC133" s="884"/>
      <c r="AD133" s="902"/>
      <c r="AE133" s="884"/>
      <c r="AF133" s="884"/>
      <c r="AG133" s="884"/>
      <c r="AH133" s="884"/>
      <c r="AI133" s="884"/>
      <c r="AJ133" s="884">
        <v>10908456.744571093</v>
      </c>
      <c r="AK133" s="884"/>
      <c r="AL133" s="884"/>
      <c r="AM133" s="884"/>
      <c r="AN133" s="884">
        <f t="shared" si="15"/>
        <v>10908456.744571093</v>
      </c>
      <c r="AO133" s="884"/>
      <c r="AP133" s="884">
        <f>+M133+AB133</f>
        <v>0</v>
      </c>
      <c r="AQ133" s="884">
        <f>+P133+AB133+AN133</f>
        <v>34968606.694571093</v>
      </c>
      <c r="AR133" s="917">
        <v>0</v>
      </c>
      <c r="AS133" s="892">
        <f t="shared" si="18"/>
        <v>0</v>
      </c>
      <c r="AT133" s="917">
        <v>34968606.689999998</v>
      </c>
      <c r="AU133" s="892">
        <f t="shared" si="19"/>
        <v>-4.5710951089859009E-3</v>
      </c>
      <c r="AW133" s="889">
        <f>35654511.79-35654511.79+25905959.27+113542198.96</f>
        <v>139448158.22999999</v>
      </c>
      <c r="AX133" s="890"/>
      <c r="AY133" s="890">
        <f t="shared" si="20"/>
        <v>139448158.22999999</v>
      </c>
      <c r="BA133" s="893">
        <v>148510806</v>
      </c>
      <c r="BE133" s="890">
        <f>AY133+AZ133</f>
        <v>139448158.22999999</v>
      </c>
      <c r="BF133" s="893">
        <f t="shared" si="24"/>
        <v>0</v>
      </c>
      <c r="BJ133" s="893">
        <f t="shared" si="22"/>
        <v>0</v>
      </c>
      <c r="BL133" s="893">
        <f t="shared" si="23"/>
        <v>0</v>
      </c>
    </row>
    <row r="134" spans="1:64" s="893" customFormat="1" x14ac:dyDescent="0.25">
      <c r="A134" s="885"/>
      <c r="B134" s="885" t="s">
        <v>1077</v>
      </c>
      <c r="C134" s="886">
        <v>4</v>
      </c>
      <c r="D134" s="886">
        <v>9002</v>
      </c>
      <c r="E134" s="887" t="s">
        <v>1446</v>
      </c>
      <c r="F134" s="886">
        <v>0</v>
      </c>
      <c r="G134" s="888">
        <v>-5427025.4199999999</v>
      </c>
      <c r="H134" s="888">
        <v>-9261370.9600000009</v>
      </c>
      <c r="I134" s="888"/>
      <c r="J134" s="399">
        <f t="shared" si="21"/>
        <v>-9261370.9600000009</v>
      </c>
      <c r="K134" s="211"/>
      <c r="L134" s="889">
        <v>-9261370.9600000009</v>
      </c>
      <c r="M134" s="889">
        <v>-9261370.9600000009</v>
      </c>
      <c r="N134" s="889">
        <f>-9261370.96-2332990.88</f>
        <v>-11594361.84</v>
      </c>
      <c r="O134" s="890">
        <v>-621472.87</v>
      </c>
      <c r="P134" s="890">
        <f t="shared" si="13"/>
        <v>-12215834.709999999</v>
      </c>
      <c r="Q134" s="827"/>
      <c r="R134" s="884"/>
      <c r="S134" s="891"/>
      <c r="T134" s="891"/>
      <c r="U134" s="891"/>
      <c r="V134" s="891"/>
      <c r="W134" s="891"/>
      <c r="X134" s="891">
        <v>9261370.9600000009</v>
      </c>
      <c r="Y134" s="891"/>
      <c r="Z134" s="891"/>
      <c r="AA134" s="891"/>
      <c r="AB134" s="891">
        <f t="shared" si="14"/>
        <v>9261370.9600000009</v>
      </c>
      <c r="AC134" s="884"/>
      <c r="AD134" s="902"/>
      <c r="AE134" s="884"/>
      <c r="AF134" s="884"/>
      <c r="AG134" s="884"/>
      <c r="AH134" s="884"/>
      <c r="AI134" s="884"/>
      <c r="AJ134" s="884">
        <v>2392214.4734601192</v>
      </c>
      <c r="AK134" s="884"/>
      <c r="AL134" s="884"/>
      <c r="AM134" s="884"/>
      <c r="AN134" s="884">
        <f t="shared" si="15"/>
        <v>2392214.4734601192</v>
      </c>
      <c r="AO134" s="884"/>
      <c r="AP134" s="884">
        <f t="shared" si="16"/>
        <v>0</v>
      </c>
      <c r="AQ134" s="884">
        <f>+P134+AB134+AN134</f>
        <v>-562249.27653987892</v>
      </c>
      <c r="AR134" s="917">
        <v>0</v>
      </c>
      <c r="AS134" s="892">
        <f t="shared" si="18"/>
        <v>0</v>
      </c>
      <c r="AT134" s="917">
        <v>-562249.28</v>
      </c>
      <c r="AU134" s="892">
        <f t="shared" si="19"/>
        <v>-3.4601211082190275E-3</v>
      </c>
      <c r="AW134" s="889">
        <f>-12215834.71+12215834.71-496830.5-12428035.73</f>
        <v>-12924866.23</v>
      </c>
      <c r="AX134" s="890"/>
      <c r="AY134" s="890">
        <f t="shared" si="20"/>
        <v>-12924866.23</v>
      </c>
      <c r="BA134" s="893">
        <v>-13813659</v>
      </c>
      <c r="BE134" s="890">
        <f>AY134+AZ134</f>
        <v>-12924866.23</v>
      </c>
      <c r="BF134" s="893">
        <f t="shared" si="24"/>
        <v>0</v>
      </c>
      <c r="BH134" s="913">
        <v>-12428035.73</v>
      </c>
      <c r="BI134" s="893">
        <v>-12924866.23</v>
      </c>
      <c r="BJ134" s="893">
        <f t="shared" si="22"/>
        <v>-496830.5</v>
      </c>
      <c r="BK134" s="893">
        <v>-12428035.73</v>
      </c>
      <c r="BL134" s="893">
        <f t="shared" si="23"/>
        <v>496830.5</v>
      </c>
    </row>
    <row r="135" spans="1:64" s="893" customFormat="1" x14ac:dyDescent="0.25">
      <c r="A135" s="885"/>
      <c r="B135" s="885" t="s">
        <v>879</v>
      </c>
      <c r="C135" s="886">
        <v>4</v>
      </c>
      <c r="D135" s="886">
        <v>9001</v>
      </c>
      <c r="E135" s="887" t="s">
        <v>2976</v>
      </c>
      <c r="F135" s="886">
        <v>0</v>
      </c>
      <c r="G135" s="888"/>
      <c r="H135" s="888"/>
      <c r="I135" s="888"/>
      <c r="J135" s="400"/>
      <c r="K135" s="211"/>
      <c r="L135" s="889"/>
      <c r="M135" s="889"/>
      <c r="N135" s="889">
        <f>313297756.22-313297756.22</f>
        <v>0</v>
      </c>
      <c r="O135" s="890"/>
      <c r="P135" s="890">
        <f t="shared" si="13"/>
        <v>0</v>
      </c>
      <c r="Q135" s="827"/>
      <c r="R135" s="891"/>
      <c r="S135" s="891"/>
      <c r="T135" s="891">
        <v>85987380.340000004</v>
      </c>
      <c r="U135" s="891"/>
      <c r="V135" s="891"/>
      <c r="W135" s="891">
        <v>-8639028.6386502385</v>
      </c>
      <c r="X135" s="891"/>
      <c r="Y135" s="891"/>
      <c r="Z135" s="891"/>
      <c r="AA135" s="891"/>
      <c r="AB135" s="891">
        <f t="shared" si="14"/>
        <v>77348351.701349765</v>
      </c>
      <c r="AC135" s="884"/>
      <c r="AD135" s="902"/>
      <c r="AE135" s="884"/>
      <c r="AF135" s="884"/>
      <c r="AG135" s="884"/>
      <c r="AH135" s="884"/>
      <c r="AI135" s="884"/>
      <c r="AJ135" s="884"/>
      <c r="AK135" s="884"/>
      <c r="AL135" s="884"/>
      <c r="AM135" s="884"/>
      <c r="AN135" s="884">
        <f t="shared" si="15"/>
        <v>0</v>
      </c>
      <c r="AO135" s="884"/>
      <c r="AP135" s="884">
        <f t="shared" si="16"/>
        <v>77348351.701349765</v>
      </c>
      <c r="AQ135" s="884">
        <f t="shared" si="25"/>
        <v>77348351.701349765</v>
      </c>
      <c r="AR135" s="917">
        <v>77348351.697869062</v>
      </c>
      <c r="AS135" s="892">
        <f t="shared" si="18"/>
        <v>-3.4807026386260986E-3</v>
      </c>
      <c r="AT135" s="917">
        <v>77348351.697869062</v>
      </c>
      <c r="AU135" s="892">
        <f t="shared" si="19"/>
        <v>-3.4807026386260986E-3</v>
      </c>
      <c r="AW135" s="889">
        <v>80289000</v>
      </c>
      <c r="AX135" s="890"/>
      <c r="AY135" s="890">
        <f t="shared" si="20"/>
        <v>80289000</v>
      </c>
      <c r="BA135" s="893">
        <v>80289000</v>
      </c>
      <c r="BE135" s="893">
        <v>80289000</v>
      </c>
      <c r="BF135" s="893">
        <f t="shared" si="24"/>
        <v>0</v>
      </c>
      <c r="BH135" s="893">
        <v>0</v>
      </c>
      <c r="BJ135" s="893">
        <f t="shared" si="22"/>
        <v>0</v>
      </c>
      <c r="BK135" s="893">
        <v>0</v>
      </c>
      <c r="BL135" s="893">
        <f t="shared" si="23"/>
        <v>0</v>
      </c>
    </row>
    <row r="136" spans="1:64" s="306" customFormat="1" ht="15" customHeight="1" x14ac:dyDescent="0.25">
      <c r="A136" s="214"/>
      <c r="B136" s="214"/>
      <c r="C136" s="396"/>
      <c r="D136" s="396"/>
      <c r="E136" s="396"/>
      <c r="F136" s="396"/>
      <c r="G136" s="398">
        <f>SUM(G119:G134)</f>
        <v>5055591794.5100002</v>
      </c>
      <c r="H136" s="398">
        <f>SUM(H119:H134)</f>
        <v>5615245263.1399984</v>
      </c>
      <c r="I136" s="398">
        <f>SUM(I119:I134)</f>
        <v>0</v>
      </c>
      <c r="J136" s="398">
        <f>SUM(J119:J134)</f>
        <v>5615245263.1399994</v>
      </c>
      <c r="K136" s="211"/>
      <c r="L136" s="354">
        <f>SUM(L119:L134)</f>
        <v>5615245263.1399994</v>
      </c>
      <c r="M136" s="354"/>
      <c r="N136" s="354">
        <f>SUM(N119:N135)</f>
        <v>5685980456.25</v>
      </c>
      <c r="O136" s="354">
        <f>SUM(O119:O134)</f>
        <v>23937840.739999998</v>
      </c>
      <c r="P136" s="354">
        <f>SUM(P119:P135)</f>
        <v>5709918296.9900007</v>
      </c>
      <c r="Q136" s="496"/>
      <c r="R136" s="496"/>
      <c r="S136" s="496"/>
      <c r="T136" s="496"/>
      <c r="U136" s="496"/>
      <c r="V136" s="496"/>
      <c r="W136" s="496"/>
      <c r="X136" s="496"/>
      <c r="Y136" s="496"/>
      <c r="Z136" s="496"/>
      <c r="AA136" s="496"/>
      <c r="AB136" s="496"/>
      <c r="AC136" s="871"/>
      <c r="AD136" s="871"/>
      <c r="AE136" s="871"/>
      <c r="AF136" s="871"/>
      <c r="AG136" s="871"/>
      <c r="AH136" s="871"/>
      <c r="AI136" s="871"/>
      <c r="AJ136" s="871"/>
      <c r="AK136" s="871"/>
      <c r="AL136" s="871"/>
      <c r="AM136" s="871"/>
      <c r="AN136" s="871"/>
      <c r="AO136" s="871"/>
      <c r="AP136" s="871"/>
      <c r="AQ136" s="871"/>
      <c r="AR136" s="871"/>
      <c r="AS136" s="871"/>
      <c r="AT136" s="871"/>
      <c r="AU136" s="871"/>
      <c r="AV136" s="306">
        <f>+P136-'Statement of Fin Pos'!E20-'Statement of Fin Pos'!E21-'Statement of Fin Pos'!E23-'Statement of Fin Pos'!E24</f>
        <v>-2991963475.684001</v>
      </c>
      <c r="AW136" s="354">
        <f>SUM(AW119:AW135)</f>
        <v>7325694011.4199991</v>
      </c>
      <c r="AX136" s="354">
        <f>SUM(AX119:AX134)</f>
        <v>0</v>
      </c>
      <c r="AY136" s="354">
        <f>SUM(AY119:AY135)</f>
        <v>7325694011.4199991</v>
      </c>
      <c r="BF136" s="306">
        <v>0</v>
      </c>
      <c r="BH136" s="306">
        <v>0</v>
      </c>
      <c r="BJ136" s="306">
        <f t="shared" si="22"/>
        <v>0</v>
      </c>
      <c r="BK136" s="306">
        <v>0</v>
      </c>
      <c r="BL136" s="306">
        <f t="shared" si="23"/>
        <v>0</v>
      </c>
    </row>
    <row r="137" spans="1:64" s="306" customFormat="1" ht="15" customHeight="1" x14ac:dyDescent="0.25">
      <c r="A137" s="214"/>
      <c r="B137" s="214"/>
      <c r="C137" s="396"/>
      <c r="D137" s="396"/>
      <c r="E137" s="396"/>
      <c r="F137" s="396"/>
      <c r="G137" s="212"/>
      <c r="H137" s="212"/>
      <c r="I137" s="212"/>
      <c r="J137" s="213"/>
      <c r="K137" s="211"/>
      <c r="L137" s="213"/>
      <c r="M137" s="213"/>
      <c r="N137" s="213"/>
      <c r="O137" s="213"/>
      <c r="P137" s="213"/>
      <c r="Q137" s="827"/>
      <c r="R137" s="827"/>
      <c r="S137" s="827"/>
      <c r="T137" s="827"/>
      <c r="U137" s="827"/>
      <c r="V137" s="827"/>
      <c r="W137" s="827"/>
      <c r="X137" s="827"/>
      <c r="Y137" s="827"/>
      <c r="Z137" s="827"/>
      <c r="AA137" s="827"/>
      <c r="AB137" s="827"/>
      <c r="AC137" s="870"/>
      <c r="AD137" s="870"/>
      <c r="AE137" s="870"/>
      <c r="AF137" s="870"/>
      <c r="AG137" s="870"/>
      <c r="AH137" s="870"/>
      <c r="AI137" s="870"/>
      <c r="AJ137" s="870"/>
      <c r="AK137" s="870"/>
      <c r="AL137" s="870"/>
      <c r="AM137" s="870"/>
      <c r="AN137" s="870"/>
      <c r="AO137" s="870"/>
      <c r="AP137" s="870"/>
      <c r="AQ137" s="870"/>
      <c r="AR137" s="870"/>
      <c r="AS137" s="870"/>
      <c r="AT137" s="870"/>
      <c r="AU137" s="870"/>
      <c r="AW137" s="213"/>
      <c r="AX137" s="213"/>
      <c r="AY137" s="213"/>
      <c r="BF137" s="306">
        <f t="shared" si="24"/>
        <v>0</v>
      </c>
      <c r="BH137" s="306">
        <f>SUM(BH120:BH136)</f>
        <v>-456130980.08000004</v>
      </c>
      <c r="BI137" s="306">
        <f>SUM(BI120:BI136)</f>
        <v>-455698293.33057982</v>
      </c>
      <c r="BJ137" s="306">
        <f>BI137-BH137</f>
        <v>432686.74942022562</v>
      </c>
      <c r="BK137" s="306">
        <f>SUM(BK120:BK136)</f>
        <v>-448783427.47702652</v>
      </c>
      <c r="BL137" s="306">
        <f>SUM(BL120:BL136)</f>
        <v>6914865.8535532421</v>
      </c>
    </row>
    <row r="138" spans="1:64" s="893" customFormat="1" x14ac:dyDescent="0.25">
      <c r="A138" s="905" t="s">
        <v>1503</v>
      </c>
      <c r="B138" s="905" t="s">
        <v>191</v>
      </c>
      <c r="C138" s="886">
        <v>4</v>
      </c>
      <c r="D138" s="886">
        <v>9001</v>
      </c>
      <c r="E138" s="887" t="s">
        <v>1435</v>
      </c>
      <c r="F138" s="886">
        <v>0</v>
      </c>
      <c r="G138" s="906">
        <v>125510500</v>
      </c>
      <c r="H138" s="906">
        <f>125510500+12849167</f>
        <v>138359667</v>
      </c>
      <c r="I138" s="906"/>
      <c r="J138" s="354">
        <f>H138+I138</f>
        <v>138359667</v>
      </c>
      <c r="K138" s="211"/>
      <c r="L138" s="907">
        <v>138359667</v>
      </c>
      <c r="M138" s="907">
        <v>234602329</v>
      </c>
      <c r="N138" s="907">
        <f>138359667+104514662.42-8272000</f>
        <v>234602329.42000002</v>
      </c>
      <c r="O138" s="890"/>
      <c r="P138" s="907">
        <f>N138+O138</f>
        <v>234602329.42000002</v>
      </c>
      <c r="Q138" s="496"/>
      <c r="R138" s="908"/>
      <c r="S138" s="908">
        <v>295464622.63250494</v>
      </c>
      <c r="T138" s="908"/>
      <c r="U138" s="908"/>
      <c r="V138" s="908"/>
      <c r="W138" s="908"/>
      <c r="X138" s="908"/>
      <c r="Y138" s="908"/>
      <c r="Z138" s="908"/>
      <c r="AA138" s="908"/>
      <c r="AB138" s="891">
        <f>SUM(Q138:AA138)</f>
        <v>295464622.63250494</v>
      </c>
      <c r="AC138" s="892"/>
      <c r="AD138" s="892"/>
      <c r="AE138" s="892"/>
      <c r="AF138" s="892">
        <v>7991946.2973572845</v>
      </c>
      <c r="AG138" s="892"/>
      <c r="AH138" s="892"/>
      <c r="AI138" s="892"/>
      <c r="AJ138" s="892"/>
      <c r="AK138" s="892"/>
      <c r="AL138" s="892"/>
      <c r="AM138" s="892"/>
      <c r="AN138" s="884">
        <f>SUM(AD138:AM138)</f>
        <v>7991946.2973572845</v>
      </c>
      <c r="AO138" s="892"/>
      <c r="AP138" s="884">
        <f>+M138+AB138</f>
        <v>530066951.63250494</v>
      </c>
      <c r="AQ138" s="884">
        <f>+AP138+AN138</f>
        <v>538058897.92986226</v>
      </c>
      <c r="AR138" s="916">
        <v>530066952.0525049</v>
      </c>
      <c r="AS138" s="892">
        <f>+AR138-AP138</f>
        <v>0.41999995708465576</v>
      </c>
      <c r="AT138" s="916">
        <v>538058898.34986222</v>
      </c>
      <c r="AU138" s="892">
        <f>+AT138-AQ138</f>
        <v>0.41999995708465576</v>
      </c>
      <c r="AV138" s="893">
        <f>+'Statement of Fin Pos'!F22</f>
        <v>617158459.26999998</v>
      </c>
      <c r="AW138" s="907">
        <f>234602329.42+310370118.33</f>
        <v>544972447.75</v>
      </c>
      <c r="AX138" s="890"/>
      <c r="AY138" s="907">
        <f>AW138+AX138</f>
        <v>544972447.75</v>
      </c>
      <c r="BE138" s="893">
        <v>544972447.75</v>
      </c>
      <c r="BF138" s="893">
        <f t="shared" si="24"/>
        <v>0</v>
      </c>
    </row>
    <row r="139" spans="1:64" s="306" customFormat="1" ht="15" customHeight="1" x14ac:dyDescent="0.25">
      <c r="A139" s="214"/>
      <c r="B139" s="214"/>
      <c r="C139" s="396"/>
      <c r="D139" s="396"/>
      <c r="E139" s="396"/>
      <c r="F139" s="396"/>
      <c r="G139" s="212"/>
      <c r="H139" s="212"/>
      <c r="I139" s="212"/>
      <c r="J139" s="213"/>
      <c r="K139" s="211"/>
      <c r="L139" s="213"/>
      <c r="M139" s="213"/>
      <c r="N139" s="213"/>
      <c r="O139" s="213"/>
      <c r="P139" s="213"/>
      <c r="Q139" s="827"/>
      <c r="R139" s="827"/>
      <c r="S139" s="827"/>
      <c r="T139" s="827"/>
      <c r="U139" s="827"/>
      <c r="V139" s="827"/>
      <c r="W139" s="827"/>
      <c r="X139" s="827"/>
      <c r="Y139" s="827"/>
      <c r="Z139" s="827"/>
      <c r="AA139" s="827"/>
      <c r="AB139" s="827"/>
      <c r="AC139" s="870"/>
      <c r="AD139" s="870"/>
      <c r="AE139" s="870"/>
      <c r="AF139" s="870"/>
      <c r="AG139" s="870"/>
      <c r="AH139" s="870"/>
      <c r="AI139" s="870"/>
      <c r="AJ139" s="870"/>
      <c r="AK139" s="870"/>
      <c r="AL139" s="870"/>
      <c r="AM139" s="870"/>
      <c r="AN139" s="870"/>
      <c r="AO139" s="870"/>
      <c r="AP139" s="870"/>
      <c r="AQ139" s="870"/>
      <c r="AR139" s="870"/>
      <c r="AS139" s="870"/>
      <c r="AT139" s="870"/>
      <c r="AU139" s="870"/>
      <c r="AV139" s="306">
        <f>+AV136+AV138</f>
        <v>-2374805016.414001</v>
      </c>
      <c r="AW139" s="213"/>
      <c r="AX139" s="213"/>
      <c r="AY139" s="213"/>
    </row>
    <row r="140" spans="1:64" s="306" customFormat="1" ht="15" customHeight="1" x14ac:dyDescent="0.25">
      <c r="A140" s="238" t="s">
        <v>122</v>
      </c>
      <c r="B140" s="238" t="s">
        <v>606</v>
      </c>
      <c r="C140" s="396"/>
      <c r="D140" s="396"/>
      <c r="E140" s="396"/>
      <c r="F140" s="396"/>
      <c r="G140" s="212"/>
      <c r="H140" s="212"/>
      <c r="I140" s="212"/>
      <c r="J140" s="213"/>
      <c r="K140" s="211"/>
      <c r="L140" s="213"/>
      <c r="M140" s="213"/>
      <c r="N140" s="213"/>
      <c r="O140" s="213"/>
      <c r="P140" s="213"/>
      <c r="Q140" s="827"/>
      <c r="R140" s="827"/>
      <c r="S140" s="827"/>
      <c r="T140" s="827"/>
      <c r="U140" s="827"/>
      <c r="V140" s="827"/>
      <c r="W140" s="827"/>
      <c r="X140" s="827"/>
      <c r="Y140" s="827"/>
      <c r="Z140" s="827"/>
      <c r="AA140" s="827"/>
      <c r="AB140" s="827"/>
      <c r="AC140" s="870"/>
      <c r="AD140" s="870"/>
      <c r="AE140" s="870"/>
      <c r="AF140" s="870"/>
      <c r="AG140" s="870"/>
      <c r="AH140" s="870"/>
      <c r="AI140" s="870"/>
      <c r="AJ140" s="870"/>
      <c r="AK140" s="870"/>
      <c r="AL140" s="870"/>
      <c r="AM140" s="870"/>
      <c r="AN140" s="870"/>
      <c r="AO140" s="870"/>
      <c r="AP140" s="870"/>
      <c r="AQ140" s="870"/>
      <c r="AR140" s="870"/>
      <c r="AS140" s="870"/>
      <c r="AT140" s="870"/>
      <c r="AU140" s="870"/>
      <c r="AW140" s="213"/>
      <c r="AX140" s="213"/>
      <c r="AY140" s="213"/>
    </row>
    <row r="141" spans="1:64" s="306" customFormat="1" ht="15" customHeight="1" x14ac:dyDescent="0.25">
      <c r="A141" s="214"/>
      <c r="B141" s="214" t="s">
        <v>123</v>
      </c>
      <c r="C141" s="396">
        <v>4</v>
      </c>
      <c r="D141" s="396">
        <v>9010</v>
      </c>
      <c r="E141" s="397" t="s">
        <v>1373</v>
      </c>
      <c r="F141" s="396">
        <v>0</v>
      </c>
      <c r="G141" s="212">
        <v>219993222.44</v>
      </c>
      <c r="H141" s="212">
        <v>282807853.91000003</v>
      </c>
      <c r="I141" s="212"/>
      <c r="J141" s="399">
        <f>H141+I141</f>
        <v>282807853.91000003</v>
      </c>
      <c r="K141" s="211"/>
      <c r="L141" s="399">
        <v>282807853.91000003</v>
      </c>
      <c r="M141" s="399"/>
      <c r="N141" s="399">
        <v>278999800</v>
      </c>
      <c r="O141" s="213"/>
      <c r="P141" s="213">
        <f>N141+O141</f>
        <v>278999800</v>
      </c>
      <c r="Q141" s="827"/>
      <c r="R141" s="827"/>
      <c r="S141" s="827"/>
      <c r="T141" s="827"/>
      <c r="U141" s="827"/>
      <c r="V141" s="827"/>
      <c r="W141" s="827"/>
      <c r="X141" s="827"/>
      <c r="Y141" s="827"/>
      <c r="Z141" s="827"/>
      <c r="AA141" s="827"/>
      <c r="AB141" s="827"/>
      <c r="AC141" s="870"/>
      <c r="AD141" s="870"/>
      <c r="AE141" s="870"/>
      <c r="AF141" s="870"/>
      <c r="AG141" s="870"/>
      <c r="AH141" s="870"/>
      <c r="AI141" s="870"/>
      <c r="AJ141" s="870"/>
      <c r="AK141" s="870"/>
      <c r="AL141" s="870"/>
      <c r="AM141" s="870"/>
      <c r="AN141" s="870"/>
      <c r="AO141" s="870"/>
      <c r="AP141" s="870"/>
      <c r="AQ141" s="870"/>
      <c r="AR141" s="870"/>
      <c r="AS141" s="870"/>
      <c r="AT141" s="870"/>
      <c r="AU141" s="870"/>
      <c r="AW141" s="572">
        <v>168999800</v>
      </c>
      <c r="AX141" s="213"/>
      <c r="AY141" s="213">
        <f>AW141+AX141</f>
        <v>168999800</v>
      </c>
    </row>
    <row r="142" spans="1:64" s="306" customFormat="1" ht="15" customHeight="1" x14ac:dyDescent="0.25">
      <c r="A142" s="214"/>
      <c r="B142" s="214" t="s">
        <v>2481</v>
      </c>
      <c r="C142" s="396">
        <v>4</v>
      </c>
      <c r="D142" s="396">
        <v>9015</v>
      </c>
      <c r="E142" s="397" t="s">
        <v>1373</v>
      </c>
      <c r="F142" s="396">
        <v>0</v>
      </c>
      <c r="G142" s="212">
        <v>8217389</v>
      </c>
      <c r="H142" s="212">
        <v>8217389</v>
      </c>
      <c r="I142" s="212"/>
      <c r="J142" s="399">
        <f>H142+I142</f>
        <v>8217389</v>
      </c>
      <c r="K142" s="211"/>
      <c r="L142" s="399">
        <v>8217389</v>
      </c>
      <c r="M142" s="399"/>
      <c r="N142" s="399">
        <v>8217389</v>
      </c>
      <c r="O142" s="213"/>
      <c r="P142" s="213">
        <f>N142+O142</f>
        <v>8217389</v>
      </c>
      <c r="Q142" s="827"/>
      <c r="R142" s="827"/>
      <c r="S142" s="827"/>
      <c r="T142" s="827"/>
      <c r="U142" s="827"/>
      <c r="V142" s="827"/>
      <c r="W142" s="827"/>
      <c r="X142" s="827"/>
      <c r="Y142" s="827"/>
      <c r="Z142" s="827"/>
      <c r="AA142" s="827"/>
      <c r="AB142" s="827"/>
      <c r="AC142" s="870"/>
      <c r="AD142" s="870"/>
      <c r="AE142" s="870"/>
      <c r="AF142" s="870"/>
      <c r="AG142" s="870"/>
      <c r="AH142" s="870"/>
      <c r="AI142" s="870"/>
      <c r="AJ142" s="870"/>
      <c r="AK142" s="870"/>
      <c r="AL142" s="870"/>
      <c r="AM142" s="870"/>
      <c r="AN142" s="870"/>
      <c r="AO142" s="870"/>
      <c r="AP142" s="870"/>
      <c r="AQ142" s="870"/>
      <c r="AR142" s="870"/>
      <c r="AS142" s="870"/>
      <c r="AT142" s="870"/>
      <c r="AU142" s="870"/>
      <c r="AW142" s="572">
        <v>8217389</v>
      </c>
      <c r="AX142" s="213"/>
      <c r="AY142" s="213">
        <f>AW142+AX142</f>
        <v>8217389</v>
      </c>
    </row>
    <row r="143" spans="1:64" s="306" customFormat="1" ht="15" customHeight="1" x14ac:dyDescent="0.25">
      <c r="A143" s="214"/>
      <c r="B143" s="214"/>
      <c r="C143" s="396"/>
      <c r="D143" s="396"/>
      <c r="E143" s="396"/>
      <c r="F143" s="396"/>
      <c r="G143" s="398">
        <f t="shared" ref="G143:P143" si="26">SUM(G141:G142)</f>
        <v>228210611.44</v>
      </c>
      <c r="H143" s="398">
        <f t="shared" si="26"/>
        <v>291025242.91000003</v>
      </c>
      <c r="I143" s="398">
        <f t="shared" si="26"/>
        <v>0</v>
      </c>
      <c r="J143" s="354">
        <f t="shared" si="26"/>
        <v>291025242.91000003</v>
      </c>
      <c r="K143" s="211"/>
      <c r="L143" s="354">
        <f t="shared" si="26"/>
        <v>291025242.91000003</v>
      </c>
      <c r="M143" s="354"/>
      <c r="N143" s="354">
        <f>SUM(N141:N142)</f>
        <v>287217189</v>
      </c>
      <c r="O143" s="354">
        <f t="shared" si="26"/>
        <v>0</v>
      </c>
      <c r="P143" s="354">
        <f t="shared" si="26"/>
        <v>287217189</v>
      </c>
      <c r="Q143" s="496"/>
      <c r="R143" s="496"/>
      <c r="S143" s="496"/>
      <c r="T143" s="496"/>
      <c r="U143" s="496"/>
      <c r="V143" s="496"/>
      <c r="W143" s="496"/>
      <c r="X143" s="496"/>
      <c r="Y143" s="496"/>
      <c r="Z143" s="496"/>
      <c r="AA143" s="496"/>
      <c r="AB143" s="496"/>
      <c r="AC143" s="871"/>
      <c r="AD143" s="871"/>
      <c r="AE143" s="871"/>
      <c r="AF143" s="871"/>
      <c r="AG143" s="871"/>
      <c r="AH143" s="871"/>
      <c r="AI143" s="871"/>
      <c r="AJ143" s="871"/>
      <c r="AK143" s="871"/>
      <c r="AL143" s="871"/>
      <c r="AM143" s="871"/>
      <c r="AN143" s="871"/>
      <c r="AO143" s="871"/>
      <c r="AP143" s="871"/>
      <c r="AQ143" s="871"/>
      <c r="AR143" s="871"/>
      <c r="AS143" s="871"/>
      <c r="AT143" s="871"/>
      <c r="AU143" s="871"/>
      <c r="AW143" s="354">
        <f>SUM(AW141:AW142)</f>
        <v>177217189</v>
      </c>
      <c r="AX143" s="354">
        <f>SUM(AX141:AX142)</f>
        <v>0</v>
      </c>
      <c r="AY143" s="354">
        <f>SUM(AY141:AY142)</f>
        <v>177217189</v>
      </c>
    </row>
    <row r="144" spans="1:64" s="306" customFormat="1" ht="15" customHeight="1" x14ac:dyDescent="0.25">
      <c r="A144" s="238" t="s">
        <v>124</v>
      </c>
      <c r="B144" s="238" t="s">
        <v>125</v>
      </c>
      <c r="C144" s="396"/>
      <c r="D144" s="396"/>
      <c r="E144" s="396"/>
      <c r="F144" s="396"/>
      <c r="G144" s="212"/>
      <c r="H144" s="212"/>
      <c r="I144" s="212"/>
      <c r="J144" s="213"/>
      <c r="K144" s="211"/>
      <c r="L144" s="213"/>
      <c r="M144" s="213"/>
      <c r="N144" s="213"/>
      <c r="O144" s="213"/>
      <c r="P144" s="213"/>
      <c r="Q144" s="827"/>
      <c r="R144" s="827"/>
      <c r="S144" s="827"/>
      <c r="T144" s="827"/>
      <c r="U144" s="827"/>
      <c r="V144" s="827"/>
      <c r="W144" s="827"/>
      <c r="X144" s="827"/>
      <c r="Y144" s="827"/>
      <c r="Z144" s="827"/>
      <c r="AA144" s="827"/>
      <c r="AB144" s="827"/>
      <c r="AC144" s="870"/>
      <c r="AD144" s="870"/>
      <c r="AE144" s="870"/>
      <c r="AF144" s="870"/>
      <c r="AG144" s="870"/>
      <c r="AH144" s="870"/>
      <c r="AI144" s="870"/>
      <c r="AJ144" s="870"/>
      <c r="AK144" s="870"/>
      <c r="AL144" s="870"/>
      <c r="AM144" s="870"/>
      <c r="AN144" s="870"/>
      <c r="AO144" s="870"/>
      <c r="AP144" s="870"/>
      <c r="AQ144" s="870"/>
      <c r="AR144" s="870"/>
      <c r="AS144" s="870"/>
      <c r="AT144" s="870"/>
      <c r="AU144" s="870"/>
      <c r="AW144" s="213"/>
      <c r="AX144" s="213"/>
      <c r="AY144" s="213"/>
    </row>
    <row r="145" spans="1:51" s="306" customFormat="1" ht="15" customHeight="1" x14ac:dyDescent="0.25">
      <c r="A145" s="214"/>
      <c r="B145" s="240" t="s">
        <v>424</v>
      </c>
      <c r="C145" s="396"/>
      <c r="D145" s="396"/>
      <c r="E145" s="396"/>
      <c r="F145" s="396"/>
      <c r="G145" s="212"/>
      <c r="H145" s="212"/>
      <c r="I145" s="212"/>
      <c r="J145" s="213"/>
      <c r="K145" s="211"/>
      <c r="L145" s="213"/>
      <c r="M145" s="213"/>
      <c r="N145" s="213"/>
      <c r="O145" s="213"/>
      <c r="P145" s="213"/>
      <c r="Q145" s="827"/>
      <c r="R145" s="827"/>
      <c r="S145" s="827"/>
      <c r="T145" s="827"/>
      <c r="U145" s="827"/>
      <c r="V145" s="827"/>
      <c r="W145" s="827"/>
      <c r="X145" s="827"/>
      <c r="Y145" s="827"/>
      <c r="Z145" s="827"/>
      <c r="AA145" s="827"/>
      <c r="AB145" s="827"/>
      <c r="AC145" s="870"/>
      <c r="AD145" s="870"/>
      <c r="AE145" s="870"/>
      <c r="AF145" s="870"/>
      <c r="AG145" s="870"/>
      <c r="AH145" s="870"/>
      <c r="AI145" s="870"/>
      <c r="AJ145" s="870"/>
      <c r="AK145" s="870"/>
      <c r="AL145" s="870"/>
      <c r="AM145" s="870"/>
      <c r="AN145" s="870"/>
      <c r="AO145" s="870"/>
      <c r="AP145" s="870"/>
      <c r="AQ145" s="870"/>
      <c r="AR145" s="870"/>
      <c r="AS145" s="870"/>
      <c r="AT145" s="870"/>
      <c r="AU145" s="870"/>
      <c r="AW145" s="213"/>
      <c r="AX145" s="213"/>
      <c r="AY145" s="213"/>
    </row>
    <row r="146" spans="1:51" s="306" customFormat="1" ht="25.5" customHeight="1" x14ac:dyDescent="0.25">
      <c r="A146" s="214"/>
      <c r="B146" s="215" t="s">
        <v>425</v>
      </c>
      <c r="C146" s="396"/>
      <c r="D146" s="396"/>
      <c r="E146" s="396"/>
      <c r="F146" s="396"/>
      <c r="G146" s="212"/>
      <c r="H146" s="212"/>
      <c r="I146" s="212"/>
      <c r="J146" s="213"/>
      <c r="K146" s="211"/>
      <c r="L146" s="213"/>
      <c r="M146" s="213"/>
      <c r="N146" s="213"/>
      <c r="O146" s="213"/>
      <c r="P146" s="213"/>
      <c r="Q146" s="827"/>
      <c r="R146" s="827"/>
      <c r="S146" s="827"/>
      <c r="T146" s="827"/>
      <c r="U146" s="827"/>
      <c r="V146" s="827"/>
      <c r="W146" s="827"/>
      <c r="X146" s="827"/>
      <c r="Y146" s="827"/>
      <c r="Z146" s="827"/>
      <c r="AA146" s="827"/>
      <c r="AB146" s="827"/>
      <c r="AC146" s="870"/>
      <c r="AD146" s="870"/>
      <c r="AE146" s="870"/>
      <c r="AF146" s="870"/>
      <c r="AG146" s="870"/>
      <c r="AH146" s="870"/>
      <c r="AI146" s="870"/>
      <c r="AJ146" s="870"/>
      <c r="AK146" s="870"/>
      <c r="AL146" s="870"/>
      <c r="AM146" s="870"/>
      <c r="AN146" s="870"/>
      <c r="AO146" s="870"/>
      <c r="AP146" s="870"/>
      <c r="AQ146" s="870"/>
      <c r="AR146" s="870"/>
      <c r="AS146" s="870"/>
      <c r="AT146" s="870"/>
      <c r="AU146" s="870"/>
      <c r="AW146" s="213"/>
      <c r="AX146" s="213"/>
      <c r="AY146" s="213"/>
    </row>
    <row r="147" spans="1:51" s="306" customFormat="1" ht="15" customHeight="1" x14ac:dyDescent="0.25">
      <c r="A147" s="214"/>
      <c r="B147" s="240" t="s">
        <v>126</v>
      </c>
      <c r="C147" s="396">
        <v>4</v>
      </c>
      <c r="D147" s="396">
        <v>9026</v>
      </c>
      <c r="E147" s="397" t="s">
        <v>1379</v>
      </c>
      <c r="F147" s="396">
        <v>0</v>
      </c>
      <c r="G147" s="212">
        <v>12846.77</v>
      </c>
      <c r="H147" s="212">
        <v>11346.73</v>
      </c>
      <c r="I147" s="212"/>
      <c r="J147" s="399">
        <f t="shared" ref="J147:J156" si="27">H147+I147</f>
        <v>11346.73</v>
      </c>
      <c r="K147" s="211"/>
      <c r="L147" s="399">
        <v>11346.73</v>
      </c>
      <c r="M147" s="399"/>
      <c r="N147" s="399">
        <v>11282.4</v>
      </c>
      <c r="O147" s="213"/>
      <c r="P147" s="213">
        <f t="shared" ref="P147:P156" si="28">N147+O147</f>
        <v>11282.4</v>
      </c>
      <c r="Q147" s="827"/>
      <c r="R147" s="827"/>
      <c r="S147" s="827"/>
      <c r="T147" s="827"/>
      <c r="U147" s="827"/>
      <c r="V147" s="827"/>
      <c r="W147" s="827"/>
      <c r="X147" s="827"/>
      <c r="Y147" s="827"/>
      <c r="Z147" s="827"/>
      <c r="AA147" s="827"/>
      <c r="AB147" s="827"/>
      <c r="AC147" s="870"/>
      <c r="AD147" s="870"/>
      <c r="AE147" s="870"/>
      <c r="AF147" s="870"/>
      <c r="AG147" s="870"/>
      <c r="AH147" s="870"/>
      <c r="AI147" s="870"/>
      <c r="AJ147" s="870"/>
      <c r="AK147" s="870"/>
      <c r="AL147" s="870"/>
      <c r="AM147" s="870"/>
      <c r="AN147" s="870"/>
      <c r="AO147" s="870"/>
      <c r="AP147" s="870"/>
      <c r="AQ147" s="870"/>
      <c r="AR147" s="870"/>
      <c r="AS147" s="870"/>
      <c r="AT147" s="870"/>
      <c r="AU147" s="870"/>
      <c r="AW147" s="572">
        <v>11198.62</v>
      </c>
      <c r="AX147" s="213"/>
      <c r="AY147" s="213">
        <f t="shared" ref="AY147:AY156" si="29">AW147+AX147</f>
        <v>11198.62</v>
      </c>
    </row>
    <row r="148" spans="1:51" s="306" customFormat="1" ht="15" customHeight="1" x14ac:dyDescent="0.25">
      <c r="A148" s="214"/>
      <c r="B148" s="240" t="s">
        <v>127</v>
      </c>
      <c r="C148" s="396">
        <v>4</v>
      </c>
      <c r="D148" s="396">
        <v>9026</v>
      </c>
      <c r="E148" s="397" t="s">
        <v>1382</v>
      </c>
      <c r="F148" s="396">
        <v>0</v>
      </c>
      <c r="G148" s="212">
        <v>5471.99</v>
      </c>
      <c r="H148" s="212">
        <v>4823.55</v>
      </c>
      <c r="I148" s="212"/>
      <c r="J148" s="399">
        <f t="shared" si="27"/>
        <v>4823.55</v>
      </c>
      <c r="K148" s="211"/>
      <c r="L148" s="399">
        <v>4823.55</v>
      </c>
      <c r="M148" s="399"/>
      <c r="N148" s="399">
        <v>4796.1000000000004</v>
      </c>
      <c r="O148" s="213"/>
      <c r="P148" s="213">
        <f t="shared" si="28"/>
        <v>4796.1000000000004</v>
      </c>
      <c r="Q148" s="827"/>
      <c r="R148" s="827"/>
      <c r="S148" s="827"/>
      <c r="T148" s="827"/>
      <c r="U148" s="827"/>
      <c r="V148" s="827"/>
      <c r="W148" s="827"/>
      <c r="X148" s="827"/>
      <c r="Y148" s="827"/>
      <c r="Z148" s="827"/>
      <c r="AA148" s="827"/>
      <c r="AB148" s="827"/>
      <c r="AC148" s="870"/>
      <c r="AD148" s="870"/>
      <c r="AE148" s="870"/>
      <c r="AF148" s="870"/>
      <c r="AG148" s="870"/>
      <c r="AH148" s="870"/>
      <c r="AI148" s="870"/>
      <c r="AJ148" s="870"/>
      <c r="AK148" s="870"/>
      <c r="AL148" s="870"/>
      <c r="AM148" s="870"/>
      <c r="AN148" s="870"/>
      <c r="AO148" s="870"/>
      <c r="AP148" s="870"/>
      <c r="AQ148" s="870"/>
      <c r="AR148" s="870"/>
      <c r="AS148" s="870"/>
      <c r="AT148" s="870"/>
      <c r="AU148" s="870"/>
      <c r="AW148" s="572">
        <v>4760.32</v>
      </c>
      <c r="AX148" s="213"/>
      <c r="AY148" s="213">
        <f t="shared" si="29"/>
        <v>4760.32</v>
      </c>
    </row>
    <row r="149" spans="1:51" s="306" customFormat="1" ht="15" customHeight="1" x14ac:dyDescent="0.25">
      <c r="A149" s="214"/>
      <c r="B149" s="240" t="s">
        <v>128</v>
      </c>
      <c r="C149" s="396">
        <v>4</v>
      </c>
      <c r="D149" s="396">
        <v>9026</v>
      </c>
      <c r="E149" s="397" t="s">
        <v>1447</v>
      </c>
      <c r="F149" s="396">
        <v>0</v>
      </c>
      <c r="G149" s="212">
        <v>120829.53</v>
      </c>
      <c r="H149" s="212">
        <v>470795.9</v>
      </c>
      <c r="I149" s="212"/>
      <c r="J149" s="399">
        <f t="shared" si="27"/>
        <v>470795.9</v>
      </c>
      <c r="K149" s="211"/>
      <c r="L149" s="399">
        <v>470795.9</v>
      </c>
      <c r="M149" s="399"/>
      <c r="N149" s="399">
        <v>462957.87</v>
      </c>
      <c r="O149" s="213"/>
      <c r="P149" s="213">
        <f t="shared" si="28"/>
        <v>462957.87</v>
      </c>
      <c r="Q149" s="827"/>
      <c r="R149" s="827"/>
      <c r="S149" s="827"/>
      <c r="T149" s="827"/>
      <c r="U149" s="827"/>
      <c r="V149" s="827"/>
      <c r="W149" s="827"/>
      <c r="X149" s="827"/>
      <c r="Y149" s="827"/>
      <c r="Z149" s="827"/>
      <c r="AA149" s="827"/>
      <c r="AB149" s="827"/>
      <c r="AC149" s="870"/>
      <c r="AD149" s="870"/>
      <c r="AE149" s="870"/>
      <c r="AF149" s="870"/>
      <c r="AG149" s="870"/>
      <c r="AH149" s="870"/>
      <c r="AI149" s="870"/>
      <c r="AJ149" s="870"/>
      <c r="AK149" s="870"/>
      <c r="AL149" s="870"/>
      <c r="AM149" s="870"/>
      <c r="AN149" s="870"/>
      <c r="AO149" s="870"/>
      <c r="AP149" s="870"/>
      <c r="AQ149" s="870"/>
      <c r="AR149" s="870"/>
      <c r="AS149" s="870"/>
      <c r="AT149" s="870"/>
      <c r="AU149" s="870"/>
      <c r="AW149" s="572">
        <v>121056.67</v>
      </c>
      <c r="AX149" s="213"/>
      <c r="AY149" s="213">
        <f t="shared" si="29"/>
        <v>121056.67</v>
      </c>
    </row>
    <row r="150" spans="1:51" s="306" customFormat="1" ht="15" customHeight="1" x14ac:dyDescent="0.25">
      <c r="A150" s="214"/>
      <c r="B150" s="240" t="s">
        <v>128</v>
      </c>
      <c r="C150" s="396">
        <v>4</v>
      </c>
      <c r="D150" s="396">
        <v>9026</v>
      </c>
      <c r="E150" s="397" t="s">
        <v>1432</v>
      </c>
      <c r="F150" s="396">
        <v>0</v>
      </c>
      <c r="G150" s="212">
        <v>409606.24</v>
      </c>
      <c r="H150" s="212">
        <v>9180.68</v>
      </c>
      <c r="I150" s="212"/>
      <c r="J150" s="399">
        <f t="shared" si="27"/>
        <v>9180.68</v>
      </c>
      <c r="K150" s="211"/>
      <c r="L150" s="399">
        <v>9180.68</v>
      </c>
      <c r="M150" s="399"/>
      <c r="N150" s="399">
        <v>9038.44</v>
      </c>
      <c r="O150" s="213"/>
      <c r="P150" s="213">
        <f t="shared" si="28"/>
        <v>9038.44</v>
      </c>
      <c r="Q150" s="827"/>
      <c r="R150" s="827"/>
      <c r="S150" s="827"/>
      <c r="T150" s="827"/>
      <c r="U150" s="827"/>
      <c r="V150" s="827"/>
      <c r="W150" s="827"/>
      <c r="X150" s="827"/>
      <c r="Y150" s="827"/>
      <c r="Z150" s="827"/>
      <c r="AA150" s="827"/>
      <c r="AB150" s="827"/>
      <c r="AC150" s="870"/>
      <c r="AD150" s="870"/>
      <c r="AE150" s="870"/>
      <c r="AF150" s="870"/>
      <c r="AG150" s="870"/>
      <c r="AH150" s="870"/>
      <c r="AI150" s="870"/>
      <c r="AJ150" s="870"/>
      <c r="AK150" s="870"/>
      <c r="AL150" s="870"/>
      <c r="AM150" s="870"/>
      <c r="AN150" s="870"/>
      <c r="AO150" s="870"/>
      <c r="AP150" s="870"/>
      <c r="AQ150" s="870"/>
      <c r="AR150" s="870"/>
      <c r="AS150" s="870"/>
      <c r="AT150" s="870"/>
      <c r="AU150" s="870"/>
      <c r="AW150" s="572">
        <v>8869.19</v>
      </c>
      <c r="AX150" s="213"/>
      <c r="AY150" s="213">
        <f t="shared" si="29"/>
        <v>8869.19</v>
      </c>
    </row>
    <row r="151" spans="1:51" s="306" customFormat="1" ht="15" customHeight="1" x14ac:dyDescent="0.25">
      <c r="A151" s="214"/>
      <c r="B151" s="240" t="s">
        <v>128</v>
      </c>
      <c r="C151" s="396">
        <v>4</v>
      </c>
      <c r="D151" s="396">
        <v>9026</v>
      </c>
      <c r="E151" s="397" t="s">
        <v>1433</v>
      </c>
      <c r="F151" s="396">
        <v>0</v>
      </c>
      <c r="G151" s="212">
        <v>1960.96</v>
      </c>
      <c r="H151" s="212">
        <v>1802.48</v>
      </c>
      <c r="I151" s="212"/>
      <c r="J151" s="399">
        <f t="shared" si="27"/>
        <v>1802.48</v>
      </c>
      <c r="K151" s="211"/>
      <c r="L151" s="399">
        <v>1802.48</v>
      </c>
      <c r="M151" s="399"/>
      <c r="N151" s="399">
        <v>1802.48</v>
      </c>
      <c r="O151" s="213"/>
      <c r="P151" s="213">
        <f t="shared" si="28"/>
        <v>1802.48</v>
      </c>
      <c r="Q151" s="827"/>
      <c r="R151" s="827"/>
      <c r="S151" s="827"/>
      <c r="T151" s="827"/>
      <c r="U151" s="827"/>
      <c r="V151" s="827"/>
      <c r="W151" s="827"/>
      <c r="X151" s="827"/>
      <c r="Y151" s="827"/>
      <c r="Z151" s="827"/>
      <c r="AA151" s="827"/>
      <c r="AB151" s="827"/>
      <c r="AC151" s="870"/>
      <c r="AD151" s="870"/>
      <c r="AE151" s="870"/>
      <c r="AF151" s="870"/>
      <c r="AG151" s="870"/>
      <c r="AH151" s="870"/>
      <c r="AI151" s="870"/>
      <c r="AJ151" s="870"/>
      <c r="AK151" s="870"/>
      <c r="AL151" s="870"/>
      <c r="AM151" s="870"/>
      <c r="AN151" s="870"/>
      <c r="AO151" s="870"/>
      <c r="AP151" s="870"/>
      <c r="AQ151" s="870"/>
      <c r="AR151" s="870"/>
      <c r="AS151" s="870"/>
      <c r="AT151" s="870"/>
      <c r="AU151" s="870"/>
      <c r="AW151" s="572">
        <v>1801.49</v>
      </c>
      <c r="AX151" s="213"/>
      <c r="AY151" s="213">
        <f t="shared" si="29"/>
        <v>1801.49</v>
      </c>
    </row>
    <row r="152" spans="1:51" s="306" customFormat="1" ht="15" customHeight="1" x14ac:dyDescent="0.25">
      <c r="A152" s="214"/>
      <c r="B152" s="240" t="s">
        <v>128</v>
      </c>
      <c r="C152" s="396">
        <v>4</v>
      </c>
      <c r="D152" s="396">
        <v>9026</v>
      </c>
      <c r="E152" s="397" t="s">
        <v>1435</v>
      </c>
      <c r="F152" s="396">
        <v>0</v>
      </c>
      <c r="G152" s="212">
        <v>679665.38</v>
      </c>
      <c r="H152" s="212">
        <v>624271.59</v>
      </c>
      <c r="I152" s="212"/>
      <c r="J152" s="399">
        <f t="shared" si="27"/>
        <v>624271.59</v>
      </c>
      <c r="K152" s="211"/>
      <c r="L152" s="399">
        <v>624271.59</v>
      </c>
      <c r="M152" s="399"/>
      <c r="N152" s="399">
        <v>0</v>
      </c>
      <c r="O152" s="213"/>
      <c r="P152" s="213">
        <f t="shared" si="28"/>
        <v>0</v>
      </c>
      <c r="Q152" s="827"/>
      <c r="R152" s="827"/>
      <c r="S152" s="827"/>
      <c r="T152" s="827"/>
      <c r="U152" s="827"/>
      <c r="V152" s="827"/>
      <c r="W152" s="827"/>
      <c r="X152" s="827"/>
      <c r="Y152" s="827"/>
      <c r="Z152" s="827"/>
      <c r="AA152" s="827"/>
      <c r="AB152" s="827"/>
      <c r="AC152" s="870"/>
      <c r="AD152" s="870"/>
      <c r="AE152" s="870"/>
      <c r="AF152" s="870"/>
      <c r="AG152" s="870"/>
      <c r="AH152" s="870"/>
      <c r="AI152" s="870"/>
      <c r="AJ152" s="870"/>
      <c r="AK152" s="870"/>
      <c r="AL152" s="870"/>
      <c r="AM152" s="870"/>
      <c r="AN152" s="870"/>
      <c r="AO152" s="870"/>
      <c r="AP152" s="870"/>
      <c r="AQ152" s="870"/>
      <c r="AR152" s="870"/>
      <c r="AS152" s="870"/>
      <c r="AT152" s="870"/>
      <c r="AU152" s="870"/>
      <c r="AW152" s="572">
        <v>0</v>
      </c>
      <c r="AX152" s="213"/>
      <c r="AY152" s="213">
        <f t="shared" si="29"/>
        <v>0</v>
      </c>
    </row>
    <row r="153" spans="1:51" s="306" customFormat="1" ht="15" customHeight="1" x14ac:dyDescent="0.25">
      <c r="A153" s="214"/>
      <c r="B153" s="240" t="s">
        <v>128</v>
      </c>
      <c r="C153" s="396">
        <v>4</v>
      </c>
      <c r="D153" s="396">
        <v>9026</v>
      </c>
      <c r="E153" s="397" t="s">
        <v>1385</v>
      </c>
      <c r="F153" s="396">
        <v>0</v>
      </c>
      <c r="G153" s="212">
        <v>86349.59</v>
      </c>
      <c r="H153" s="212">
        <v>77022.05</v>
      </c>
      <c r="I153" s="212"/>
      <c r="J153" s="399">
        <f t="shared" si="27"/>
        <v>77022.05</v>
      </c>
      <c r="K153" s="211"/>
      <c r="L153" s="399">
        <v>77022.05</v>
      </c>
      <c r="M153" s="399"/>
      <c r="N153" s="399">
        <v>77022.05</v>
      </c>
      <c r="O153" s="213"/>
      <c r="P153" s="213">
        <f t="shared" si="28"/>
        <v>77022.05</v>
      </c>
      <c r="Q153" s="827"/>
      <c r="R153" s="827"/>
      <c r="S153" s="827"/>
      <c r="T153" s="827"/>
      <c r="U153" s="827"/>
      <c r="V153" s="827"/>
      <c r="W153" s="827"/>
      <c r="X153" s="827"/>
      <c r="Y153" s="827"/>
      <c r="Z153" s="827"/>
      <c r="AA153" s="827"/>
      <c r="AB153" s="827"/>
      <c r="AC153" s="870"/>
      <c r="AD153" s="870"/>
      <c r="AE153" s="870"/>
      <c r="AF153" s="870"/>
      <c r="AG153" s="870"/>
      <c r="AH153" s="870"/>
      <c r="AI153" s="870"/>
      <c r="AJ153" s="870"/>
      <c r="AK153" s="870"/>
      <c r="AL153" s="870"/>
      <c r="AM153" s="870"/>
      <c r="AN153" s="870"/>
      <c r="AO153" s="870"/>
      <c r="AP153" s="870"/>
      <c r="AQ153" s="870"/>
      <c r="AR153" s="870"/>
      <c r="AS153" s="870"/>
      <c r="AT153" s="870"/>
      <c r="AU153" s="870"/>
      <c r="AW153" s="572">
        <v>76979.95</v>
      </c>
      <c r="AX153" s="213"/>
      <c r="AY153" s="213">
        <f t="shared" si="29"/>
        <v>76979.95</v>
      </c>
    </row>
    <row r="154" spans="1:51" s="306" customFormat="1" ht="15" customHeight="1" x14ac:dyDescent="0.25">
      <c r="A154" s="214"/>
      <c r="B154" s="240" t="s">
        <v>128</v>
      </c>
      <c r="C154" s="396">
        <v>4</v>
      </c>
      <c r="D154" s="396">
        <v>9026</v>
      </c>
      <c r="E154" s="397" t="s">
        <v>1386</v>
      </c>
      <c r="F154" s="396">
        <v>0</v>
      </c>
      <c r="G154" s="212">
        <v>108064.6</v>
      </c>
      <c r="H154" s="212">
        <v>97869.21</v>
      </c>
      <c r="I154" s="212"/>
      <c r="J154" s="399">
        <f t="shared" si="27"/>
        <v>97869.21</v>
      </c>
      <c r="K154" s="211"/>
      <c r="L154" s="399">
        <v>97869.21</v>
      </c>
      <c r="M154" s="399"/>
      <c r="N154" s="399">
        <v>97316.11</v>
      </c>
      <c r="O154" s="213"/>
      <c r="P154" s="213">
        <f t="shared" si="28"/>
        <v>97316.11</v>
      </c>
      <c r="Q154" s="827"/>
      <c r="R154" s="827"/>
      <c r="S154" s="827"/>
      <c r="T154" s="827"/>
      <c r="U154" s="827"/>
      <c r="V154" s="827"/>
      <c r="W154" s="827"/>
      <c r="X154" s="827"/>
      <c r="Y154" s="827"/>
      <c r="Z154" s="827"/>
      <c r="AA154" s="827"/>
      <c r="AB154" s="827"/>
      <c r="AC154" s="870"/>
      <c r="AD154" s="870"/>
      <c r="AE154" s="870"/>
      <c r="AF154" s="870"/>
      <c r="AG154" s="870"/>
      <c r="AH154" s="870"/>
      <c r="AI154" s="870"/>
      <c r="AJ154" s="870"/>
      <c r="AK154" s="870"/>
      <c r="AL154" s="870"/>
      <c r="AM154" s="870"/>
      <c r="AN154" s="870"/>
      <c r="AO154" s="870"/>
      <c r="AP154" s="870"/>
      <c r="AQ154" s="870"/>
      <c r="AR154" s="870"/>
      <c r="AS154" s="870"/>
      <c r="AT154" s="870"/>
      <c r="AU154" s="870"/>
      <c r="AW154" s="572">
        <v>96595.45</v>
      </c>
      <c r="AX154" s="213"/>
      <c r="AY154" s="213">
        <f t="shared" si="29"/>
        <v>96595.45</v>
      </c>
    </row>
    <row r="155" spans="1:51" s="306" customFormat="1" ht="15" customHeight="1" x14ac:dyDescent="0.25">
      <c r="A155" s="214"/>
      <c r="B155" s="240" t="s">
        <v>128</v>
      </c>
      <c r="C155" s="396">
        <v>4</v>
      </c>
      <c r="D155" s="396">
        <v>9026</v>
      </c>
      <c r="E155" s="397" t="s">
        <v>1436</v>
      </c>
      <c r="F155" s="396">
        <v>0</v>
      </c>
      <c r="G155" s="212">
        <v>4319.6899999999996</v>
      </c>
      <c r="H155" s="212">
        <v>2885.09</v>
      </c>
      <c r="I155" s="212"/>
      <c r="J155" s="399">
        <f t="shared" si="27"/>
        <v>2885.09</v>
      </c>
      <c r="K155" s="211"/>
      <c r="L155" s="399">
        <v>2885.09</v>
      </c>
      <c r="M155" s="399"/>
      <c r="N155" s="399">
        <v>2885.09</v>
      </c>
      <c r="O155" s="213"/>
      <c r="P155" s="213">
        <f t="shared" si="28"/>
        <v>2885.09</v>
      </c>
      <c r="Q155" s="827"/>
      <c r="R155" s="827"/>
      <c r="S155" s="827"/>
      <c r="T155" s="827"/>
      <c r="U155" s="827"/>
      <c r="V155" s="827"/>
      <c r="W155" s="827"/>
      <c r="X155" s="827"/>
      <c r="Y155" s="827"/>
      <c r="Z155" s="827"/>
      <c r="AA155" s="827"/>
      <c r="AB155" s="827"/>
      <c r="AC155" s="870"/>
      <c r="AD155" s="870"/>
      <c r="AE155" s="870"/>
      <c r="AF155" s="870"/>
      <c r="AG155" s="870"/>
      <c r="AH155" s="870"/>
      <c r="AI155" s="870"/>
      <c r="AJ155" s="870"/>
      <c r="AK155" s="870"/>
      <c r="AL155" s="870"/>
      <c r="AM155" s="870"/>
      <c r="AN155" s="870"/>
      <c r="AO155" s="870"/>
      <c r="AP155" s="870"/>
      <c r="AQ155" s="870"/>
      <c r="AR155" s="870"/>
      <c r="AS155" s="870"/>
      <c r="AT155" s="870"/>
      <c r="AU155" s="870"/>
      <c r="AW155" s="572">
        <v>2883.51</v>
      </c>
      <c r="AX155" s="213"/>
      <c r="AY155" s="213">
        <f t="shared" si="29"/>
        <v>2883.51</v>
      </c>
    </row>
    <row r="156" spans="1:51" s="306" customFormat="1" ht="15" customHeight="1" x14ac:dyDescent="0.25">
      <c r="A156" s="214"/>
      <c r="B156" s="240" t="s">
        <v>128</v>
      </c>
      <c r="C156" s="396">
        <v>4</v>
      </c>
      <c r="D156" s="396">
        <v>9026</v>
      </c>
      <c r="E156" s="397" t="s">
        <v>1437</v>
      </c>
      <c r="F156" s="396">
        <v>0</v>
      </c>
      <c r="G156" s="212">
        <v>968604.56</v>
      </c>
      <c r="H156" s="212">
        <v>943266.42</v>
      </c>
      <c r="I156" s="212"/>
      <c r="J156" s="399">
        <f t="shared" si="27"/>
        <v>943266.42</v>
      </c>
      <c r="K156" s="211"/>
      <c r="L156" s="399">
        <v>943266.42</v>
      </c>
      <c r="M156" s="399"/>
      <c r="N156" s="399">
        <v>937936.84</v>
      </c>
      <c r="O156" s="213"/>
      <c r="P156" s="213">
        <f t="shared" si="28"/>
        <v>937936.84</v>
      </c>
      <c r="Q156" s="827"/>
      <c r="R156" s="827"/>
      <c r="S156" s="827"/>
      <c r="T156" s="827"/>
      <c r="U156" s="827"/>
      <c r="V156" s="827"/>
      <c r="W156" s="827"/>
      <c r="X156" s="827"/>
      <c r="Y156" s="827"/>
      <c r="Z156" s="827"/>
      <c r="AA156" s="827"/>
      <c r="AB156" s="827"/>
      <c r="AC156" s="870"/>
      <c r="AD156" s="870"/>
      <c r="AE156" s="870"/>
      <c r="AF156" s="870"/>
      <c r="AG156" s="870"/>
      <c r="AH156" s="870"/>
      <c r="AI156" s="870"/>
      <c r="AJ156" s="870"/>
      <c r="AK156" s="870"/>
      <c r="AL156" s="870"/>
      <c r="AM156" s="870"/>
      <c r="AN156" s="870"/>
      <c r="AO156" s="870"/>
      <c r="AP156" s="870"/>
      <c r="AQ156" s="870"/>
      <c r="AR156" s="870"/>
      <c r="AS156" s="870"/>
      <c r="AT156" s="870"/>
      <c r="AU156" s="870"/>
      <c r="AW156" s="572">
        <v>930992.77</v>
      </c>
      <c r="AX156" s="213"/>
      <c r="AY156" s="213">
        <f t="shared" si="29"/>
        <v>930992.77</v>
      </c>
    </row>
    <row r="157" spans="1:51" s="306" customFormat="1" ht="15" customHeight="1" x14ac:dyDescent="0.25">
      <c r="A157" s="214"/>
      <c r="B157" s="240"/>
      <c r="C157" s="396"/>
      <c r="D157" s="396"/>
      <c r="E157" s="396"/>
      <c r="F157" s="396"/>
      <c r="G157" s="374">
        <f>SUM(G147:G156)</f>
        <v>2397719.3100000005</v>
      </c>
      <c r="H157" s="374">
        <f>SUM(H147:H156)</f>
        <v>2243263.7000000002</v>
      </c>
      <c r="I157" s="374">
        <f>SUM(I147:I156)</f>
        <v>0</v>
      </c>
      <c r="J157" s="373">
        <f>SUM(J147:J156)</f>
        <v>2243263.7000000002</v>
      </c>
      <c r="K157" s="211"/>
      <c r="L157" s="373">
        <f>SUM(L147:L156)</f>
        <v>2243263.7000000002</v>
      </c>
      <c r="M157" s="373"/>
      <c r="N157" s="373">
        <f>SUM(N147:N156)</f>
        <v>1605037.38</v>
      </c>
      <c r="O157" s="373">
        <f>SUM(O147:O156)</f>
        <v>0</v>
      </c>
      <c r="P157" s="373">
        <f>SUM(P147:P156)</f>
        <v>1605037.38</v>
      </c>
      <c r="Q157" s="879"/>
      <c r="R157" s="879"/>
      <c r="S157" s="879"/>
      <c r="T157" s="879"/>
      <c r="U157" s="879"/>
      <c r="V157" s="879"/>
      <c r="W157" s="879"/>
      <c r="X157" s="879"/>
      <c r="Y157" s="879"/>
      <c r="Z157" s="879"/>
      <c r="AA157" s="879"/>
      <c r="AB157" s="879"/>
      <c r="AC157" s="873"/>
      <c r="AD157" s="873"/>
      <c r="AE157" s="873"/>
      <c r="AF157" s="873"/>
      <c r="AG157" s="873"/>
      <c r="AH157" s="873"/>
      <c r="AI157" s="873"/>
      <c r="AJ157" s="873"/>
      <c r="AK157" s="873"/>
      <c r="AL157" s="873"/>
      <c r="AM157" s="873"/>
      <c r="AN157" s="873"/>
      <c r="AO157" s="873"/>
      <c r="AP157" s="873"/>
      <c r="AQ157" s="873"/>
      <c r="AR157" s="873"/>
      <c r="AS157" s="873"/>
      <c r="AT157" s="873"/>
      <c r="AU157" s="873"/>
      <c r="AW157" s="373">
        <f>SUM(AW147:AW156)</f>
        <v>1255137.97</v>
      </c>
      <c r="AX157" s="373">
        <f>SUM(AX147:AX156)</f>
        <v>0</v>
      </c>
      <c r="AY157" s="373">
        <f>SUM(AY147:AY156)</f>
        <v>1255137.97</v>
      </c>
    </row>
    <row r="158" spans="1:51" s="402" customFormat="1" ht="15" customHeight="1" x14ac:dyDescent="0.25">
      <c r="A158" s="401"/>
      <c r="B158" s="215" t="s">
        <v>886</v>
      </c>
      <c r="C158" s="403">
        <v>4</v>
      </c>
      <c r="D158" s="403">
        <v>9026</v>
      </c>
      <c r="E158" s="404" t="s">
        <v>1438</v>
      </c>
      <c r="F158" s="403">
        <v>0</v>
      </c>
      <c r="G158" s="398">
        <v>932015.54</v>
      </c>
      <c r="H158" s="398">
        <v>662637.64</v>
      </c>
      <c r="I158" s="398"/>
      <c r="J158" s="354">
        <f>H158+I158</f>
        <v>662637.64</v>
      </c>
      <c r="K158" s="236"/>
      <c r="L158" s="354">
        <v>662637.64</v>
      </c>
      <c r="M158" s="354"/>
      <c r="N158" s="354">
        <v>718297.09</v>
      </c>
      <c r="O158" s="354"/>
      <c r="P158" s="354">
        <f>N158+O158</f>
        <v>718297.09</v>
      </c>
      <c r="Q158" s="496"/>
      <c r="R158" s="496"/>
      <c r="S158" s="496"/>
      <c r="T158" s="496"/>
      <c r="U158" s="496"/>
      <c r="V158" s="496"/>
      <c r="W158" s="496"/>
      <c r="X158" s="496"/>
      <c r="Y158" s="496"/>
      <c r="Z158" s="496"/>
      <c r="AA158" s="496"/>
      <c r="AB158" s="496"/>
      <c r="AC158" s="871"/>
      <c r="AD158" s="871"/>
      <c r="AE158" s="871"/>
      <c r="AF158" s="871"/>
      <c r="AG158" s="871"/>
      <c r="AH158" s="871"/>
      <c r="AI158" s="871"/>
      <c r="AJ158" s="871"/>
      <c r="AK158" s="871"/>
      <c r="AL158" s="871"/>
      <c r="AM158" s="871"/>
      <c r="AN158" s="871"/>
      <c r="AO158" s="871"/>
      <c r="AP158" s="871"/>
      <c r="AQ158" s="871"/>
      <c r="AR158" s="871"/>
      <c r="AS158" s="871"/>
      <c r="AT158" s="871"/>
      <c r="AU158" s="871"/>
      <c r="AW158" s="573">
        <v>413448.1</v>
      </c>
      <c r="AX158" s="354"/>
      <c r="AY158" s="354">
        <f>AW158+AX158</f>
        <v>413448.1</v>
      </c>
    </row>
    <row r="159" spans="1:51" s="306" customFormat="1" ht="15" customHeight="1" x14ac:dyDescent="0.25">
      <c r="A159" s="214"/>
      <c r="B159" s="215" t="s">
        <v>887</v>
      </c>
      <c r="C159" s="396"/>
      <c r="D159" s="396"/>
      <c r="E159" s="396"/>
      <c r="F159" s="396"/>
      <c r="G159" s="212"/>
      <c r="H159" s="212"/>
      <c r="I159" s="212"/>
      <c r="J159" s="213"/>
      <c r="K159" s="211"/>
      <c r="L159" s="213"/>
      <c r="M159" s="213"/>
      <c r="N159" s="213"/>
      <c r="O159" s="213"/>
      <c r="P159" s="213"/>
      <c r="Q159" s="827"/>
      <c r="R159" s="827"/>
      <c r="S159" s="827"/>
      <c r="T159" s="827"/>
      <c r="U159" s="827"/>
      <c r="V159" s="827"/>
      <c r="W159" s="827"/>
      <c r="X159" s="827"/>
      <c r="Y159" s="827"/>
      <c r="Z159" s="827"/>
      <c r="AA159" s="827"/>
      <c r="AB159" s="827"/>
      <c r="AC159" s="870"/>
      <c r="AD159" s="870"/>
      <c r="AE159" s="870"/>
      <c r="AF159" s="870"/>
      <c r="AG159" s="870"/>
      <c r="AH159" s="870"/>
      <c r="AI159" s="870"/>
      <c r="AJ159" s="870"/>
      <c r="AK159" s="870"/>
      <c r="AL159" s="870"/>
      <c r="AM159" s="870"/>
      <c r="AN159" s="870"/>
      <c r="AO159" s="870"/>
      <c r="AP159" s="870"/>
      <c r="AQ159" s="870"/>
      <c r="AR159" s="870"/>
      <c r="AS159" s="870"/>
      <c r="AT159" s="870"/>
      <c r="AU159" s="870"/>
      <c r="AW159" s="213"/>
      <c r="AX159" s="213"/>
      <c r="AY159" s="213"/>
    </row>
    <row r="160" spans="1:51" s="306" customFormat="1" ht="15" customHeight="1" x14ac:dyDescent="0.25">
      <c r="A160" s="214"/>
      <c r="B160" s="240" t="s">
        <v>128</v>
      </c>
      <c r="C160" s="396">
        <v>4</v>
      </c>
      <c r="D160" s="396">
        <v>9026</v>
      </c>
      <c r="E160" s="397" t="s">
        <v>1387</v>
      </c>
      <c r="F160" s="396">
        <v>0</v>
      </c>
      <c r="G160" s="212">
        <v>13242977.73</v>
      </c>
      <c r="H160" s="212">
        <v>3687543.44</v>
      </c>
      <c r="I160" s="212"/>
      <c r="J160" s="399">
        <f>H160+I160</f>
        <v>3687543.44</v>
      </c>
      <c r="K160" s="211"/>
      <c r="L160" s="399">
        <v>3687543.44</v>
      </c>
      <c r="M160" s="399"/>
      <c r="N160" s="399">
        <v>3687543.44</v>
      </c>
      <c r="O160" s="213"/>
      <c r="P160" s="213">
        <f>N160+O160</f>
        <v>3687543.44</v>
      </c>
      <c r="Q160" s="827"/>
      <c r="R160" s="827"/>
      <c r="S160" s="827"/>
      <c r="T160" s="827"/>
      <c r="U160" s="827"/>
      <c r="V160" s="827"/>
      <c r="W160" s="827"/>
      <c r="X160" s="827"/>
      <c r="Y160" s="827"/>
      <c r="Z160" s="827"/>
      <c r="AA160" s="827"/>
      <c r="AB160" s="827"/>
      <c r="AC160" s="870"/>
      <c r="AD160" s="870"/>
      <c r="AE160" s="870"/>
      <c r="AF160" s="870"/>
      <c r="AG160" s="870"/>
      <c r="AH160" s="870"/>
      <c r="AI160" s="870"/>
      <c r="AJ160" s="870"/>
      <c r="AK160" s="870"/>
      <c r="AL160" s="870"/>
      <c r="AM160" s="870"/>
      <c r="AN160" s="870"/>
      <c r="AO160" s="870"/>
      <c r="AP160" s="870"/>
      <c r="AQ160" s="870"/>
      <c r="AR160" s="870"/>
      <c r="AS160" s="870"/>
      <c r="AT160" s="870"/>
      <c r="AU160" s="870"/>
      <c r="AW160" s="572">
        <v>3221429.5</v>
      </c>
      <c r="AX160" s="213"/>
      <c r="AY160" s="213">
        <f>AW160+AX160</f>
        <v>3221429.5</v>
      </c>
    </row>
    <row r="161" spans="1:51" s="306" customFormat="1" ht="15" customHeight="1" x14ac:dyDescent="0.25">
      <c r="A161" s="214"/>
      <c r="B161" s="240" t="s">
        <v>128</v>
      </c>
      <c r="C161" s="396">
        <v>4</v>
      </c>
      <c r="D161" s="396">
        <v>9026</v>
      </c>
      <c r="E161" s="397" t="s">
        <v>1446</v>
      </c>
      <c r="F161" s="396">
        <v>0</v>
      </c>
      <c r="G161" s="212">
        <v>560514</v>
      </c>
      <c r="H161" s="212">
        <v>560514</v>
      </c>
      <c r="I161" s="212"/>
      <c r="J161" s="399">
        <f>H161+I161</f>
        <v>560514</v>
      </c>
      <c r="K161" s="211"/>
      <c r="L161" s="399">
        <v>560514</v>
      </c>
      <c r="M161" s="399"/>
      <c r="N161" s="399">
        <v>560514</v>
      </c>
      <c r="O161" s="213"/>
      <c r="P161" s="213">
        <f>N161+O161</f>
        <v>560514</v>
      </c>
      <c r="Q161" s="827"/>
      <c r="R161" s="827"/>
      <c r="S161" s="827"/>
      <c r="T161" s="827"/>
      <c r="U161" s="827"/>
      <c r="V161" s="827"/>
      <c r="W161" s="827"/>
      <c r="X161" s="827"/>
      <c r="Y161" s="827"/>
      <c r="Z161" s="827"/>
      <c r="AA161" s="827"/>
      <c r="AB161" s="827"/>
      <c r="AC161" s="870"/>
      <c r="AD161" s="870"/>
      <c r="AE161" s="870"/>
      <c r="AF161" s="870"/>
      <c r="AG161" s="870"/>
      <c r="AH161" s="870"/>
      <c r="AI161" s="870"/>
      <c r="AJ161" s="870"/>
      <c r="AK161" s="870"/>
      <c r="AL161" s="870"/>
      <c r="AM161" s="870"/>
      <c r="AN161" s="870"/>
      <c r="AO161" s="870"/>
      <c r="AP161" s="870"/>
      <c r="AQ161" s="870"/>
      <c r="AR161" s="870"/>
      <c r="AS161" s="870"/>
      <c r="AT161" s="870"/>
      <c r="AU161" s="870"/>
      <c r="AW161" s="572">
        <v>560514</v>
      </c>
      <c r="AX161" s="213"/>
      <c r="AY161" s="213">
        <f>AW161+AX161</f>
        <v>560514</v>
      </c>
    </row>
    <row r="162" spans="1:51" s="306" customFormat="1" ht="15" customHeight="1" x14ac:dyDescent="0.25">
      <c r="A162" s="214"/>
      <c r="B162" s="240" t="s">
        <v>128</v>
      </c>
      <c r="C162" s="396">
        <v>4</v>
      </c>
      <c r="D162" s="396">
        <v>9026</v>
      </c>
      <c r="E162" s="397" t="s">
        <v>1448</v>
      </c>
      <c r="F162" s="396">
        <v>0</v>
      </c>
      <c r="G162" s="212">
        <v>1198012.3899999999</v>
      </c>
      <c r="H162" s="212">
        <v>931677.8</v>
      </c>
      <c r="I162" s="212"/>
      <c r="J162" s="399">
        <f>H162+I162</f>
        <v>931677.8</v>
      </c>
      <c r="K162" s="211"/>
      <c r="L162" s="399">
        <v>931677.8</v>
      </c>
      <c r="M162" s="399"/>
      <c r="N162" s="399">
        <v>931677.8</v>
      </c>
      <c r="O162" s="213"/>
      <c r="P162" s="213">
        <f>N162+O162</f>
        <v>931677.8</v>
      </c>
      <c r="Q162" s="827"/>
      <c r="R162" s="827"/>
      <c r="S162" s="827"/>
      <c r="T162" s="827"/>
      <c r="U162" s="827"/>
      <c r="V162" s="827"/>
      <c r="W162" s="827"/>
      <c r="X162" s="827"/>
      <c r="Y162" s="827"/>
      <c r="Z162" s="827"/>
      <c r="AA162" s="827"/>
      <c r="AB162" s="827"/>
      <c r="AC162" s="870"/>
      <c r="AD162" s="870"/>
      <c r="AE162" s="870"/>
      <c r="AF162" s="870"/>
      <c r="AG162" s="870"/>
      <c r="AH162" s="870"/>
      <c r="AI162" s="870"/>
      <c r="AJ162" s="870"/>
      <c r="AK162" s="870"/>
      <c r="AL162" s="870"/>
      <c r="AM162" s="870"/>
      <c r="AN162" s="870"/>
      <c r="AO162" s="870"/>
      <c r="AP162" s="870"/>
      <c r="AQ162" s="870"/>
      <c r="AR162" s="870"/>
      <c r="AS162" s="870"/>
      <c r="AT162" s="870"/>
      <c r="AU162" s="870"/>
      <c r="AW162" s="572">
        <v>931677.8</v>
      </c>
      <c r="AX162" s="213"/>
      <c r="AY162" s="213">
        <f>AW162+AX162</f>
        <v>931677.8</v>
      </c>
    </row>
    <row r="163" spans="1:51" s="306" customFormat="1" ht="15" customHeight="1" x14ac:dyDescent="0.25">
      <c r="A163" s="214"/>
      <c r="B163" s="240" t="s">
        <v>128</v>
      </c>
      <c r="C163" s="396">
        <v>4</v>
      </c>
      <c r="D163" s="396">
        <v>9026</v>
      </c>
      <c r="E163" s="397" t="s">
        <v>1449</v>
      </c>
      <c r="F163" s="396">
        <v>0</v>
      </c>
      <c r="G163" s="212">
        <v>6310846.1100000003</v>
      </c>
      <c r="H163" s="212">
        <v>2239744.66</v>
      </c>
      <c r="I163" s="212"/>
      <c r="J163" s="399">
        <f>H163+I163</f>
        <v>2239744.66</v>
      </c>
      <c r="K163" s="211"/>
      <c r="L163" s="399">
        <v>2239744.66</v>
      </c>
      <c r="M163" s="399"/>
      <c r="N163" s="399">
        <v>2238885.21</v>
      </c>
      <c r="O163" s="213"/>
      <c r="P163" s="213">
        <f>N163+O163</f>
        <v>2238885.21</v>
      </c>
      <c r="Q163" s="827"/>
      <c r="R163" s="827"/>
      <c r="S163" s="827"/>
      <c r="T163" s="827"/>
      <c r="U163" s="827"/>
      <c r="V163" s="827"/>
      <c r="W163" s="827"/>
      <c r="X163" s="827"/>
      <c r="Y163" s="827"/>
      <c r="Z163" s="827"/>
      <c r="AA163" s="827"/>
      <c r="AB163" s="827"/>
      <c r="AC163" s="870"/>
      <c r="AD163" s="870"/>
      <c r="AE163" s="870"/>
      <c r="AF163" s="870"/>
      <c r="AG163" s="870"/>
      <c r="AH163" s="870"/>
      <c r="AI163" s="870"/>
      <c r="AJ163" s="870"/>
      <c r="AK163" s="870"/>
      <c r="AL163" s="870"/>
      <c r="AM163" s="870"/>
      <c r="AN163" s="870"/>
      <c r="AO163" s="870"/>
      <c r="AP163" s="870"/>
      <c r="AQ163" s="870"/>
      <c r="AR163" s="870"/>
      <c r="AS163" s="870"/>
      <c r="AT163" s="870"/>
      <c r="AU163" s="870"/>
      <c r="AW163" s="572">
        <v>2021652.39</v>
      </c>
      <c r="AX163" s="213"/>
      <c r="AY163" s="213">
        <f>AW163+AX163</f>
        <v>2021652.39</v>
      </c>
    </row>
    <row r="164" spans="1:51" s="306" customFormat="1" ht="15" customHeight="1" x14ac:dyDescent="0.25">
      <c r="A164" s="214"/>
      <c r="B164" s="240" t="s">
        <v>128</v>
      </c>
      <c r="C164" s="396"/>
      <c r="D164" s="396"/>
      <c r="E164" s="396"/>
      <c r="F164" s="396"/>
      <c r="G164" s="374">
        <f t="shared" ref="G164:P164" si="30">SUM(G160:G163)</f>
        <v>21312350.23</v>
      </c>
      <c r="H164" s="374">
        <f t="shared" si="30"/>
        <v>7419479.8999999994</v>
      </c>
      <c r="I164" s="374">
        <f t="shared" si="30"/>
        <v>0</v>
      </c>
      <c r="J164" s="373">
        <f t="shared" si="30"/>
        <v>7419479.8999999994</v>
      </c>
      <c r="K164" s="211"/>
      <c r="L164" s="373">
        <f t="shared" si="30"/>
        <v>7419479.8999999994</v>
      </c>
      <c r="M164" s="373"/>
      <c r="N164" s="373">
        <f>SUM(N160:N163)</f>
        <v>7418620.4499999993</v>
      </c>
      <c r="O164" s="373">
        <f t="shared" si="30"/>
        <v>0</v>
      </c>
      <c r="P164" s="373">
        <f t="shared" si="30"/>
        <v>7418620.4499999993</v>
      </c>
      <c r="Q164" s="879"/>
      <c r="R164" s="879"/>
      <c r="S164" s="879"/>
      <c r="T164" s="879"/>
      <c r="U164" s="879"/>
      <c r="V164" s="879"/>
      <c r="W164" s="879"/>
      <c r="X164" s="879"/>
      <c r="Y164" s="879"/>
      <c r="Z164" s="879"/>
      <c r="AA164" s="879"/>
      <c r="AB164" s="879"/>
      <c r="AC164" s="873"/>
      <c r="AD164" s="873"/>
      <c r="AE164" s="873"/>
      <c r="AF164" s="873"/>
      <c r="AG164" s="873"/>
      <c r="AH164" s="873"/>
      <c r="AI164" s="873"/>
      <c r="AJ164" s="873"/>
      <c r="AK164" s="873"/>
      <c r="AL164" s="873"/>
      <c r="AM164" s="873"/>
      <c r="AN164" s="873"/>
      <c r="AO164" s="873"/>
      <c r="AP164" s="873"/>
      <c r="AQ164" s="873"/>
      <c r="AR164" s="873"/>
      <c r="AS164" s="873"/>
      <c r="AT164" s="873"/>
      <c r="AU164" s="873"/>
      <c r="AW164" s="373">
        <f>SUM(AW160:AW163)</f>
        <v>6735273.6899999995</v>
      </c>
      <c r="AX164" s="373">
        <f>SUM(AX160:AX163)</f>
        <v>0</v>
      </c>
      <c r="AY164" s="373">
        <f>SUM(AY160:AY163)</f>
        <v>6735273.6899999995</v>
      </c>
    </row>
    <row r="165" spans="1:51" s="306" customFormat="1" ht="15" customHeight="1" x14ac:dyDescent="0.25">
      <c r="A165" s="214"/>
      <c r="B165" s="240" t="s">
        <v>888</v>
      </c>
      <c r="C165" s="396"/>
      <c r="D165" s="396"/>
      <c r="E165" s="396"/>
      <c r="F165" s="396"/>
      <c r="G165" s="212"/>
      <c r="H165" s="212"/>
      <c r="I165" s="212"/>
      <c r="J165" s="213"/>
      <c r="K165" s="211"/>
      <c r="L165" s="213"/>
      <c r="M165" s="213"/>
      <c r="N165" s="213"/>
      <c r="O165" s="213"/>
      <c r="P165" s="213"/>
      <c r="Q165" s="827"/>
      <c r="R165" s="827"/>
      <c r="S165" s="827"/>
      <c r="T165" s="827"/>
      <c r="U165" s="827"/>
      <c r="V165" s="827"/>
      <c r="W165" s="827"/>
      <c r="X165" s="827"/>
      <c r="Y165" s="827"/>
      <c r="Z165" s="827"/>
      <c r="AA165" s="827"/>
      <c r="AB165" s="827"/>
      <c r="AC165" s="870"/>
      <c r="AD165" s="870"/>
      <c r="AE165" s="870"/>
      <c r="AF165" s="870"/>
      <c r="AG165" s="870"/>
      <c r="AH165" s="870"/>
      <c r="AI165" s="870"/>
      <c r="AJ165" s="870"/>
      <c r="AK165" s="870"/>
      <c r="AL165" s="870"/>
      <c r="AM165" s="870"/>
      <c r="AN165" s="870"/>
      <c r="AO165" s="870"/>
      <c r="AP165" s="870"/>
      <c r="AQ165" s="870"/>
      <c r="AR165" s="870"/>
      <c r="AS165" s="870"/>
      <c r="AT165" s="870"/>
      <c r="AU165" s="870"/>
      <c r="AW165" s="213"/>
      <c r="AX165" s="213"/>
      <c r="AY165" s="213"/>
    </row>
    <row r="166" spans="1:51" s="306" customFormat="1" ht="25.5" customHeight="1" x14ac:dyDescent="0.25">
      <c r="A166" s="214"/>
      <c r="B166" s="240" t="s">
        <v>129</v>
      </c>
      <c r="C166" s="396">
        <v>4</v>
      </c>
      <c r="D166" s="396">
        <v>9026</v>
      </c>
      <c r="E166" s="397" t="s">
        <v>1450</v>
      </c>
      <c r="F166" s="396">
        <v>0</v>
      </c>
      <c r="G166" s="212">
        <v>5126599</v>
      </c>
      <c r="H166" s="212">
        <v>5844323</v>
      </c>
      <c r="I166" s="212"/>
      <c r="J166" s="399">
        <f>H166+I166</f>
        <v>5844323</v>
      </c>
      <c r="K166" s="211"/>
      <c r="L166" s="399">
        <v>5844323</v>
      </c>
      <c r="M166" s="399"/>
      <c r="N166" s="399">
        <v>6662528</v>
      </c>
      <c r="O166" s="213"/>
      <c r="P166" s="213">
        <f>N166+O166</f>
        <v>6662528</v>
      </c>
      <c r="Q166" s="827"/>
      <c r="R166" s="827"/>
      <c r="S166" s="827"/>
      <c r="T166" s="827"/>
      <c r="U166" s="827"/>
      <c r="V166" s="827"/>
      <c r="W166" s="827"/>
      <c r="X166" s="827"/>
      <c r="Y166" s="827"/>
      <c r="Z166" s="827"/>
      <c r="AA166" s="827"/>
      <c r="AB166" s="827"/>
      <c r="AC166" s="870"/>
      <c r="AD166" s="870"/>
      <c r="AE166" s="870"/>
      <c r="AF166" s="870"/>
      <c r="AG166" s="870"/>
      <c r="AH166" s="870"/>
      <c r="AI166" s="870"/>
      <c r="AJ166" s="870"/>
      <c r="AK166" s="870"/>
      <c r="AL166" s="870"/>
      <c r="AM166" s="870"/>
      <c r="AN166" s="870"/>
      <c r="AO166" s="870"/>
      <c r="AP166" s="870"/>
      <c r="AQ166" s="870"/>
      <c r="AR166" s="870"/>
      <c r="AS166" s="870"/>
      <c r="AT166" s="870"/>
      <c r="AU166" s="870"/>
      <c r="AW166" s="572">
        <v>7595282</v>
      </c>
      <c r="AX166" s="213"/>
      <c r="AY166" s="213">
        <f>AW166+AX166</f>
        <v>7595282</v>
      </c>
    </row>
    <row r="167" spans="1:51" s="306" customFormat="1" ht="15" customHeight="1" x14ac:dyDescent="0.25">
      <c r="A167" s="214"/>
      <c r="B167" s="214"/>
      <c r="C167" s="396"/>
      <c r="D167" s="396"/>
      <c r="E167" s="396"/>
      <c r="F167" s="396"/>
      <c r="G167" s="374">
        <f t="shared" ref="G167:P167" si="31">G145+G157+G158+G164+G165+G166</f>
        <v>29768684.080000002</v>
      </c>
      <c r="H167" s="374">
        <f t="shared" si="31"/>
        <v>16169704.24</v>
      </c>
      <c r="I167" s="374">
        <f t="shared" si="31"/>
        <v>0</v>
      </c>
      <c r="J167" s="373">
        <f t="shared" si="31"/>
        <v>16169704.24</v>
      </c>
      <c r="K167" s="211"/>
      <c r="L167" s="373">
        <f t="shared" si="31"/>
        <v>16169704.24</v>
      </c>
      <c r="M167" s="373"/>
      <c r="N167" s="373">
        <f>N145+N157+N158+N164+N165+N166</f>
        <v>16404482.919999998</v>
      </c>
      <c r="O167" s="373">
        <f t="shared" si="31"/>
        <v>0</v>
      </c>
      <c r="P167" s="373">
        <f t="shared" si="31"/>
        <v>16404482.919999998</v>
      </c>
      <c r="Q167" s="879"/>
      <c r="R167" s="879"/>
      <c r="S167" s="879"/>
      <c r="T167" s="879"/>
      <c r="U167" s="879"/>
      <c r="V167" s="879"/>
      <c r="W167" s="879"/>
      <c r="X167" s="879"/>
      <c r="Y167" s="879"/>
      <c r="Z167" s="879"/>
      <c r="AA167" s="879"/>
      <c r="AB167" s="879"/>
      <c r="AC167" s="873"/>
      <c r="AD167" s="873"/>
      <c r="AE167" s="873"/>
      <c r="AF167" s="873"/>
      <c r="AG167" s="873"/>
      <c r="AH167" s="873"/>
      <c r="AI167" s="873"/>
      <c r="AJ167" s="873"/>
      <c r="AK167" s="873"/>
      <c r="AL167" s="873"/>
      <c r="AM167" s="873"/>
      <c r="AN167" s="873"/>
      <c r="AO167" s="873"/>
      <c r="AP167" s="873"/>
      <c r="AQ167" s="873"/>
      <c r="AR167" s="873"/>
      <c r="AS167" s="873"/>
      <c r="AT167" s="873"/>
      <c r="AU167" s="873"/>
      <c r="AW167" s="373">
        <f>AW145+AW157+AW158+AW164+AW165+AW166</f>
        <v>15999141.76</v>
      </c>
      <c r="AX167" s="373">
        <f>AX145+AX157+AX158+AX164+AX165+AX166</f>
        <v>0</v>
      </c>
      <c r="AY167" s="373">
        <f>AY145+AY157+AY158+AY164+AY165+AY166</f>
        <v>15999141.76</v>
      </c>
    </row>
    <row r="168" spans="1:51" s="306" customFormat="1" ht="15" customHeight="1" x14ac:dyDescent="0.25">
      <c r="A168" s="214"/>
      <c r="B168" s="214"/>
      <c r="C168" s="396"/>
      <c r="D168" s="396"/>
      <c r="E168" s="396"/>
      <c r="F168" s="396"/>
      <c r="G168" s="212"/>
      <c r="H168" s="212"/>
      <c r="I168" s="212"/>
      <c r="J168" s="213"/>
      <c r="K168" s="211"/>
      <c r="L168" s="213"/>
      <c r="M168" s="213"/>
      <c r="N168" s="213"/>
      <c r="O168" s="213"/>
      <c r="P168" s="213"/>
      <c r="Q168" s="827"/>
      <c r="R168" s="827"/>
      <c r="S168" s="827"/>
      <c r="T168" s="827"/>
      <c r="U168" s="827"/>
      <c r="V168" s="827"/>
      <c r="W168" s="827"/>
      <c r="X168" s="827"/>
      <c r="Y168" s="827"/>
      <c r="Z168" s="827"/>
      <c r="AA168" s="827"/>
      <c r="AB168" s="827"/>
      <c r="AC168" s="870"/>
      <c r="AD168" s="870"/>
      <c r="AE168" s="870"/>
      <c r="AF168" s="870"/>
      <c r="AG168" s="870"/>
      <c r="AH168" s="870"/>
      <c r="AI168" s="870"/>
      <c r="AJ168" s="870"/>
      <c r="AK168" s="870"/>
      <c r="AL168" s="870"/>
      <c r="AM168" s="870"/>
      <c r="AN168" s="870"/>
      <c r="AO168" s="870"/>
      <c r="AP168" s="870"/>
      <c r="AQ168" s="870"/>
      <c r="AR168" s="870"/>
      <c r="AS168" s="870"/>
      <c r="AT168" s="870"/>
      <c r="AU168" s="870"/>
      <c r="AW168" s="213"/>
      <c r="AX168" s="213"/>
      <c r="AY168" s="213"/>
    </row>
    <row r="169" spans="1:51" s="306" customFormat="1" ht="15" customHeight="1" x14ac:dyDescent="0.25">
      <c r="A169" s="238" t="s">
        <v>130</v>
      </c>
      <c r="B169" s="215" t="s">
        <v>607</v>
      </c>
      <c r="C169" s="396"/>
      <c r="D169" s="396"/>
      <c r="E169" s="396"/>
      <c r="F169" s="396"/>
      <c r="G169" s="212"/>
      <c r="H169" s="212"/>
      <c r="I169" s="212"/>
      <c r="J169" s="213"/>
      <c r="K169" s="211"/>
      <c r="L169" s="213"/>
      <c r="M169" s="213"/>
      <c r="N169" s="213"/>
      <c r="O169" s="213"/>
      <c r="P169" s="213"/>
      <c r="Q169" s="827"/>
      <c r="R169" s="827"/>
      <c r="S169" s="827"/>
      <c r="T169" s="827"/>
      <c r="U169" s="827"/>
      <c r="V169" s="827"/>
      <c r="W169" s="827"/>
      <c r="X169" s="827"/>
      <c r="Y169" s="827"/>
      <c r="Z169" s="827"/>
      <c r="AA169" s="827"/>
      <c r="AB169" s="827"/>
      <c r="AC169" s="870"/>
      <c r="AD169" s="870"/>
      <c r="AE169" s="870"/>
      <c r="AF169" s="870"/>
      <c r="AG169" s="870"/>
      <c r="AH169" s="870"/>
      <c r="AI169" s="870"/>
      <c r="AJ169" s="870"/>
      <c r="AK169" s="870"/>
      <c r="AL169" s="870"/>
      <c r="AM169" s="870"/>
      <c r="AN169" s="870"/>
      <c r="AO169" s="870"/>
      <c r="AP169" s="870"/>
      <c r="AQ169" s="870"/>
      <c r="AR169" s="870"/>
      <c r="AS169" s="870"/>
      <c r="AT169" s="870"/>
      <c r="AU169" s="870"/>
      <c r="AW169" s="213"/>
      <c r="AX169" s="213"/>
      <c r="AY169" s="213"/>
    </row>
    <row r="170" spans="1:51" s="306" customFormat="1" ht="15" customHeight="1" x14ac:dyDescent="0.25">
      <c r="A170" s="214"/>
      <c r="B170" s="214" t="s">
        <v>131</v>
      </c>
      <c r="C170" s="396">
        <v>4</v>
      </c>
      <c r="D170" s="396">
        <v>9040</v>
      </c>
      <c r="E170" s="397" t="s">
        <v>1373</v>
      </c>
      <c r="F170" s="396">
        <v>0</v>
      </c>
      <c r="G170" s="212">
        <v>50056087.32</v>
      </c>
      <c r="H170" s="212">
        <f>47713277.97+160509.82-1028317.28</f>
        <v>46845470.509999998</v>
      </c>
      <c r="I170" s="212"/>
      <c r="J170" s="399">
        <f>H170+I170</f>
        <v>46845470.509999998</v>
      </c>
      <c r="K170" s="211"/>
      <c r="L170" s="399">
        <v>46845470.509999998</v>
      </c>
      <c r="M170" s="399"/>
      <c r="N170" s="399">
        <v>40487443.710000001</v>
      </c>
      <c r="O170" s="213"/>
      <c r="P170" s="213">
        <f>N170+O170</f>
        <v>40487443.710000001</v>
      </c>
      <c r="Q170" s="827"/>
      <c r="R170" s="827"/>
      <c r="S170" s="827"/>
      <c r="T170" s="827"/>
      <c r="U170" s="827"/>
      <c r="V170" s="827"/>
      <c r="W170" s="827"/>
      <c r="X170" s="827"/>
      <c r="Y170" s="827"/>
      <c r="Z170" s="827"/>
      <c r="AA170" s="827"/>
      <c r="AB170" s="827"/>
      <c r="AC170" s="870"/>
      <c r="AD170" s="870"/>
      <c r="AE170" s="870"/>
      <c r="AF170" s="870"/>
      <c r="AG170" s="870"/>
      <c r="AH170" s="870"/>
      <c r="AI170" s="870"/>
      <c r="AJ170" s="870"/>
      <c r="AK170" s="870"/>
      <c r="AL170" s="870"/>
      <c r="AM170" s="870"/>
      <c r="AN170" s="870"/>
      <c r="AO170" s="870"/>
      <c r="AP170" s="870"/>
      <c r="AQ170" s="870"/>
      <c r="AR170" s="870"/>
      <c r="AS170" s="870"/>
      <c r="AT170" s="870"/>
      <c r="AU170" s="870"/>
      <c r="AW170" s="572">
        <v>40810843.869999997</v>
      </c>
      <c r="AX170" s="213"/>
      <c r="AY170" s="213">
        <f>AW170+AX170</f>
        <v>40810843.869999997</v>
      </c>
    </row>
    <row r="171" spans="1:51" s="306" customFormat="1" ht="15" customHeight="1" x14ac:dyDescent="0.25">
      <c r="A171" s="214"/>
      <c r="B171" s="214" t="s">
        <v>133</v>
      </c>
      <c r="C171" s="396">
        <v>4</v>
      </c>
      <c r="D171" s="397">
        <v>9040</v>
      </c>
      <c r="E171" s="397" t="s">
        <v>1377</v>
      </c>
      <c r="F171" s="396">
        <v>0</v>
      </c>
      <c r="G171" s="212">
        <v>3564846.98</v>
      </c>
      <c r="H171" s="212">
        <v>13068650.76</v>
      </c>
      <c r="I171" s="212"/>
      <c r="J171" s="399">
        <f>H171+I171</f>
        <v>13068650.76</v>
      </c>
      <c r="K171" s="211"/>
      <c r="L171" s="399">
        <v>13068650.76</v>
      </c>
      <c r="M171" s="399"/>
      <c r="N171" s="399">
        <v>13068650.76</v>
      </c>
      <c r="O171" s="213"/>
      <c r="P171" s="213">
        <f>N171+O171</f>
        <v>13068650.76</v>
      </c>
      <c r="Q171" s="827"/>
      <c r="R171" s="827"/>
      <c r="S171" s="827"/>
      <c r="T171" s="827"/>
      <c r="U171" s="827"/>
      <c r="V171" s="827"/>
      <c r="W171" s="827"/>
      <c r="X171" s="827"/>
      <c r="Y171" s="827"/>
      <c r="Z171" s="827"/>
      <c r="AA171" s="827"/>
      <c r="AB171" s="827"/>
      <c r="AC171" s="870"/>
      <c r="AD171" s="870"/>
      <c r="AE171" s="870"/>
      <c r="AF171" s="870"/>
      <c r="AG171" s="870"/>
      <c r="AH171" s="870"/>
      <c r="AI171" s="870"/>
      <c r="AJ171" s="870"/>
      <c r="AK171" s="870"/>
      <c r="AL171" s="870"/>
      <c r="AM171" s="870"/>
      <c r="AN171" s="870"/>
      <c r="AO171" s="870"/>
      <c r="AP171" s="870"/>
      <c r="AQ171" s="870"/>
      <c r="AR171" s="870"/>
      <c r="AS171" s="870"/>
      <c r="AT171" s="870"/>
      <c r="AU171" s="870"/>
      <c r="AW171" s="572">
        <v>13068650.76</v>
      </c>
      <c r="AX171" s="213"/>
      <c r="AY171" s="213">
        <f>AW171+AX171</f>
        <v>13068650.76</v>
      </c>
    </row>
    <row r="172" spans="1:51" s="306" customFormat="1" ht="15" customHeight="1" x14ac:dyDescent="0.25">
      <c r="A172" s="214"/>
      <c r="B172" s="214" t="s">
        <v>134</v>
      </c>
      <c r="C172" s="396">
        <v>4</v>
      </c>
      <c r="D172" s="396">
        <v>9040</v>
      </c>
      <c r="E172" s="397" t="s">
        <v>1451</v>
      </c>
      <c r="F172" s="396">
        <v>0</v>
      </c>
      <c r="G172" s="212">
        <v>258904</v>
      </c>
      <c r="H172" s="212">
        <v>241348</v>
      </c>
      <c r="I172" s="212"/>
      <c r="J172" s="399">
        <f>H172+I172</f>
        <v>241348</v>
      </c>
      <c r="K172" s="211"/>
      <c r="L172" s="399">
        <v>241348</v>
      </c>
      <c r="M172" s="399"/>
      <c r="N172" s="399">
        <v>334762</v>
      </c>
      <c r="O172" s="213"/>
      <c r="P172" s="213">
        <f>N172+O172</f>
        <v>334762</v>
      </c>
      <c r="Q172" s="827"/>
      <c r="R172" s="827"/>
      <c r="S172" s="827"/>
      <c r="T172" s="827"/>
      <c r="U172" s="827"/>
      <c r="V172" s="827"/>
      <c r="W172" s="827"/>
      <c r="X172" s="827"/>
      <c r="Y172" s="827"/>
      <c r="Z172" s="827"/>
      <c r="AA172" s="827"/>
      <c r="AB172" s="827"/>
      <c r="AC172" s="870"/>
      <c r="AD172" s="870"/>
      <c r="AE172" s="870"/>
      <c r="AF172" s="870"/>
      <c r="AG172" s="870"/>
      <c r="AH172" s="870"/>
      <c r="AI172" s="870"/>
      <c r="AJ172" s="870"/>
      <c r="AK172" s="870"/>
      <c r="AL172" s="870"/>
      <c r="AM172" s="870"/>
      <c r="AN172" s="870"/>
      <c r="AO172" s="870"/>
      <c r="AP172" s="870"/>
      <c r="AQ172" s="870"/>
      <c r="AR172" s="870"/>
      <c r="AS172" s="870"/>
      <c r="AT172" s="870"/>
      <c r="AU172" s="870"/>
      <c r="AW172" s="572">
        <v>409809</v>
      </c>
      <c r="AX172" s="213"/>
      <c r="AY172" s="213">
        <f>AW172+AX172</f>
        <v>409809</v>
      </c>
    </row>
    <row r="173" spans="1:51" s="306" customFormat="1" ht="15" customHeight="1" x14ac:dyDescent="0.25">
      <c r="A173" s="214"/>
      <c r="B173" s="214"/>
      <c r="C173" s="396"/>
      <c r="D173" s="396"/>
      <c r="E173" s="396"/>
      <c r="F173" s="396"/>
      <c r="G173" s="374">
        <f>SUM(G170:G172)</f>
        <v>53879838.299999997</v>
      </c>
      <c r="H173" s="374">
        <f>SUM(H170:H172)</f>
        <v>60155469.269999996</v>
      </c>
      <c r="I173" s="374">
        <f>SUM(I170:I172)</f>
        <v>0</v>
      </c>
      <c r="J173" s="373">
        <f>SUM(J170:J172)</f>
        <v>60155469.269999996</v>
      </c>
      <c r="K173" s="211"/>
      <c r="L173" s="373">
        <f>SUM(L170:L172)</f>
        <v>60155469.269999996</v>
      </c>
      <c r="M173" s="373"/>
      <c r="N173" s="373">
        <f>SUM(N170:N172)</f>
        <v>53890856.469999999</v>
      </c>
      <c r="O173" s="373">
        <f>SUM(O170:O172)</f>
        <v>0</v>
      </c>
      <c r="P173" s="373">
        <f>SUM(P170:P172)</f>
        <v>53890856.469999999</v>
      </c>
      <c r="Q173" s="879"/>
      <c r="R173" s="879"/>
      <c r="S173" s="879"/>
      <c r="T173" s="879"/>
      <c r="U173" s="879"/>
      <c r="V173" s="879"/>
      <c r="W173" s="879"/>
      <c r="X173" s="879"/>
      <c r="Y173" s="879"/>
      <c r="Z173" s="879"/>
      <c r="AA173" s="879"/>
      <c r="AB173" s="879"/>
      <c r="AC173" s="873"/>
      <c r="AD173" s="873"/>
      <c r="AE173" s="873"/>
      <c r="AF173" s="873"/>
      <c r="AG173" s="873"/>
      <c r="AH173" s="873"/>
      <c r="AI173" s="873"/>
      <c r="AJ173" s="873"/>
      <c r="AK173" s="873"/>
      <c r="AL173" s="873"/>
      <c r="AM173" s="873"/>
      <c r="AN173" s="873"/>
      <c r="AO173" s="873"/>
      <c r="AP173" s="873"/>
      <c r="AQ173" s="873"/>
      <c r="AR173" s="873"/>
      <c r="AS173" s="873"/>
      <c r="AT173" s="873"/>
      <c r="AU173" s="873"/>
      <c r="AW173" s="373">
        <f>SUM(AW170:AW172)</f>
        <v>54289303.629999995</v>
      </c>
      <c r="AX173" s="373">
        <f>SUM(AX170:AX172)</f>
        <v>0</v>
      </c>
      <c r="AY173" s="373">
        <f>SUM(AY170:AY172)</f>
        <v>54289303.629999995</v>
      </c>
    </row>
    <row r="174" spans="1:51" s="306" customFormat="1" ht="15" customHeight="1" x14ac:dyDescent="0.25">
      <c r="A174" s="214"/>
      <c r="B174" s="214"/>
      <c r="C174" s="396"/>
      <c r="D174" s="396"/>
      <c r="E174" s="396"/>
      <c r="F174" s="396"/>
      <c r="G174" s="212"/>
      <c r="H174" s="212"/>
      <c r="I174" s="212"/>
      <c r="J174" s="213"/>
      <c r="K174" s="211"/>
      <c r="L174" s="213"/>
      <c r="M174" s="213"/>
      <c r="N174" s="213"/>
      <c r="O174" s="213"/>
      <c r="P174" s="213"/>
      <c r="Q174" s="827"/>
      <c r="R174" s="827"/>
      <c r="S174" s="827"/>
      <c r="T174" s="827"/>
      <c r="U174" s="827"/>
      <c r="V174" s="827"/>
      <c r="W174" s="827"/>
      <c r="X174" s="827"/>
      <c r="Y174" s="827"/>
      <c r="Z174" s="827"/>
      <c r="AA174" s="827"/>
      <c r="AB174" s="827"/>
      <c r="AC174" s="870"/>
      <c r="AD174" s="870"/>
      <c r="AE174" s="870"/>
      <c r="AF174" s="870"/>
      <c r="AG174" s="870"/>
      <c r="AH174" s="870"/>
      <c r="AI174" s="870"/>
      <c r="AJ174" s="870"/>
      <c r="AK174" s="870"/>
      <c r="AL174" s="870"/>
      <c r="AM174" s="870"/>
      <c r="AN174" s="870"/>
      <c r="AO174" s="870"/>
      <c r="AP174" s="870"/>
      <c r="AQ174" s="870"/>
      <c r="AR174" s="870"/>
      <c r="AS174" s="870"/>
      <c r="AT174" s="870"/>
      <c r="AU174" s="870"/>
      <c r="AW174" s="213"/>
      <c r="AX174" s="213"/>
      <c r="AY174" s="213"/>
    </row>
    <row r="175" spans="1:51" s="306" customFormat="1" ht="15" customHeight="1" x14ac:dyDescent="0.25">
      <c r="A175" s="238" t="s">
        <v>135</v>
      </c>
      <c r="B175" s="238" t="s">
        <v>609</v>
      </c>
      <c r="C175" s="396"/>
      <c r="D175" s="396"/>
      <c r="E175" s="396"/>
      <c r="F175" s="396"/>
      <c r="G175" s="212"/>
      <c r="H175" s="212"/>
      <c r="I175" s="212"/>
      <c r="J175" s="213"/>
      <c r="K175" s="211"/>
      <c r="L175" s="213"/>
      <c r="M175" s="213"/>
      <c r="N175" s="213"/>
      <c r="O175" s="213"/>
      <c r="P175" s="213"/>
      <c r="Q175" s="827"/>
      <c r="R175" s="827"/>
      <c r="S175" s="827"/>
      <c r="T175" s="827"/>
      <c r="U175" s="827"/>
      <c r="V175" s="827"/>
      <c r="W175" s="827"/>
      <c r="X175" s="827"/>
      <c r="Y175" s="827"/>
      <c r="Z175" s="827"/>
      <c r="AA175" s="827"/>
      <c r="AB175" s="827"/>
      <c r="AC175" s="870"/>
      <c r="AD175" s="870"/>
      <c r="AE175" s="870"/>
      <c r="AF175" s="870"/>
      <c r="AG175" s="870"/>
      <c r="AH175" s="870"/>
      <c r="AI175" s="870"/>
      <c r="AJ175" s="870"/>
      <c r="AK175" s="870"/>
      <c r="AL175" s="870"/>
      <c r="AM175" s="870"/>
      <c r="AN175" s="870"/>
      <c r="AO175" s="870"/>
      <c r="AP175" s="870"/>
      <c r="AQ175" s="870"/>
      <c r="AR175" s="870"/>
      <c r="AS175" s="870"/>
      <c r="AT175" s="870"/>
      <c r="AU175" s="870"/>
      <c r="AW175" s="213"/>
      <c r="AX175" s="213"/>
      <c r="AY175" s="213"/>
    </row>
    <row r="176" spans="1:51" s="306" customFormat="1" ht="15" customHeight="1" x14ac:dyDescent="0.25">
      <c r="A176" s="214"/>
      <c r="B176" s="214" t="s">
        <v>609</v>
      </c>
      <c r="C176" s="396">
        <v>4</v>
      </c>
      <c r="D176" s="396">
        <v>9044</v>
      </c>
      <c r="E176" s="397" t="s">
        <v>1373</v>
      </c>
      <c r="F176" s="396">
        <v>0</v>
      </c>
      <c r="G176" s="212">
        <v>330403418.98000002</v>
      </c>
      <c r="H176" s="212">
        <f>321737891.3-26246587.68</f>
        <v>295491303.62</v>
      </c>
      <c r="I176" s="212">
        <v>6990992.9000000004</v>
      </c>
      <c r="J176" s="399">
        <f>H176+I176</f>
        <v>302482296.51999998</v>
      </c>
      <c r="K176" s="484"/>
      <c r="L176" s="399">
        <v>302482296.51999998</v>
      </c>
      <c r="M176" s="399"/>
      <c r="N176" s="399">
        <v>288159700.56999999</v>
      </c>
      <c r="O176" s="213"/>
      <c r="P176" s="213">
        <f t="shared" ref="P176:P209" si="32">N176+O176</f>
        <v>288159700.56999999</v>
      </c>
      <c r="Q176" s="827"/>
      <c r="R176" s="827"/>
      <c r="S176" s="827"/>
      <c r="T176" s="827"/>
      <c r="U176" s="827"/>
      <c r="V176" s="827"/>
      <c r="W176" s="827"/>
      <c r="X176" s="827"/>
      <c r="Y176" s="827"/>
      <c r="Z176" s="827"/>
      <c r="AA176" s="827"/>
      <c r="AB176" s="827"/>
      <c r="AC176" s="870"/>
      <c r="AD176" s="870"/>
      <c r="AE176" s="870"/>
      <c r="AF176" s="870"/>
      <c r="AG176" s="870"/>
      <c r="AH176" s="870"/>
      <c r="AI176" s="870"/>
      <c r="AJ176" s="870"/>
      <c r="AK176" s="870"/>
      <c r="AL176" s="870"/>
      <c r="AM176" s="870"/>
      <c r="AN176" s="870"/>
      <c r="AO176" s="870"/>
      <c r="AP176" s="870"/>
      <c r="AQ176" s="870"/>
      <c r="AR176" s="870"/>
      <c r="AS176" s="870"/>
      <c r="AT176" s="870"/>
      <c r="AU176" s="870"/>
      <c r="AW176" s="572">
        <f>244041224.83+16745532.43-51152680.86</f>
        <v>209634076.40000004</v>
      </c>
      <c r="AX176" s="213"/>
      <c r="AY176" s="213">
        <f t="shared" ref="AY176:AY203" si="33">AW176+AX176</f>
        <v>209634076.40000004</v>
      </c>
    </row>
    <row r="177" spans="1:51" s="306" customFormat="1" ht="15" customHeight="1" x14ac:dyDescent="0.25">
      <c r="A177" s="214"/>
      <c r="B177" s="214" t="s">
        <v>1452</v>
      </c>
      <c r="C177" s="396">
        <v>4</v>
      </c>
      <c r="D177" s="396">
        <v>9044</v>
      </c>
      <c r="E177" s="397" t="s">
        <v>1379</v>
      </c>
      <c r="F177" s="396">
        <v>0</v>
      </c>
      <c r="G177" s="212">
        <v>0</v>
      </c>
      <c r="H177" s="212">
        <v>23847820.710000001</v>
      </c>
      <c r="I177" s="212"/>
      <c r="J177" s="399">
        <f t="shared" ref="J177:J203" si="34">H177+I177</f>
        <v>23847820.710000001</v>
      </c>
      <c r="K177" s="211"/>
      <c r="L177" s="399">
        <v>23847820.710000001</v>
      </c>
      <c r="M177" s="399"/>
      <c r="N177" s="399">
        <v>81163155.530000001</v>
      </c>
      <c r="O177" s="213"/>
      <c r="P177" s="213">
        <f t="shared" si="32"/>
        <v>81163155.530000001</v>
      </c>
      <c r="Q177" s="827"/>
      <c r="R177" s="827"/>
      <c r="S177" s="827"/>
      <c r="T177" s="827"/>
      <c r="U177" s="827"/>
      <c r="V177" s="827"/>
      <c r="W177" s="827"/>
      <c r="X177" s="827"/>
      <c r="Y177" s="827"/>
      <c r="Z177" s="827"/>
      <c r="AA177" s="827"/>
      <c r="AB177" s="827"/>
      <c r="AC177" s="870"/>
      <c r="AD177" s="870"/>
      <c r="AE177" s="870"/>
      <c r="AF177" s="870"/>
      <c r="AG177" s="870"/>
      <c r="AH177" s="870"/>
      <c r="AI177" s="870"/>
      <c r="AJ177" s="870"/>
      <c r="AK177" s="870"/>
      <c r="AL177" s="870"/>
      <c r="AM177" s="870"/>
      <c r="AN177" s="870"/>
      <c r="AO177" s="870"/>
      <c r="AP177" s="870"/>
      <c r="AQ177" s="870"/>
      <c r="AR177" s="870"/>
      <c r="AS177" s="870"/>
      <c r="AT177" s="870"/>
      <c r="AU177" s="870"/>
      <c r="AW177" s="572">
        <f>149884939.99-2048094.24</f>
        <v>147836845.75</v>
      </c>
      <c r="AX177" s="213"/>
      <c r="AY177" s="213">
        <f t="shared" si="33"/>
        <v>147836845.75</v>
      </c>
    </row>
    <row r="178" spans="1:51" s="306" customFormat="1" ht="15" customHeight="1" x14ac:dyDescent="0.25">
      <c r="A178" s="214"/>
      <c r="B178" s="239" t="s">
        <v>220</v>
      </c>
      <c r="C178" s="396">
        <v>4</v>
      </c>
      <c r="D178" s="396">
        <v>9044</v>
      </c>
      <c r="E178" s="397" t="s">
        <v>1384</v>
      </c>
      <c r="F178" s="396">
        <v>0</v>
      </c>
      <c r="G178" s="212">
        <v>20058221</v>
      </c>
      <c r="H178" s="212">
        <f>6767886.1+19478701.58</f>
        <v>26246587.68</v>
      </c>
      <c r="I178" s="212"/>
      <c r="J178" s="399">
        <f t="shared" si="34"/>
        <v>26246587.68</v>
      </c>
      <c r="K178" s="211"/>
      <c r="L178" s="399">
        <v>26246587.68</v>
      </c>
      <c r="M178" s="399"/>
      <c r="N178" s="399">
        <v>27245872.809999999</v>
      </c>
      <c r="O178" s="213"/>
      <c r="P178" s="213">
        <f t="shared" si="32"/>
        <v>27245872.809999999</v>
      </c>
      <c r="Q178" s="827"/>
      <c r="R178" s="827"/>
      <c r="S178" s="827"/>
      <c r="T178" s="827"/>
      <c r="U178" s="827"/>
      <c r="V178" s="827"/>
      <c r="W178" s="827"/>
      <c r="X178" s="827"/>
      <c r="Y178" s="827"/>
      <c r="Z178" s="827"/>
      <c r="AA178" s="827"/>
      <c r="AB178" s="827"/>
      <c r="AC178" s="870"/>
      <c r="AD178" s="870"/>
      <c r="AE178" s="870"/>
      <c r="AF178" s="870"/>
      <c r="AG178" s="870"/>
      <c r="AH178" s="870"/>
      <c r="AI178" s="870"/>
      <c r="AJ178" s="870"/>
      <c r="AK178" s="870"/>
      <c r="AL178" s="870"/>
      <c r="AM178" s="870"/>
      <c r="AN178" s="870"/>
      <c r="AO178" s="870"/>
      <c r="AP178" s="870"/>
      <c r="AQ178" s="870"/>
      <c r="AR178" s="870"/>
      <c r="AS178" s="870"/>
      <c r="AT178" s="870"/>
      <c r="AU178" s="870"/>
      <c r="AW178" s="572">
        <v>29291140</v>
      </c>
      <c r="AX178" s="213"/>
      <c r="AY178" s="213">
        <f t="shared" si="33"/>
        <v>29291140</v>
      </c>
    </row>
    <row r="179" spans="1:51" s="306" customFormat="1" ht="15" customHeight="1" x14ac:dyDescent="0.25">
      <c r="A179" s="214"/>
      <c r="B179" s="214" t="s">
        <v>1453</v>
      </c>
      <c r="C179" s="396">
        <v>4</v>
      </c>
      <c r="D179" s="396">
        <v>9044</v>
      </c>
      <c r="E179" s="397" t="s">
        <v>1447</v>
      </c>
      <c r="F179" s="396">
        <v>0</v>
      </c>
      <c r="G179" s="212">
        <v>0</v>
      </c>
      <c r="H179" s="212">
        <v>2791674.45</v>
      </c>
      <c r="I179" s="212"/>
      <c r="J179" s="399">
        <f t="shared" si="34"/>
        <v>2791674.45</v>
      </c>
      <c r="K179" s="211"/>
      <c r="L179" s="399">
        <v>2791674.45</v>
      </c>
      <c r="M179" s="399"/>
      <c r="N179" s="399">
        <v>-39157564.189999998</v>
      </c>
      <c r="O179" s="213"/>
      <c r="P179" s="213">
        <f t="shared" si="32"/>
        <v>-39157564.189999998</v>
      </c>
      <c r="Q179" s="827"/>
      <c r="R179" s="827"/>
      <c r="S179" s="827"/>
      <c r="T179" s="827"/>
      <c r="U179" s="827"/>
      <c r="V179" s="827"/>
      <c r="W179" s="827"/>
      <c r="X179" s="827"/>
      <c r="Y179" s="827"/>
      <c r="Z179" s="827"/>
      <c r="AA179" s="827"/>
      <c r="AB179" s="827"/>
      <c r="AC179" s="870"/>
      <c r="AD179" s="870"/>
      <c r="AE179" s="870"/>
      <c r="AF179" s="870"/>
      <c r="AG179" s="870"/>
      <c r="AH179" s="870"/>
      <c r="AI179" s="870"/>
      <c r="AJ179" s="870"/>
      <c r="AK179" s="870"/>
      <c r="AL179" s="870"/>
      <c r="AM179" s="870"/>
      <c r="AN179" s="870"/>
      <c r="AO179" s="870"/>
      <c r="AP179" s="870"/>
      <c r="AQ179" s="870"/>
      <c r="AR179" s="870"/>
      <c r="AS179" s="870"/>
      <c r="AT179" s="870"/>
      <c r="AU179" s="870"/>
      <c r="AW179" s="399">
        <f>-39268994.65+39268994.65</f>
        <v>0</v>
      </c>
      <c r="AX179" s="213"/>
      <c r="AY179" s="213">
        <f t="shared" si="33"/>
        <v>0</v>
      </c>
    </row>
    <row r="180" spans="1:51" s="306" customFormat="1" ht="15" customHeight="1" x14ac:dyDescent="0.25">
      <c r="A180" s="214"/>
      <c r="B180" s="214" t="s">
        <v>1455</v>
      </c>
      <c r="C180" s="396">
        <v>4</v>
      </c>
      <c r="D180" s="396">
        <v>9044</v>
      </c>
      <c r="E180" s="397" t="s">
        <v>1385</v>
      </c>
      <c r="F180" s="396">
        <v>0</v>
      </c>
      <c r="G180" s="212">
        <v>0</v>
      </c>
      <c r="H180" s="212">
        <v>20123955.77</v>
      </c>
      <c r="I180" s="212"/>
      <c r="J180" s="399">
        <f t="shared" si="34"/>
        <v>20123955.77</v>
      </c>
      <c r="K180" s="211"/>
      <c r="L180" s="399">
        <v>20123955.77</v>
      </c>
      <c r="M180" s="399"/>
      <c r="N180" s="399">
        <v>98741331.140000001</v>
      </c>
      <c r="O180" s="213"/>
      <c r="P180" s="213">
        <f t="shared" si="32"/>
        <v>98741331.140000001</v>
      </c>
      <c r="Q180" s="827"/>
      <c r="R180" s="827"/>
      <c r="S180" s="827"/>
      <c r="T180" s="827"/>
      <c r="U180" s="827"/>
      <c r="V180" s="827"/>
      <c r="W180" s="827"/>
      <c r="X180" s="827"/>
      <c r="Y180" s="827"/>
      <c r="Z180" s="827"/>
      <c r="AA180" s="827"/>
      <c r="AB180" s="827"/>
      <c r="AC180" s="870"/>
      <c r="AD180" s="870"/>
      <c r="AE180" s="870"/>
      <c r="AF180" s="870"/>
      <c r="AG180" s="870"/>
      <c r="AH180" s="870"/>
      <c r="AI180" s="870"/>
      <c r="AJ180" s="870"/>
      <c r="AK180" s="870"/>
      <c r="AL180" s="870"/>
      <c r="AM180" s="870"/>
      <c r="AN180" s="870"/>
      <c r="AO180" s="870"/>
      <c r="AP180" s="870"/>
      <c r="AQ180" s="870"/>
      <c r="AR180" s="870"/>
      <c r="AS180" s="870"/>
      <c r="AT180" s="870"/>
      <c r="AU180" s="870"/>
      <c r="AW180" s="572">
        <f>148877475.31+12134619.1</f>
        <v>161012094.41</v>
      </c>
      <c r="AX180" s="213"/>
      <c r="AY180" s="213">
        <f t="shared" si="33"/>
        <v>161012094.41</v>
      </c>
    </row>
    <row r="181" spans="1:51" s="306" customFormat="1" ht="15" customHeight="1" x14ac:dyDescent="0.25">
      <c r="A181" s="214"/>
      <c r="B181" s="214" t="s">
        <v>1456</v>
      </c>
      <c r="C181" s="396">
        <v>4</v>
      </c>
      <c r="D181" s="396">
        <v>9044</v>
      </c>
      <c r="E181" s="397" t="s">
        <v>1386</v>
      </c>
      <c r="F181" s="396">
        <v>0</v>
      </c>
      <c r="G181" s="212">
        <v>0</v>
      </c>
      <c r="H181" s="212"/>
      <c r="I181" s="212"/>
      <c r="J181" s="399">
        <f t="shared" si="34"/>
        <v>0</v>
      </c>
      <c r="K181" s="211"/>
      <c r="L181" s="399">
        <v>0</v>
      </c>
      <c r="M181" s="399"/>
      <c r="N181" s="399">
        <v>0</v>
      </c>
      <c r="O181" s="213"/>
      <c r="P181" s="213">
        <f t="shared" si="32"/>
        <v>0</v>
      </c>
      <c r="Q181" s="827"/>
      <c r="R181" s="827"/>
      <c r="S181" s="827"/>
      <c r="T181" s="827"/>
      <c r="U181" s="827"/>
      <c r="V181" s="827"/>
      <c r="W181" s="827"/>
      <c r="X181" s="827"/>
      <c r="Y181" s="827"/>
      <c r="Z181" s="827"/>
      <c r="AA181" s="827"/>
      <c r="AB181" s="827"/>
      <c r="AC181" s="870"/>
      <c r="AD181" s="870"/>
      <c r="AE181" s="870"/>
      <c r="AF181" s="870"/>
      <c r="AG181" s="870"/>
      <c r="AH181" s="870"/>
      <c r="AI181" s="870"/>
      <c r="AJ181" s="870"/>
      <c r="AK181" s="870"/>
      <c r="AL181" s="870"/>
      <c r="AM181" s="870"/>
      <c r="AN181" s="870"/>
      <c r="AO181" s="870"/>
      <c r="AP181" s="870"/>
      <c r="AQ181" s="870"/>
      <c r="AR181" s="870"/>
      <c r="AS181" s="870"/>
      <c r="AT181" s="870"/>
      <c r="AU181" s="870"/>
      <c r="AW181" s="399">
        <v>0</v>
      </c>
      <c r="AX181" s="213"/>
      <c r="AY181" s="213">
        <f t="shared" si="33"/>
        <v>0</v>
      </c>
    </row>
    <row r="182" spans="1:51" s="306" customFormat="1" ht="15" customHeight="1" x14ac:dyDescent="0.25">
      <c r="A182" s="214"/>
      <c r="B182" s="214" t="s">
        <v>1457</v>
      </c>
      <c r="C182" s="396">
        <v>4</v>
      </c>
      <c r="D182" s="396">
        <v>9044</v>
      </c>
      <c r="E182" s="397" t="s">
        <v>1446</v>
      </c>
      <c r="F182" s="396">
        <v>0</v>
      </c>
      <c r="G182" s="212">
        <v>0</v>
      </c>
      <c r="H182" s="212">
        <v>4832455.3099999996</v>
      </c>
      <c r="I182" s="212"/>
      <c r="J182" s="399">
        <f t="shared" si="34"/>
        <v>4832455.3099999996</v>
      </c>
      <c r="K182" s="211"/>
      <c r="L182" s="399">
        <v>4832455.3099999996</v>
      </c>
      <c r="M182" s="399"/>
      <c r="N182" s="399">
        <v>14700475.359999999</v>
      </c>
      <c r="O182" s="213"/>
      <c r="P182" s="213">
        <f t="shared" si="32"/>
        <v>14700475.359999999</v>
      </c>
      <c r="Q182" s="827"/>
      <c r="R182" s="827"/>
      <c r="S182" s="827"/>
      <c r="T182" s="827"/>
      <c r="U182" s="827"/>
      <c r="V182" s="827"/>
      <c r="W182" s="827"/>
      <c r="X182" s="827"/>
      <c r="Y182" s="827"/>
      <c r="Z182" s="827"/>
      <c r="AA182" s="827"/>
      <c r="AB182" s="827"/>
      <c r="AC182" s="870"/>
      <c r="AD182" s="870"/>
      <c r="AE182" s="870"/>
      <c r="AF182" s="870"/>
      <c r="AG182" s="870"/>
      <c r="AH182" s="870"/>
      <c r="AI182" s="870"/>
      <c r="AJ182" s="870"/>
      <c r="AK182" s="870"/>
      <c r="AL182" s="870"/>
      <c r="AM182" s="870"/>
      <c r="AN182" s="870"/>
      <c r="AO182" s="870"/>
      <c r="AP182" s="870"/>
      <c r="AQ182" s="870"/>
      <c r="AR182" s="870"/>
      <c r="AS182" s="870"/>
      <c r="AT182" s="870"/>
      <c r="AU182" s="870"/>
      <c r="AW182" s="572">
        <f>23238290.57-1192659.25-654539.48+1192659.25-1192659.25</f>
        <v>21391091.84</v>
      </c>
      <c r="AX182" s="213"/>
      <c r="AY182" s="213">
        <f t="shared" si="33"/>
        <v>21391091.84</v>
      </c>
    </row>
    <row r="183" spans="1:51" s="306" customFormat="1" ht="15" customHeight="1" x14ac:dyDescent="0.25">
      <c r="A183" s="214"/>
      <c r="B183" s="214" t="s">
        <v>1458</v>
      </c>
      <c r="C183" s="396">
        <v>4</v>
      </c>
      <c r="D183" s="396">
        <v>9044</v>
      </c>
      <c r="E183" s="397" t="s">
        <v>1448</v>
      </c>
      <c r="F183" s="396">
        <v>0</v>
      </c>
      <c r="G183" s="212">
        <v>0</v>
      </c>
      <c r="H183" s="212"/>
      <c r="I183" s="212"/>
      <c r="J183" s="399">
        <f t="shared" si="34"/>
        <v>0</v>
      </c>
      <c r="K183" s="211"/>
      <c r="L183" s="399">
        <v>0</v>
      </c>
      <c r="M183" s="399"/>
      <c r="N183" s="399">
        <v>0</v>
      </c>
      <c r="O183" s="213"/>
      <c r="P183" s="213">
        <f t="shared" si="32"/>
        <v>0</v>
      </c>
      <c r="Q183" s="827"/>
      <c r="R183" s="827"/>
      <c r="S183" s="827"/>
      <c r="T183" s="827"/>
      <c r="U183" s="827"/>
      <c r="V183" s="827"/>
      <c r="W183" s="827"/>
      <c r="X183" s="827"/>
      <c r="Y183" s="827"/>
      <c r="Z183" s="827"/>
      <c r="AA183" s="827"/>
      <c r="AB183" s="827"/>
      <c r="AC183" s="870"/>
      <c r="AD183" s="870"/>
      <c r="AE183" s="870"/>
      <c r="AF183" s="870"/>
      <c r="AG183" s="870"/>
      <c r="AH183" s="870"/>
      <c r="AI183" s="870"/>
      <c r="AJ183" s="870"/>
      <c r="AK183" s="870"/>
      <c r="AL183" s="870"/>
      <c r="AM183" s="870"/>
      <c r="AN183" s="870"/>
      <c r="AO183" s="870"/>
      <c r="AP183" s="870"/>
      <c r="AQ183" s="870"/>
      <c r="AR183" s="870"/>
      <c r="AS183" s="870"/>
      <c r="AT183" s="870"/>
      <c r="AU183" s="870"/>
      <c r="AW183" s="399">
        <v>0</v>
      </c>
      <c r="AX183" s="213"/>
      <c r="AY183" s="213">
        <f t="shared" si="33"/>
        <v>0</v>
      </c>
    </row>
    <row r="184" spans="1:51" s="306" customFormat="1" ht="15" customHeight="1" x14ac:dyDescent="0.25">
      <c r="A184" s="214"/>
      <c r="B184" s="214" t="s">
        <v>1459</v>
      </c>
      <c r="C184" s="396">
        <v>4</v>
      </c>
      <c r="D184" s="396">
        <v>9044</v>
      </c>
      <c r="E184" s="397" t="s">
        <v>1460</v>
      </c>
      <c r="F184" s="396">
        <v>0</v>
      </c>
      <c r="G184" s="212">
        <v>0</v>
      </c>
      <c r="H184" s="212">
        <v>40682274.450000003</v>
      </c>
      <c r="I184" s="212"/>
      <c r="J184" s="399">
        <f t="shared" si="34"/>
        <v>40682274.450000003</v>
      </c>
      <c r="K184" s="211"/>
      <c r="L184" s="399">
        <v>40682274.450000003</v>
      </c>
      <c r="M184" s="399"/>
      <c r="N184" s="399">
        <v>89203382.790000007</v>
      </c>
      <c r="O184" s="213"/>
      <c r="P184" s="213">
        <f t="shared" si="32"/>
        <v>89203382.790000007</v>
      </c>
      <c r="Q184" s="827"/>
      <c r="R184" s="827"/>
      <c r="S184" s="827"/>
      <c r="T184" s="827"/>
      <c r="U184" s="827"/>
      <c r="V184" s="827"/>
      <c r="W184" s="827"/>
      <c r="X184" s="827"/>
      <c r="Y184" s="827"/>
      <c r="Z184" s="827"/>
      <c r="AA184" s="827"/>
      <c r="AB184" s="827"/>
      <c r="AC184" s="870"/>
      <c r="AD184" s="870"/>
      <c r="AE184" s="870"/>
      <c r="AF184" s="870"/>
      <c r="AG184" s="870"/>
      <c r="AH184" s="870"/>
      <c r="AI184" s="870"/>
      <c r="AJ184" s="870"/>
      <c r="AK184" s="870"/>
      <c r="AL184" s="870"/>
      <c r="AM184" s="870"/>
      <c r="AN184" s="870"/>
      <c r="AO184" s="870"/>
      <c r="AP184" s="870"/>
      <c r="AQ184" s="870"/>
      <c r="AR184" s="870"/>
      <c r="AS184" s="870"/>
      <c r="AT184" s="870"/>
      <c r="AU184" s="870"/>
      <c r="AW184" s="572">
        <f>104326245.05-5934535.02</f>
        <v>98391710.030000001</v>
      </c>
      <c r="AX184" s="213"/>
      <c r="AY184" s="213">
        <f t="shared" si="33"/>
        <v>98391710.030000001</v>
      </c>
    </row>
    <row r="185" spans="1:51" s="306" customFormat="1" ht="15" customHeight="1" x14ac:dyDescent="0.25">
      <c r="A185" s="214"/>
      <c r="B185" s="214" t="s">
        <v>1459</v>
      </c>
      <c r="C185" s="396">
        <v>4</v>
      </c>
      <c r="D185" s="396">
        <v>9044</v>
      </c>
      <c r="E185" s="397" t="s">
        <v>1461</v>
      </c>
      <c r="F185" s="396">
        <v>0</v>
      </c>
      <c r="G185" s="212">
        <v>0</v>
      </c>
      <c r="H185" s="212"/>
      <c r="I185" s="212"/>
      <c r="J185" s="399">
        <f t="shared" si="34"/>
        <v>0</v>
      </c>
      <c r="K185" s="211"/>
      <c r="L185" s="399">
        <v>0</v>
      </c>
      <c r="M185" s="399"/>
      <c r="N185" s="399">
        <v>0</v>
      </c>
      <c r="O185" s="213"/>
      <c r="P185" s="213">
        <f t="shared" si="32"/>
        <v>0</v>
      </c>
      <c r="Q185" s="827"/>
      <c r="R185" s="827"/>
      <c r="S185" s="827"/>
      <c r="T185" s="827"/>
      <c r="U185" s="827"/>
      <c r="V185" s="827"/>
      <c r="W185" s="827"/>
      <c r="X185" s="827"/>
      <c r="Y185" s="827"/>
      <c r="Z185" s="827"/>
      <c r="AA185" s="827"/>
      <c r="AB185" s="827"/>
      <c r="AC185" s="870"/>
      <c r="AD185" s="870"/>
      <c r="AE185" s="870"/>
      <c r="AF185" s="870"/>
      <c r="AG185" s="870"/>
      <c r="AH185" s="870"/>
      <c r="AI185" s="870"/>
      <c r="AJ185" s="870"/>
      <c r="AK185" s="870"/>
      <c r="AL185" s="870"/>
      <c r="AM185" s="870"/>
      <c r="AN185" s="870"/>
      <c r="AO185" s="870"/>
      <c r="AP185" s="870"/>
      <c r="AQ185" s="870"/>
      <c r="AR185" s="870"/>
      <c r="AS185" s="870"/>
      <c r="AT185" s="870"/>
      <c r="AU185" s="870"/>
      <c r="AW185" s="399">
        <v>0</v>
      </c>
      <c r="AX185" s="213"/>
      <c r="AY185" s="213">
        <f t="shared" si="33"/>
        <v>0</v>
      </c>
    </row>
    <row r="186" spans="1:51" s="306" customFormat="1" ht="15" customHeight="1" x14ac:dyDescent="0.25">
      <c r="A186" s="214"/>
      <c r="B186" s="214" t="s">
        <v>1462</v>
      </c>
      <c r="C186" s="396">
        <v>4</v>
      </c>
      <c r="D186" s="396">
        <v>9044</v>
      </c>
      <c r="E186" s="397" t="s">
        <v>1463</v>
      </c>
      <c r="F186" s="396">
        <v>0</v>
      </c>
      <c r="G186" s="212">
        <v>0</v>
      </c>
      <c r="H186" s="212"/>
      <c r="I186" s="212"/>
      <c r="J186" s="399">
        <f t="shared" si="34"/>
        <v>0</v>
      </c>
      <c r="K186" s="211"/>
      <c r="L186" s="399">
        <v>0</v>
      </c>
      <c r="M186" s="399"/>
      <c r="N186" s="399">
        <v>0</v>
      </c>
      <c r="O186" s="213"/>
      <c r="P186" s="213">
        <f t="shared" si="32"/>
        <v>0</v>
      </c>
      <c r="Q186" s="827"/>
      <c r="R186" s="827"/>
      <c r="S186" s="827"/>
      <c r="T186" s="827"/>
      <c r="U186" s="827"/>
      <c r="V186" s="827"/>
      <c r="W186" s="827"/>
      <c r="X186" s="827"/>
      <c r="Y186" s="827"/>
      <c r="Z186" s="827"/>
      <c r="AA186" s="827"/>
      <c r="AB186" s="827"/>
      <c r="AC186" s="870"/>
      <c r="AD186" s="870"/>
      <c r="AE186" s="870"/>
      <c r="AF186" s="870"/>
      <c r="AG186" s="870"/>
      <c r="AH186" s="870"/>
      <c r="AI186" s="870"/>
      <c r="AJ186" s="870"/>
      <c r="AK186" s="870"/>
      <c r="AL186" s="870"/>
      <c r="AM186" s="870"/>
      <c r="AN186" s="870"/>
      <c r="AO186" s="870"/>
      <c r="AP186" s="870"/>
      <c r="AQ186" s="870"/>
      <c r="AR186" s="870"/>
      <c r="AS186" s="870"/>
      <c r="AT186" s="870"/>
      <c r="AU186" s="870"/>
      <c r="AW186" s="399">
        <v>0</v>
      </c>
      <c r="AX186" s="213"/>
      <c r="AY186" s="213">
        <f t="shared" si="33"/>
        <v>0</v>
      </c>
    </row>
    <row r="187" spans="1:51" s="306" customFormat="1" ht="15" customHeight="1" x14ac:dyDescent="0.25">
      <c r="A187" s="214"/>
      <c r="B187" s="214" t="s">
        <v>1464</v>
      </c>
      <c r="C187" s="396">
        <v>4</v>
      </c>
      <c r="D187" s="396">
        <v>9044</v>
      </c>
      <c r="E187" s="397" t="s">
        <v>1389</v>
      </c>
      <c r="F187" s="396">
        <v>0</v>
      </c>
      <c r="G187" s="212">
        <v>0</v>
      </c>
      <c r="H187" s="212">
        <v>3149526.3</v>
      </c>
      <c r="I187" s="212"/>
      <c r="J187" s="399">
        <f t="shared" si="34"/>
        <v>3149526.3</v>
      </c>
      <c r="K187" s="211"/>
      <c r="L187" s="399">
        <v>3149526.3</v>
      </c>
      <c r="M187" s="399"/>
      <c r="N187" s="399">
        <v>12409383.4</v>
      </c>
      <c r="O187" s="213"/>
      <c r="P187" s="213">
        <f t="shared" si="32"/>
        <v>12409383.4</v>
      </c>
      <c r="Q187" s="827"/>
      <c r="R187" s="827"/>
      <c r="S187" s="827"/>
      <c r="T187" s="827"/>
      <c r="U187" s="827"/>
      <c r="V187" s="827"/>
      <c r="W187" s="827"/>
      <c r="X187" s="827"/>
      <c r="Y187" s="827"/>
      <c r="Z187" s="827"/>
      <c r="AA187" s="827"/>
      <c r="AB187" s="827"/>
      <c r="AC187" s="870"/>
      <c r="AD187" s="870"/>
      <c r="AE187" s="870"/>
      <c r="AF187" s="870"/>
      <c r="AG187" s="870"/>
      <c r="AH187" s="870"/>
      <c r="AI187" s="870"/>
      <c r="AJ187" s="870"/>
      <c r="AK187" s="870"/>
      <c r="AL187" s="870"/>
      <c r="AM187" s="870"/>
      <c r="AN187" s="870"/>
      <c r="AO187" s="870"/>
      <c r="AP187" s="870"/>
      <c r="AQ187" s="870"/>
      <c r="AR187" s="870"/>
      <c r="AS187" s="870"/>
      <c r="AT187" s="870"/>
      <c r="AU187" s="870"/>
      <c r="AW187" s="572">
        <f>17109360.48-2116679.09</f>
        <v>14992681.390000001</v>
      </c>
      <c r="AX187" s="213"/>
      <c r="AY187" s="213">
        <f t="shared" si="33"/>
        <v>14992681.390000001</v>
      </c>
    </row>
    <row r="188" spans="1:51" s="306" customFormat="1" ht="15" customHeight="1" x14ac:dyDescent="0.25">
      <c r="A188" s="214"/>
      <c r="B188" s="214" t="s">
        <v>1465</v>
      </c>
      <c r="C188" s="396">
        <v>4</v>
      </c>
      <c r="D188" s="396">
        <v>9044</v>
      </c>
      <c r="E188" s="397" t="s">
        <v>1390</v>
      </c>
      <c r="F188" s="396">
        <v>0</v>
      </c>
      <c r="G188" s="212">
        <v>0</v>
      </c>
      <c r="H188" s="212"/>
      <c r="I188" s="212"/>
      <c r="J188" s="399">
        <f t="shared" si="34"/>
        <v>0</v>
      </c>
      <c r="K188" s="211"/>
      <c r="L188" s="399">
        <v>0</v>
      </c>
      <c r="M188" s="399"/>
      <c r="N188" s="399">
        <v>0</v>
      </c>
      <c r="O188" s="213"/>
      <c r="P188" s="213">
        <f t="shared" si="32"/>
        <v>0</v>
      </c>
      <c r="Q188" s="827"/>
      <c r="R188" s="827"/>
      <c r="S188" s="827"/>
      <c r="T188" s="827"/>
      <c r="U188" s="827"/>
      <c r="V188" s="827"/>
      <c r="W188" s="827"/>
      <c r="X188" s="827"/>
      <c r="Y188" s="827"/>
      <c r="Z188" s="827"/>
      <c r="AA188" s="827"/>
      <c r="AB188" s="827"/>
      <c r="AC188" s="870"/>
      <c r="AD188" s="870"/>
      <c r="AE188" s="870"/>
      <c r="AF188" s="870"/>
      <c r="AG188" s="870"/>
      <c r="AH188" s="870"/>
      <c r="AI188" s="870"/>
      <c r="AJ188" s="870"/>
      <c r="AK188" s="870"/>
      <c r="AL188" s="870"/>
      <c r="AM188" s="870"/>
      <c r="AN188" s="870"/>
      <c r="AO188" s="870"/>
      <c r="AP188" s="870"/>
      <c r="AQ188" s="870"/>
      <c r="AR188" s="870"/>
      <c r="AS188" s="870"/>
      <c r="AT188" s="870"/>
      <c r="AU188" s="870"/>
      <c r="AW188" s="399">
        <v>0</v>
      </c>
      <c r="AX188" s="213"/>
      <c r="AY188" s="213">
        <f t="shared" si="33"/>
        <v>0</v>
      </c>
    </row>
    <row r="189" spans="1:51" s="306" customFormat="1" ht="15" customHeight="1" x14ac:dyDescent="0.25">
      <c r="A189" s="214"/>
      <c r="B189" s="214" t="s">
        <v>1466</v>
      </c>
      <c r="C189" s="396">
        <v>4</v>
      </c>
      <c r="D189" s="396">
        <v>9044</v>
      </c>
      <c r="E189" s="397" t="s">
        <v>1467</v>
      </c>
      <c r="F189" s="396">
        <v>0</v>
      </c>
      <c r="G189" s="212">
        <v>0</v>
      </c>
      <c r="H189" s="212">
        <v>709214.16</v>
      </c>
      <c r="I189" s="212"/>
      <c r="J189" s="399">
        <f t="shared" si="34"/>
        <v>709214.16</v>
      </c>
      <c r="K189" s="211"/>
      <c r="L189" s="399">
        <v>709214.16</v>
      </c>
      <c r="M189" s="399"/>
      <c r="N189" s="399">
        <v>2194511.63</v>
      </c>
      <c r="O189" s="213"/>
      <c r="P189" s="213">
        <f t="shared" si="32"/>
        <v>2194511.63</v>
      </c>
      <c r="Q189" s="827"/>
      <c r="R189" s="827"/>
      <c r="S189" s="827"/>
      <c r="T189" s="827"/>
      <c r="U189" s="827"/>
      <c r="V189" s="827"/>
      <c r="W189" s="827"/>
      <c r="X189" s="827"/>
      <c r="Y189" s="827"/>
      <c r="Z189" s="827"/>
      <c r="AA189" s="827"/>
      <c r="AB189" s="827"/>
      <c r="AC189" s="870"/>
      <c r="AD189" s="870"/>
      <c r="AE189" s="870"/>
      <c r="AF189" s="870"/>
      <c r="AG189" s="870"/>
      <c r="AH189" s="870"/>
      <c r="AI189" s="870"/>
      <c r="AJ189" s="870"/>
      <c r="AK189" s="870"/>
      <c r="AL189" s="870"/>
      <c r="AM189" s="870"/>
      <c r="AN189" s="870"/>
      <c r="AO189" s="870"/>
      <c r="AP189" s="870"/>
      <c r="AQ189" s="870"/>
      <c r="AR189" s="870"/>
      <c r="AS189" s="870"/>
      <c r="AT189" s="870"/>
      <c r="AU189" s="870"/>
      <c r="AW189" s="572">
        <f>19191560.73+5802749.09</f>
        <v>24994309.82</v>
      </c>
      <c r="AX189" s="213"/>
      <c r="AY189" s="213">
        <f t="shared" si="33"/>
        <v>24994309.82</v>
      </c>
    </row>
    <row r="190" spans="1:51" s="306" customFormat="1" ht="15" customHeight="1" x14ac:dyDescent="0.25">
      <c r="A190" s="214"/>
      <c r="B190" s="239" t="s">
        <v>138</v>
      </c>
      <c r="C190" s="396">
        <v>4</v>
      </c>
      <c r="D190" s="396">
        <v>9044</v>
      </c>
      <c r="E190" s="396">
        <v>1005</v>
      </c>
      <c r="F190" s="396">
        <v>0</v>
      </c>
      <c r="G190" s="212">
        <v>7697582.6500000004</v>
      </c>
      <c r="H190" s="212">
        <v>134732.63</v>
      </c>
      <c r="I190" s="212"/>
      <c r="J190" s="399">
        <f t="shared" si="34"/>
        <v>134732.63</v>
      </c>
      <c r="K190" s="211"/>
      <c r="L190" s="399">
        <v>134732.63</v>
      </c>
      <c r="M190" s="399"/>
      <c r="N190" s="399">
        <v>0</v>
      </c>
      <c r="O190" s="213"/>
      <c r="P190" s="213">
        <f t="shared" si="32"/>
        <v>0</v>
      </c>
      <c r="Q190" s="827"/>
      <c r="R190" s="827"/>
      <c r="S190" s="827"/>
      <c r="T190" s="827"/>
      <c r="U190" s="827"/>
      <c r="V190" s="827"/>
      <c r="W190" s="827"/>
      <c r="X190" s="827"/>
      <c r="Y190" s="827"/>
      <c r="Z190" s="827"/>
      <c r="AA190" s="827"/>
      <c r="AB190" s="827"/>
      <c r="AC190" s="870"/>
      <c r="AD190" s="870"/>
      <c r="AE190" s="870"/>
      <c r="AF190" s="870"/>
      <c r="AG190" s="870"/>
      <c r="AH190" s="870"/>
      <c r="AI190" s="870"/>
      <c r="AJ190" s="870"/>
      <c r="AK190" s="870"/>
      <c r="AL190" s="870"/>
      <c r="AM190" s="870"/>
      <c r="AN190" s="870"/>
      <c r="AO190" s="870"/>
      <c r="AP190" s="870"/>
      <c r="AQ190" s="870"/>
      <c r="AR190" s="870"/>
      <c r="AS190" s="870"/>
      <c r="AT190" s="870"/>
      <c r="AU190" s="870"/>
      <c r="AW190" s="399">
        <v>0</v>
      </c>
      <c r="AX190" s="213"/>
      <c r="AY190" s="213">
        <f t="shared" si="33"/>
        <v>0</v>
      </c>
    </row>
    <row r="191" spans="1:51" s="306" customFormat="1" ht="15" customHeight="1" x14ac:dyDescent="0.25">
      <c r="A191" s="214"/>
      <c r="B191" s="239" t="s">
        <v>1468</v>
      </c>
      <c r="C191" s="396">
        <v>4</v>
      </c>
      <c r="D191" s="396">
        <v>9044</v>
      </c>
      <c r="E191" s="396">
        <v>1105</v>
      </c>
      <c r="F191" s="396">
        <v>0</v>
      </c>
      <c r="G191" s="212">
        <v>0</v>
      </c>
      <c r="H191" s="212">
        <v>247.71</v>
      </c>
      <c r="I191" s="212"/>
      <c r="J191" s="399">
        <f t="shared" si="34"/>
        <v>247.71</v>
      </c>
      <c r="K191" s="211"/>
      <c r="L191" s="399">
        <v>247.71</v>
      </c>
      <c r="M191" s="399"/>
      <c r="N191" s="399">
        <v>144.05000000000001</v>
      </c>
      <c r="O191" s="213"/>
      <c r="P191" s="213">
        <f t="shared" si="32"/>
        <v>144.05000000000001</v>
      </c>
      <c r="Q191" s="827"/>
      <c r="R191" s="827"/>
      <c r="S191" s="827"/>
      <c r="T191" s="827"/>
      <c r="U191" s="827"/>
      <c r="V191" s="827"/>
      <c r="W191" s="827"/>
      <c r="X191" s="827"/>
      <c r="Y191" s="827"/>
      <c r="Z191" s="827"/>
      <c r="AA191" s="827"/>
      <c r="AB191" s="827"/>
      <c r="AC191" s="870"/>
      <c r="AD191" s="870"/>
      <c r="AE191" s="870"/>
      <c r="AF191" s="870"/>
      <c r="AG191" s="870"/>
      <c r="AH191" s="870"/>
      <c r="AI191" s="870"/>
      <c r="AJ191" s="870"/>
      <c r="AK191" s="870"/>
      <c r="AL191" s="870"/>
      <c r="AM191" s="870"/>
      <c r="AN191" s="870"/>
      <c r="AO191" s="870"/>
      <c r="AP191" s="870"/>
      <c r="AQ191" s="870"/>
      <c r="AR191" s="870"/>
      <c r="AS191" s="870"/>
      <c r="AT191" s="870"/>
      <c r="AU191" s="870"/>
      <c r="AW191" s="572">
        <v>245.72</v>
      </c>
      <c r="AX191" s="213"/>
      <c r="AY191" s="213">
        <f t="shared" si="33"/>
        <v>245.72</v>
      </c>
    </row>
    <row r="192" spans="1:51" s="306" customFormat="1" ht="15" customHeight="1" x14ac:dyDescent="0.25">
      <c r="A192" s="214"/>
      <c r="B192" s="239" t="s">
        <v>1469</v>
      </c>
      <c r="C192" s="396">
        <v>4</v>
      </c>
      <c r="D192" s="396">
        <v>9044</v>
      </c>
      <c r="E192" s="396">
        <v>1106</v>
      </c>
      <c r="F192" s="396">
        <v>0</v>
      </c>
      <c r="G192" s="212">
        <v>0</v>
      </c>
      <c r="H192" s="212">
        <v>104.91</v>
      </c>
      <c r="I192" s="212"/>
      <c r="J192" s="399">
        <f t="shared" si="34"/>
        <v>104.91</v>
      </c>
      <c r="K192" s="211"/>
      <c r="L192" s="399">
        <v>104.91</v>
      </c>
      <c r="M192" s="399"/>
      <c r="N192" s="399">
        <v>54.9</v>
      </c>
      <c r="O192" s="213"/>
      <c r="P192" s="213">
        <f t="shared" si="32"/>
        <v>54.9</v>
      </c>
      <c r="Q192" s="827"/>
      <c r="R192" s="827"/>
      <c r="S192" s="827"/>
      <c r="T192" s="827"/>
      <c r="U192" s="827"/>
      <c r="V192" s="827"/>
      <c r="W192" s="827"/>
      <c r="X192" s="827"/>
      <c r="Y192" s="827"/>
      <c r="Z192" s="827"/>
      <c r="AA192" s="827"/>
      <c r="AB192" s="827"/>
      <c r="AC192" s="870"/>
      <c r="AD192" s="870"/>
      <c r="AE192" s="870"/>
      <c r="AF192" s="870"/>
      <c r="AG192" s="870"/>
      <c r="AH192" s="870"/>
      <c r="AI192" s="870"/>
      <c r="AJ192" s="870"/>
      <c r="AK192" s="870"/>
      <c r="AL192" s="870"/>
      <c r="AM192" s="870"/>
      <c r="AN192" s="870"/>
      <c r="AO192" s="870"/>
      <c r="AP192" s="870"/>
      <c r="AQ192" s="870"/>
      <c r="AR192" s="870"/>
      <c r="AS192" s="870"/>
      <c r="AT192" s="870"/>
      <c r="AU192" s="870"/>
      <c r="AW192" s="572">
        <v>83.83</v>
      </c>
      <c r="AX192" s="213"/>
      <c r="AY192" s="213">
        <f t="shared" si="33"/>
        <v>83.83</v>
      </c>
    </row>
    <row r="193" spans="1:51" s="306" customFormat="1" ht="15" customHeight="1" x14ac:dyDescent="0.25">
      <c r="A193" s="214"/>
      <c r="B193" s="239" t="s">
        <v>1470</v>
      </c>
      <c r="C193" s="396">
        <v>4</v>
      </c>
      <c r="D193" s="396">
        <v>9044</v>
      </c>
      <c r="E193" s="396">
        <v>1107</v>
      </c>
      <c r="F193" s="396">
        <v>0</v>
      </c>
      <c r="G193" s="212">
        <v>0</v>
      </c>
      <c r="H193" s="212">
        <v>9304.66</v>
      </c>
      <c r="I193" s="212"/>
      <c r="J193" s="399">
        <f t="shared" si="34"/>
        <v>9304.66</v>
      </c>
      <c r="K193" s="211"/>
      <c r="L193" s="399">
        <v>9304.66</v>
      </c>
      <c r="M193" s="399"/>
      <c r="N193" s="399">
        <v>7892.64</v>
      </c>
      <c r="O193" s="213"/>
      <c r="P193" s="213">
        <f t="shared" si="32"/>
        <v>7892.64</v>
      </c>
      <c r="Q193" s="827"/>
      <c r="R193" s="827"/>
      <c r="S193" s="827"/>
      <c r="T193" s="827"/>
      <c r="U193" s="827"/>
      <c r="V193" s="827"/>
      <c r="W193" s="827"/>
      <c r="X193" s="827"/>
      <c r="Y193" s="827"/>
      <c r="Z193" s="827"/>
      <c r="AA193" s="827"/>
      <c r="AB193" s="827"/>
      <c r="AC193" s="870"/>
      <c r="AD193" s="870"/>
      <c r="AE193" s="870"/>
      <c r="AF193" s="870"/>
      <c r="AG193" s="870"/>
      <c r="AH193" s="870"/>
      <c r="AI193" s="870"/>
      <c r="AJ193" s="870"/>
      <c r="AK193" s="870"/>
      <c r="AL193" s="870"/>
      <c r="AM193" s="870"/>
      <c r="AN193" s="870"/>
      <c r="AO193" s="870"/>
      <c r="AP193" s="870"/>
      <c r="AQ193" s="870"/>
      <c r="AR193" s="870"/>
      <c r="AS193" s="870"/>
      <c r="AT193" s="870"/>
      <c r="AU193" s="870"/>
      <c r="AW193" s="572">
        <f>81004.98+11040.29</f>
        <v>92045.26999999999</v>
      </c>
      <c r="AX193" s="213"/>
      <c r="AY193" s="213">
        <f t="shared" si="33"/>
        <v>92045.26999999999</v>
      </c>
    </row>
    <row r="194" spans="1:51" s="306" customFormat="1" ht="15" customHeight="1" x14ac:dyDescent="0.25">
      <c r="A194" s="214"/>
      <c r="B194" s="239" t="s">
        <v>1471</v>
      </c>
      <c r="C194" s="396">
        <v>4</v>
      </c>
      <c r="D194" s="396">
        <v>9044</v>
      </c>
      <c r="E194" s="396">
        <v>1108</v>
      </c>
      <c r="F194" s="396">
        <v>0</v>
      </c>
      <c r="G194" s="212">
        <v>0</v>
      </c>
      <c r="H194" s="212">
        <v>118.98</v>
      </c>
      <c r="I194" s="212"/>
      <c r="J194" s="399">
        <f t="shared" si="34"/>
        <v>118.98</v>
      </c>
      <c r="K194" s="211"/>
      <c r="L194" s="399">
        <v>118.98</v>
      </c>
      <c r="M194" s="399"/>
      <c r="N194" s="399">
        <v>82.6</v>
      </c>
      <c r="O194" s="213"/>
      <c r="P194" s="213">
        <f t="shared" si="32"/>
        <v>82.6</v>
      </c>
      <c r="Q194" s="827"/>
      <c r="R194" s="827"/>
      <c r="S194" s="827"/>
      <c r="T194" s="827"/>
      <c r="U194" s="827"/>
      <c r="V194" s="827"/>
      <c r="W194" s="827"/>
      <c r="X194" s="827"/>
      <c r="Y194" s="827"/>
      <c r="Z194" s="827"/>
      <c r="AA194" s="827"/>
      <c r="AB194" s="827"/>
      <c r="AC194" s="870"/>
      <c r="AD194" s="870"/>
      <c r="AE194" s="870"/>
      <c r="AF194" s="870"/>
      <c r="AG194" s="870"/>
      <c r="AH194" s="870"/>
      <c r="AI194" s="870"/>
      <c r="AJ194" s="870"/>
      <c r="AK194" s="870"/>
      <c r="AL194" s="870"/>
      <c r="AM194" s="870"/>
      <c r="AN194" s="870"/>
      <c r="AO194" s="870"/>
      <c r="AP194" s="870"/>
      <c r="AQ194" s="870"/>
      <c r="AR194" s="870"/>
      <c r="AS194" s="870"/>
      <c r="AT194" s="870"/>
      <c r="AU194" s="870"/>
      <c r="AW194" s="572">
        <v>82.6</v>
      </c>
      <c r="AX194" s="213"/>
      <c r="AY194" s="213">
        <f t="shared" si="33"/>
        <v>82.6</v>
      </c>
    </row>
    <row r="195" spans="1:51" s="306" customFormat="1" ht="15" customHeight="1" x14ac:dyDescent="0.25">
      <c r="A195" s="214"/>
      <c r="B195" s="239" t="s">
        <v>1472</v>
      </c>
      <c r="C195" s="396">
        <v>4</v>
      </c>
      <c r="D195" s="396">
        <v>9044</v>
      </c>
      <c r="E195" s="396">
        <v>1110</v>
      </c>
      <c r="F195" s="396">
        <v>0</v>
      </c>
      <c r="G195" s="212">
        <v>0</v>
      </c>
      <c r="H195" s="212">
        <v>13276.63</v>
      </c>
      <c r="I195" s="212"/>
      <c r="J195" s="399">
        <f t="shared" si="34"/>
        <v>13276.63</v>
      </c>
      <c r="K195" s="211"/>
      <c r="L195" s="399">
        <v>13276.63</v>
      </c>
      <c r="M195" s="399"/>
      <c r="N195" s="399">
        <v>5768.77</v>
      </c>
      <c r="O195" s="213"/>
      <c r="P195" s="213">
        <f t="shared" si="32"/>
        <v>5768.77</v>
      </c>
      <c r="Q195" s="827"/>
      <c r="R195" s="827"/>
      <c r="S195" s="827"/>
      <c r="T195" s="827"/>
      <c r="U195" s="827"/>
      <c r="V195" s="827"/>
      <c r="W195" s="827"/>
      <c r="X195" s="827"/>
      <c r="Y195" s="827"/>
      <c r="Z195" s="827"/>
      <c r="AA195" s="827"/>
      <c r="AB195" s="827"/>
      <c r="AC195" s="870"/>
      <c r="AD195" s="870"/>
      <c r="AE195" s="870"/>
      <c r="AF195" s="870"/>
      <c r="AG195" s="870"/>
      <c r="AH195" s="870"/>
      <c r="AI195" s="870"/>
      <c r="AJ195" s="870"/>
      <c r="AK195" s="870"/>
      <c r="AL195" s="870"/>
      <c r="AM195" s="870"/>
      <c r="AN195" s="870"/>
      <c r="AO195" s="870"/>
      <c r="AP195" s="870"/>
      <c r="AQ195" s="870"/>
      <c r="AR195" s="870"/>
      <c r="AS195" s="870"/>
      <c r="AT195" s="870"/>
      <c r="AU195" s="870"/>
      <c r="AW195" s="572">
        <f>-6193.97+21681.28</f>
        <v>15487.309999999998</v>
      </c>
      <c r="AX195" s="213"/>
      <c r="AY195" s="213">
        <f t="shared" si="33"/>
        <v>15487.309999999998</v>
      </c>
    </row>
    <row r="196" spans="1:51" s="306" customFormat="1" ht="15" customHeight="1" x14ac:dyDescent="0.25">
      <c r="A196" s="214"/>
      <c r="B196" s="239" t="s">
        <v>1473</v>
      </c>
      <c r="C196" s="396">
        <v>4</v>
      </c>
      <c r="D196" s="396">
        <v>9044</v>
      </c>
      <c r="E196" s="396">
        <v>1111</v>
      </c>
      <c r="F196" s="396">
        <v>0</v>
      </c>
      <c r="G196" s="212">
        <v>0</v>
      </c>
      <c r="H196" s="212">
        <v>2781.28</v>
      </c>
      <c r="I196" s="212"/>
      <c r="J196" s="399">
        <f t="shared" si="34"/>
        <v>2781.28</v>
      </c>
      <c r="K196" s="211"/>
      <c r="L196" s="399">
        <v>2781.28</v>
      </c>
      <c r="M196" s="399"/>
      <c r="N196" s="399">
        <v>6842.18</v>
      </c>
      <c r="O196" s="213"/>
      <c r="P196" s="213">
        <f t="shared" si="32"/>
        <v>6842.18</v>
      </c>
      <c r="Q196" s="827"/>
      <c r="R196" s="827"/>
      <c r="S196" s="827"/>
      <c r="T196" s="827"/>
      <c r="U196" s="827"/>
      <c r="V196" s="827"/>
      <c r="W196" s="827"/>
      <c r="X196" s="827"/>
      <c r="Y196" s="827"/>
      <c r="Z196" s="827"/>
      <c r="AA196" s="827"/>
      <c r="AB196" s="827"/>
      <c r="AC196" s="870"/>
      <c r="AD196" s="870"/>
      <c r="AE196" s="870"/>
      <c r="AF196" s="870"/>
      <c r="AG196" s="870"/>
      <c r="AH196" s="870"/>
      <c r="AI196" s="870"/>
      <c r="AJ196" s="870"/>
      <c r="AK196" s="870"/>
      <c r="AL196" s="870"/>
      <c r="AM196" s="870"/>
      <c r="AN196" s="870"/>
      <c r="AO196" s="870"/>
      <c r="AP196" s="870"/>
      <c r="AQ196" s="870"/>
      <c r="AR196" s="870"/>
      <c r="AS196" s="870"/>
      <c r="AT196" s="870"/>
      <c r="AU196" s="870"/>
      <c r="AW196" s="572">
        <f>6893.98-84.39</f>
        <v>6809.5899999999992</v>
      </c>
      <c r="AX196" s="213"/>
      <c r="AY196" s="213">
        <f t="shared" si="33"/>
        <v>6809.5899999999992</v>
      </c>
    </row>
    <row r="197" spans="1:51" s="306" customFormat="1" ht="15" customHeight="1" x14ac:dyDescent="0.25">
      <c r="A197" s="214"/>
      <c r="B197" s="239" t="s">
        <v>3201</v>
      </c>
      <c r="C197" s="396">
        <v>4</v>
      </c>
      <c r="D197" s="396">
        <v>9044</v>
      </c>
      <c r="E197" s="396">
        <v>1112</v>
      </c>
      <c r="F197" s="396">
        <v>0</v>
      </c>
      <c r="G197" s="212"/>
      <c r="H197" s="212"/>
      <c r="I197" s="212"/>
      <c r="J197" s="399"/>
      <c r="K197" s="211"/>
      <c r="L197" s="399"/>
      <c r="M197" s="399"/>
      <c r="N197" s="399"/>
      <c r="O197" s="213"/>
      <c r="P197" s="213"/>
      <c r="Q197" s="827"/>
      <c r="R197" s="827"/>
      <c r="S197" s="827"/>
      <c r="T197" s="827"/>
      <c r="U197" s="827"/>
      <c r="V197" s="827"/>
      <c r="W197" s="827"/>
      <c r="X197" s="827"/>
      <c r="Y197" s="827"/>
      <c r="Z197" s="827"/>
      <c r="AA197" s="827"/>
      <c r="AB197" s="827"/>
      <c r="AC197" s="870"/>
      <c r="AD197" s="870"/>
      <c r="AE197" s="870"/>
      <c r="AF197" s="870"/>
      <c r="AG197" s="870"/>
      <c r="AH197" s="870"/>
      <c r="AI197" s="870"/>
      <c r="AJ197" s="870"/>
      <c r="AK197" s="870"/>
      <c r="AL197" s="870"/>
      <c r="AM197" s="870"/>
      <c r="AN197" s="870"/>
      <c r="AO197" s="870"/>
      <c r="AP197" s="870"/>
      <c r="AQ197" s="870"/>
      <c r="AR197" s="870"/>
      <c r="AS197" s="870"/>
      <c r="AT197" s="870"/>
      <c r="AU197" s="870"/>
      <c r="AW197" s="572">
        <v>23.21</v>
      </c>
      <c r="AX197" s="213"/>
      <c r="AY197" s="213">
        <f t="shared" si="33"/>
        <v>23.21</v>
      </c>
    </row>
    <row r="198" spans="1:51" s="306" customFormat="1" ht="15" customHeight="1" x14ac:dyDescent="0.25">
      <c r="A198" s="214"/>
      <c r="B198" s="239" t="s">
        <v>1474</v>
      </c>
      <c r="C198" s="396">
        <v>4</v>
      </c>
      <c r="D198" s="396">
        <v>9044</v>
      </c>
      <c r="E198" s="396">
        <v>1113</v>
      </c>
      <c r="F198" s="396">
        <v>0</v>
      </c>
      <c r="G198" s="239" t="s">
        <v>3245</v>
      </c>
      <c r="H198" s="396">
        <v>554.5</v>
      </c>
      <c r="I198" s="396">
        <v>-239.8</v>
      </c>
      <c r="J198" s="396">
        <v>-1034.0999999999999</v>
      </c>
      <c r="K198" s="396">
        <v>-1828.4</v>
      </c>
      <c r="L198" s="399">
        <v>18404.599999999999</v>
      </c>
      <c r="M198" s="399"/>
      <c r="N198" s="399">
        <v>73579.31</v>
      </c>
      <c r="O198" s="213"/>
      <c r="P198" s="213">
        <f t="shared" si="32"/>
        <v>73579.31</v>
      </c>
      <c r="Q198" s="827"/>
      <c r="R198" s="827"/>
      <c r="S198" s="827"/>
      <c r="T198" s="827"/>
      <c r="U198" s="827"/>
      <c r="V198" s="827"/>
      <c r="W198" s="827"/>
      <c r="X198" s="827"/>
      <c r="Y198" s="827"/>
      <c r="Z198" s="827"/>
      <c r="AA198" s="827"/>
      <c r="AB198" s="827"/>
      <c r="AC198" s="870"/>
      <c r="AD198" s="870"/>
      <c r="AE198" s="870"/>
      <c r="AF198" s="870"/>
      <c r="AG198" s="870"/>
      <c r="AH198" s="870"/>
      <c r="AI198" s="870"/>
      <c r="AJ198" s="870"/>
      <c r="AK198" s="870"/>
      <c r="AL198" s="870"/>
      <c r="AM198" s="870"/>
      <c r="AN198" s="870"/>
      <c r="AO198" s="870"/>
      <c r="AP198" s="870"/>
      <c r="AQ198" s="870"/>
      <c r="AR198" s="870"/>
      <c r="AS198" s="870"/>
      <c r="AT198" s="870"/>
      <c r="AU198" s="870"/>
      <c r="AW198" s="572">
        <f>119410.77-13213.31</f>
        <v>106197.46</v>
      </c>
      <c r="AX198" s="213"/>
      <c r="AY198" s="213">
        <f t="shared" si="33"/>
        <v>106197.46</v>
      </c>
    </row>
    <row r="199" spans="1:51" s="306" customFormat="1" ht="15" customHeight="1" x14ac:dyDescent="0.25">
      <c r="A199" s="214"/>
      <c r="B199" s="239" t="s">
        <v>3246</v>
      </c>
      <c r="C199" s="396">
        <v>4</v>
      </c>
      <c r="D199" s="396">
        <v>9044</v>
      </c>
      <c r="E199" s="396">
        <v>1114</v>
      </c>
      <c r="F199" s="396">
        <v>0</v>
      </c>
      <c r="G199" s="212"/>
      <c r="H199" s="212"/>
      <c r="I199" s="212"/>
      <c r="J199" s="399"/>
      <c r="K199" s="211"/>
      <c r="L199" s="399"/>
      <c r="M199" s="399"/>
      <c r="N199" s="399"/>
      <c r="O199" s="213"/>
      <c r="P199" s="213"/>
      <c r="Q199" s="827"/>
      <c r="R199" s="827"/>
      <c r="S199" s="827"/>
      <c r="T199" s="827"/>
      <c r="U199" s="827"/>
      <c r="V199" s="827"/>
      <c r="W199" s="827"/>
      <c r="X199" s="827"/>
      <c r="Y199" s="827"/>
      <c r="Z199" s="827"/>
      <c r="AA199" s="827"/>
      <c r="AB199" s="827"/>
      <c r="AC199" s="870"/>
      <c r="AD199" s="870"/>
      <c r="AE199" s="870"/>
      <c r="AF199" s="870"/>
      <c r="AG199" s="870"/>
      <c r="AH199" s="870"/>
      <c r="AI199" s="870"/>
      <c r="AJ199" s="870"/>
      <c r="AK199" s="870"/>
      <c r="AL199" s="870"/>
      <c r="AM199" s="870"/>
      <c r="AN199" s="870"/>
      <c r="AO199" s="870"/>
      <c r="AP199" s="870"/>
      <c r="AQ199" s="870"/>
      <c r="AR199" s="870"/>
      <c r="AS199" s="870"/>
      <c r="AT199" s="870"/>
      <c r="AU199" s="870"/>
      <c r="AW199" s="572">
        <v>344289.75</v>
      </c>
      <c r="AX199" s="213"/>
      <c r="AY199" s="213">
        <f t="shared" si="33"/>
        <v>344289.75</v>
      </c>
    </row>
    <row r="200" spans="1:51" s="306" customFormat="1" ht="15" customHeight="1" x14ac:dyDescent="0.25">
      <c r="A200" s="214"/>
      <c r="B200" s="239" t="s">
        <v>3202</v>
      </c>
      <c r="C200" s="396">
        <v>4</v>
      </c>
      <c r="D200" s="396">
        <v>9044</v>
      </c>
      <c r="E200" s="396">
        <v>1115</v>
      </c>
      <c r="F200" s="396">
        <v>0</v>
      </c>
      <c r="G200" s="212"/>
      <c r="H200" s="212"/>
      <c r="I200" s="212"/>
      <c r="J200" s="399"/>
      <c r="K200" s="211"/>
      <c r="L200" s="399"/>
      <c r="M200" s="399"/>
      <c r="N200" s="399"/>
      <c r="O200" s="213"/>
      <c r="P200" s="213"/>
      <c r="Q200" s="827"/>
      <c r="R200" s="827"/>
      <c r="S200" s="827"/>
      <c r="T200" s="827"/>
      <c r="U200" s="827"/>
      <c r="V200" s="827"/>
      <c r="W200" s="827"/>
      <c r="X200" s="827"/>
      <c r="Y200" s="827"/>
      <c r="Z200" s="827"/>
      <c r="AA200" s="827"/>
      <c r="AB200" s="827"/>
      <c r="AC200" s="870"/>
      <c r="AD200" s="870"/>
      <c r="AE200" s="870"/>
      <c r="AF200" s="870"/>
      <c r="AG200" s="870"/>
      <c r="AH200" s="870"/>
      <c r="AI200" s="870"/>
      <c r="AJ200" s="870"/>
      <c r="AK200" s="870"/>
      <c r="AL200" s="870"/>
      <c r="AM200" s="870"/>
      <c r="AN200" s="870"/>
      <c r="AO200" s="870"/>
      <c r="AP200" s="870"/>
      <c r="AQ200" s="870"/>
      <c r="AR200" s="870"/>
      <c r="AS200" s="870"/>
      <c r="AT200" s="870"/>
      <c r="AU200" s="870"/>
      <c r="AW200" s="572">
        <v>18758.95</v>
      </c>
      <c r="AX200" s="213"/>
      <c r="AY200" s="213">
        <f t="shared" si="33"/>
        <v>18758.95</v>
      </c>
    </row>
    <row r="201" spans="1:51" s="306" customFormat="1" ht="15" customHeight="1" x14ac:dyDescent="0.25">
      <c r="A201" s="214"/>
      <c r="B201" s="239" t="s">
        <v>1475</v>
      </c>
      <c r="C201" s="396">
        <v>4</v>
      </c>
      <c r="D201" s="396">
        <v>9044</v>
      </c>
      <c r="E201" s="396">
        <v>1118</v>
      </c>
      <c r="F201" s="396">
        <v>0</v>
      </c>
      <c r="G201" s="212">
        <v>0</v>
      </c>
      <c r="H201" s="212">
        <v>1235.6400000000001</v>
      </c>
      <c r="I201" s="212"/>
      <c r="J201" s="399">
        <f t="shared" si="34"/>
        <v>1235.6400000000001</v>
      </c>
      <c r="K201" s="211"/>
      <c r="L201" s="399">
        <v>1235.6400000000001</v>
      </c>
      <c r="M201" s="399"/>
      <c r="N201" s="399">
        <v>499.17</v>
      </c>
      <c r="O201" s="213"/>
      <c r="P201" s="213">
        <f t="shared" si="32"/>
        <v>499.17</v>
      </c>
      <c r="Q201" s="827"/>
      <c r="R201" s="827"/>
      <c r="S201" s="827"/>
      <c r="T201" s="827"/>
      <c r="U201" s="827"/>
      <c r="V201" s="827"/>
      <c r="W201" s="827"/>
      <c r="X201" s="827"/>
      <c r="Y201" s="827"/>
      <c r="Z201" s="827"/>
      <c r="AA201" s="827"/>
      <c r="AB201" s="827"/>
      <c r="AC201" s="870"/>
      <c r="AD201" s="870"/>
      <c r="AE201" s="870"/>
      <c r="AF201" s="870"/>
      <c r="AG201" s="870"/>
      <c r="AH201" s="870"/>
      <c r="AI201" s="870"/>
      <c r="AJ201" s="870"/>
      <c r="AK201" s="870"/>
      <c r="AL201" s="870"/>
      <c r="AM201" s="870"/>
      <c r="AN201" s="870"/>
      <c r="AO201" s="870"/>
      <c r="AP201" s="870"/>
      <c r="AQ201" s="870"/>
      <c r="AR201" s="870"/>
      <c r="AS201" s="870"/>
      <c r="AT201" s="870"/>
      <c r="AU201" s="870"/>
      <c r="AW201" s="572">
        <v>26339.63</v>
      </c>
      <c r="AX201" s="213"/>
      <c r="AY201" s="213">
        <f t="shared" si="33"/>
        <v>26339.63</v>
      </c>
    </row>
    <row r="202" spans="1:51" s="306" customFormat="1" ht="15" customHeight="1" x14ac:dyDescent="0.25">
      <c r="A202" s="214"/>
      <c r="B202" s="239" t="s">
        <v>3203</v>
      </c>
      <c r="C202" s="396">
        <v>4</v>
      </c>
      <c r="D202" s="396">
        <v>9044</v>
      </c>
      <c r="E202" s="396">
        <v>1119</v>
      </c>
      <c r="F202" s="396">
        <v>0</v>
      </c>
      <c r="G202" s="212"/>
      <c r="H202" s="212"/>
      <c r="I202" s="212"/>
      <c r="J202" s="399"/>
      <c r="K202" s="211"/>
      <c r="L202" s="399"/>
      <c r="M202" s="399"/>
      <c r="N202" s="399"/>
      <c r="O202" s="213"/>
      <c r="P202" s="213"/>
      <c r="Q202" s="827"/>
      <c r="R202" s="827"/>
      <c r="S202" s="827"/>
      <c r="T202" s="827"/>
      <c r="U202" s="827"/>
      <c r="V202" s="827"/>
      <c r="W202" s="827"/>
      <c r="X202" s="827"/>
      <c r="Y202" s="827"/>
      <c r="Z202" s="827"/>
      <c r="AA202" s="827"/>
      <c r="AB202" s="827"/>
      <c r="AC202" s="870"/>
      <c r="AD202" s="870"/>
      <c r="AE202" s="870"/>
      <c r="AF202" s="870"/>
      <c r="AG202" s="870"/>
      <c r="AH202" s="870"/>
      <c r="AI202" s="870"/>
      <c r="AJ202" s="870"/>
      <c r="AK202" s="870"/>
      <c r="AL202" s="870"/>
      <c r="AM202" s="870"/>
      <c r="AN202" s="870"/>
      <c r="AO202" s="870"/>
      <c r="AP202" s="870"/>
      <c r="AQ202" s="870"/>
      <c r="AR202" s="870"/>
      <c r="AS202" s="870"/>
      <c r="AT202" s="870"/>
      <c r="AU202" s="870"/>
      <c r="AW202" s="572">
        <v>619.73</v>
      </c>
      <c r="AX202" s="213"/>
      <c r="AY202" s="213">
        <f t="shared" si="33"/>
        <v>619.73</v>
      </c>
    </row>
    <row r="203" spans="1:51" s="306" customFormat="1" ht="15" customHeight="1" x14ac:dyDescent="0.25">
      <c r="A203" s="238"/>
      <c r="B203" s="575" t="s">
        <v>1478</v>
      </c>
      <c r="C203" s="396">
        <v>4</v>
      </c>
      <c r="D203" s="396">
        <v>9060</v>
      </c>
      <c r="E203" s="397" t="s">
        <v>1379</v>
      </c>
      <c r="F203" s="396">
        <v>0</v>
      </c>
      <c r="G203" s="400">
        <v>0</v>
      </c>
      <c r="H203" s="400">
        <v>9560568.0899999999</v>
      </c>
      <c r="I203" s="400"/>
      <c r="J203" s="399">
        <f t="shared" si="34"/>
        <v>9560568.0899999999</v>
      </c>
      <c r="K203" s="211"/>
      <c r="L203" s="399">
        <v>9560568.0899999999</v>
      </c>
      <c r="M203" s="399"/>
      <c r="N203" s="399">
        <v>29449269.289999999</v>
      </c>
      <c r="O203" s="213"/>
      <c r="P203" s="213">
        <f t="shared" si="32"/>
        <v>29449269.289999999</v>
      </c>
      <c r="Q203" s="827"/>
      <c r="R203" s="827"/>
      <c r="S203" s="827"/>
      <c r="T203" s="827"/>
      <c r="U203" s="827"/>
      <c r="V203" s="827"/>
      <c r="W203" s="827"/>
      <c r="X203" s="827"/>
      <c r="Y203" s="827"/>
      <c r="Z203" s="827"/>
      <c r="AA203" s="827"/>
      <c r="AB203" s="827"/>
      <c r="AC203" s="870"/>
      <c r="AD203" s="870"/>
      <c r="AE203" s="870"/>
      <c r="AF203" s="870"/>
      <c r="AG203" s="870"/>
      <c r="AH203" s="870"/>
      <c r="AI203" s="870"/>
      <c r="AJ203" s="870"/>
      <c r="AK203" s="870"/>
      <c r="AL203" s="870"/>
      <c r="AM203" s="870"/>
      <c r="AN203" s="870"/>
      <c r="AO203" s="870"/>
      <c r="AP203" s="870"/>
      <c r="AQ203" s="870"/>
      <c r="AR203" s="870"/>
      <c r="AS203" s="870"/>
      <c r="AT203" s="870"/>
      <c r="AU203" s="870"/>
      <c r="AW203" s="572">
        <f>41405216.18</f>
        <v>41405216.18</v>
      </c>
      <c r="AX203" s="213"/>
      <c r="AY203" s="213">
        <f t="shared" si="33"/>
        <v>41405216.18</v>
      </c>
    </row>
    <row r="204" spans="1:51" s="306" customFormat="1" ht="15" customHeight="1" x14ac:dyDescent="0.25">
      <c r="A204" s="238"/>
      <c r="B204" s="239"/>
      <c r="C204" s="396"/>
      <c r="D204" s="396"/>
      <c r="E204" s="397"/>
      <c r="F204" s="396"/>
      <c r="G204" s="398">
        <f>SUM(G176:G203)</f>
        <v>358159222.63</v>
      </c>
      <c r="H204" s="398">
        <f>SUM(H176:H203)</f>
        <v>427597737.47999996</v>
      </c>
      <c r="I204" s="398">
        <f>SUM(I176:I203)</f>
        <v>6990753.1000000006</v>
      </c>
      <c r="J204" s="398">
        <f>SUM(J176:J203)</f>
        <v>434587141.77999991</v>
      </c>
      <c r="K204" s="211"/>
      <c r="L204" s="354">
        <f>SUM(L176:L203)</f>
        <v>434606580.47999996</v>
      </c>
      <c r="M204" s="354"/>
      <c r="N204" s="354">
        <f>SUM(N176:N203)</f>
        <v>604204381.94999969</v>
      </c>
      <c r="O204" s="354">
        <f>SUM(O176:O203)</f>
        <v>0</v>
      </c>
      <c r="P204" s="354">
        <f>SUM(P176:P203)</f>
        <v>604204381.94999969</v>
      </c>
      <c r="Q204" s="496"/>
      <c r="R204" s="496"/>
      <c r="S204" s="496"/>
      <c r="T204" s="496"/>
      <c r="U204" s="496"/>
      <c r="V204" s="496"/>
      <c r="W204" s="496"/>
      <c r="X204" s="496"/>
      <c r="Y204" s="496"/>
      <c r="Z204" s="496"/>
      <c r="AA204" s="496"/>
      <c r="AB204" s="496"/>
      <c r="AC204" s="871"/>
      <c r="AD204" s="871"/>
      <c r="AE204" s="871"/>
      <c r="AF204" s="871"/>
      <c r="AG204" s="871"/>
      <c r="AH204" s="871"/>
      <c r="AI204" s="871"/>
      <c r="AJ204" s="871"/>
      <c r="AK204" s="871"/>
      <c r="AL204" s="871"/>
      <c r="AM204" s="871"/>
      <c r="AN204" s="871"/>
      <c r="AO204" s="871"/>
      <c r="AP204" s="871"/>
      <c r="AQ204" s="871"/>
      <c r="AR204" s="871"/>
      <c r="AS204" s="871"/>
      <c r="AT204" s="871"/>
      <c r="AU204" s="871"/>
      <c r="AW204" s="354">
        <f>SUM(AW176:AW203)</f>
        <v>749560148.87000024</v>
      </c>
      <c r="AX204" s="354">
        <f>SUM(AX176:AX203)</f>
        <v>0</v>
      </c>
      <c r="AY204" s="354">
        <f>SUM(AY176:AY203)</f>
        <v>749560148.87000024</v>
      </c>
    </row>
    <row r="205" spans="1:51" s="306" customFormat="1" ht="15" customHeight="1" x14ac:dyDescent="0.25">
      <c r="A205" s="214"/>
      <c r="B205" s="214" t="s">
        <v>136</v>
      </c>
      <c r="C205" s="396">
        <v>4</v>
      </c>
      <c r="D205" s="396">
        <v>9044</v>
      </c>
      <c r="E205" s="397" t="s">
        <v>1382</v>
      </c>
      <c r="F205" s="396">
        <v>0</v>
      </c>
      <c r="G205" s="212">
        <v>-145856743</v>
      </c>
      <c r="H205" s="212">
        <v>-168346946</v>
      </c>
      <c r="I205" s="212"/>
      <c r="J205" s="399">
        <f>H205+I205</f>
        <v>-168346946</v>
      </c>
      <c r="K205" s="211"/>
      <c r="L205" s="399">
        <v>-168346946</v>
      </c>
      <c r="M205" s="399"/>
      <c r="N205" s="399">
        <v>-221833013</v>
      </c>
      <c r="O205" s="213"/>
      <c r="P205" s="213">
        <f t="shared" si="32"/>
        <v>-221833013</v>
      </c>
      <c r="Q205" s="827"/>
      <c r="R205" s="827"/>
      <c r="S205" s="827"/>
      <c r="T205" s="827"/>
      <c r="U205" s="827"/>
      <c r="V205" s="827"/>
      <c r="W205" s="827"/>
      <c r="X205" s="827"/>
      <c r="Y205" s="827"/>
      <c r="Z205" s="827"/>
      <c r="AA205" s="827"/>
      <c r="AB205" s="827"/>
      <c r="AC205" s="870"/>
      <c r="AD205" s="870"/>
      <c r="AE205" s="870"/>
      <c r="AF205" s="870"/>
      <c r="AG205" s="870"/>
      <c r="AH205" s="870"/>
      <c r="AI205" s="870"/>
      <c r="AJ205" s="870"/>
      <c r="AK205" s="870"/>
      <c r="AL205" s="870"/>
      <c r="AM205" s="870"/>
      <c r="AN205" s="870"/>
      <c r="AO205" s="870"/>
      <c r="AP205" s="870"/>
      <c r="AQ205" s="870"/>
      <c r="AR205" s="870"/>
      <c r="AS205" s="870"/>
      <c r="AT205" s="870"/>
      <c r="AU205" s="870"/>
      <c r="AW205" s="572">
        <f>-216853824.57-180154437.43-0.14</f>
        <v>-397008262.13999999</v>
      </c>
      <c r="AX205" s="213"/>
      <c r="AY205" s="213">
        <f>AW205+AX205</f>
        <v>-397008262.13999999</v>
      </c>
    </row>
    <row r="206" spans="1:51" s="306" customFormat="1" ht="15" customHeight="1" x14ac:dyDescent="0.25">
      <c r="A206" s="214"/>
      <c r="B206" s="576" t="s">
        <v>3152</v>
      </c>
      <c r="C206" s="396">
        <v>3</v>
      </c>
      <c r="D206" s="396">
        <v>8050</v>
      </c>
      <c r="E206" s="397" t="s">
        <v>3154</v>
      </c>
      <c r="F206" s="396">
        <v>0</v>
      </c>
      <c r="G206" s="212"/>
      <c r="H206" s="212"/>
      <c r="I206" s="212"/>
      <c r="J206" s="399"/>
      <c r="K206" s="211"/>
      <c r="L206" s="399"/>
      <c r="M206" s="399"/>
      <c r="N206" s="399"/>
      <c r="O206" s="213">
        <v>-31398377</v>
      </c>
      <c r="P206" s="213">
        <f t="shared" si="32"/>
        <v>-31398377</v>
      </c>
      <c r="Q206" s="827"/>
      <c r="R206" s="827"/>
      <c r="S206" s="827"/>
      <c r="T206" s="827"/>
      <c r="U206" s="827"/>
      <c r="V206" s="827"/>
      <c r="W206" s="827"/>
      <c r="X206" s="827"/>
      <c r="Y206" s="827"/>
      <c r="Z206" s="827"/>
      <c r="AA206" s="827"/>
      <c r="AB206" s="827"/>
      <c r="AC206" s="870"/>
      <c r="AD206" s="870"/>
      <c r="AE206" s="870"/>
      <c r="AF206" s="870"/>
      <c r="AG206" s="870"/>
      <c r="AH206" s="870"/>
      <c r="AI206" s="870"/>
      <c r="AJ206" s="870"/>
      <c r="AK206" s="870"/>
      <c r="AL206" s="870"/>
      <c r="AM206" s="870"/>
      <c r="AN206" s="870"/>
      <c r="AO206" s="870"/>
      <c r="AP206" s="870"/>
      <c r="AQ206" s="870"/>
      <c r="AR206" s="870"/>
      <c r="AS206" s="870"/>
      <c r="AT206" s="870"/>
      <c r="AU206" s="870"/>
      <c r="AW206" s="572">
        <f>-31398377+31398377</f>
        <v>0</v>
      </c>
      <c r="AX206" s="213"/>
      <c r="AY206" s="213">
        <f>AW206+AX206</f>
        <v>0</v>
      </c>
    </row>
    <row r="207" spans="1:51" s="306" customFormat="1" ht="15" customHeight="1" x14ac:dyDescent="0.25">
      <c r="A207" s="214"/>
      <c r="B207" s="239" t="s">
        <v>138</v>
      </c>
      <c r="C207" s="396">
        <v>4</v>
      </c>
      <c r="D207" s="396">
        <v>9044</v>
      </c>
      <c r="E207" s="396">
        <v>1005</v>
      </c>
      <c r="F207" s="396">
        <v>0</v>
      </c>
      <c r="G207" s="212"/>
      <c r="H207" s="212"/>
      <c r="I207" s="212"/>
      <c r="J207" s="399"/>
      <c r="K207" s="211"/>
      <c r="L207" s="399"/>
      <c r="M207" s="399"/>
      <c r="N207" s="399">
        <v>1073808.6299999999</v>
      </c>
      <c r="O207" s="213"/>
      <c r="P207" s="213">
        <f t="shared" si="32"/>
        <v>1073808.6299999999</v>
      </c>
      <c r="Q207" s="827"/>
      <c r="R207" s="827"/>
      <c r="S207" s="827"/>
      <c r="T207" s="827"/>
      <c r="U207" s="827"/>
      <c r="V207" s="827"/>
      <c r="W207" s="827"/>
      <c r="X207" s="827"/>
      <c r="Y207" s="827"/>
      <c r="Z207" s="827"/>
      <c r="AA207" s="827"/>
      <c r="AB207" s="827"/>
      <c r="AC207" s="870"/>
      <c r="AD207" s="870"/>
      <c r="AE207" s="870"/>
      <c r="AF207" s="870"/>
      <c r="AG207" s="870"/>
      <c r="AH207" s="870"/>
      <c r="AI207" s="870"/>
      <c r="AJ207" s="870"/>
      <c r="AK207" s="870"/>
      <c r="AL207" s="870"/>
      <c r="AM207" s="870"/>
      <c r="AN207" s="870"/>
      <c r="AO207" s="870"/>
      <c r="AP207" s="870"/>
      <c r="AQ207" s="870"/>
      <c r="AR207" s="870"/>
      <c r="AS207" s="870"/>
      <c r="AT207" s="870"/>
      <c r="AU207" s="870"/>
      <c r="AW207" s="572">
        <v>1646182.57</v>
      </c>
      <c r="AX207" s="213"/>
      <c r="AY207" s="213">
        <f>AW207+AX207</f>
        <v>1646182.57</v>
      </c>
    </row>
    <row r="208" spans="1:51" s="306" customFormat="1" ht="15" customHeight="1" x14ac:dyDescent="0.25">
      <c r="A208" s="214"/>
      <c r="B208" s="214" t="s">
        <v>1454</v>
      </c>
      <c r="C208" s="396">
        <v>4</v>
      </c>
      <c r="D208" s="396">
        <v>9047</v>
      </c>
      <c r="E208" s="397" t="s">
        <v>1447</v>
      </c>
      <c r="F208" s="396">
        <v>0</v>
      </c>
      <c r="G208" s="212">
        <v>-18800340.870000001</v>
      </c>
      <c r="H208" s="212">
        <v>2507482.7999999998</v>
      </c>
      <c r="I208" s="212"/>
      <c r="J208" s="399">
        <f>H208+I208</f>
        <v>2507482.7999999998</v>
      </c>
      <c r="K208" s="211"/>
      <c r="L208" s="399">
        <v>2507482.7999999998</v>
      </c>
      <c r="M208" s="399"/>
      <c r="N208" s="399">
        <v>0</v>
      </c>
      <c r="O208" s="213"/>
      <c r="P208" s="213">
        <f t="shared" si="32"/>
        <v>0</v>
      </c>
      <c r="Q208" s="827"/>
      <c r="R208" s="827"/>
      <c r="S208" s="827"/>
      <c r="T208" s="827"/>
      <c r="U208" s="827"/>
      <c r="V208" s="827"/>
      <c r="W208" s="827"/>
      <c r="X208" s="827"/>
      <c r="Y208" s="827"/>
      <c r="Z208" s="827"/>
      <c r="AA208" s="827"/>
      <c r="AB208" s="827"/>
      <c r="AC208" s="870"/>
      <c r="AD208" s="870"/>
      <c r="AE208" s="870"/>
      <c r="AF208" s="870"/>
      <c r="AG208" s="870"/>
      <c r="AH208" s="870"/>
      <c r="AI208" s="870"/>
      <c r="AJ208" s="870"/>
      <c r="AK208" s="870"/>
      <c r="AL208" s="870"/>
      <c r="AM208" s="870"/>
      <c r="AN208" s="870"/>
      <c r="AO208" s="870"/>
      <c r="AP208" s="870"/>
      <c r="AQ208" s="870"/>
      <c r="AR208" s="870"/>
      <c r="AS208" s="870"/>
      <c r="AT208" s="870"/>
      <c r="AU208" s="870"/>
      <c r="AW208" s="399">
        <v>0</v>
      </c>
      <c r="AX208" s="213"/>
      <c r="AY208" s="213">
        <f>AW208+AX208</f>
        <v>0</v>
      </c>
    </row>
    <row r="209" spans="1:51" s="306" customFormat="1" ht="15" customHeight="1" x14ac:dyDescent="0.25">
      <c r="A209" s="214"/>
      <c r="B209" s="214" t="s">
        <v>1504</v>
      </c>
      <c r="C209" s="396">
        <v>4</v>
      </c>
      <c r="D209" s="396">
        <v>9047</v>
      </c>
      <c r="E209" s="397" t="s">
        <v>1379</v>
      </c>
      <c r="F209" s="396">
        <v>0</v>
      </c>
      <c r="G209" s="212"/>
      <c r="H209" s="212">
        <v>-5314166.5199999996</v>
      </c>
      <c r="I209" s="212"/>
      <c r="J209" s="399">
        <f>H209+I209</f>
        <v>-5314166.5199999996</v>
      </c>
      <c r="K209" s="211"/>
      <c r="L209" s="399">
        <v>-5314166.5199999996</v>
      </c>
      <c r="M209" s="399"/>
      <c r="N209" s="399">
        <v>0</v>
      </c>
      <c r="O209" s="213"/>
      <c r="P209" s="213">
        <f t="shared" si="32"/>
        <v>0</v>
      </c>
      <c r="Q209" s="827"/>
      <c r="R209" s="827"/>
      <c r="S209" s="827"/>
      <c r="T209" s="827"/>
      <c r="U209" s="827"/>
      <c r="V209" s="827"/>
      <c r="W209" s="827"/>
      <c r="X209" s="827"/>
      <c r="Y209" s="827"/>
      <c r="Z209" s="827"/>
      <c r="AA209" s="827"/>
      <c r="AB209" s="827"/>
      <c r="AC209" s="870"/>
      <c r="AD209" s="870"/>
      <c r="AE209" s="870"/>
      <c r="AF209" s="870"/>
      <c r="AG209" s="870"/>
      <c r="AH209" s="870"/>
      <c r="AI209" s="870"/>
      <c r="AJ209" s="870"/>
      <c r="AK209" s="870"/>
      <c r="AL209" s="870"/>
      <c r="AM209" s="870"/>
      <c r="AN209" s="870"/>
      <c r="AO209" s="870"/>
      <c r="AP209" s="870"/>
      <c r="AQ209" s="870"/>
      <c r="AR209" s="870"/>
      <c r="AS209" s="870"/>
      <c r="AT209" s="870"/>
      <c r="AU209" s="870"/>
      <c r="AW209" s="399">
        <v>0</v>
      </c>
      <c r="AX209" s="213"/>
      <c r="AY209" s="213">
        <f>AW209+AX209</f>
        <v>0</v>
      </c>
    </row>
    <row r="210" spans="1:51" s="306" customFormat="1" ht="15" customHeight="1" x14ac:dyDescent="0.25">
      <c r="A210" s="214"/>
      <c r="B210" s="214"/>
      <c r="C210" s="396"/>
      <c r="D210" s="396"/>
      <c r="E210" s="397"/>
      <c r="F210" s="396"/>
      <c r="G210" s="398">
        <f>SUM(G208:G209)</f>
        <v>-18800340.870000001</v>
      </c>
      <c r="H210" s="398">
        <f>SUM(H208:H209)</f>
        <v>-2806683.7199999997</v>
      </c>
      <c r="I210" s="398">
        <f>SUM(I208:I209)</f>
        <v>0</v>
      </c>
      <c r="J210" s="398">
        <f>SUM(J208:J209)</f>
        <v>-2806683.7199999997</v>
      </c>
      <c r="K210" s="211"/>
      <c r="L210" s="354">
        <f>SUM(L208:L209)</f>
        <v>-2806683.7199999997</v>
      </c>
      <c r="M210" s="354"/>
      <c r="N210" s="354">
        <f>SUM(N207:N209)</f>
        <v>1073808.6299999999</v>
      </c>
      <c r="O210" s="354">
        <f>SUM(O207:O209)</f>
        <v>0</v>
      </c>
      <c r="P210" s="354">
        <f>SUM(P207:P209)</f>
        <v>1073808.6299999999</v>
      </c>
      <c r="Q210" s="496"/>
      <c r="R210" s="496"/>
      <c r="S210" s="496"/>
      <c r="T210" s="496"/>
      <c r="U210" s="496"/>
      <c r="V210" s="496"/>
      <c r="W210" s="496"/>
      <c r="X210" s="496"/>
      <c r="Y210" s="496"/>
      <c r="Z210" s="496"/>
      <c r="AA210" s="496"/>
      <c r="AB210" s="496"/>
      <c r="AC210" s="871"/>
      <c r="AD210" s="871"/>
      <c r="AE210" s="871"/>
      <c r="AF210" s="871"/>
      <c r="AG210" s="871"/>
      <c r="AH210" s="871"/>
      <c r="AI210" s="871"/>
      <c r="AJ210" s="871"/>
      <c r="AK210" s="871"/>
      <c r="AL210" s="871"/>
      <c r="AM210" s="871"/>
      <c r="AN210" s="871"/>
      <c r="AO210" s="871"/>
      <c r="AP210" s="871"/>
      <c r="AQ210" s="871"/>
      <c r="AR210" s="871"/>
      <c r="AS210" s="871"/>
      <c r="AT210" s="871"/>
      <c r="AU210" s="871"/>
      <c r="AW210" s="354">
        <f>SUM(AW207:AW209)</f>
        <v>1646182.57</v>
      </c>
      <c r="AX210" s="354">
        <f>SUM(AX207:AX209)</f>
        <v>0</v>
      </c>
      <c r="AY210" s="354">
        <f>SUM(AY207:AY209)</f>
        <v>1646182.57</v>
      </c>
    </row>
    <row r="211" spans="1:51" s="306" customFormat="1" ht="15" customHeight="1" x14ac:dyDescent="0.25">
      <c r="A211" s="214"/>
      <c r="B211" s="214"/>
      <c r="C211" s="396"/>
      <c r="D211" s="396"/>
      <c r="E211" s="396"/>
      <c r="F211" s="396"/>
      <c r="G211" s="374">
        <f>G204+G205+G210</f>
        <v>193502138.75999999</v>
      </c>
      <c r="H211" s="374">
        <f>H204+H205+H210</f>
        <v>256444107.75999996</v>
      </c>
      <c r="I211" s="374">
        <f>I204+I205+I210</f>
        <v>6990753.1000000006</v>
      </c>
      <c r="J211" s="374">
        <f>J204+J205+J210</f>
        <v>263433512.05999991</v>
      </c>
      <c r="K211" s="211"/>
      <c r="L211" s="373">
        <f>L204+L205+L210</f>
        <v>263452950.75999996</v>
      </c>
      <c r="M211" s="373"/>
      <c r="N211" s="373">
        <f>N204+N205+N210</f>
        <v>383445177.57999969</v>
      </c>
      <c r="O211" s="373">
        <f>O204+O205+O206+O210</f>
        <v>-31398377</v>
      </c>
      <c r="P211" s="373">
        <f>P204+P205+P206+P210</f>
        <v>352046800.57999969</v>
      </c>
      <c r="Q211" s="373"/>
      <c r="R211" s="373"/>
      <c r="S211" s="373"/>
      <c r="T211" s="373"/>
      <c r="U211" s="373"/>
      <c r="V211" s="373"/>
      <c r="W211" s="373"/>
      <c r="X211" s="373"/>
      <c r="Y211" s="373"/>
      <c r="Z211" s="373"/>
      <c r="AA211" s="373"/>
      <c r="AB211" s="373"/>
      <c r="AC211" s="874"/>
      <c r="AD211" s="874"/>
      <c r="AE211" s="874"/>
      <c r="AF211" s="874"/>
      <c r="AG211" s="874"/>
      <c r="AH211" s="874"/>
      <c r="AI211" s="874"/>
      <c r="AJ211" s="874"/>
      <c r="AK211" s="874"/>
      <c r="AL211" s="874"/>
      <c r="AM211" s="874"/>
      <c r="AN211" s="874"/>
      <c r="AO211" s="874"/>
      <c r="AP211" s="874"/>
      <c r="AQ211" s="874"/>
      <c r="AR211" s="874"/>
      <c r="AS211" s="874"/>
      <c r="AT211" s="874"/>
      <c r="AU211" s="874"/>
      <c r="AV211" s="373"/>
      <c r="AW211" s="373">
        <f>AW204+AW205+AW206+AW210</f>
        <v>354198069.30000025</v>
      </c>
      <c r="AX211" s="373">
        <f>AX204+AX205+AX206+AX210</f>
        <v>0</v>
      </c>
      <c r="AY211" s="373">
        <f>AY204+AY205+AY206+AY210</f>
        <v>354198069.30000025</v>
      </c>
    </row>
    <row r="212" spans="1:51" s="306" customFormat="1" ht="15" customHeight="1" x14ac:dyDescent="0.25">
      <c r="A212" s="214"/>
      <c r="B212" s="214"/>
      <c r="C212" s="396"/>
      <c r="D212" s="396"/>
      <c r="E212" s="396"/>
      <c r="F212" s="396"/>
      <c r="G212" s="212"/>
      <c r="H212" s="212"/>
      <c r="I212" s="212"/>
      <c r="J212" s="213"/>
      <c r="K212" s="211"/>
      <c r="L212" s="213"/>
      <c r="M212" s="213"/>
      <c r="N212" s="213"/>
      <c r="O212" s="213"/>
      <c r="P212" s="213"/>
      <c r="Q212" s="827"/>
      <c r="R212" s="827"/>
      <c r="S212" s="827"/>
      <c r="T212" s="827"/>
      <c r="U212" s="827"/>
      <c r="V212" s="827"/>
      <c r="W212" s="827"/>
      <c r="X212" s="827"/>
      <c r="Y212" s="827"/>
      <c r="Z212" s="827"/>
      <c r="AA212" s="827"/>
      <c r="AB212" s="827"/>
      <c r="AC212" s="870"/>
      <c r="AD212" s="870"/>
      <c r="AE212" s="870"/>
      <c r="AF212" s="870"/>
      <c r="AG212" s="870"/>
      <c r="AH212" s="870"/>
      <c r="AI212" s="870"/>
      <c r="AJ212" s="870"/>
      <c r="AK212" s="870"/>
      <c r="AL212" s="870"/>
      <c r="AM212" s="870"/>
      <c r="AN212" s="870"/>
      <c r="AO212" s="870"/>
      <c r="AP212" s="870"/>
      <c r="AQ212" s="870"/>
      <c r="AR212" s="870"/>
      <c r="AS212" s="870"/>
      <c r="AT212" s="870"/>
      <c r="AU212" s="870"/>
      <c r="AW212" s="213"/>
      <c r="AX212" s="213"/>
      <c r="AY212" s="213"/>
    </row>
    <row r="213" spans="1:51" s="306" customFormat="1" ht="15" customHeight="1" x14ac:dyDescent="0.25">
      <c r="A213" s="238" t="s">
        <v>139</v>
      </c>
      <c r="B213" s="238" t="s">
        <v>288</v>
      </c>
      <c r="C213" s="396"/>
      <c r="D213" s="396"/>
      <c r="E213" s="396"/>
      <c r="F213" s="396"/>
      <c r="G213" s="212"/>
      <c r="H213" s="212"/>
      <c r="I213" s="212"/>
      <c r="J213" s="213"/>
      <c r="K213" s="211"/>
      <c r="L213" s="213"/>
      <c r="M213" s="213"/>
      <c r="N213" s="213"/>
      <c r="O213" s="213"/>
      <c r="P213" s="213"/>
      <c r="Q213" s="827"/>
      <c r="R213" s="827"/>
      <c r="S213" s="827"/>
      <c r="T213" s="827"/>
      <c r="U213" s="827"/>
      <c r="V213" s="827"/>
      <c r="W213" s="827"/>
      <c r="X213" s="827"/>
      <c r="Y213" s="827"/>
      <c r="Z213" s="827"/>
      <c r="AA213" s="827"/>
      <c r="AB213" s="827"/>
      <c r="AC213" s="870"/>
      <c r="AD213" s="870"/>
      <c r="AE213" s="870"/>
      <c r="AF213" s="870"/>
      <c r="AG213" s="870"/>
      <c r="AH213" s="870"/>
      <c r="AI213" s="870"/>
      <c r="AJ213" s="870"/>
      <c r="AK213" s="870"/>
      <c r="AL213" s="870"/>
      <c r="AM213" s="870"/>
      <c r="AN213" s="870"/>
      <c r="AO213" s="870"/>
      <c r="AP213" s="870"/>
      <c r="AQ213" s="870"/>
      <c r="AR213" s="870"/>
      <c r="AS213" s="870"/>
      <c r="AT213" s="870"/>
      <c r="AU213" s="870"/>
      <c r="AW213" s="213"/>
      <c r="AX213" s="213"/>
      <c r="AY213" s="213"/>
    </row>
    <row r="214" spans="1:51" s="306" customFormat="1" ht="15" customHeight="1" x14ac:dyDescent="0.25">
      <c r="A214" s="238"/>
      <c r="B214" s="239" t="s">
        <v>3138</v>
      </c>
      <c r="C214" s="396">
        <v>3</v>
      </c>
      <c r="D214" s="396">
        <v>8050</v>
      </c>
      <c r="E214" s="397" t="s">
        <v>1404</v>
      </c>
      <c r="F214" s="396">
        <v>0</v>
      </c>
      <c r="G214" s="212"/>
      <c r="H214" s="212"/>
      <c r="I214" s="212"/>
      <c r="J214" s="213"/>
      <c r="K214" s="211"/>
      <c r="L214" s="213"/>
      <c r="M214" s="213"/>
      <c r="N214" s="213">
        <v>2403548.09</v>
      </c>
      <c r="O214" s="213"/>
      <c r="P214" s="213">
        <f t="shared" ref="P214:P233" si="35">N214+O214</f>
        <v>2403548.09</v>
      </c>
      <c r="Q214" s="827"/>
      <c r="R214" s="827"/>
      <c r="S214" s="827"/>
      <c r="T214" s="827"/>
      <c r="U214" s="827"/>
      <c r="V214" s="827"/>
      <c r="W214" s="827"/>
      <c r="X214" s="827"/>
      <c r="Y214" s="827"/>
      <c r="Z214" s="827"/>
      <c r="AA214" s="827"/>
      <c r="AB214" s="827"/>
      <c r="AC214" s="870"/>
      <c r="AD214" s="870"/>
      <c r="AE214" s="870"/>
      <c r="AF214" s="870"/>
      <c r="AG214" s="870"/>
      <c r="AH214" s="870"/>
      <c r="AI214" s="870"/>
      <c r="AJ214" s="870"/>
      <c r="AK214" s="870"/>
      <c r="AL214" s="870"/>
      <c r="AM214" s="870"/>
      <c r="AN214" s="870"/>
      <c r="AO214" s="870"/>
      <c r="AP214" s="870"/>
      <c r="AQ214" s="870"/>
      <c r="AR214" s="870"/>
      <c r="AS214" s="870"/>
      <c r="AT214" s="870"/>
      <c r="AU214" s="870"/>
      <c r="AW214" s="577">
        <v>669961.23</v>
      </c>
      <c r="AX214" s="213"/>
      <c r="AY214" s="213">
        <f t="shared" ref="AY214:AY233" si="36">AW214+AX214</f>
        <v>669961.23</v>
      </c>
    </row>
    <row r="215" spans="1:51" s="306" customFormat="1" ht="15" customHeight="1" x14ac:dyDescent="0.25">
      <c r="A215" s="238"/>
      <c r="B215" s="239" t="s">
        <v>49</v>
      </c>
      <c r="C215" s="396">
        <v>3</v>
      </c>
      <c r="D215" s="396">
        <v>8050</v>
      </c>
      <c r="E215" s="397" t="s">
        <v>2974</v>
      </c>
      <c r="F215" s="396">
        <v>0</v>
      </c>
      <c r="G215" s="212"/>
      <c r="H215" s="212"/>
      <c r="I215" s="212"/>
      <c r="J215" s="213"/>
      <c r="K215" s="211"/>
      <c r="L215" s="213"/>
      <c r="M215" s="213"/>
      <c r="N215" s="213">
        <v>2500</v>
      </c>
      <c r="O215" s="213"/>
      <c r="P215" s="213">
        <f t="shared" si="35"/>
        <v>2500</v>
      </c>
      <c r="Q215" s="827"/>
      <c r="R215" s="827"/>
      <c r="S215" s="827"/>
      <c r="T215" s="827"/>
      <c r="U215" s="827"/>
      <c r="V215" s="827"/>
      <c r="W215" s="827"/>
      <c r="X215" s="827"/>
      <c r="Y215" s="827"/>
      <c r="Z215" s="827"/>
      <c r="AA215" s="827"/>
      <c r="AB215" s="827"/>
      <c r="AC215" s="870"/>
      <c r="AD215" s="870"/>
      <c r="AE215" s="870"/>
      <c r="AF215" s="870"/>
      <c r="AG215" s="870"/>
      <c r="AH215" s="870"/>
      <c r="AI215" s="870"/>
      <c r="AJ215" s="870"/>
      <c r="AK215" s="870"/>
      <c r="AL215" s="870"/>
      <c r="AM215" s="870"/>
      <c r="AN215" s="870"/>
      <c r="AO215" s="870"/>
      <c r="AP215" s="870"/>
      <c r="AQ215" s="870"/>
      <c r="AR215" s="870"/>
      <c r="AS215" s="870"/>
      <c r="AT215" s="870"/>
      <c r="AU215" s="870"/>
      <c r="AW215" s="213">
        <v>0</v>
      </c>
      <c r="AX215" s="213"/>
      <c r="AY215" s="213">
        <f t="shared" si="36"/>
        <v>0</v>
      </c>
    </row>
    <row r="216" spans="1:51" s="306" customFormat="1" ht="15" customHeight="1" x14ac:dyDescent="0.25">
      <c r="A216" s="238"/>
      <c r="B216" s="239" t="s">
        <v>2973</v>
      </c>
      <c r="C216" s="396">
        <v>3</v>
      </c>
      <c r="D216" s="396">
        <v>8050</v>
      </c>
      <c r="E216" s="397" t="s">
        <v>1406</v>
      </c>
      <c r="F216" s="396">
        <v>0</v>
      </c>
      <c r="G216" s="212"/>
      <c r="H216" s="212"/>
      <c r="I216" s="212"/>
      <c r="J216" s="213"/>
      <c r="K216" s="211"/>
      <c r="L216" s="213"/>
      <c r="M216" s="213"/>
      <c r="N216" s="213">
        <v>0</v>
      </c>
      <c r="O216" s="213"/>
      <c r="P216" s="213">
        <f t="shared" si="35"/>
        <v>0</v>
      </c>
      <c r="Q216" s="827"/>
      <c r="R216" s="827"/>
      <c r="S216" s="827"/>
      <c r="T216" s="827"/>
      <c r="U216" s="827"/>
      <c r="V216" s="827"/>
      <c r="W216" s="827"/>
      <c r="X216" s="827"/>
      <c r="Y216" s="827"/>
      <c r="Z216" s="827"/>
      <c r="AA216" s="827"/>
      <c r="AB216" s="827"/>
      <c r="AC216" s="870"/>
      <c r="AD216" s="870"/>
      <c r="AE216" s="870"/>
      <c r="AF216" s="870"/>
      <c r="AG216" s="870"/>
      <c r="AH216" s="870"/>
      <c r="AI216" s="870"/>
      <c r="AJ216" s="870"/>
      <c r="AK216" s="870"/>
      <c r="AL216" s="870"/>
      <c r="AM216" s="870"/>
      <c r="AN216" s="870"/>
      <c r="AO216" s="870"/>
      <c r="AP216" s="870"/>
      <c r="AQ216" s="870"/>
      <c r="AR216" s="870"/>
      <c r="AS216" s="870"/>
      <c r="AT216" s="870"/>
      <c r="AU216" s="870"/>
      <c r="AW216" s="213">
        <v>0</v>
      </c>
      <c r="AX216" s="213"/>
      <c r="AY216" s="213">
        <f t="shared" si="36"/>
        <v>0</v>
      </c>
    </row>
    <row r="217" spans="1:51" s="306" customFormat="1" ht="15" customHeight="1" x14ac:dyDescent="0.25">
      <c r="A217" s="238"/>
      <c r="B217" s="239" t="s">
        <v>2975</v>
      </c>
      <c r="C217" s="396">
        <v>3</v>
      </c>
      <c r="D217" s="396">
        <v>8050</v>
      </c>
      <c r="E217" s="397" t="s">
        <v>1413</v>
      </c>
      <c r="F217" s="396">
        <v>0</v>
      </c>
      <c r="G217" s="212"/>
      <c r="H217" s="212"/>
      <c r="I217" s="212"/>
      <c r="J217" s="213"/>
      <c r="K217" s="211"/>
      <c r="L217" s="213"/>
      <c r="M217" s="213"/>
      <c r="N217" s="213">
        <v>28138512.059999999</v>
      </c>
      <c r="O217" s="213">
        <f>-18595502.77-9543009.29</f>
        <v>-28138512.059999999</v>
      </c>
      <c r="P217" s="213">
        <f t="shared" si="35"/>
        <v>0</v>
      </c>
      <c r="Q217" s="827"/>
      <c r="R217" s="827"/>
      <c r="S217" s="827"/>
      <c r="T217" s="827"/>
      <c r="U217" s="827"/>
      <c r="V217" s="827"/>
      <c r="W217" s="827"/>
      <c r="X217" s="827"/>
      <c r="Y217" s="827"/>
      <c r="Z217" s="827"/>
      <c r="AA217" s="827"/>
      <c r="AB217" s="827"/>
      <c r="AC217" s="870"/>
      <c r="AD217" s="870"/>
      <c r="AE217" s="870"/>
      <c r="AF217" s="870"/>
      <c r="AG217" s="870"/>
      <c r="AH217" s="870"/>
      <c r="AI217" s="870"/>
      <c r="AJ217" s="870"/>
      <c r="AK217" s="870"/>
      <c r="AL217" s="870"/>
      <c r="AM217" s="870"/>
      <c r="AN217" s="870"/>
      <c r="AO217" s="870"/>
      <c r="AP217" s="870"/>
      <c r="AQ217" s="870"/>
      <c r="AR217" s="870"/>
      <c r="AS217" s="870"/>
      <c r="AT217" s="870"/>
      <c r="AU217" s="870"/>
      <c r="AW217" s="213">
        <v>0</v>
      </c>
      <c r="AX217" s="213"/>
      <c r="AY217" s="213">
        <f t="shared" si="36"/>
        <v>0</v>
      </c>
    </row>
    <row r="218" spans="1:51" s="306" customFormat="1" ht="15" customHeight="1" x14ac:dyDescent="0.25">
      <c r="A218" s="238"/>
      <c r="B218" s="239" t="s">
        <v>3315</v>
      </c>
      <c r="C218" s="396">
        <v>3</v>
      </c>
      <c r="D218" s="396">
        <v>8050</v>
      </c>
      <c r="E218" s="397" t="s">
        <v>3208</v>
      </c>
      <c r="F218" s="396">
        <v>0</v>
      </c>
      <c r="G218" s="212"/>
      <c r="H218" s="212"/>
      <c r="I218" s="212"/>
      <c r="J218" s="213"/>
      <c r="K218" s="211"/>
      <c r="L218" s="213"/>
      <c r="M218" s="213"/>
      <c r="N218" s="213"/>
      <c r="O218" s="213"/>
      <c r="P218" s="213"/>
      <c r="Q218" s="827"/>
      <c r="R218" s="827"/>
      <c r="S218" s="827"/>
      <c r="T218" s="827"/>
      <c r="U218" s="827"/>
      <c r="V218" s="827"/>
      <c r="W218" s="827"/>
      <c r="X218" s="827"/>
      <c r="Y218" s="827"/>
      <c r="Z218" s="827"/>
      <c r="AA218" s="827"/>
      <c r="AB218" s="827"/>
      <c r="AC218" s="870"/>
      <c r="AD218" s="870"/>
      <c r="AE218" s="870"/>
      <c r="AF218" s="870"/>
      <c r="AG218" s="870"/>
      <c r="AH218" s="870"/>
      <c r="AI218" s="870"/>
      <c r="AJ218" s="870"/>
      <c r="AK218" s="870"/>
      <c r="AL218" s="870"/>
      <c r="AM218" s="870"/>
      <c r="AN218" s="870"/>
      <c r="AO218" s="870"/>
      <c r="AP218" s="870"/>
      <c r="AQ218" s="870"/>
      <c r="AR218" s="870"/>
      <c r="AS218" s="870"/>
      <c r="AT218" s="870"/>
      <c r="AU218" s="870"/>
      <c r="AW218" s="213">
        <f>4767049.43-4767049.43</f>
        <v>0</v>
      </c>
      <c r="AX218" s="213"/>
      <c r="AY218" s="213">
        <f t="shared" si="36"/>
        <v>0</v>
      </c>
    </row>
    <row r="219" spans="1:51" s="306" customFormat="1" ht="15" customHeight="1" x14ac:dyDescent="0.25">
      <c r="A219" s="238"/>
      <c r="B219" s="239" t="s">
        <v>3134</v>
      </c>
      <c r="C219" s="396">
        <v>4</v>
      </c>
      <c r="D219" s="396">
        <v>9026</v>
      </c>
      <c r="E219" s="397" t="s">
        <v>1373</v>
      </c>
      <c r="F219" s="396">
        <v>0</v>
      </c>
      <c r="G219" s="212"/>
      <c r="H219" s="212"/>
      <c r="I219" s="212"/>
      <c r="J219" s="213"/>
      <c r="K219" s="211"/>
      <c r="L219" s="213"/>
      <c r="M219" s="213"/>
      <c r="N219" s="213"/>
      <c r="O219" s="213"/>
      <c r="P219" s="213">
        <f t="shared" si="35"/>
        <v>0</v>
      </c>
      <c r="Q219" s="827"/>
      <c r="R219" s="827"/>
      <c r="S219" s="827"/>
      <c r="T219" s="827"/>
      <c r="U219" s="827"/>
      <c r="V219" s="827"/>
      <c r="W219" s="827"/>
      <c r="X219" s="827"/>
      <c r="Y219" s="827"/>
      <c r="Z219" s="827"/>
      <c r="AA219" s="827"/>
      <c r="AB219" s="827"/>
      <c r="AC219" s="870"/>
      <c r="AD219" s="870"/>
      <c r="AE219" s="870"/>
      <c r="AF219" s="870"/>
      <c r="AG219" s="870"/>
      <c r="AH219" s="870"/>
      <c r="AI219" s="870"/>
      <c r="AJ219" s="870"/>
      <c r="AK219" s="870"/>
      <c r="AL219" s="870"/>
      <c r="AM219" s="870"/>
      <c r="AN219" s="870"/>
      <c r="AO219" s="870"/>
      <c r="AP219" s="870"/>
      <c r="AQ219" s="870"/>
      <c r="AR219" s="870"/>
      <c r="AS219" s="870"/>
      <c r="AT219" s="870"/>
      <c r="AU219" s="870"/>
      <c r="AW219" s="213">
        <v>0</v>
      </c>
      <c r="AX219" s="213"/>
      <c r="AY219" s="213">
        <f t="shared" si="36"/>
        <v>0</v>
      </c>
    </row>
    <row r="220" spans="1:51" s="306" customFormat="1" ht="15" customHeight="1" x14ac:dyDescent="0.25">
      <c r="A220" s="238"/>
      <c r="B220" s="239" t="s">
        <v>2978</v>
      </c>
      <c r="C220" s="396">
        <v>4</v>
      </c>
      <c r="D220" s="396">
        <v>9026</v>
      </c>
      <c r="E220" s="397" t="s">
        <v>2977</v>
      </c>
      <c r="F220" s="396">
        <v>0</v>
      </c>
      <c r="G220" s="212"/>
      <c r="H220" s="212"/>
      <c r="I220" s="212"/>
      <c r="J220" s="213"/>
      <c r="K220" s="211"/>
      <c r="L220" s="213"/>
      <c r="M220" s="213"/>
      <c r="N220" s="213">
        <v>3136259.1</v>
      </c>
      <c r="O220" s="213"/>
      <c r="P220" s="213">
        <f t="shared" si="35"/>
        <v>3136259.1</v>
      </c>
      <c r="Q220" s="827"/>
      <c r="R220" s="827"/>
      <c r="S220" s="827"/>
      <c r="T220" s="827"/>
      <c r="U220" s="827"/>
      <c r="V220" s="827"/>
      <c r="W220" s="827"/>
      <c r="X220" s="827"/>
      <c r="Y220" s="827"/>
      <c r="Z220" s="827"/>
      <c r="AA220" s="827"/>
      <c r="AB220" s="827"/>
      <c r="AC220" s="870"/>
      <c r="AD220" s="870"/>
      <c r="AE220" s="870"/>
      <c r="AF220" s="870"/>
      <c r="AG220" s="870"/>
      <c r="AH220" s="870"/>
      <c r="AI220" s="870"/>
      <c r="AJ220" s="870"/>
      <c r="AK220" s="870"/>
      <c r="AL220" s="870"/>
      <c r="AM220" s="870"/>
      <c r="AN220" s="870"/>
      <c r="AO220" s="870"/>
      <c r="AP220" s="870"/>
      <c r="AQ220" s="870"/>
      <c r="AR220" s="870"/>
      <c r="AS220" s="870"/>
      <c r="AT220" s="870"/>
      <c r="AU220" s="870"/>
      <c r="AW220" s="213">
        <v>0</v>
      </c>
      <c r="AX220" s="213"/>
      <c r="AY220" s="213">
        <f t="shared" si="36"/>
        <v>0</v>
      </c>
    </row>
    <row r="221" spans="1:51" s="306" customFormat="1" ht="15" customHeight="1" x14ac:dyDescent="0.25">
      <c r="A221" s="214"/>
      <c r="B221" s="214" t="s">
        <v>147</v>
      </c>
      <c r="C221" s="396">
        <v>4</v>
      </c>
      <c r="D221" s="396">
        <v>9047</v>
      </c>
      <c r="E221" s="397" t="s">
        <v>1380</v>
      </c>
      <c r="F221" s="396">
        <v>0</v>
      </c>
      <c r="G221" s="212">
        <v>500899.99</v>
      </c>
      <c r="H221" s="212">
        <v>509299.99</v>
      </c>
      <c r="I221" s="212"/>
      <c r="J221" s="399">
        <f t="shared" ref="J221:J233" si="37">H221+I221</f>
        <v>509299.99</v>
      </c>
      <c r="K221" s="211"/>
      <c r="L221" s="399">
        <v>509299.99</v>
      </c>
      <c r="M221" s="399"/>
      <c r="N221" s="399">
        <v>557899.99</v>
      </c>
      <c r="O221" s="213"/>
      <c r="P221" s="213">
        <f t="shared" si="35"/>
        <v>557899.99</v>
      </c>
      <c r="Q221" s="827"/>
      <c r="R221" s="827"/>
      <c r="S221" s="827"/>
      <c r="T221" s="827"/>
      <c r="U221" s="827"/>
      <c r="V221" s="827"/>
      <c r="W221" s="827"/>
      <c r="X221" s="827"/>
      <c r="Y221" s="827"/>
      <c r="Z221" s="827"/>
      <c r="AA221" s="827"/>
      <c r="AB221" s="827"/>
      <c r="AC221" s="870"/>
      <c r="AD221" s="870"/>
      <c r="AE221" s="870"/>
      <c r="AF221" s="870"/>
      <c r="AG221" s="870"/>
      <c r="AH221" s="870"/>
      <c r="AI221" s="870"/>
      <c r="AJ221" s="870"/>
      <c r="AK221" s="870"/>
      <c r="AL221" s="870"/>
      <c r="AM221" s="870"/>
      <c r="AN221" s="870"/>
      <c r="AO221" s="870"/>
      <c r="AP221" s="870"/>
      <c r="AQ221" s="870"/>
      <c r="AR221" s="870"/>
      <c r="AS221" s="870"/>
      <c r="AT221" s="870"/>
      <c r="AU221" s="870"/>
      <c r="AW221" s="572">
        <v>605049.99</v>
      </c>
      <c r="AX221" s="213"/>
      <c r="AY221" s="213">
        <f t="shared" si="36"/>
        <v>605049.99</v>
      </c>
    </row>
    <row r="222" spans="1:51" s="306" customFormat="1" ht="15" customHeight="1" x14ac:dyDescent="0.25">
      <c r="A222" s="238"/>
      <c r="B222" s="575" t="s">
        <v>1497</v>
      </c>
      <c r="C222" s="396">
        <v>4</v>
      </c>
      <c r="D222" s="396">
        <v>9060</v>
      </c>
      <c r="E222" s="397" t="s">
        <v>1387</v>
      </c>
      <c r="F222" s="396">
        <v>0</v>
      </c>
      <c r="G222" s="400">
        <v>0</v>
      </c>
      <c r="H222" s="400">
        <v>0</v>
      </c>
      <c r="I222" s="400">
        <v>10191589.23</v>
      </c>
      <c r="J222" s="399">
        <f t="shared" si="37"/>
        <v>10191589.23</v>
      </c>
      <c r="K222" s="211"/>
      <c r="L222" s="399">
        <v>10191589.23</v>
      </c>
      <c r="M222" s="399"/>
      <c r="N222" s="399">
        <v>12047862.789999999</v>
      </c>
      <c r="O222" s="213">
        <v>0</v>
      </c>
      <c r="P222" s="213">
        <f t="shared" si="35"/>
        <v>12047862.789999999</v>
      </c>
      <c r="Q222" s="827"/>
      <c r="R222" s="827"/>
      <c r="S222" s="827"/>
      <c r="T222" s="827"/>
      <c r="U222" s="827"/>
      <c r="V222" s="827"/>
      <c r="W222" s="827"/>
      <c r="X222" s="827"/>
      <c r="Y222" s="827"/>
      <c r="Z222" s="827"/>
      <c r="AA222" s="827"/>
      <c r="AB222" s="827"/>
      <c r="AC222" s="870"/>
      <c r="AD222" s="870"/>
      <c r="AE222" s="870"/>
      <c r="AF222" s="870"/>
      <c r="AG222" s="870"/>
      <c r="AH222" s="870"/>
      <c r="AI222" s="870"/>
      <c r="AJ222" s="870"/>
      <c r="AK222" s="870"/>
      <c r="AL222" s="870"/>
      <c r="AM222" s="870"/>
      <c r="AN222" s="870"/>
      <c r="AO222" s="870"/>
      <c r="AP222" s="870"/>
      <c r="AQ222" s="870"/>
      <c r="AR222" s="870"/>
      <c r="AS222" s="870"/>
      <c r="AT222" s="870"/>
      <c r="AU222" s="870"/>
      <c r="AW222" s="572">
        <f>14972282.68+51744+62157.86</f>
        <v>15086184.539999999</v>
      </c>
      <c r="AX222" s="213"/>
      <c r="AY222" s="213">
        <f t="shared" si="36"/>
        <v>15086184.539999999</v>
      </c>
    </row>
    <row r="223" spans="1:51" s="306" customFormat="1" ht="15" customHeight="1" x14ac:dyDescent="0.25">
      <c r="A223" s="214"/>
      <c r="B223" s="214" t="s">
        <v>1476</v>
      </c>
      <c r="C223" s="396">
        <v>4</v>
      </c>
      <c r="D223" s="396">
        <v>9047</v>
      </c>
      <c r="E223" s="397" t="s">
        <v>1373</v>
      </c>
      <c r="F223" s="396">
        <v>0</v>
      </c>
      <c r="G223" s="212">
        <v>0</v>
      </c>
      <c r="H223" s="212">
        <v>0</v>
      </c>
      <c r="I223" s="212"/>
      <c r="J223" s="399">
        <f>H223+I223</f>
        <v>0</v>
      </c>
      <c r="K223" s="211"/>
      <c r="L223" s="399">
        <v>0</v>
      </c>
      <c r="M223" s="399"/>
      <c r="N223" s="399">
        <v>0</v>
      </c>
      <c r="O223" s="213"/>
      <c r="P223" s="213">
        <f t="shared" si="35"/>
        <v>0</v>
      </c>
      <c r="Q223" s="827"/>
      <c r="R223" s="827"/>
      <c r="S223" s="827"/>
      <c r="T223" s="827"/>
      <c r="U223" s="827"/>
      <c r="V223" s="827"/>
      <c r="W223" s="827"/>
      <c r="X223" s="827"/>
      <c r="Y223" s="827"/>
      <c r="Z223" s="827"/>
      <c r="AA223" s="827"/>
      <c r="AB223" s="827"/>
      <c r="AC223" s="870"/>
      <c r="AD223" s="870"/>
      <c r="AE223" s="870"/>
      <c r="AF223" s="870"/>
      <c r="AG223" s="870"/>
      <c r="AH223" s="870"/>
      <c r="AI223" s="870"/>
      <c r="AJ223" s="870"/>
      <c r="AK223" s="870"/>
      <c r="AL223" s="870"/>
      <c r="AM223" s="870"/>
      <c r="AN223" s="870"/>
      <c r="AO223" s="870"/>
      <c r="AP223" s="870"/>
      <c r="AQ223" s="870"/>
      <c r="AR223" s="870"/>
      <c r="AS223" s="870"/>
      <c r="AT223" s="870"/>
      <c r="AU223" s="870"/>
      <c r="AW223" s="399">
        <v>0</v>
      </c>
      <c r="AX223" s="213"/>
      <c r="AY223" s="213">
        <f t="shared" si="36"/>
        <v>0</v>
      </c>
    </row>
    <row r="224" spans="1:51" s="306" customFormat="1" ht="15" customHeight="1" x14ac:dyDescent="0.25">
      <c r="A224" s="214"/>
      <c r="B224" s="214" t="s">
        <v>3217</v>
      </c>
      <c r="C224" s="396">
        <v>4</v>
      </c>
      <c r="D224" s="396">
        <v>9047</v>
      </c>
      <c r="E224" s="397" t="s">
        <v>1382</v>
      </c>
      <c r="F224" s="396">
        <v>0</v>
      </c>
      <c r="G224" s="212">
        <v>1359690.43</v>
      </c>
      <c r="H224" s="212">
        <v>1071579.68</v>
      </c>
      <c r="I224" s="212"/>
      <c r="J224" s="399">
        <f t="shared" si="37"/>
        <v>1071579.68</v>
      </c>
      <c r="K224" s="211"/>
      <c r="L224" s="399">
        <v>1071579.68</v>
      </c>
      <c r="M224" s="399"/>
      <c r="N224" s="399">
        <v>0</v>
      </c>
      <c r="O224" s="213"/>
      <c r="P224" s="213">
        <f t="shared" si="35"/>
        <v>0</v>
      </c>
      <c r="Q224" s="827"/>
      <c r="R224" s="827"/>
      <c r="S224" s="827"/>
      <c r="T224" s="827"/>
      <c r="U224" s="827"/>
      <c r="V224" s="827"/>
      <c r="W224" s="827"/>
      <c r="X224" s="827"/>
      <c r="Y224" s="827"/>
      <c r="Z224" s="827"/>
      <c r="AA224" s="827"/>
      <c r="AB224" s="827"/>
      <c r="AC224" s="870"/>
      <c r="AD224" s="870"/>
      <c r="AE224" s="870"/>
      <c r="AF224" s="870"/>
      <c r="AG224" s="870"/>
      <c r="AH224" s="870"/>
      <c r="AI224" s="870"/>
      <c r="AJ224" s="870"/>
      <c r="AK224" s="870"/>
      <c r="AL224" s="870"/>
      <c r="AM224" s="870"/>
      <c r="AN224" s="870"/>
      <c r="AO224" s="870"/>
      <c r="AP224" s="870"/>
      <c r="AQ224" s="870"/>
      <c r="AR224" s="870"/>
      <c r="AS224" s="870"/>
      <c r="AT224" s="870"/>
      <c r="AU224" s="870"/>
      <c r="AW224" s="572">
        <f>1872751-236555.7</f>
        <v>1636195.3</v>
      </c>
      <c r="AX224" s="213"/>
      <c r="AY224" s="213">
        <f t="shared" si="36"/>
        <v>1636195.3</v>
      </c>
    </row>
    <row r="225" spans="1:51" s="306" customFormat="1" ht="15" customHeight="1" x14ac:dyDescent="0.25">
      <c r="A225" s="214"/>
      <c r="B225" s="214" t="s">
        <v>1477</v>
      </c>
      <c r="C225" s="396">
        <v>4</v>
      </c>
      <c r="D225" s="396">
        <v>9047</v>
      </c>
      <c r="E225" s="397" t="s">
        <v>1384</v>
      </c>
      <c r="F225" s="396">
        <v>0</v>
      </c>
      <c r="G225" s="212">
        <v>493401.45</v>
      </c>
      <c r="H225" s="212">
        <v>16831.29</v>
      </c>
      <c r="I225" s="212"/>
      <c r="J225" s="399">
        <f t="shared" si="37"/>
        <v>16831.29</v>
      </c>
      <c r="K225" s="211"/>
      <c r="L225" s="399">
        <v>16831.29</v>
      </c>
      <c r="M225" s="399"/>
      <c r="N225" s="399">
        <v>6337.69</v>
      </c>
      <c r="O225" s="213"/>
      <c r="P225" s="213">
        <f t="shared" si="35"/>
        <v>6337.69</v>
      </c>
      <c r="Q225" s="827"/>
      <c r="R225" s="827"/>
      <c r="S225" s="827"/>
      <c r="T225" s="827"/>
      <c r="U225" s="827"/>
      <c r="V225" s="827"/>
      <c r="W225" s="827"/>
      <c r="X225" s="827"/>
      <c r="Y225" s="827"/>
      <c r="Z225" s="827"/>
      <c r="AA225" s="827"/>
      <c r="AB225" s="827"/>
      <c r="AC225" s="870"/>
      <c r="AD225" s="870"/>
      <c r="AE225" s="870"/>
      <c r="AF225" s="870"/>
      <c r="AG225" s="870"/>
      <c r="AH225" s="870"/>
      <c r="AI225" s="870"/>
      <c r="AJ225" s="870"/>
      <c r="AK225" s="870"/>
      <c r="AL225" s="870"/>
      <c r="AM225" s="870"/>
      <c r="AN225" s="870"/>
      <c r="AO225" s="870"/>
      <c r="AP225" s="870"/>
      <c r="AQ225" s="870"/>
      <c r="AR225" s="870"/>
      <c r="AS225" s="870"/>
      <c r="AT225" s="870"/>
      <c r="AU225" s="870"/>
      <c r="AW225" s="572">
        <v>65635.47</v>
      </c>
      <c r="AX225" s="213"/>
      <c r="AY225" s="213">
        <f t="shared" si="36"/>
        <v>65635.47</v>
      </c>
    </row>
    <row r="226" spans="1:51" s="306" customFormat="1" ht="15" customHeight="1" x14ac:dyDescent="0.25">
      <c r="A226" s="214"/>
      <c r="B226" s="576" t="s">
        <v>3205</v>
      </c>
      <c r="C226" s="396">
        <v>4</v>
      </c>
      <c r="D226" s="396">
        <v>9047</v>
      </c>
      <c r="E226" s="397" t="s">
        <v>1447</v>
      </c>
      <c r="F226" s="396">
        <v>0</v>
      </c>
      <c r="G226" s="212"/>
      <c r="H226" s="212"/>
      <c r="I226" s="212"/>
      <c r="J226" s="399"/>
      <c r="K226" s="211"/>
      <c r="L226" s="399"/>
      <c r="M226" s="399"/>
      <c r="N226" s="399"/>
      <c r="O226" s="213"/>
      <c r="P226" s="213"/>
      <c r="Q226" s="827"/>
      <c r="R226" s="827"/>
      <c r="S226" s="827"/>
      <c r="T226" s="827"/>
      <c r="U226" s="827"/>
      <c r="V226" s="827"/>
      <c r="W226" s="827"/>
      <c r="X226" s="827"/>
      <c r="Y226" s="827"/>
      <c r="Z226" s="827"/>
      <c r="AA226" s="827"/>
      <c r="AB226" s="827"/>
      <c r="AC226" s="870"/>
      <c r="AD226" s="870"/>
      <c r="AE226" s="870"/>
      <c r="AF226" s="870"/>
      <c r="AG226" s="870"/>
      <c r="AH226" s="870"/>
      <c r="AI226" s="870"/>
      <c r="AJ226" s="870"/>
      <c r="AK226" s="870"/>
      <c r="AL226" s="870"/>
      <c r="AM226" s="870"/>
      <c r="AN226" s="870"/>
      <c r="AO226" s="870"/>
      <c r="AP226" s="870"/>
      <c r="AQ226" s="870"/>
      <c r="AR226" s="870"/>
      <c r="AS226" s="870"/>
      <c r="AT226" s="870"/>
      <c r="AU226" s="870"/>
      <c r="AW226" s="572">
        <v>1357849.5</v>
      </c>
      <c r="AX226" s="213"/>
      <c r="AY226" s="213">
        <f t="shared" si="36"/>
        <v>1357849.5</v>
      </c>
    </row>
    <row r="227" spans="1:51" s="306" customFormat="1" ht="15" customHeight="1" x14ac:dyDescent="0.25">
      <c r="A227" s="214"/>
      <c r="B227" s="239" t="s">
        <v>142</v>
      </c>
      <c r="C227" s="396">
        <v>4</v>
      </c>
      <c r="D227" s="396">
        <v>9047</v>
      </c>
      <c r="E227" s="397" t="s">
        <v>1432</v>
      </c>
      <c r="F227" s="396">
        <v>0</v>
      </c>
      <c r="G227" s="212">
        <v>347692.33</v>
      </c>
      <c r="H227" s="212">
        <v>417205.48</v>
      </c>
      <c r="I227" s="212"/>
      <c r="J227" s="399">
        <f t="shared" si="37"/>
        <v>417205.48</v>
      </c>
      <c r="K227" s="211"/>
      <c r="L227" s="399">
        <v>417205.48</v>
      </c>
      <c r="M227" s="399"/>
      <c r="N227" s="399">
        <v>35273.97</v>
      </c>
      <c r="O227" s="213"/>
      <c r="P227" s="213">
        <f t="shared" si="35"/>
        <v>35273.97</v>
      </c>
      <c r="Q227" s="827"/>
      <c r="R227" s="827"/>
      <c r="S227" s="827"/>
      <c r="T227" s="827"/>
      <c r="U227" s="827"/>
      <c r="V227" s="827"/>
      <c r="W227" s="827"/>
      <c r="X227" s="827"/>
      <c r="Y227" s="827"/>
      <c r="Z227" s="827"/>
      <c r="AA227" s="827"/>
      <c r="AB227" s="827"/>
      <c r="AC227" s="870"/>
      <c r="AD227" s="870"/>
      <c r="AE227" s="870"/>
      <c r="AF227" s="870"/>
      <c r="AG227" s="870"/>
      <c r="AH227" s="870"/>
      <c r="AI227" s="870"/>
      <c r="AJ227" s="870"/>
      <c r="AK227" s="870"/>
      <c r="AL227" s="870"/>
      <c r="AM227" s="870"/>
      <c r="AN227" s="870"/>
      <c r="AO227" s="870"/>
      <c r="AP227" s="870"/>
      <c r="AQ227" s="870"/>
      <c r="AR227" s="870"/>
      <c r="AS227" s="870"/>
      <c r="AT227" s="870"/>
      <c r="AU227" s="870"/>
      <c r="AW227" s="399">
        <v>0</v>
      </c>
      <c r="AX227" s="213"/>
      <c r="AY227" s="213">
        <f t="shared" si="36"/>
        <v>0</v>
      </c>
    </row>
    <row r="228" spans="1:51" s="306" customFormat="1" ht="15" customHeight="1" x14ac:dyDescent="0.25">
      <c r="A228" s="214"/>
      <c r="B228" s="239" t="s">
        <v>143</v>
      </c>
      <c r="C228" s="396">
        <v>4</v>
      </c>
      <c r="D228" s="396">
        <v>9047</v>
      </c>
      <c r="E228" s="397" t="s">
        <v>1433</v>
      </c>
      <c r="F228" s="396">
        <v>0</v>
      </c>
      <c r="G228" s="212">
        <v>586859.06000000006</v>
      </c>
      <c r="H228" s="212">
        <v>500220.22</v>
      </c>
      <c r="I228" s="212"/>
      <c r="J228" s="399">
        <f t="shared" si="37"/>
        <v>500220.22</v>
      </c>
      <c r="K228" s="211"/>
      <c r="L228" s="399">
        <v>500220.22</v>
      </c>
      <c r="M228" s="399"/>
      <c r="N228" s="399">
        <v>46301.37</v>
      </c>
      <c r="O228" s="213"/>
      <c r="P228" s="213">
        <f t="shared" si="35"/>
        <v>46301.37</v>
      </c>
      <c r="Q228" s="827"/>
      <c r="R228" s="827"/>
      <c r="S228" s="827"/>
      <c r="T228" s="827"/>
      <c r="U228" s="827"/>
      <c r="V228" s="827"/>
      <c r="W228" s="827"/>
      <c r="X228" s="827"/>
      <c r="Y228" s="827"/>
      <c r="Z228" s="827"/>
      <c r="AA228" s="827"/>
      <c r="AB228" s="827"/>
      <c r="AC228" s="870"/>
      <c r="AD228" s="870"/>
      <c r="AE228" s="870"/>
      <c r="AF228" s="870"/>
      <c r="AG228" s="870"/>
      <c r="AH228" s="870"/>
      <c r="AI228" s="870"/>
      <c r="AJ228" s="870"/>
      <c r="AK228" s="870"/>
      <c r="AL228" s="870"/>
      <c r="AM228" s="870"/>
      <c r="AN228" s="870"/>
      <c r="AO228" s="870"/>
      <c r="AP228" s="870"/>
      <c r="AQ228" s="870"/>
      <c r="AR228" s="870"/>
      <c r="AS228" s="870"/>
      <c r="AT228" s="870"/>
      <c r="AU228" s="870"/>
      <c r="AW228" s="572">
        <v>57294.52</v>
      </c>
      <c r="AX228" s="213"/>
      <c r="AY228" s="213">
        <f t="shared" si="36"/>
        <v>57294.52</v>
      </c>
    </row>
    <row r="229" spans="1:51" s="306" customFormat="1" ht="15" customHeight="1" x14ac:dyDescent="0.25">
      <c r="A229" s="214"/>
      <c r="B229" s="239" t="s">
        <v>421</v>
      </c>
      <c r="C229" s="396">
        <v>4</v>
      </c>
      <c r="D229" s="396">
        <v>9047</v>
      </c>
      <c r="E229" s="397" t="s">
        <v>1435</v>
      </c>
      <c r="F229" s="396">
        <v>0</v>
      </c>
      <c r="G229" s="212">
        <v>168844.56</v>
      </c>
      <c r="H229" s="212">
        <v>505972.6</v>
      </c>
      <c r="I229" s="212"/>
      <c r="J229" s="399">
        <f t="shared" si="37"/>
        <v>505972.6</v>
      </c>
      <c r="K229" s="211"/>
      <c r="L229" s="399">
        <v>505972.6</v>
      </c>
      <c r="M229" s="399"/>
      <c r="N229" s="399">
        <f>46746.58+445.2</f>
        <v>47191.78</v>
      </c>
      <c r="O229" s="213"/>
      <c r="P229" s="213">
        <f t="shared" si="35"/>
        <v>47191.78</v>
      </c>
      <c r="Q229" s="827"/>
      <c r="R229" s="827"/>
      <c r="S229" s="827"/>
      <c r="T229" s="827"/>
      <c r="U229" s="827"/>
      <c r="V229" s="827"/>
      <c r="W229" s="827"/>
      <c r="X229" s="827"/>
      <c r="Y229" s="827"/>
      <c r="Z229" s="827"/>
      <c r="AA229" s="827"/>
      <c r="AB229" s="827"/>
      <c r="AC229" s="870"/>
      <c r="AD229" s="870"/>
      <c r="AE229" s="870"/>
      <c r="AF229" s="870"/>
      <c r="AG229" s="870"/>
      <c r="AH229" s="870"/>
      <c r="AI229" s="870"/>
      <c r="AJ229" s="870"/>
      <c r="AK229" s="870"/>
      <c r="AL229" s="870"/>
      <c r="AM229" s="870"/>
      <c r="AN229" s="870"/>
      <c r="AO229" s="870"/>
      <c r="AP229" s="870"/>
      <c r="AQ229" s="870"/>
      <c r="AR229" s="870"/>
      <c r="AS229" s="870"/>
      <c r="AT229" s="870"/>
      <c r="AU229" s="870"/>
      <c r="AW229" s="572">
        <v>70191.78</v>
      </c>
      <c r="AX229" s="213"/>
      <c r="AY229" s="213">
        <f t="shared" si="36"/>
        <v>70191.78</v>
      </c>
    </row>
    <row r="230" spans="1:51" s="306" customFormat="1" ht="15" customHeight="1" x14ac:dyDescent="0.25">
      <c r="A230" s="214"/>
      <c r="B230" s="239" t="s">
        <v>144</v>
      </c>
      <c r="C230" s="396">
        <v>4</v>
      </c>
      <c r="D230" s="396">
        <v>9047</v>
      </c>
      <c r="E230" s="397" t="s">
        <v>1385</v>
      </c>
      <c r="F230" s="396">
        <v>0</v>
      </c>
      <c r="G230" s="212">
        <v>82191.78</v>
      </c>
      <c r="H230" s="212">
        <v>326958.90999999997</v>
      </c>
      <c r="I230" s="212"/>
      <c r="J230" s="399">
        <f t="shared" si="37"/>
        <v>326958.90999999997</v>
      </c>
      <c r="K230" s="211"/>
      <c r="L230" s="399">
        <v>326958.90999999997</v>
      </c>
      <c r="M230" s="399"/>
      <c r="N230" s="399">
        <v>27671.23</v>
      </c>
      <c r="O230" s="213"/>
      <c r="P230" s="213">
        <f t="shared" si="35"/>
        <v>27671.23</v>
      </c>
      <c r="Q230" s="827"/>
      <c r="R230" s="827"/>
      <c r="S230" s="827"/>
      <c r="T230" s="827"/>
      <c r="U230" s="827"/>
      <c r="V230" s="827"/>
      <c r="W230" s="827"/>
      <c r="X230" s="827"/>
      <c r="Y230" s="827"/>
      <c r="Z230" s="827"/>
      <c r="AA230" s="827"/>
      <c r="AB230" s="827"/>
      <c r="AC230" s="870"/>
      <c r="AD230" s="870"/>
      <c r="AE230" s="870"/>
      <c r="AF230" s="870"/>
      <c r="AG230" s="870"/>
      <c r="AH230" s="870"/>
      <c r="AI230" s="870"/>
      <c r="AJ230" s="870"/>
      <c r="AK230" s="870"/>
      <c r="AL230" s="870"/>
      <c r="AM230" s="870"/>
      <c r="AN230" s="870"/>
      <c r="AO230" s="870"/>
      <c r="AP230" s="870"/>
      <c r="AQ230" s="870"/>
      <c r="AR230" s="870"/>
      <c r="AS230" s="870"/>
      <c r="AT230" s="870"/>
      <c r="AU230" s="870"/>
      <c r="AW230" s="399">
        <v>0</v>
      </c>
      <c r="AX230" s="213"/>
      <c r="AY230" s="213">
        <f t="shared" si="36"/>
        <v>0</v>
      </c>
    </row>
    <row r="231" spans="1:51" s="306" customFormat="1" ht="15" customHeight="1" x14ac:dyDescent="0.25">
      <c r="A231" s="214"/>
      <c r="B231" s="239" t="s">
        <v>49</v>
      </c>
      <c r="C231" s="396">
        <v>4</v>
      </c>
      <c r="D231" s="396">
        <v>9047</v>
      </c>
      <c r="E231" s="397" t="s">
        <v>1387</v>
      </c>
      <c r="F231" s="396">
        <v>0</v>
      </c>
      <c r="G231" s="212">
        <v>0</v>
      </c>
      <c r="H231" s="212">
        <v>0</v>
      </c>
      <c r="I231" s="212"/>
      <c r="J231" s="399">
        <f t="shared" si="37"/>
        <v>0</v>
      </c>
      <c r="K231" s="211"/>
      <c r="L231" s="399">
        <v>0</v>
      </c>
      <c r="M231" s="399"/>
      <c r="N231" s="399">
        <v>0</v>
      </c>
      <c r="O231" s="213"/>
      <c r="P231" s="213">
        <f t="shared" si="35"/>
        <v>0</v>
      </c>
      <c r="Q231" s="827"/>
      <c r="R231" s="827"/>
      <c r="S231" s="827"/>
      <c r="T231" s="827"/>
      <c r="U231" s="827"/>
      <c r="V231" s="827"/>
      <c r="W231" s="827"/>
      <c r="X231" s="827"/>
      <c r="Y231" s="827"/>
      <c r="Z231" s="827"/>
      <c r="AA231" s="827"/>
      <c r="AB231" s="827"/>
      <c r="AC231" s="870"/>
      <c r="AD231" s="870"/>
      <c r="AE231" s="870"/>
      <c r="AF231" s="870"/>
      <c r="AG231" s="870"/>
      <c r="AH231" s="870"/>
      <c r="AI231" s="870"/>
      <c r="AJ231" s="870"/>
      <c r="AK231" s="870"/>
      <c r="AL231" s="870"/>
      <c r="AM231" s="870"/>
      <c r="AN231" s="870"/>
      <c r="AO231" s="870"/>
      <c r="AP231" s="870"/>
      <c r="AQ231" s="870"/>
      <c r="AR231" s="870"/>
      <c r="AS231" s="870"/>
      <c r="AT231" s="870"/>
      <c r="AU231" s="870"/>
      <c r="AW231" s="399">
        <v>0</v>
      </c>
      <c r="AX231" s="213"/>
      <c r="AY231" s="213">
        <f t="shared" si="36"/>
        <v>0</v>
      </c>
    </row>
    <row r="232" spans="1:51" s="306" customFormat="1" ht="15" customHeight="1" x14ac:dyDescent="0.25">
      <c r="A232" s="214"/>
      <c r="B232" s="239" t="s">
        <v>3247</v>
      </c>
      <c r="C232" s="396">
        <v>4</v>
      </c>
      <c r="D232" s="396">
        <v>9050</v>
      </c>
      <c r="E232" s="397" t="s">
        <v>3248</v>
      </c>
      <c r="F232" s="396">
        <v>0</v>
      </c>
      <c r="G232" s="212"/>
      <c r="H232" s="212"/>
      <c r="I232" s="212"/>
      <c r="J232" s="399"/>
      <c r="K232" s="211"/>
      <c r="L232" s="399"/>
      <c r="M232" s="399"/>
      <c r="N232" s="399"/>
      <c r="O232" s="213"/>
      <c r="P232" s="213"/>
      <c r="Q232" s="827"/>
      <c r="R232" s="827"/>
      <c r="S232" s="827"/>
      <c r="T232" s="827"/>
      <c r="U232" s="827"/>
      <c r="V232" s="827"/>
      <c r="W232" s="827"/>
      <c r="X232" s="827"/>
      <c r="Y232" s="827"/>
      <c r="Z232" s="827"/>
      <c r="AA232" s="827"/>
      <c r="AB232" s="827"/>
      <c r="AC232" s="870"/>
      <c r="AD232" s="870"/>
      <c r="AE232" s="870"/>
      <c r="AF232" s="870"/>
      <c r="AG232" s="870"/>
      <c r="AH232" s="870"/>
      <c r="AI232" s="870"/>
      <c r="AJ232" s="870"/>
      <c r="AK232" s="870"/>
      <c r="AL232" s="870"/>
      <c r="AM232" s="870"/>
      <c r="AN232" s="870"/>
      <c r="AO232" s="870"/>
      <c r="AP232" s="870"/>
      <c r="AQ232" s="870"/>
      <c r="AR232" s="870"/>
      <c r="AS232" s="870"/>
      <c r="AT232" s="870"/>
      <c r="AU232" s="870"/>
      <c r="AW232" s="572">
        <f>9557190+14645730</f>
        <v>24202920</v>
      </c>
      <c r="AX232" s="213"/>
      <c r="AY232" s="213">
        <f t="shared" si="36"/>
        <v>24202920</v>
      </c>
    </row>
    <row r="233" spans="1:51" s="306" customFormat="1" ht="15" customHeight="1" x14ac:dyDescent="0.25">
      <c r="A233" s="214"/>
      <c r="B233" s="239" t="s">
        <v>1049</v>
      </c>
      <c r="C233" s="396">
        <v>4</v>
      </c>
      <c r="D233" s="396">
        <v>9047</v>
      </c>
      <c r="E233" s="397" t="s">
        <v>1513</v>
      </c>
      <c r="F233" s="396">
        <v>0</v>
      </c>
      <c r="G233" s="212">
        <v>0</v>
      </c>
      <c r="H233" s="212">
        <v>522024.77</v>
      </c>
      <c r="I233" s="212"/>
      <c r="J233" s="399">
        <f t="shared" si="37"/>
        <v>522024.77</v>
      </c>
      <c r="K233" s="211"/>
      <c r="L233" s="399">
        <v>522024.77</v>
      </c>
      <c r="M233" s="399"/>
      <c r="N233" s="399">
        <v>882552.28</v>
      </c>
      <c r="O233" s="213"/>
      <c r="P233" s="213">
        <f t="shared" si="35"/>
        <v>882552.28</v>
      </c>
      <c r="Q233" s="827"/>
      <c r="R233" s="827"/>
      <c r="S233" s="827"/>
      <c r="T233" s="827"/>
      <c r="U233" s="827"/>
      <c r="V233" s="827"/>
      <c r="W233" s="827"/>
      <c r="X233" s="827"/>
      <c r="Y233" s="827"/>
      <c r="Z233" s="827"/>
      <c r="AA233" s="827"/>
      <c r="AB233" s="827"/>
      <c r="AC233" s="870"/>
      <c r="AD233" s="870"/>
      <c r="AE233" s="870"/>
      <c r="AF233" s="870"/>
      <c r="AG233" s="870"/>
      <c r="AH233" s="870"/>
      <c r="AI233" s="870"/>
      <c r="AJ233" s="870"/>
      <c r="AK233" s="870"/>
      <c r="AL233" s="870"/>
      <c r="AM233" s="870"/>
      <c r="AN233" s="870"/>
      <c r="AO233" s="870"/>
      <c r="AP233" s="870"/>
      <c r="AQ233" s="870"/>
      <c r="AR233" s="870"/>
      <c r="AS233" s="870"/>
      <c r="AT233" s="870"/>
      <c r="AU233" s="870"/>
      <c r="AW233" s="572">
        <v>1616360.3</v>
      </c>
      <c r="AX233" s="213"/>
      <c r="AY233" s="213">
        <f t="shared" si="36"/>
        <v>1616360.3</v>
      </c>
    </row>
    <row r="234" spans="1:51" s="306" customFormat="1" ht="15" customHeight="1" x14ac:dyDescent="0.25">
      <c r="A234" s="214"/>
      <c r="B234" s="214"/>
      <c r="C234" s="396"/>
      <c r="D234" s="396"/>
      <c r="E234" s="396"/>
      <c r="F234" s="396"/>
      <c r="G234" s="373">
        <f>SUM(G222:G233)</f>
        <v>3038679.61</v>
      </c>
      <c r="H234" s="373">
        <f>SUM(H222:H233)</f>
        <v>3360792.95</v>
      </c>
      <c r="I234" s="373">
        <f>SUM(I222:I233)</f>
        <v>10191589.23</v>
      </c>
      <c r="J234" s="373">
        <f>SUM(J222:J233)</f>
        <v>13552382.18</v>
      </c>
      <c r="K234" s="211"/>
      <c r="L234" s="373">
        <f>SUM(L222:L233)</f>
        <v>13552382.18</v>
      </c>
      <c r="M234" s="373"/>
      <c r="N234" s="373">
        <f>SUM(N222:N233)+N214+N215+N216+N217+N220</f>
        <v>46774010.359999999</v>
      </c>
      <c r="O234" s="373">
        <f>SUM(O222:O233)+O214+O215+O216+O217+O220+O219</f>
        <v>-28138512.059999999</v>
      </c>
      <c r="P234" s="373">
        <f>SUM(P222:P233)+P214+P215+P216+P217+P220+P219</f>
        <v>18635498.299999997</v>
      </c>
      <c r="Q234" s="879"/>
      <c r="R234" s="879"/>
      <c r="S234" s="879"/>
      <c r="T234" s="879"/>
      <c r="U234" s="879"/>
      <c r="V234" s="879"/>
      <c r="W234" s="879"/>
      <c r="X234" s="879"/>
      <c r="Y234" s="879"/>
      <c r="Z234" s="879"/>
      <c r="AA234" s="879"/>
      <c r="AB234" s="879"/>
      <c r="AC234" s="873"/>
      <c r="AD234" s="873"/>
      <c r="AE234" s="873"/>
      <c r="AF234" s="873"/>
      <c r="AG234" s="873"/>
      <c r="AH234" s="873"/>
      <c r="AI234" s="873"/>
      <c r="AJ234" s="873"/>
      <c r="AK234" s="873"/>
      <c r="AL234" s="873"/>
      <c r="AM234" s="873"/>
      <c r="AN234" s="873"/>
      <c r="AO234" s="873"/>
      <c r="AP234" s="873"/>
      <c r="AQ234" s="873"/>
      <c r="AR234" s="873"/>
      <c r="AS234" s="873"/>
      <c r="AT234" s="873"/>
      <c r="AU234" s="873"/>
      <c r="AW234" s="373">
        <f>SUM(AW222:AW233)+AW214+AW215+AW216+AW217+AW218+AW220</f>
        <v>44762592.639999993</v>
      </c>
      <c r="AX234" s="373">
        <f>SUM(AX222:AX233)+AX214+AX215+AX216+AX217+AX218+AX220</f>
        <v>0</v>
      </c>
      <c r="AY234" s="373">
        <f>SUM(AY222:AY233)+AY214+AY215+AY216+AY217+AY218+AY220</f>
        <v>44762592.639999993</v>
      </c>
    </row>
    <row r="235" spans="1:51" s="306" customFormat="1" ht="15" customHeight="1" x14ac:dyDescent="0.25">
      <c r="A235" s="214"/>
      <c r="B235" s="214"/>
      <c r="C235" s="396"/>
      <c r="D235" s="396"/>
      <c r="E235" s="396"/>
      <c r="F235" s="396"/>
      <c r="G235" s="373">
        <f>G221+G234</f>
        <v>3539579.5999999996</v>
      </c>
      <c r="H235" s="373">
        <f>H221+H234</f>
        <v>3870092.9400000004</v>
      </c>
      <c r="I235" s="373">
        <f>I221+I234</f>
        <v>10191589.23</v>
      </c>
      <c r="J235" s="373">
        <f>J221+J234</f>
        <v>14061682.17</v>
      </c>
      <c r="K235" s="211"/>
      <c r="L235" s="373">
        <f>L221+L234</f>
        <v>14061682.17</v>
      </c>
      <c r="M235" s="373"/>
      <c r="N235" s="373">
        <f>N221+N234</f>
        <v>47331910.350000001</v>
      </c>
      <c r="O235" s="373">
        <f>O221+O234</f>
        <v>-28138512.059999999</v>
      </c>
      <c r="P235" s="373">
        <f>P221+P234</f>
        <v>19193398.289999995</v>
      </c>
      <c r="Q235" s="879"/>
      <c r="R235" s="879"/>
      <c r="S235" s="879"/>
      <c r="T235" s="879"/>
      <c r="U235" s="879"/>
      <c r="V235" s="879"/>
      <c r="W235" s="879"/>
      <c r="X235" s="879"/>
      <c r="Y235" s="879"/>
      <c r="Z235" s="879"/>
      <c r="AA235" s="879"/>
      <c r="AB235" s="879"/>
      <c r="AC235" s="873"/>
      <c r="AD235" s="873"/>
      <c r="AE235" s="873"/>
      <c r="AF235" s="873"/>
      <c r="AG235" s="873"/>
      <c r="AH235" s="873"/>
      <c r="AI235" s="873"/>
      <c r="AJ235" s="873"/>
      <c r="AK235" s="873"/>
      <c r="AL235" s="873"/>
      <c r="AM235" s="873"/>
      <c r="AN235" s="873"/>
      <c r="AO235" s="873"/>
      <c r="AP235" s="873"/>
      <c r="AQ235" s="873"/>
      <c r="AR235" s="873"/>
      <c r="AS235" s="873"/>
      <c r="AT235" s="873"/>
      <c r="AU235" s="873"/>
      <c r="AW235" s="373">
        <f>AW221+AW234</f>
        <v>45367642.629999995</v>
      </c>
      <c r="AX235" s="373">
        <f>AX221+AX234</f>
        <v>0</v>
      </c>
      <c r="AY235" s="373">
        <f>AY221+AY234</f>
        <v>45367642.629999995</v>
      </c>
    </row>
    <row r="236" spans="1:51" s="306" customFormat="1" ht="15" customHeight="1" x14ac:dyDescent="0.25">
      <c r="A236" s="214"/>
      <c r="B236" s="214"/>
      <c r="C236" s="396"/>
      <c r="D236" s="396"/>
      <c r="E236" s="396"/>
      <c r="F236" s="396"/>
      <c r="G236" s="374"/>
      <c r="H236" s="374"/>
      <c r="I236" s="374"/>
      <c r="J236" s="373"/>
      <c r="K236" s="211"/>
      <c r="L236" s="373"/>
      <c r="M236" s="373"/>
      <c r="N236" s="373"/>
      <c r="O236" s="373"/>
      <c r="P236" s="373"/>
      <c r="Q236" s="879"/>
      <c r="R236" s="879"/>
      <c r="S236" s="879"/>
      <c r="T236" s="879"/>
      <c r="U236" s="879"/>
      <c r="V236" s="879"/>
      <c r="W236" s="879"/>
      <c r="X236" s="879"/>
      <c r="Y236" s="879"/>
      <c r="Z236" s="879"/>
      <c r="AA236" s="879"/>
      <c r="AB236" s="879"/>
      <c r="AC236" s="873"/>
      <c r="AD236" s="873"/>
      <c r="AE236" s="873"/>
      <c r="AF236" s="873"/>
      <c r="AG236" s="873"/>
      <c r="AH236" s="873"/>
      <c r="AI236" s="873"/>
      <c r="AJ236" s="873"/>
      <c r="AK236" s="873"/>
      <c r="AL236" s="873"/>
      <c r="AM236" s="873"/>
      <c r="AN236" s="873"/>
      <c r="AO236" s="873"/>
      <c r="AP236" s="873"/>
      <c r="AQ236" s="873"/>
      <c r="AR236" s="873"/>
      <c r="AS236" s="873"/>
      <c r="AT236" s="873"/>
      <c r="AU236" s="873"/>
      <c r="AW236" s="373"/>
      <c r="AX236" s="373"/>
      <c r="AY236" s="373"/>
    </row>
    <row r="237" spans="1:51" s="306" customFormat="1" ht="15" customHeight="1" x14ac:dyDescent="0.25">
      <c r="A237" s="214"/>
      <c r="B237" s="401" t="s">
        <v>3209</v>
      </c>
      <c r="C237" s="396">
        <v>4</v>
      </c>
      <c r="D237" s="396">
        <v>9050</v>
      </c>
      <c r="E237" s="397" t="s">
        <v>1373</v>
      </c>
      <c r="F237" s="396">
        <v>0</v>
      </c>
      <c r="G237" s="374"/>
      <c r="H237" s="374"/>
      <c r="I237" s="374"/>
      <c r="J237" s="373"/>
      <c r="K237" s="211"/>
      <c r="L237" s="373"/>
      <c r="M237" s="373"/>
      <c r="N237" s="373"/>
      <c r="O237" s="373"/>
      <c r="P237" s="373"/>
      <c r="Q237" s="879"/>
      <c r="R237" s="879"/>
      <c r="S237" s="879"/>
      <c r="T237" s="879"/>
      <c r="U237" s="879"/>
      <c r="V237" s="879"/>
      <c r="W237" s="879"/>
      <c r="X237" s="879"/>
      <c r="Y237" s="879"/>
      <c r="Z237" s="879"/>
      <c r="AA237" s="879"/>
      <c r="AB237" s="879"/>
      <c r="AC237" s="873"/>
      <c r="AD237" s="873"/>
      <c r="AE237" s="873"/>
      <c r="AF237" s="873"/>
      <c r="AG237" s="873"/>
      <c r="AH237" s="873"/>
      <c r="AI237" s="873"/>
      <c r="AJ237" s="873"/>
      <c r="AK237" s="873"/>
      <c r="AL237" s="873"/>
      <c r="AM237" s="873"/>
      <c r="AN237" s="873"/>
      <c r="AO237" s="873"/>
      <c r="AP237" s="873"/>
      <c r="AQ237" s="873"/>
      <c r="AR237" s="873"/>
      <c r="AS237" s="873"/>
      <c r="AT237" s="873"/>
      <c r="AU237" s="873"/>
      <c r="AW237" s="578">
        <v>4581168</v>
      </c>
      <c r="AX237" s="373"/>
      <c r="AY237" s="354">
        <f>AW237+AX237</f>
        <v>4581168</v>
      </c>
    </row>
    <row r="238" spans="1:51" s="306" customFormat="1" ht="15" customHeight="1" x14ac:dyDescent="0.25">
      <c r="A238" s="214"/>
      <c r="B238" s="214"/>
      <c r="C238" s="396"/>
      <c r="D238" s="396"/>
      <c r="E238" s="396"/>
      <c r="F238" s="396"/>
      <c r="G238" s="374"/>
      <c r="H238" s="374"/>
      <c r="I238" s="374"/>
      <c r="J238" s="373"/>
      <c r="K238" s="211"/>
      <c r="L238" s="373"/>
      <c r="M238" s="373"/>
      <c r="N238" s="373"/>
      <c r="O238" s="373"/>
      <c r="P238" s="373"/>
      <c r="Q238" s="879"/>
      <c r="R238" s="879"/>
      <c r="S238" s="879"/>
      <c r="T238" s="879"/>
      <c r="U238" s="879"/>
      <c r="V238" s="879"/>
      <c r="W238" s="879"/>
      <c r="X238" s="879"/>
      <c r="Y238" s="879"/>
      <c r="Z238" s="879"/>
      <c r="AA238" s="879"/>
      <c r="AB238" s="879"/>
      <c r="AC238" s="873"/>
      <c r="AD238" s="873"/>
      <c r="AE238" s="873"/>
      <c r="AF238" s="873"/>
      <c r="AG238" s="873"/>
      <c r="AH238" s="873"/>
      <c r="AI238" s="873"/>
      <c r="AJ238" s="873"/>
      <c r="AK238" s="873"/>
      <c r="AL238" s="873"/>
      <c r="AM238" s="873"/>
      <c r="AN238" s="873"/>
      <c r="AO238" s="873"/>
      <c r="AP238" s="873"/>
      <c r="AQ238" s="873"/>
      <c r="AR238" s="873"/>
      <c r="AS238" s="873"/>
      <c r="AT238" s="873"/>
      <c r="AU238" s="873"/>
      <c r="AW238" s="373"/>
      <c r="AX238" s="373"/>
      <c r="AY238" s="373"/>
    </row>
    <row r="239" spans="1:51" s="306" customFormat="1" ht="15" customHeight="1" x14ac:dyDescent="0.25">
      <c r="A239" s="238" t="s">
        <v>148</v>
      </c>
      <c r="B239" s="238" t="s">
        <v>813</v>
      </c>
      <c r="C239" s="396"/>
      <c r="D239" s="396"/>
      <c r="E239" s="396"/>
      <c r="F239" s="396"/>
      <c r="G239" s="212"/>
      <c r="H239" s="212"/>
      <c r="I239" s="212"/>
      <c r="J239" s="213"/>
      <c r="K239" s="211"/>
      <c r="L239" s="213"/>
      <c r="M239" s="213"/>
      <c r="N239" s="213"/>
      <c r="O239" s="213"/>
      <c r="P239" s="213"/>
      <c r="Q239" s="827"/>
      <c r="R239" s="827"/>
      <c r="S239" s="827"/>
      <c r="T239" s="827"/>
      <c r="U239" s="827"/>
      <c r="V239" s="827"/>
      <c r="W239" s="827"/>
      <c r="X239" s="827"/>
      <c r="Y239" s="827"/>
      <c r="Z239" s="827"/>
      <c r="AA239" s="827"/>
      <c r="AB239" s="827"/>
      <c r="AC239" s="870"/>
      <c r="AD239" s="870"/>
      <c r="AE239" s="870"/>
      <c r="AF239" s="870"/>
      <c r="AG239" s="870"/>
      <c r="AH239" s="870"/>
      <c r="AI239" s="870"/>
      <c r="AJ239" s="870"/>
      <c r="AK239" s="870"/>
      <c r="AL239" s="870"/>
      <c r="AM239" s="870"/>
      <c r="AN239" s="870"/>
      <c r="AO239" s="870"/>
      <c r="AP239" s="870"/>
      <c r="AQ239" s="870"/>
      <c r="AR239" s="870"/>
      <c r="AS239" s="870"/>
      <c r="AT239" s="870"/>
      <c r="AU239" s="870"/>
      <c r="AW239" s="213"/>
      <c r="AX239" s="213"/>
      <c r="AY239" s="213"/>
    </row>
    <row r="240" spans="1:51" s="306" customFormat="1" ht="15" customHeight="1" x14ac:dyDescent="0.25">
      <c r="A240" s="238"/>
      <c r="B240" s="239" t="s">
        <v>1496</v>
      </c>
      <c r="C240" s="396">
        <v>4</v>
      </c>
      <c r="D240" s="396">
        <v>9060</v>
      </c>
      <c r="E240" s="397" t="s">
        <v>1373</v>
      </c>
      <c r="F240" s="396">
        <v>0</v>
      </c>
      <c r="G240" s="400">
        <v>0</v>
      </c>
      <c r="H240" s="400">
        <v>0</v>
      </c>
      <c r="I240" s="400"/>
      <c r="J240" s="399">
        <f t="shared" ref="J240:J247" si="38">H240+I240</f>
        <v>0</v>
      </c>
      <c r="K240" s="211"/>
      <c r="L240" s="399">
        <v>0</v>
      </c>
      <c r="M240" s="399"/>
      <c r="N240" s="399">
        <v>0</v>
      </c>
      <c r="O240" s="213"/>
      <c r="P240" s="213">
        <f t="shared" ref="P240:P247" si="39">N240+O240</f>
        <v>0</v>
      </c>
      <c r="Q240" s="827"/>
      <c r="R240" s="827"/>
      <c r="S240" s="827"/>
      <c r="T240" s="827"/>
      <c r="U240" s="827"/>
      <c r="V240" s="827"/>
      <c r="W240" s="827"/>
      <c r="X240" s="827"/>
      <c r="Y240" s="827"/>
      <c r="Z240" s="827"/>
      <c r="AA240" s="827"/>
      <c r="AB240" s="827"/>
      <c r="AC240" s="870"/>
      <c r="AD240" s="870"/>
      <c r="AE240" s="870"/>
      <c r="AF240" s="870"/>
      <c r="AG240" s="870"/>
      <c r="AH240" s="870"/>
      <c r="AI240" s="870"/>
      <c r="AJ240" s="870"/>
      <c r="AK240" s="870"/>
      <c r="AL240" s="870"/>
      <c r="AM240" s="870"/>
      <c r="AN240" s="870"/>
      <c r="AO240" s="870"/>
      <c r="AP240" s="870"/>
      <c r="AQ240" s="870"/>
      <c r="AR240" s="870"/>
      <c r="AS240" s="870"/>
      <c r="AT240" s="870"/>
      <c r="AU240" s="870"/>
      <c r="AW240" s="399">
        <v>0</v>
      </c>
      <c r="AX240" s="213"/>
      <c r="AY240" s="213">
        <f t="shared" ref="AY240:AY247" si="40">AW240+AX240</f>
        <v>0</v>
      </c>
    </row>
    <row r="241" spans="1:51" s="306" customFormat="1" ht="15" customHeight="1" x14ac:dyDescent="0.25">
      <c r="A241" s="238"/>
      <c r="B241" s="239" t="s">
        <v>1478</v>
      </c>
      <c r="C241" s="396">
        <v>4</v>
      </c>
      <c r="D241" s="396">
        <v>9060</v>
      </c>
      <c r="E241" s="397" t="s">
        <v>1379</v>
      </c>
      <c r="F241" s="396">
        <v>0</v>
      </c>
      <c r="G241" s="400">
        <v>0</v>
      </c>
      <c r="H241" s="400">
        <v>0</v>
      </c>
      <c r="I241" s="400"/>
      <c r="J241" s="399">
        <f t="shared" si="38"/>
        <v>0</v>
      </c>
      <c r="K241" s="211"/>
      <c r="L241" s="399">
        <v>0</v>
      </c>
      <c r="M241" s="399"/>
      <c r="N241" s="399">
        <v>0</v>
      </c>
      <c r="O241" s="213"/>
      <c r="P241" s="213">
        <f t="shared" si="39"/>
        <v>0</v>
      </c>
      <c r="Q241" s="827"/>
      <c r="R241" s="827"/>
      <c r="S241" s="827"/>
      <c r="T241" s="827"/>
      <c r="U241" s="827"/>
      <c r="V241" s="827"/>
      <c r="W241" s="827"/>
      <c r="X241" s="827"/>
      <c r="Y241" s="827"/>
      <c r="Z241" s="827"/>
      <c r="AA241" s="827"/>
      <c r="AB241" s="827"/>
      <c r="AC241" s="870"/>
      <c r="AD241" s="870"/>
      <c r="AE241" s="870"/>
      <c r="AF241" s="870"/>
      <c r="AG241" s="870"/>
      <c r="AH241" s="870"/>
      <c r="AI241" s="870"/>
      <c r="AJ241" s="870"/>
      <c r="AK241" s="870"/>
      <c r="AL241" s="870"/>
      <c r="AM241" s="870"/>
      <c r="AN241" s="870"/>
      <c r="AO241" s="870"/>
      <c r="AP241" s="870"/>
      <c r="AQ241" s="870"/>
      <c r="AR241" s="870"/>
      <c r="AS241" s="870"/>
      <c r="AT241" s="870"/>
      <c r="AU241" s="870"/>
      <c r="AW241" s="399">
        <v>0</v>
      </c>
      <c r="AX241" s="213"/>
      <c r="AY241" s="213">
        <f t="shared" si="40"/>
        <v>0</v>
      </c>
    </row>
    <row r="242" spans="1:51" s="306" customFormat="1" ht="15" customHeight="1" x14ac:dyDescent="0.25">
      <c r="A242" s="238"/>
      <c r="B242" s="239" t="s">
        <v>1479</v>
      </c>
      <c r="C242" s="396">
        <v>4</v>
      </c>
      <c r="D242" s="396">
        <v>9060</v>
      </c>
      <c r="E242" s="397" t="s">
        <v>1380</v>
      </c>
      <c r="F242" s="396">
        <v>0</v>
      </c>
      <c r="G242" s="400">
        <v>0</v>
      </c>
      <c r="H242" s="400">
        <v>7331590.0499999998</v>
      </c>
      <c r="I242" s="400"/>
      <c r="J242" s="399">
        <f t="shared" si="38"/>
        <v>7331590.0499999998</v>
      </c>
      <c r="K242" s="211"/>
      <c r="L242" s="399">
        <v>7331590.0499999998</v>
      </c>
      <c r="M242" s="399"/>
      <c r="N242" s="399">
        <v>0</v>
      </c>
      <c r="O242" s="213"/>
      <c r="P242" s="213">
        <f t="shared" si="39"/>
        <v>0</v>
      </c>
      <c r="Q242" s="827"/>
      <c r="R242" s="827"/>
      <c r="S242" s="827"/>
      <c r="T242" s="827"/>
      <c r="U242" s="827"/>
      <c r="V242" s="827"/>
      <c r="W242" s="827"/>
      <c r="X242" s="827"/>
      <c r="Y242" s="827"/>
      <c r="Z242" s="827"/>
      <c r="AA242" s="827"/>
      <c r="AB242" s="827"/>
      <c r="AC242" s="870"/>
      <c r="AD242" s="870"/>
      <c r="AE242" s="870"/>
      <c r="AF242" s="870"/>
      <c r="AG242" s="870"/>
      <c r="AH242" s="870"/>
      <c r="AI242" s="870"/>
      <c r="AJ242" s="870"/>
      <c r="AK242" s="870"/>
      <c r="AL242" s="870"/>
      <c r="AM242" s="870"/>
      <c r="AN242" s="870"/>
      <c r="AO242" s="870"/>
      <c r="AP242" s="870"/>
      <c r="AQ242" s="870"/>
      <c r="AR242" s="870"/>
      <c r="AS242" s="870"/>
      <c r="AT242" s="870"/>
      <c r="AU242" s="870"/>
      <c r="AW242" s="399">
        <v>0</v>
      </c>
      <c r="AX242" s="213"/>
      <c r="AY242" s="213">
        <f t="shared" si="40"/>
        <v>0</v>
      </c>
    </row>
    <row r="243" spans="1:51" s="306" customFormat="1" ht="15" customHeight="1" x14ac:dyDescent="0.25">
      <c r="A243" s="238"/>
      <c r="B243" s="239" t="s">
        <v>1480</v>
      </c>
      <c r="C243" s="396">
        <v>4</v>
      </c>
      <c r="D243" s="396">
        <v>9060</v>
      </c>
      <c r="E243" s="397" t="s">
        <v>1382</v>
      </c>
      <c r="F243" s="396">
        <v>0</v>
      </c>
      <c r="G243" s="400">
        <v>0</v>
      </c>
      <c r="H243" s="400">
        <v>0</v>
      </c>
      <c r="I243" s="400"/>
      <c r="J243" s="399">
        <f t="shared" si="38"/>
        <v>0</v>
      </c>
      <c r="K243" s="211"/>
      <c r="L243" s="399">
        <v>0</v>
      </c>
      <c r="M243" s="399"/>
      <c r="N243" s="399">
        <v>0</v>
      </c>
      <c r="O243" s="213"/>
      <c r="P243" s="213">
        <f t="shared" si="39"/>
        <v>0</v>
      </c>
      <c r="Q243" s="827"/>
      <c r="R243" s="827"/>
      <c r="S243" s="827"/>
      <c r="T243" s="827"/>
      <c r="U243" s="827"/>
      <c r="V243" s="827"/>
      <c r="W243" s="827"/>
      <c r="X243" s="827"/>
      <c r="Y243" s="827"/>
      <c r="Z243" s="827"/>
      <c r="AA243" s="827"/>
      <c r="AB243" s="827"/>
      <c r="AC243" s="870"/>
      <c r="AD243" s="870"/>
      <c r="AE243" s="870"/>
      <c r="AF243" s="870"/>
      <c r="AG243" s="870"/>
      <c r="AH243" s="870"/>
      <c r="AI243" s="870"/>
      <c r="AJ243" s="870"/>
      <c r="AK243" s="870"/>
      <c r="AL243" s="870"/>
      <c r="AM243" s="870"/>
      <c r="AN243" s="870"/>
      <c r="AO243" s="870"/>
      <c r="AP243" s="870"/>
      <c r="AQ243" s="870"/>
      <c r="AR243" s="870"/>
      <c r="AS243" s="870"/>
      <c r="AT243" s="870"/>
      <c r="AU243" s="870"/>
      <c r="AW243" s="399">
        <v>0</v>
      </c>
      <c r="AX243" s="213"/>
      <c r="AY243" s="213">
        <f t="shared" si="40"/>
        <v>0</v>
      </c>
    </row>
    <row r="244" spans="1:51" s="306" customFormat="1" ht="15" customHeight="1" x14ac:dyDescent="0.25">
      <c r="A244" s="238"/>
      <c r="B244" s="239" t="s">
        <v>1481</v>
      </c>
      <c r="C244" s="396">
        <v>4</v>
      </c>
      <c r="D244" s="396">
        <v>9060</v>
      </c>
      <c r="E244" s="397" t="s">
        <v>1447</v>
      </c>
      <c r="F244" s="396">
        <v>0</v>
      </c>
      <c r="G244" s="400">
        <v>11599731.140000001</v>
      </c>
      <c r="H244" s="400">
        <v>65878886.579999998</v>
      </c>
      <c r="I244" s="400">
        <v>29127.73</v>
      </c>
      <c r="J244" s="399">
        <f t="shared" si="38"/>
        <v>65908014.309999995</v>
      </c>
      <c r="K244" s="211"/>
      <c r="L244" s="399">
        <v>65908014.309999995</v>
      </c>
      <c r="M244" s="399"/>
      <c r="N244" s="399">
        <v>10487884.439999999</v>
      </c>
      <c r="O244" s="354">
        <v>1634938.26</v>
      </c>
      <c r="P244" s="213">
        <f t="shared" si="39"/>
        <v>12122822.699999999</v>
      </c>
      <c r="Q244" s="827"/>
      <c r="R244" s="827"/>
      <c r="S244" s="827"/>
      <c r="T244" s="827"/>
      <c r="U244" s="827"/>
      <c r="V244" s="827"/>
      <c r="W244" s="827"/>
      <c r="X244" s="827"/>
      <c r="Y244" s="827"/>
      <c r="Z244" s="827"/>
      <c r="AA244" s="827"/>
      <c r="AB244" s="827"/>
      <c r="AC244" s="870"/>
      <c r="AD244" s="870"/>
      <c r="AE244" s="870"/>
      <c r="AF244" s="870"/>
      <c r="AG244" s="870"/>
      <c r="AH244" s="870"/>
      <c r="AI244" s="870"/>
      <c r="AJ244" s="870"/>
      <c r="AK244" s="870"/>
      <c r="AL244" s="870"/>
      <c r="AM244" s="870"/>
      <c r="AN244" s="870"/>
      <c r="AO244" s="870"/>
      <c r="AP244" s="870"/>
      <c r="AQ244" s="870"/>
      <c r="AR244" s="870"/>
      <c r="AS244" s="870"/>
      <c r="AT244" s="870"/>
      <c r="AU244" s="870"/>
      <c r="AW244" s="572">
        <v>15666614.84</v>
      </c>
      <c r="AX244" s="354"/>
      <c r="AY244" s="213">
        <f t="shared" si="40"/>
        <v>15666614.84</v>
      </c>
    </row>
    <row r="245" spans="1:51" s="306" customFormat="1" ht="15" customHeight="1" x14ac:dyDescent="0.25">
      <c r="A245" s="238"/>
      <c r="B245" s="239" t="s">
        <v>1482</v>
      </c>
      <c r="C245" s="396">
        <v>4</v>
      </c>
      <c r="D245" s="396">
        <v>9060</v>
      </c>
      <c r="E245" s="397" t="s">
        <v>1433</v>
      </c>
      <c r="F245" s="396">
        <v>0</v>
      </c>
      <c r="G245" s="400">
        <v>0</v>
      </c>
      <c r="H245" s="400">
        <v>-7331590.0499999998</v>
      </c>
      <c r="I245" s="400"/>
      <c r="J245" s="399">
        <f t="shared" si="38"/>
        <v>-7331590.0499999998</v>
      </c>
      <c r="K245" s="211"/>
      <c r="L245" s="399">
        <v>-7331590.0499999998</v>
      </c>
      <c r="M245" s="399"/>
      <c r="N245" s="399">
        <v>0</v>
      </c>
      <c r="O245" s="213"/>
      <c r="P245" s="213">
        <f t="shared" si="39"/>
        <v>0</v>
      </c>
      <c r="Q245" s="827"/>
      <c r="R245" s="827"/>
      <c r="S245" s="827"/>
      <c r="T245" s="827"/>
      <c r="U245" s="827"/>
      <c r="V245" s="827"/>
      <c r="W245" s="827"/>
      <c r="X245" s="827"/>
      <c r="Y245" s="827"/>
      <c r="Z245" s="827"/>
      <c r="AA245" s="827"/>
      <c r="AB245" s="827"/>
      <c r="AC245" s="870"/>
      <c r="AD245" s="870"/>
      <c r="AE245" s="870"/>
      <c r="AF245" s="870"/>
      <c r="AG245" s="870"/>
      <c r="AH245" s="870"/>
      <c r="AI245" s="870"/>
      <c r="AJ245" s="870"/>
      <c r="AK245" s="870"/>
      <c r="AL245" s="870"/>
      <c r="AM245" s="870"/>
      <c r="AN245" s="870"/>
      <c r="AO245" s="870"/>
      <c r="AP245" s="870"/>
      <c r="AQ245" s="870"/>
      <c r="AR245" s="870"/>
      <c r="AS245" s="870"/>
      <c r="AT245" s="870"/>
      <c r="AU245" s="870"/>
      <c r="AW245" s="399">
        <v>0</v>
      </c>
      <c r="AX245" s="213"/>
      <c r="AY245" s="213">
        <f t="shared" si="40"/>
        <v>0</v>
      </c>
    </row>
    <row r="246" spans="1:51" s="306" customFormat="1" ht="15" customHeight="1" x14ac:dyDescent="0.25">
      <c r="A246" s="238"/>
      <c r="B246" s="239" t="s">
        <v>2975</v>
      </c>
      <c r="C246" s="396">
        <v>3</v>
      </c>
      <c r="D246" s="396">
        <v>8050</v>
      </c>
      <c r="E246" s="397" t="s">
        <v>1413</v>
      </c>
      <c r="F246" s="396">
        <v>0</v>
      </c>
      <c r="G246" s="400"/>
      <c r="H246" s="400"/>
      <c r="I246" s="400"/>
      <c r="J246" s="399"/>
      <c r="K246" s="211"/>
      <c r="L246" s="399"/>
      <c r="M246" s="399"/>
      <c r="N246" s="399"/>
      <c r="O246" s="213">
        <v>9543009.2899999991</v>
      </c>
      <c r="P246" s="213">
        <f t="shared" si="39"/>
        <v>9543009.2899999991</v>
      </c>
      <c r="Q246" s="827"/>
      <c r="R246" s="827"/>
      <c r="S246" s="827"/>
      <c r="T246" s="827"/>
      <c r="U246" s="827"/>
      <c r="V246" s="827"/>
      <c r="W246" s="827"/>
      <c r="X246" s="827"/>
      <c r="Y246" s="827"/>
      <c r="Z246" s="827"/>
      <c r="AA246" s="827"/>
      <c r="AB246" s="827"/>
      <c r="AC246" s="870"/>
      <c r="AD246" s="870"/>
      <c r="AE246" s="870"/>
      <c r="AF246" s="870"/>
      <c r="AG246" s="870"/>
      <c r="AH246" s="870"/>
      <c r="AI246" s="870"/>
      <c r="AJ246" s="870"/>
      <c r="AK246" s="870"/>
      <c r="AL246" s="870"/>
      <c r="AM246" s="870"/>
      <c r="AN246" s="870"/>
      <c r="AO246" s="870"/>
      <c r="AP246" s="870"/>
      <c r="AQ246" s="870"/>
      <c r="AR246" s="870"/>
      <c r="AS246" s="870"/>
      <c r="AT246" s="870"/>
      <c r="AU246" s="870"/>
      <c r="AW246" s="399">
        <v>0</v>
      </c>
      <c r="AX246" s="213"/>
      <c r="AY246" s="213">
        <f t="shared" si="40"/>
        <v>0</v>
      </c>
    </row>
    <row r="247" spans="1:51" s="306" customFormat="1" ht="15" customHeight="1" x14ac:dyDescent="0.25">
      <c r="A247" s="238"/>
      <c r="B247" s="239" t="s">
        <v>1497</v>
      </c>
      <c r="C247" s="396">
        <v>4</v>
      </c>
      <c r="D247" s="396">
        <v>9060</v>
      </c>
      <c r="E247" s="397" t="s">
        <v>1385</v>
      </c>
      <c r="F247" s="396">
        <v>0</v>
      </c>
      <c r="G247" s="400">
        <v>0</v>
      </c>
      <c r="H247" s="400">
        <v>0</v>
      </c>
      <c r="I247" s="400"/>
      <c r="J247" s="399">
        <f t="shared" si="38"/>
        <v>0</v>
      </c>
      <c r="K247" s="211"/>
      <c r="L247" s="399">
        <v>0</v>
      </c>
      <c r="M247" s="399"/>
      <c r="N247" s="399">
        <v>0</v>
      </c>
      <c r="O247" s="213"/>
      <c r="P247" s="213">
        <f t="shared" si="39"/>
        <v>0</v>
      </c>
      <c r="Q247" s="827"/>
      <c r="R247" s="827"/>
      <c r="S247" s="827"/>
      <c r="T247" s="827"/>
      <c r="U247" s="827"/>
      <c r="V247" s="827"/>
      <c r="W247" s="827"/>
      <c r="X247" s="827"/>
      <c r="Y247" s="827"/>
      <c r="Z247" s="827"/>
      <c r="AA247" s="827"/>
      <c r="AB247" s="827"/>
      <c r="AC247" s="870"/>
      <c r="AD247" s="870"/>
      <c r="AE247" s="870"/>
      <c r="AF247" s="870"/>
      <c r="AG247" s="870"/>
      <c r="AH247" s="870"/>
      <c r="AI247" s="870"/>
      <c r="AJ247" s="870"/>
      <c r="AK247" s="870"/>
      <c r="AL247" s="870"/>
      <c r="AM247" s="870"/>
      <c r="AN247" s="870"/>
      <c r="AO247" s="870"/>
      <c r="AP247" s="870"/>
      <c r="AQ247" s="870"/>
      <c r="AR247" s="870"/>
      <c r="AS247" s="870"/>
      <c r="AT247" s="870"/>
      <c r="AU247" s="870"/>
      <c r="AW247" s="399">
        <v>0</v>
      </c>
      <c r="AX247" s="213"/>
      <c r="AY247" s="213">
        <f t="shared" si="40"/>
        <v>0</v>
      </c>
    </row>
    <row r="248" spans="1:51" s="306" customFormat="1" ht="15" customHeight="1" x14ac:dyDescent="0.25">
      <c r="A248" s="214"/>
      <c r="B248" s="214"/>
      <c r="C248" s="396"/>
      <c r="D248" s="396"/>
      <c r="E248" s="396"/>
      <c r="F248" s="396"/>
      <c r="G248" s="398">
        <f t="shared" ref="G248:P248" si="41">SUM(G240:G247)</f>
        <v>11599731.140000001</v>
      </c>
      <c r="H248" s="398">
        <f t="shared" si="41"/>
        <v>65878886.579999998</v>
      </c>
      <c r="I248" s="398">
        <f t="shared" si="41"/>
        <v>29127.73</v>
      </c>
      <c r="J248" s="354">
        <f t="shared" si="41"/>
        <v>65908014.310000002</v>
      </c>
      <c r="K248" s="211"/>
      <c r="L248" s="354">
        <f t="shared" si="41"/>
        <v>65908014.310000002</v>
      </c>
      <c r="M248" s="354"/>
      <c r="N248" s="354">
        <f>SUM(N240:N247)</f>
        <v>10487884.439999999</v>
      </c>
      <c r="O248" s="354">
        <f t="shared" si="41"/>
        <v>11177947.549999999</v>
      </c>
      <c r="P248" s="354">
        <f t="shared" si="41"/>
        <v>21665831.989999998</v>
      </c>
      <c r="Q248" s="496"/>
      <c r="R248" s="496"/>
      <c r="S248" s="496"/>
      <c r="T248" s="496"/>
      <c r="U248" s="496"/>
      <c r="V248" s="496"/>
      <c r="W248" s="496"/>
      <c r="X248" s="496"/>
      <c r="Y248" s="496"/>
      <c r="Z248" s="496"/>
      <c r="AA248" s="496"/>
      <c r="AB248" s="496"/>
      <c r="AC248" s="871"/>
      <c r="AD248" s="871"/>
      <c r="AE248" s="871"/>
      <c r="AF248" s="871"/>
      <c r="AG248" s="871"/>
      <c r="AH248" s="871"/>
      <c r="AI248" s="871"/>
      <c r="AJ248" s="871"/>
      <c r="AK248" s="871"/>
      <c r="AL248" s="871"/>
      <c r="AM248" s="871"/>
      <c r="AN248" s="871"/>
      <c r="AO248" s="871"/>
      <c r="AP248" s="871"/>
      <c r="AQ248" s="871"/>
      <c r="AR248" s="871"/>
      <c r="AS248" s="871"/>
      <c r="AT248" s="871"/>
      <c r="AU248" s="871"/>
      <c r="AW248" s="354">
        <f>SUM(AW240:AW247)</f>
        <v>15666614.84</v>
      </c>
      <c r="AX248" s="354">
        <f>SUM(AX240:AX247)</f>
        <v>0</v>
      </c>
      <c r="AY248" s="354">
        <f>SUM(AY240:AY247)</f>
        <v>15666614.84</v>
      </c>
    </row>
    <row r="249" spans="1:51" s="306" customFormat="1" ht="15" customHeight="1" x14ac:dyDescent="0.25">
      <c r="A249" s="238" t="s">
        <v>149</v>
      </c>
      <c r="B249" s="238" t="s">
        <v>150</v>
      </c>
      <c r="C249" s="396"/>
      <c r="D249" s="396"/>
      <c r="E249" s="396"/>
      <c r="F249" s="396"/>
      <c r="G249" s="212"/>
      <c r="H249" s="212"/>
      <c r="I249" s="212"/>
      <c r="J249" s="213"/>
      <c r="K249" s="211"/>
      <c r="L249" s="213"/>
      <c r="M249" s="213"/>
      <c r="N249" s="213"/>
      <c r="O249" s="213"/>
      <c r="P249" s="213"/>
      <c r="Q249" s="827"/>
      <c r="R249" s="827"/>
      <c r="S249" s="827"/>
      <c r="T249" s="827"/>
      <c r="U249" s="827"/>
      <c r="V249" s="827"/>
      <c r="W249" s="827"/>
      <c r="X249" s="827"/>
      <c r="Y249" s="827"/>
      <c r="Z249" s="827"/>
      <c r="AA249" s="827"/>
      <c r="AB249" s="827"/>
      <c r="AC249" s="870"/>
      <c r="AD249" s="870"/>
      <c r="AE249" s="870"/>
      <c r="AF249" s="870"/>
      <c r="AG249" s="870"/>
      <c r="AH249" s="870"/>
      <c r="AI249" s="870"/>
      <c r="AJ249" s="870"/>
      <c r="AK249" s="870"/>
      <c r="AL249" s="870"/>
      <c r="AM249" s="870"/>
      <c r="AN249" s="870"/>
      <c r="AO249" s="870"/>
      <c r="AP249" s="870"/>
      <c r="AQ249" s="870"/>
      <c r="AR249" s="870"/>
      <c r="AS249" s="870"/>
      <c r="AT249" s="870"/>
      <c r="AU249" s="870"/>
      <c r="AW249" s="213"/>
      <c r="AX249" s="213"/>
      <c r="AY249" s="213"/>
    </row>
    <row r="250" spans="1:51" s="306" customFormat="1" ht="15" customHeight="1" x14ac:dyDescent="0.25">
      <c r="A250" s="238"/>
      <c r="B250" s="238" t="s">
        <v>933</v>
      </c>
      <c r="C250" s="396"/>
      <c r="D250" s="396"/>
      <c r="E250" s="396"/>
      <c r="F250" s="396"/>
      <c r="G250" s="212"/>
      <c r="H250" s="212"/>
      <c r="I250" s="212"/>
      <c r="J250" s="213"/>
      <c r="K250" s="211"/>
      <c r="L250" s="213"/>
      <c r="M250" s="213"/>
      <c r="N250" s="213"/>
      <c r="O250" s="213"/>
      <c r="P250" s="213"/>
      <c r="Q250" s="827"/>
      <c r="R250" s="827"/>
      <c r="S250" s="827"/>
      <c r="T250" s="827"/>
      <c r="U250" s="827"/>
      <c r="V250" s="827"/>
      <c r="W250" s="827"/>
      <c r="X250" s="827"/>
      <c r="Y250" s="827"/>
      <c r="Z250" s="827"/>
      <c r="AA250" s="827"/>
      <c r="AB250" s="827"/>
      <c r="AC250" s="870"/>
      <c r="AD250" s="870"/>
      <c r="AE250" s="870"/>
      <c r="AF250" s="870"/>
      <c r="AG250" s="870"/>
      <c r="AH250" s="870"/>
      <c r="AI250" s="870"/>
      <c r="AJ250" s="870"/>
      <c r="AK250" s="870"/>
      <c r="AL250" s="870"/>
      <c r="AM250" s="870"/>
      <c r="AN250" s="870"/>
      <c r="AO250" s="870"/>
      <c r="AP250" s="870"/>
      <c r="AQ250" s="870"/>
      <c r="AR250" s="870"/>
      <c r="AS250" s="870"/>
      <c r="AT250" s="870"/>
      <c r="AU250" s="870"/>
      <c r="AW250" s="213"/>
      <c r="AX250" s="213"/>
      <c r="AY250" s="213"/>
    </row>
    <row r="251" spans="1:51" s="306" customFormat="1" ht="15" customHeight="1" x14ac:dyDescent="0.25">
      <c r="A251" s="214"/>
      <c r="B251" s="239" t="s">
        <v>151</v>
      </c>
      <c r="C251" s="396">
        <v>4</v>
      </c>
      <c r="D251" s="396">
        <v>9070</v>
      </c>
      <c r="E251" s="397" t="s">
        <v>1498</v>
      </c>
      <c r="F251" s="396">
        <v>0</v>
      </c>
      <c r="G251" s="212">
        <v>4591464.53</v>
      </c>
      <c r="H251" s="212">
        <v>10545306.439999999</v>
      </c>
      <c r="I251" s="212"/>
      <c r="J251" s="399">
        <f>H251+I251</f>
        <v>10545306.439999999</v>
      </c>
      <c r="K251" s="211"/>
      <c r="L251" s="399">
        <v>10545306.439999999</v>
      </c>
      <c r="M251" s="399"/>
      <c r="N251" s="399">
        <v>51092758.600000001</v>
      </c>
      <c r="O251" s="213"/>
      <c r="P251" s="213">
        <f>N251+O251</f>
        <v>51092758.600000001</v>
      </c>
      <c r="Q251" s="827"/>
      <c r="R251" s="827"/>
      <c r="S251" s="827"/>
      <c r="T251" s="827"/>
      <c r="U251" s="827"/>
      <c r="V251" s="827"/>
      <c r="W251" s="827"/>
      <c r="X251" s="827"/>
      <c r="Y251" s="827"/>
      <c r="Z251" s="827"/>
      <c r="AA251" s="827"/>
      <c r="AB251" s="827"/>
      <c r="AC251" s="870"/>
      <c r="AD251" s="870"/>
      <c r="AE251" s="870"/>
      <c r="AF251" s="870"/>
      <c r="AG251" s="870"/>
      <c r="AH251" s="870"/>
      <c r="AI251" s="870"/>
      <c r="AJ251" s="870"/>
      <c r="AK251" s="870"/>
      <c r="AL251" s="870"/>
      <c r="AM251" s="870"/>
      <c r="AN251" s="870"/>
      <c r="AO251" s="870"/>
      <c r="AP251" s="870"/>
      <c r="AQ251" s="870"/>
      <c r="AR251" s="870"/>
      <c r="AS251" s="870"/>
      <c r="AT251" s="870"/>
      <c r="AU251" s="870"/>
      <c r="AW251" s="572">
        <v>67142865.189999998</v>
      </c>
      <c r="AX251" s="213"/>
      <c r="AY251" s="213">
        <f>AW251+AX251</f>
        <v>67142865.189999998</v>
      </c>
    </row>
    <row r="252" spans="1:51" s="306" customFormat="1" ht="15" customHeight="1" x14ac:dyDescent="0.25">
      <c r="A252" s="214"/>
      <c r="B252" s="239" t="s">
        <v>152</v>
      </c>
      <c r="C252" s="396">
        <v>4</v>
      </c>
      <c r="D252" s="396">
        <v>9070</v>
      </c>
      <c r="E252" s="397" t="s">
        <v>1379</v>
      </c>
      <c r="F252" s="396">
        <v>0</v>
      </c>
      <c r="G252" s="212">
        <v>961</v>
      </c>
      <c r="H252" s="212">
        <v>6923.33</v>
      </c>
      <c r="I252" s="212"/>
      <c r="J252" s="399">
        <f>H252+I252</f>
        <v>6923.33</v>
      </c>
      <c r="K252" s="211"/>
      <c r="L252" s="399">
        <v>6923.33</v>
      </c>
      <c r="M252" s="399"/>
      <c r="N252" s="399">
        <v>2481.85</v>
      </c>
      <c r="O252" s="213"/>
      <c r="P252" s="213">
        <f>N252+O252</f>
        <v>2481.85</v>
      </c>
      <c r="Q252" s="827"/>
      <c r="R252" s="827"/>
      <c r="S252" s="827"/>
      <c r="T252" s="827"/>
      <c r="U252" s="827"/>
      <c r="V252" s="827"/>
      <c r="W252" s="827"/>
      <c r="X252" s="827"/>
      <c r="Y252" s="827"/>
      <c r="Z252" s="827"/>
      <c r="AA252" s="827"/>
      <c r="AB252" s="827"/>
      <c r="AC252" s="870"/>
      <c r="AD252" s="870"/>
      <c r="AE252" s="870"/>
      <c r="AF252" s="870"/>
      <c r="AG252" s="870"/>
      <c r="AH252" s="870"/>
      <c r="AI252" s="870"/>
      <c r="AJ252" s="870"/>
      <c r="AK252" s="870"/>
      <c r="AL252" s="870"/>
      <c r="AM252" s="870"/>
      <c r="AN252" s="870"/>
      <c r="AO252" s="870"/>
      <c r="AP252" s="870"/>
      <c r="AQ252" s="870"/>
      <c r="AR252" s="870"/>
      <c r="AS252" s="870"/>
      <c r="AT252" s="870"/>
      <c r="AU252" s="870"/>
      <c r="AW252" s="572">
        <v>4481.8500000000004</v>
      </c>
      <c r="AX252" s="213"/>
      <c r="AY252" s="213">
        <f>AW252+AX252</f>
        <v>4481.8500000000004</v>
      </c>
    </row>
    <row r="253" spans="1:51" s="306" customFormat="1" ht="15" customHeight="1" x14ac:dyDescent="0.25">
      <c r="A253" s="214"/>
      <c r="B253" s="239" t="s">
        <v>153</v>
      </c>
      <c r="C253" s="396">
        <v>4</v>
      </c>
      <c r="D253" s="396">
        <v>9070</v>
      </c>
      <c r="E253" s="397" t="s">
        <v>1380</v>
      </c>
      <c r="F253" s="396">
        <v>0</v>
      </c>
      <c r="G253" s="212">
        <v>271155.88</v>
      </c>
      <c r="H253" s="212">
        <v>313833.94</v>
      </c>
      <c r="I253" s="212"/>
      <c r="J253" s="399">
        <f>H253+I253</f>
        <v>313833.94</v>
      </c>
      <c r="K253" s="211"/>
      <c r="L253" s="399">
        <v>313833.94</v>
      </c>
      <c r="M253" s="399"/>
      <c r="N253" s="399">
        <v>343115.71</v>
      </c>
      <c r="O253" s="213"/>
      <c r="P253" s="213">
        <f>N253+O253</f>
        <v>343115.71</v>
      </c>
      <c r="Q253" s="827"/>
      <c r="R253" s="827"/>
      <c r="S253" s="827"/>
      <c r="T253" s="827"/>
      <c r="U253" s="827"/>
      <c r="V253" s="827"/>
      <c r="W253" s="827"/>
      <c r="X253" s="827"/>
      <c r="Y253" s="827"/>
      <c r="Z253" s="827"/>
      <c r="AA253" s="827"/>
      <c r="AB253" s="827"/>
      <c r="AC253" s="870"/>
      <c r="AD253" s="870"/>
      <c r="AE253" s="870"/>
      <c r="AF253" s="870"/>
      <c r="AG253" s="870"/>
      <c r="AH253" s="870"/>
      <c r="AI253" s="870"/>
      <c r="AJ253" s="870"/>
      <c r="AK253" s="870"/>
      <c r="AL253" s="870"/>
      <c r="AM253" s="870"/>
      <c r="AN253" s="870"/>
      <c r="AO253" s="870"/>
      <c r="AP253" s="870"/>
      <c r="AQ253" s="870"/>
      <c r="AR253" s="870"/>
      <c r="AS253" s="870"/>
      <c r="AT253" s="870"/>
      <c r="AU253" s="870"/>
      <c r="AW253" s="572">
        <v>739500.5</v>
      </c>
      <c r="AX253" s="213"/>
      <c r="AY253" s="213">
        <f>AW253+AX253</f>
        <v>739500.5</v>
      </c>
    </row>
    <row r="254" spans="1:51" s="306" customFormat="1" ht="15" customHeight="1" x14ac:dyDescent="0.25">
      <c r="A254" s="214"/>
      <c r="B254" s="214"/>
      <c r="C254" s="396"/>
      <c r="D254" s="396"/>
      <c r="E254" s="396"/>
      <c r="F254" s="396"/>
      <c r="G254" s="374">
        <f t="shared" ref="G254:P254" si="42">SUM(G251:G253)</f>
        <v>4863581.41</v>
      </c>
      <c r="H254" s="374">
        <f t="shared" si="42"/>
        <v>10866063.709999999</v>
      </c>
      <c r="I254" s="374">
        <f t="shared" si="42"/>
        <v>0</v>
      </c>
      <c r="J254" s="373">
        <f t="shared" si="42"/>
        <v>10866063.709999999</v>
      </c>
      <c r="K254" s="211"/>
      <c r="L254" s="373">
        <f t="shared" si="42"/>
        <v>10866063.709999999</v>
      </c>
      <c r="M254" s="373"/>
      <c r="N254" s="373">
        <f>SUM(N251:N253)</f>
        <v>51438356.160000004</v>
      </c>
      <c r="O254" s="373">
        <f t="shared" si="42"/>
        <v>0</v>
      </c>
      <c r="P254" s="373">
        <f t="shared" si="42"/>
        <v>51438356.160000004</v>
      </c>
      <c r="Q254" s="879"/>
      <c r="R254" s="879"/>
      <c r="S254" s="879"/>
      <c r="T254" s="879"/>
      <c r="U254" s="879"/>
      <c r="V254" s="879"/>
      <c r="W254" s="879"/>
      <c r="X254" s="879"/>
      <c r="Y254" s="879"/>
      <c r="Z254" s="879"/>
      <c r="AA254" s="879"/>
      <c r="AB254" s="879"/>
      <c r="AC254" s="873"/>
      <c r="AD254" s="873"/>
      <c r="AE254" s="873"/>
      <c r="AF254" s="873"/>
      <c r="AG254" s="873"/>
      <c r="AH254" s="873"/>
      <c r="AI254" s="873"/>
      <c r="AJ254" s="873"/>
      <c r="AK254" s="873"/>
      <c r="AL254" s="873"/>
      <c r="AM254" s="873"/>
      <c r="AN254" s="873"/>
      <c r="AO254" s="873"/>
      <c r="AP254" s="873"/>
      <c r="AQ254" s="873"/>
      <c r="AR254" s="873"/>
      <c r="AS254" s="873"/>
      <c r="AT254" s="873"/>
      <c r="AU254" s="873"/>
      <c r="AW254" s="373">
        <f>SUM(AW251:AW253)</f>
        <v>67886847.539999992</v>
      </c>
      <c r="AX254" s="373">
        <f>SUM(AX251:AX253)</f>
        <v>0</v>
      </c>
      <c r="AY254" s="373">
        <f>SUM(AY251:AY253)</f>
        <v>67886847.539999992</v>
      </c>
    </row>
    <row r="255" spans="1:51" s="306" customFormat="1" ht="15" customHeight="1" x14ac:dyDescent="0.25">
      <c r="A255" s="214"/>
      <c r="B255" s="214" t="s">
        <v>3007</v>
      </c>
      <c r="C255" s="396">
        <v>4</v>
      </c>
      <c r="D255" s="396">
        <v>9070</v>
      </c>
      <c r="E255" s="397" t="s">
        <v>1382</v>
      </c>
      <c r="F255" s="396">
        <v>0</v>
      </c>
      <c r="G255" s="212"/>
      <c r="H255" s="212"/>
      <c r="I255" s="212"/>
      <c r="J255" s="213"/>
      <c r="K255" s="211"/>
      <c r="L255" s="213"/>
      <c r="M255" s="213"/>
      <c r="N255" s="213">
        <v>233429.2</v>
      </c>
      <c r="O255" s="213"/>
      <c r="P255" s="213">
        <f>N255+O255</f>
        <v>233429.2</v>
      </c>
      <c r="Q255" s="827"/>
      <c r="R255" s="827"/>
      <c r="S255" s="827"/>
      <c r="T255" s="827"/>
      <c r="U255" s="827"/>
      <c r="V255" s="827"/>
      <c r="W255" s="827"/>
      <c r="X255" s="827"/>
      <c r="Y255" s="827"/>
      <c r="Z255" s="827"/>
      <c r="AA255" s="827"/>
      <c r="AB255" s="827"/>
      <c r="AC255" s="870"/>
      <c r="AD255" s="870"/>
      <c r="AE255" s="870"/>
      <c r="AF255" s="870"/>
      <c r="AG255" s="870"/>
      <c r="AH255" s="870"/>
      <c r="AI255" s="870"/>
      <c r="AJ255" s="870"/>
      <c r="AK255" s="870"/>
      <c r="AL255" s="870"/>
      <c r="AM255" s="870"/>
      <c r="AN255" s="870"/>
      <c r="AO255" s="870"/>
      <c r="AP255" s="870"/>
      <c r="AQ255" s="870"/>
      <c r="AR255" s="870"/>
      <c r="AS255" s="870"/>
      <c r="AT255" s="870"/>
      <c r="AU255" s="870"/>
      <c r="AW255" s="577">
        <v>2196713</v>
      </c>
      <c r="AX255" s="213"/>
      <c r="AY255" s="213">
        <f>AW255+AX255</f>
        <v>2196713</v>
      </c>
    </row>
    <row r="256" spans="1:51" s="306" customFormat="1" ht="15" customHeight="1" x14ac:dyDescent="0.25">
      <c r="A256" s="214"/>
      <c r="B256" s="214" t="s">
        <v>156</v>
      </c>
      <c r="C256" s="396">
        <v>4</v>
      </c>
      <c r="D256" s="396">
        <v>9070</v>
      </c>
      <c r="E256" s="397" t="s">
        <v>1387</v>
      </c>
      <c r="F256" s="396">
        <v>0</v>
      </c>
      <c r="G256" s="212">
        <v>545.04999999999995</v>
      </c>
      <c r="H256" s="212">
        <v>14134.04</v>
      </c>
      <c r="I256" s="212"/>
      <c r="J256" s="399">
        <f>H256+I256</f>
        <v>14134.04</v>
      </c>
      <c r="K256" s="211"/>
      <c r="L256" s="399">
        <v>14134.04</v>
      </c>
      <c r="M256" s="399"/>
      <c r="N256" s="399">
        <v>0</v>
      </c>
      <c r="O256" s="213"/>
      <c r="P256" s="213">
        <f>N256+O256</f>
        <v>0</v>
      </c>
      <c r="Q256" s="827"/>
      <c r="R256" s="827"/>
      <c r="S256" s="827"/>
      <c r="T256" s="827"/>
      <c r="U256" s="827"/>
      <c r="V256" s="827"/>
      <c r="W256" s="827"/>
      <c r="X256" s="827"/>
      <c r="Y256" s="827"/>
      <c r="Z256" s="827"/>
      <c r="AA256" s="827"/>
      <c r="AB256" s="827"/>
      <c r="AC256" s="870"/>
      <c r="AD256" s="870"/>
      <c r="AE256" s="870"/>
      <c r="AF256" s="870"/>
      <c r="AG256" s="870"/>
      <c r="AH256" s="870"/>
      <c r="AI256" s="870"/>
      <c r="AJ256" s="870"/>
      <c r="AK256" s="870"/>
      <c r="AL256" s="870"/>
      <c r="AM256" s="870"/>
      <c r="AN256" s="870"/>
      <c r="AO256" s="870"/>
      <c r="AP256" s="870"/>
      <c r="AQ256" s="870"/>
      <c r="AR256" s="870"/>
      <c r="AS256" s="870"/>
      <c r="AT256" s="870"/>
      <c r="AU256" s="870"/>
      <c r="AW256" s="572">
        <v>0</v>
      </c>
      <c r="AX256" s="213"/>
      <c r="AY256" s="213">
        <f>AW256+AX256</f>
        <v>0</v>
      </c>
    </row>
    <row r="257" spans="1:51" ht="15" customHeight="1" x14ac:dyDescent="0.25">
      <c r="A257" s="214"/>
      <c r="B257" s="214" t="s">
        <v>155</v>
      </c>
      <c r="C257" s="396">
        <v>4</v>
      </c>
      <c r="D257" s="396">
        <v>9070</v>
      </c>
      <c r="E257" s="397" t="s">
        <v>1377</v>
      </c>
      <c r="F257" s="396">
        <v>0</v>
      </c>
      <c r="G257" s="212">
        <v>333424.01</v>
      </c>
      <c r="H257" s="212">
        <v>349571.76</v>
      </c>
      <c r="I257" s="212"/>
      <c r="J257" s="399">
        <f>H257+I257</f>
        <v>349571.76</v>
      </c>
      <c r="L257" s="399">
        <v>349571.76</v>
      </c>
      <c r="M257" s="399"/>
      <c r="N257" s="399">
        <v>364781.02</v>
      </c>
      <c r="O257" s="213"/>
      <c r="P257" s="213">
        <f>N257+O257</f>
        <v>364781.02</v>
      </c>
      <c r="Q257" s="827"/>
      <c r="R257" s="827"/>
      <c r="S257" s="827"/>
      <c r="T257" s="827"/>
      <c r="U257" s="827"/>
      <c r="V257" s="827"/>
      <c r="W257" s="827"/>
      <c r="X257" s="827"/>
      <c r="Y257" s="827"/>
      <c r="Z257" s="827"/>
      <c r="AA257" s="827"/>
      <c r="AB257" s="827"/>
      <c r="AC257" s="870"/>
      <c r="AD257" s="870"/>
      <c r="AE257" s="870"/>
      <c r="AF257" s="870"/>
      <c r="AG257" s="870"/>
      <c r="AH257" s="870"/>
      <c r="AI257" s="870"/>
      <c r="AJ257" s="870"/>
      <c r="AK257" s="870"/>
      <c r="AL257" s="870"/>
      <c r="AM257" s="870"/>
      <c r="AN257" s="870"/>
      <c r="AO257" s="870"/>
      <c r="AP257" s="870"/>
      <c r="AQ257" s="870"/>
      <c r="AR257" s="870"/>
      <c r="AS257" s="870"/>
      <c r="AT257" s="870"/>
      <c r="AU257" s="870"/>
      <c r="AW257" s="572">
        <v>385777.14</v>
      </c>
      <c r="AX257" s="213"/>
      <c r="AY257" s="213">
        <f>AW257+AX257</f>
        <v>385777.14</v>
      </c>
    </row>
    <row r="258" spans="1:51" ht="15" customHeight="1" x14ac:dyDescent="0.25">
      <c r="A258" s="214"/>
      <c r="B258" s="214" t="s">
        <v>3207</v>
      </c>
      <c r="C258" s="396">
        <v>4</v>
      </c>
      <c r="D258" s="396">
        <v>9070</v>
      </c>
      <c r="E258" s="397" t="s">
        <v>3206</v>
      </c>
      <c r="F258" s="396">
        <v>0</v>
      </c>
      <c r="G258" s="212"/>
      <c r="H258" s="212"/>
      <c r="I258" s="212"/>
      <c r="J258" s="399"/>
      <c r="L258" s="399"/>
      <c r="M258" s="399"/>
      <c r="N258" s="399"/>
      <c r="O258" s="213"/>
      <c r="P258" s="213"/>
      <c r="Q258" s="827"/>
      <c r="R258" s="827"/>
      <c r="S258" s="827"/>
      <c r="T258" s="827"/>
      <c r="U258" s="827"/>
      <c r="V258" s="827"/>
      <c r="W258" s="827"/>
      <c r="X258" s="827"/>
      <c r="Y258" s="827"/>
      <c r="Z258" s="827"/>
      <c r="AA258" s="827"/>
      <c r="AB258" s="827"/>
      <c r="AC258" s="870"/>
      <c r="AD258" s="870"/>
      <c r="AE258" s="870"/>
      <c r="AF258" s="870"/>
      <c r="AG258" s="870"/>
      <c r="AH258" s="870"/>
      <c r="AI258" s="870"/>
      <c r="AJ258" s="870"/>
      <c r="AK258" s="870"/>
      <c r="AL258" s="870"/>
      <c r="AM258" s="870"/>
      <c r="AN258" s="870"/>
      <c r="AO258" s="870"/>
      <c r="AP258" s="870"/>
      <c r="AQ258" s="870"/>
      <c r="AR258" s="870"/>
      <c r="AS258" s="870"/>
      <c r="AT258" s="870"/>
      <c r="AU258" s="870"/>
      <c r="AW258" s="572">
        <v>242063970.44999999</v>
      </c>
      <c r="AX258" s="213"/>
      <c r="AY258" s="213">
        <f>AW258+AX258</f>
        <v>242063970.44999999</v>
      </c>
    </row>
    <row r="259" spans="1:51" ht="15" customHeight="1" x14ac:dyDescent="0.25">
      <c r="A259" s="214"/>
      <c r="B259" s="214" t="s">
        <v>161</v>
      </c>
      <c r="C259" s="396">
        <v>4</v>
      </c>
      <c r="D259" s="396">
        <v>9070</v>
      </c>
      <c r="E259" s="397" t="s">
        <v>1483</v>
      </c>
      <c r="F259" s="396">
        <v>0</v>
      </c>
      <c r="G259" s="212">
        <v>43760</v>
      </c>
      <c r="H259" s="212">
        <v>43760</v>
      </c>
      <c r="I259" s="212"/>
      <c r="J259" s="399">
        <f>H259+I259</f>
        <v>43760</v>
      </c>
      <c r="L259" s="399">
        <v>43760</v>
      </c>
      <c r="M259" s="399"/>
      <c r="N259" s="399">
        <v>24710</v>
      </c>
      <c r="O259" s="213"/>
      <c r="P259" s="213">
        <f>N259+O259</f>
        <v>24710</v>
      </c>
      <c r="Q259" s="827"/>
      <c r="R259" s="827"/>
      <c r="S259" s="827"/>
      <c r="T259" s="827"/>
      <c r="U259" s="827"/>
      <c r="V259" s="827"/>
      <c r="W259" s="827"/>
      <c r="X259" s="827"/>
      <c r="Y259" s="827"/>
      <c r="Z259" s="827"/>
      <c r="AA259" s="827"/>
      <c r="AB259" s="827"/>
      <c r="AC259" s="870"/>
      <c r="AD259" s="870"/>
      <c r="AE259" s="870"/>
      <c r="AF259" s="870"/>
      <c r="AG259" s="870"/>
      <c r="AH259" s="870"/>
      <c r="AI259" s="870"/>
      <c r="AJ259" s="870"/>
      <c r="AK259" s="870"/>
      <c r="AL259" s="870"/>
      <c r="AM259" s="870"/>
      <c r="AN259" s="870"/>
      <c r="AO259" s="870"/>
      <c r="AP259" s="870"/>
      <c r="AQ259" s="870"/>
      <c r="AR259" s="870"/>
      <c r="AS259" s="870"/>
      <c r="AT259" s="870"/>
      <c r="AU259" s="870"/>
      <c r="AW259" s="572">
        <v>24710</v>
      </c>
      <c r="AX259" s="213"/>
      <c r="AY259" s="213">
        <f>AW259+AX259</f>
        <v>24710</v>
      </c>
    </row>
    <row r="260" spans="1:51" ht="15" customHeight="1" x14ac:dyDescent="0.25">
      <c r="A260" s="377"/>
      <c r="B260" s="377"/>
      <c r="C260" s="396"/>
      <c r="D260" s="396"/>
      <c r="E260" s="396"/>
      <c r="F260" s="396"/>
      <c r="G260" s="374">
        <f>G254+G255+G256+G257+G259</f>
        <v>5241310.47</v>
      </c>
      <c r="H260" s="374">
        <f>H254+H255+H256+H257+H259</f>
        <v>11273529.509999998</v>
      </c>
      <c r="I260" s="374">
        <f>I254+I255+I256+I257+I259</f>
        <v>0</v>
      </c>
      <c r="J260" s="373">
        <f>J254+J255+J256+J257+J259</f>
        <v>11273529.509999998</v>
      </c>
      <c r="L260" s="373">
        <f>L254+L255+L256+L257+L259</f>
        <v>11273529.509999998</v>
      </c>
      <c r="M260" s="373"/>
      <c r="N260" s="373">
        <f>N254+N255+N256+N257+N259</f>
        <v>52061276.38000001</v>
      </c>
      <c r="O260" s="373">
        <f>O254+O255+O256+O257+O259</f>
        <v>0</v>
      </c>
      <c r="P260" s="373">
        <f>P254+P255+P256+P257+P259</f>
        <v>52061276.38000001</v>
      </c>
      <c r="Q260" s="879"/>
      <c r="R260" s="879"/>
      <c r="S260" s="879"/>
      <c r="T260" s="879"/>
      <c r="U260" s="879"/>
      <c r="V260" s="879"/>
      <c r="W260" s="879"/>
      <c r="X260" s="879"/>
      <c r="Y260" s="879"/>
      <c r="Z260" s="879"/>
      <c r="AA260" s="879"/>
      <c r="AB260" s="879"/>
      <c r="AC260" s="873"/>
      <c r="AD260" s="873"/>
      <c r="AE260" s="873"/>
      <c r="AF260" s="873"/>
      <c r="AG260" s="873"/>
      <c r="AH260" s="873"/>
      <c r="AI260" s="873"/>
      <c r="AJ260" s="873"/>
      <c r="AK260" s="873"/>
      <c r="AL260" s="873"/>
      <c r="AM260" s="873"/>
      <c r="AN260" s="873"/>
      <c r="AO260" s="873"/>
      <c r="AP260" s="873"/>
      <c r="AQ260" s="873"/>
      <c r="AR260" s="873"/>
      <c r="AS260" s="873"/>
      <c r="AT260" s="873"/>
      <c r="AU260" s="873"/>
      <c r="AW260" s="373">
        <f>AW254+AW255+AW256+AW257+AW258+AW259</f>
        <v>312558018.13</v>
      </c>
      <c r="AX260" s="373">
        <f>AX254+AX255+AX256+AX257+AX258+AX259</f>
        <v>0</v>
      </c>
      <c r="AY260" s="373">
        <f>AY254+AY255+AY256+AY257+AY258+AY259</f>
        <v>312558018.13</v>
      </c>
    </row>
    <row r="261" spans="1:51" ht="15" customHeight="1" x14ac:dyDescent="0.25">
      <c r="A261" s="214"/>
      <c r="B261" s="214"/>
      <c r="C261" s="396"/>
      <c r="D261" s="396"/>
      <c r="E261" s="396"/>
      <c r="F261" s="396"/>
      <c r="G261" s="212"/>
      <c r="H261" s="212"/>
      <c r="I261" s="212"/>
      <c r="J261" s="213"/>
      <c r="L261" s="213"/>
      <c r="M261" s="213"/>
      <c r="N261" s="213"/>
      <c r="O261" s="213"/>
      <c r="P261" s="213"/>
      <c r="Q261" s="827"/>
      <c r="R261" s="827"/>
      <c r="S261" s="827"/>
      <c r="T261" s="827"/>
      <c r="U261" s="827"/>
      <c r="V261" s="827"/>
      <c r="W261" s="827"/>
      <c r="X261" s="827"/>
      <c r="Y261" s="827"/>
      <c r="Z261" s="827"/>
      <c r="AA261" s="827"/>
      <c r="AB261" s="827"/>
      <c r="AC261" s="870"/>
      <c r="AD261" s="870"/>
      <c r="AE261" s="870"/>
      <c r="AF261" s="870"/>
      <c r="AG261" s="870"/>
      <c r="AH261" s="870"/>
      <c r="AI261" s="870"/>
      <c r="AJ261" s="870"/>
      <c r="AK261" s="870"/>
      <c r="AL261" s="870"/>
      <c r="AM261" s="870"/>
      <c r="AN261" s="870"/>
      <c r="AO261" s="870"/>
      <c r="AP261" s="870"/>
      <c r="AQ261" s="870"/>
      <c r="AR261" s="870"/>
      <c r="AS261" s="870"/>
      <c r="AT261" s="870"/>
      <c r="AU261" s="870"/>
      <c r="AW261" s="213"/>
      <c r="AX261" s="213"/>
      <c r="AY261" s="213"/>
    </row>
    <row r="262" spans="1:51" ht="15" customHeight="1" x14ac:dyDescent="0.25">
      <c r="A262" s="214"/>
      <c r="B262" s="401" t="s">
        <v>315</v>
      </c>
      <c r="C262" s="396"/>
      <c r="D262" s="396"/>
      <c r="E262" s="396"/>
      <c r="F262" s="396"/>
      <c r="G262" s="398">
        <f>G136+G138+G143+G167+G173+G211+G235+G248+G260</f>
        <v>5706844188.3000011</v>
      </c>
      <c r="H262" s="398">
        <f>H136+H138+H143+H167+H173+H211+H235+H248+H260</f>
        <v>6458421963.3499985</v>
      </c>
      <c r="I262" s="398">
        <f>I136+I138+I143+I167+I173+I211+I235+I248+I260</f>
        <v>17211470.060000002</v>
      </c>
      <c r="J262" s="354">
        <f>J136+J138+J143+J167+J173+J211+J235+J248+J260</f>
        <v>6475632084.6099997</v>
      </c>
      <c r="L262" s="354">
        <f>L136+L138+L143+L167+L173+L211+L235+L248+L260</f>
        <v>6475651523.3100004</v>
      </c>
      <c r="M262" s="354"/>
      <c r="N262" s="354">
        <f>N136+N138+N143+N167+N173+N211+N235+N248+N260</f>
        <v>6771421562.8100004</v>
      </c>
      <c r="O262" s="354">
        <f>O136+O138+O143+O167+O173+O211+O235+O248+O260</f>
        <v>-24421100.770000003</v>
      </c>
      <c r="P262" s="354">
        <f>P136+P138+P143+P167+P173+P211+P235+P248+P260</f>
        <v>6747000462.0400009</v>
      </c>
      <c r="Q262" s="496"/>
      <c r="R262" s="496"/>
      <c r="S262" s="496"/>
      <c r="T262" s="496"/>
      <c r="U262" s="496"/>
      <c r="V262" s="496"/>
      <c r="W262" s="496"/>
      <c r="X262" s="496"/>
      <c r="Y262" s="496"/>
      <c r="Z262" s="496"/>
      <c r="AA262" s="496"/>
      <c r="AB262" s="496"/>
      <c r="AC262" s="871"/>
      <c r="AD262" s="871"/>
      <c r="AE262" s="871"/>
      <c r="AF262" s="871"/>
      <c r="AG262" s="871"/>
      <c r="AH262" s="871"/>
      <c r="AI262" s="871"/>
      <c r="AJ262" s="871"/>
      <c r="AK262" s="871"/>
      <c r="AL262" s="871"/>
      <c r="AM262" s="871"/>
      <c r="AN262" s="871"/>
      <c r="AO262" s="871"/>
      <c r="AP262" s="871"/>
      <c r="AQ262" s="871"/>
      <c r="AR262" s="871"/>
      <c r="AS262" s="871"/>
      <c r="AT262" s="871"/>
      <c r="AU262" s="871"/>
      <c r="AW262" s="354">
        <f>AW136+AW138+AW143+AW167+AW173+AW211+AW235+AW237+AW248+AW260</f>
        <v>8850543606.4599991</v>
      </c>
      <c r="AX262" s="354">
        <f>AX136+AX138+AX143+AX167+AX173+AX211+AX235+AX237+AX248+AX260</f>
        <v>0</v>
      </c>
      <c r="AY262" s="354">
        <f>AY136+AY138+AY143+AY167+AY173+AY211+AY235+AY237+AY248+AY260</f>
        <v>8850543606.4599991</v>
      </c>
    </row>
    <row r="263" spans="1:51" s="384" customFormat="1" ht="15" customHeight="1" x14ac:dyDescent="0.25">
      <c r="A263" s="214"/>
      <c r="B263" s="214"/>
      <c r="C263" s="396"/>
      <c r="D263" s="396"/>
      <c r="E263" s="396"/>
      <c r="F263" s="396"/>
      <c r="G263" s="213">
        <f>G116+G262</f>
        <v>0</v>
      </c>
      <c r="H263" s="213">
        <f>H116+H262</f>
        <v>-17850.103001594543</v>
      </c>
      <c r="I263" s="212">
        <f>I116+I262</f>
        <v>-208294.97999999672</v>
      </c>
      <c r="J263" s="213">
        <f>J116+J262</f>
        <v>-227493.88300037384</v>
      </c>
      <c r="K263" s="211"/>
      <c r="L263" s="213"/>
      <c r="M263" s="213"/>
      <c r="N263" s="214"/>
      <c r="O263" s="521"/>
      <c r="P263" s="521"/>
      <c r="Q263" s="878"/>
      <c r="R263" s="878"/>
      <c r="S263" s="878"/>
      <c r="T263" s="878"/>
      <c r="U263" s="878"/>
      <c r="V263" s="878"/>
      <c r="W263" s="878"/>
      <c r="X263" s="878"/>
      <c r="Y263" s="878"/>
      <c r="Z263" s="878"/>
      <c r="AA263" s="878"/>
      <c r="AB263" s="878"/>
      <c r="AC263" s="872"/>
      <c r="AD263" s="872"/>
      <c r="AE263" s="872"/>
      <c r="AF263" s="872"/>
      <c r="AG263" s="872"/>
      <c r="AH263" s="872"/>
      <c r="AI263" s="872"/>
      <c r="AJ263" s="872"/>
      <c r="AK263" s="872"/>
      <c r="AL263" s="872"/>
      <c r="AM263" s="872"/>
      <c r="AN263" s="872"/>
      <c r="AO263" s="872"/>
      <c r="AP263" s="872"/>
      <c r="AQ263" s="872"/>
      <c r="AR263" s="872"/>
      <c r="AS263" s="872"/>
      <c r="AT263" s="872"/>
      <c r="AU263" s="872"/>
      <c r="AW263" s="214"/>
      <c r="AX263" s="521"/>
      <c r="AY263" s="521"/>
    </row>
    <row r="264" spans="1:51" x14ac:dyDescent="0.25">
      <c r="L264" s="306">
        <f>L116+L262</f>
        <v>-208055.1829996109</v>
      </c>
      <c r="N264" s="306">
        <f>N116+N262</f>
        <v>184626.31699943542</v>
      </c>
      <c r="O264" s="306">
        <f>O116+O262</f>
        <v>-1.8937774002552032E-3</v>
      </c>
      <c r="P264" s="306">
        <f>P116+P262</f>
        <v>184626.31510543823</v>
      </c>
      <c r="AB264" s="827">
        <f>SUM(Q264:AA264)</f>
        <v>0</v>
      </c>
      <c r="AN264" s="870">
        <f>SUM(AD264:AM264)</f>
        <v>0</v>
      </c>
      <c r="AO264" s="870">
        <f>+AF264</f>
        <v>0</v>
      </c>
      <c r="AP264" s="870">
        <f>+M264+AB264</f>
        <v>0</v>
      </c>
      <c r="AQ264" s="870">
        <f>+AP264+AN264</f>
        <v>0</v>
      </c>
      <c r="AW264" s="306">
        <f>AW116+AW262</f>
        <v>11283364.150060654</v>
      </c>
      <c r="AX264" s="306">
        <f>AX116+AX262</f>
        <v>0</v>
      </c>
      <c r="AY264" s="306">
        <f>AY116+AY262</f>
        <v>11283364.150060654</v>
      </c>
    </row>
    <row r="266" spans="1:51" x14ac:dyDescent="0.25">
      <c r="T266" s="306">
        <v>3199320755.04</v>
      </c>
      <c r="AS266" s="875">
        <v>8629928.9089718461</v>
      </c>
    </row>
    <row r="267" spans="1:51" x14ac:dyDescent="0.25">
      <c r="A267" s="211" t="s">
        <v>3515</v>
      </c>
      <c r="AC267" s="875">
        <v>171169260.06999999</v>
      </c>
      <c r="AH267" s="211">
        <v>76982122.109999985</v>
      </c>
    </row>
    <row r="268" spans="1:51" x14ac:dyDescent="0.25">
      <c r="AR268" s="914">
        <v>4.4215917587280273E-3</v>
      </c>
    </row>
    <row r="269" spans="1:51" x14ac:dyDescent="0.25">
      <c r="AP269" s="875">
        <f>+AP130+AN130</f>
        <v>-2635399.8026599325</v>
      </c>
    </row>
    <row r="270" spans="1:51" x14ac:dyDescent="0.25">
      <c r="AR270" s="914">
        <v>-0.39049866795539856</v>
      </c>
    </row>
    <row r="271" spans="1:51" x14ac:dyDescent="0.25">
      <c r="AR271" s="914">
        <v>251982558.75602192</v>
      </c>
      <c r="AV271" s="211">
        <f>+AU8/2</f>
        <v>0.18535971641540527</v>
      </c>
    </row>
    <row r="273" spans="44:46" x14ac:dyDescent="0.25">
      <c r="AR273" s="914">
        <v>-23826970.108270064</v>
      </c>
      <c r="AT273" s="875">
        <v>234875983.97262225</v>
      </c>
    </row>
    <row r="274" spans="44:46" x14ac:dyDescent="0.25">
      <c r="AT274" s="875">
        <v>0</v>
      </c>
    </row>
  </sheetData>
  <autoFilter ref="A3:BA263"/>
  <mergeCells count="2">
    <mergeCell ref="Q2:AA2"/>
    <mergeCell ref="AD2:AN2"/>
  </mergeCells>
  <pageMargins left="0.70866141732283472" right="0.70866141732283472" top="0.74803149606299213" bottom="0.74803149606299213" header="0.31496062992125984" footer="0.31496062992125984"/>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51"/>
  <sheetViews>
    <sheetView showGridLines="0" topLeftCell="A7" zoomScaleNormal="100" workbookViewId="0">
      <selection activeCell="B20" sqref="B20"/>
    </sheetView>
  </sheetViews>
  <sheetFormatPr defaultRowHeight="12.75" x14ac:dyDescent="0.2"/>
  <cols>
    <col min="1" max="1" width="2.5703125" style="7" customWidth="1"/>
    <col min="2" max="2" width="47.7109375" style="7" customWidth="1"/>
    <col min="3" max="3" width="7.140625" style="25" customWidth="1"/>
    <col min="4" max="4" width="18.28515625" style="8" bestFit="1" customWidth="1"/>
    <col min="5" max="5" width="2" style="8" customWidth="1"/>
    <col min="6" max="6" width="19.140625" style="8" bestFit="1" customWidth="1"/>
    <col min="7" max="7" width="2.7109375" style="7" customWidth="1"/>
    <col min="8" max="8" width="9.140625" style="7" customWidth="1"/>
    <col min="9" max="9" width="16.140625" style="7" hidden="1" customWidth="1"/>
    <col min="10" max="10" width="18" style="7" bestFit="1" customWidth="1"/>
    <col min="11" max="11" width="20.85546875" style="8" bestFit="1" customWidth="1"/>
    <col min="12" max="16384" width="9.140625" style="7"/>
  </cols>
  <sheetData>
    <row r="1" spans="1:11" x14ac:dyDescent="0.2">
      <c r="A1" s="10"/>
      <c r="B1" s="10"/>
      <c r="C1" s="41"/>
      <c r="D1" s="9"/>
      <c r="E1" s="9"/>
      <c r="F1" s="9"/>
      <c r="G1" s="10"/>
    </row>
    <row r="2" spans="1:11" ht="13.5" thickBot="1" x14ac:dyDescent="0.25">
      <c r="A2" s="10"/>
      <c r="B2" s="32"/>
      <c r="C2" s="32"/>
      <c r="D2" s="32"/>
      <c r="E2" s="32"/>
      <c r="F2" s="32"/>
      <c r="G2" s="10"/>
    </row>
    <row r="3" spans="1:11" s="173" customFormat="1" ht="14.25" x14ac:dyDescent="0.2">
      <c r="A3" s="171"/>
      <c r="B3" s="123"/>
      <c r="C3" s="123"/>
      <c r="D3" s="123"/>
      <c r="E3" s="123"/>
      <c r="F3" s="123"/>
      <c r="G3" s="172"/>
      <c r="K3" s="182"/>
    </row>
    <row r="4" spans="1:11" s="173" customFormat="1" ht="15" x14ac:dyDescent="0.25">
      <c r="A4" s="174"/>
      <c r="B4" s="83"/>
      <c r="C4" s="83"/>
      <c r="D4" s="175" t="s">
        <v>3900</v>
      </c>
      <c r="E4" s="175"/>
      <c r="F4" s="175" t="s">
        <v>3575</v>
      </c>
      <c r="G4" s="176"/>
      <c r="K4" s="182"/>
    </row>
    <row r="5" spans="1:11" s="173" customFormat="1" ht="15" x14ac:dyDescent="0.25">
      <c r="A5" s="174"/>
      <c r="B5" s="177"/>
      <c r="C5" s="84" t="s">
        <v>316</v>
      </c>
      <c r="D5" s="112" t="s">
        <v>59</v>
      </c>
      <c r="E5" s="112"/>
      <c r="F5" s="112" t="s">
        <v>59</v>
      </c>
      <c r="G5" s="176"/>
      <c r="K5" s="182"/>
    </row>
    <row r="6" spans="1:11" s="173" customFormat="1" ht="15" x14ac:dyDescent="0.25">
      <c r="A6" s="174"/>
      <c r="B6" s="177"/>
      <c r="C6" s="84"/>
      <c r="D6" s="112"/>
      <c r="E6" s="112"/>
      <c r="F6" s="112" t="s">
        <v>3136</v>
      </c>
      <c r="G6" s="176"/>
      <c r="K6" s="182"/>
    </row>
    <row r="7" spans="1:11" s="173" customFormat="1" ht="15" x14ac:dyDescent="0.25">
      <c r="A7" s="174"/>
      <c r="B7" s="177"/>
      <c r="C7" s="84"/>
      <c r="D7" s="112"/>
      <c r="E7" s="112"/>
      <c r="F7" s="112"/>
      <c r="G7" s="176"/>
      <c r="K7" s="182"/>
    </row>
    <row r="8" spans="1:11" s="181" customFormat="1" ht="15" x14ac:dyDescent="0.25">
      <c r="A8" s="178"/>
      <c r="B8" s="179" t="s">
        <v>377</v>
      </c>
      <c r="C8" s="84"/>
      <c r="D8" s="112"/>
      <c r="E8" s="112"/>
      <c r="F8" s="112"/>
      <c r="G8" s="180"/>
      <c r="K8" s="1333"/>
    </row>
    <row r="9" spans="1:11" s="173" customFormat="1" ht="14.25" x14ac:dyDescent="0.2">
      <c r="A9" s="174"/>
      <c r="B9" s="177"/>
      <c r="C9" s="85"/>
      <c r="D9" s="87"/>
      <c r="E9" s="87"/>
      <c r="F9" s="87"/>
      <c r="G9" s="176"/>
      <c r="K9" s="182"/>
    </row>
    <row r="10" spans="1:11" s="173" customFormat="1" ht="14.25" x14ac:dyDescent="0.2">
      <c r="A10" s="174"/>
      <c r="B10" s="177" t="s">
        <v>378</v>
      </c>
      <c r="C10" s="85"/>
      <c r="D10" s="1279">
        <f>'Cash flow recon'!D31</f>
        <v>2446268354.4300008</v>
      </c>
      <c r="E10" s="1280"/>
      <c r="F10" s="1279">
        <v>2319816692</v>
      </c>
      <c r="G10" s="176"/>
      <c r="J10" s="1329"/>
      <c r="K10" s="1339"/>
    </row>
    <row r="11" spans="1:11" s="173" customFormat="1" ht="14.25" x14ac:dyDescent="0.2">
      <c r="A11" s="174"/>
      <c r="B11" s="177" t="s">
        <v>379</v>
      </c>
      <c r="C11" s="85"/>
      <c r="D11" s="1279">
        <f>-'Cash flow recon'!D56</f>
        <v>-2131047538.7699997</v>
      </c>
      <c r="E11" s="1280"/>
      <c r="F11" s="1279">
        <v>-1845694530</v>
      </c>
      <c r="G11" s="176"/>
      <c r="J11" s="1329"/>
      <c r="K11" s="1339"/>
    </row>
    <row r="12" spans="1:11" s="181" customFormat="1" ht="15" x14ac:dyDescent="0.25">
      <c r="A12" s="178"/>
      <c r="B12" s="111" t="s">
        <v>2904</v>
      </c>
      <c r="C12" s="84">
        <v>30</v>
      </c>
      <c r="D12" s="1281">
        <f>'Note 9-33'!H889</f>
        <v>315220815.6600011</v>
      </c>
      <c r="E12" s="1282"/>
      <c r="F12" s="1281">
        <v>474122162.20999998</v>
      </c>
      <c r="G12" s="180"/>
      <c r="J12" s="1330"/>
      <c r="K12" s="1339"/>
    </row>
    <row r="13" spans="1:11" s="173" customFormat="1" ht="14.25" x14ac:dyDescent="0.2">
      <c r="A13" s="174"/>
      <c r="B13" s="177"/>
      <c r="C13" s="85"/>
      <c r="D13" s="1280"/>
      <c r="E13" s="1280"/>
      <c r="F13" s="1280"/>
      <c r="G13" s="176"/>
      <c r="J13" s="1331"/>
      <c r="K13" s="1339"/>
    </row>
    <row r="14" spans="1:11" s="173" customFormat="1" ht="14.25" x14ac:dyDescent="0.2">
      <c r="A14" s="174"/>
      <c r="B14" s="177" t="s">
        <v>427</v>
      </c>
      <c r="C14" s="85"/>
      <c r="D14" s="1279">
        <f>'Statement of Financial Performa'!G12</f>
        <v>27592761.699999999</v>
      </c>
      <c r="E14" s="1280"/>
      <c r="F14" s="1279">
        <f>'Statement of Financial Performa'!J12</f>
        <v>35720658.049999997</v>
      </c>
      <c r="G14" s="176"/>
      <c r="J14" s="1329"/>
      <c r="K14" s="1339"/>
    </row>
    <row r="15" spans="1:11" s="173" customFormat="1" ht="14.25" x14ac:dyDescent="0.2">
      <c r="A15" s="174"/>
      <c r="B15" s="177" t="s">
        <v>3978</v>
      </c>
      <c r="C15" s="85"/>
      <c r="D15" s="1279">
        <f>-'Statement of Financial Performa'!G32</f>
        <v>-33955930.579999998</v>
      </c>
      <c r="E15" s="1280"/>
      <c r="F15" s="1279">
        <v>-38371115.840000004</v>
      </c>
      <c r="G15" s="176"/>
      <c r="J15" s="1329"/>
      <c r="K15" s="1339"/>
    </row>
    <row r="16" spans="1:11" s="173" customFormat="1" ht="14.25" x14ac:dyDescent="0.2">
      <c r="A16" s="174"/>
      <c r="B16" s="177" t="s">
        <v>3977</v>
      </c>
      <c r="C16" s="85"/>
      <c r="D16" s="1283">
        <f>'Statement of Fin Pos'!F13+'Statement of Fin Pos'!E35</f>
        <v>40952819.879999995</v>
      </c>
      <c r="E16" s="1280"/>
      <c r="F16" s="1283">
        <f>-'Statement of Fin Pos'!F13</f>
        <v>-18377907.709999993</v>
      </c>
      <c r="G16" s="176"/>
      <c r="J16" s="1329"/>
      <c r="K16" s="1339"/>
    </row>
    <row r="17" spans="1:11" s="181" customFormat="1" ht="15.75" thickBot="1" x14ac:dyDescent="0.3">
      <c r="A17" s="178"/>
      <c r="B17" s="111" t="s">
        <v>428</v>
      </c>
      <c r="C17" s="84"/>
      <c r="D17" s="1284">
        <f>SUM(D12:D16)</f>
        <v>349810466.6600011</v>
      </c>
      <c r="E17" s="1282"/>
      <c r="F17" s="1284">
        <f>SUM(F12:F16)</f>
        <v>453093796.70999998</v>
      </c>
      <c r="G17" s="180"/>
      <c r="J17" s="1330"/>
      <c r="K17" s="1339"/>
    </row>
    <row r="18" spans="1:11" s="173" customFormat="1" ht="15" thickTop="1" x14ac:dyDescent="0.2">
      <c r="A18" s="174"/>
      <c r="B18" s="177"/>
      <c r="C18" s="85"/>
      <c r="D18" s="1280"/>
      <c r="E18" s="1280"/>
      <c r="F18" s="1280"/>
      <c r="G18" s="176"/>
      <c r="J18" s="1331"/>
      <c r="K18" s="1339"/>
    </row>
    <row r="19" spans="1:11" s="181" customFormat="1" ht="15" x14ac:dyDescent="0.25">
      <c r="A19" s="178"/>
      <c r="B19" s="179" t="s">
        <v>4285</v>
      </c>
      <c r="C19" s="84"/>
      <c r="D19" s="1282"/>
      <c r="E19" s="1282"/>
      <c r="F19" s="1282"/>
      <c r="G19" s="180"/>
      <c r="J19" s="1332"/>
      <c r="K19" s="1339"/>
    </row>
    <row r="20" spans="1:11" s="173" customFormat="1" ht="14.25" x14ac:dyDescent="0.2">
      <c r="A20" s="174"/>
      <c r="B20" s="177"/>
      <c r="C20" s="85"/>
      <c r="D20" s="1280"/>
      <c r="E20" s="1280"/>
      <c r="F20" s="1280"/>
      <c r="G20" s="176"/>
      <c r="I20" s="926">
        <v>-487198099.27876294</v>
      </c>
      <c r="J20" s="1331"/>
      <c r="K20" s="1339"/>
    </row>
    <row r="21" spans="1:11" s="173" customFormat="1" ht="14.25" x14ac:dyDescent="0.2">
      <c r="A21" s="174"/>
      <c r="B21" s="1656" t="s">
        <v>4234</v>
      </c>
      <c r="C21" s="85"/>
      <c r="D21" s="1279">
        <f>-'Note 8 Assets'!I63-'Note 8 Assets'!I67-'Note 8 Assets'!I64</f>
        <v>-550360605.5</v>
      </c>
      <c r="E21" s="1280"/>
      <c r="F21" s="1279">
        <v>-505082519.56999999</v>
      </c>
      <c r="G21" s="176"/>
      <c r="I21" s="925">
        <v>-484270776.59000003</v>
      </c>
      <c r="J21" s="1329"/>
      <c r="K21" s="1339"/>
    </row>
    <row r="22" spans="1:11" s="173" customFormat="1" ht="14.25" x14ac:dyDescent="0.2">
      <c r="A22" s="174"/>
      <c r="B22" s="1656" t="s">
        <v>4225</v>
      </c>
      <c r="C22" s="85"/>
      <c r="D22" s="1279">
        <f>-'Note 8 Assets'!C120-'Note 8 Assets'!C122</f>
        <v>-750000</v>
      </c>
      <c r="E22" s="1280"/>
      <c r="F22" s="1279">
        <f>-'Note 8 Assets'!D120</f>
        <v>-927367</v>
      </c>
      <c r="G22" s="176"/>
      <c r="I22" s="925"/>
      <c r="J22" s="1329"/>
      <c r="K22" s="1339"/>
    </row>
    <row r="23" spans="1:11" s="173" customFormat="1" ht="14.25" x14ac:dyDescent="0.2">
      <c r="A23" s="174"/>
      <c r="B23" s="1656" t="s">
        <v>4224</v>
      </c>
      <c r="C23" s="85"/>
      <c r="D23" s="1280">
        <f>-'Note 8.2 Assets'!C13-'Note 8.2 Assets'!C15</f>
        <v>-17026245.289999999</v>
      </c>
      <c r="E23" s="1280"/>
      <c r="F23" s="1280">
        <v>0</v>
      </c>
      <c r="G23" s="176"/>
      <c r="I23" s="925">
        <f>I20-I21</f>
        <v>-2927322.6887629032</v>
      </c>
      <c r="J23" s="1331"/>
      <c r="K23" s="1339"/>
    </row>
    <row r="24" spans="1:11" s="173" customFormat="1" ht="14.25" x14ac:dyDescent="0.2">
      <c r="A24" s="174"/>
      <c r="B24" s="177" t="s">
        <v>4240</v>
      </c>
      <c r="C24" s="85"/>
      <c r="D24" s="1279">
        <f>-'Statement of Fin Pos'!E12-'Statement of Fin Pos'!E18+'Statement of Fin Pos'!F12+'Statement of Fin Pos'!F18</f>
        <v>365581.6799999997</v>
      </c>
      <c r="E24" s="1280"/>
      <c r="F24" s="1279">
        <v>9957284</v>
      </c>
      <c r="G24" s="176"/>
      <c r="I24" s="86"/>
      <c r="J24" s="1329"/>
      <c r="K24" s="1339"/>
    </row>
    <row r="25" spans="1:11" s="173" customFormat="1" ht="14.25" hidden="1" x14ac:dyDescent="0.2">
      <c r="A25" s="174"/>
      <c r="B25" s="177" t="s">
        <v>3973</v>
      </c>
      <c r="C25" s="85"/>
      <c r="D25" s="1280"/>
      <c r="E25" s="1280"/>
      <c r="F25" s="1280"/>
      <c r="G25" s="176"/>
      <c r="I25" s="86"/>
      <c r="J25" s="1331"/>
      <c r="K25" s="1339"/>
    </row>
    <row r="26" spans="1:11" s="181" customFormat="1" ht="15.75" thickBot="1" x14ac:dyDescent="0.3">
      <c r="A26" s="178"/>
      <c r="B26" s="111" t="s">
        <v>407</v>
      </c>
      <c r="C26" s="84"/>
      <c r="D26" s="1284">
        <f>SUM(D21:D25)</f>
        <v>-567771269.11000001</v>
      </c>
      <c r="E26" s="1282"/>
      <c r="F26" s="1284">
        <f>SUM(F21:F24)</f>
        <v>-496052602.56999999</v>
      </c>
      <c r="G26" s="180"/>
      <c r="I26" s="524"/>
      <c r="J26" s="1330"/>
      <c r="K26" s="1339"/>
    </row>
    <row r="27" spans="1:11" s="173" customFormat="1" ht="15" thickTop="1" x14ac:dyDescent="0.2">
      <c r="A27" s="174"/>
      <c r="B27" s="113"/>
      <c r="C27" s="85"/>
      <c r="D27" s="1280"/>
      <c r="E27" s="1280"/>
      <c r="F27" s="1280"/>
      <c r="G27" s="176"/>
      <c r="I27" s="86"/>
      <c r="J27" s="1331"/>
      <c r="K27" s="1339"/>
    </row>
    <row r="28" spans="1:11" s="181" customFormat="1" ht="15" x14ac:dyDescent="0.25">
      <c r="A28" s="178"/>
      <c r="B28" s="111" t="s">
        <v>408</v>
      </c>
      <c r="C28" s="84"/>
      <c r="D28" s="1282"/>
      <c r="E28" s="1282"/>
      <c r="F28" s="1282"/>
      <c r="G28" s="180"/>
      <c r="I28" s="524"/>
      <c r="J28" s="1332"/>
      <c r="K28" s="1339"/>
    </row>
    <row r="29" spans="1:11" s="173" customFormat="1" ht="14.25" x14ac:dyDescent="0.2">
      <c r="A29" s="174"/>
      <c r="B29" s="113"/>
      <c r="C29" s="85"/>
      <c r="D29" s="1280"/>
      <c r="E29" s="1280"/>
      <c r="F29" s="1280"/>
      <c r="G29" s="176"/>
      <c r="I29" s="86"/>
      <c r="J29" s="1331"/>
      <c r="K29" s="1339"/>
    </row>
    <row r="30" spans="1:11" s="173" customFormat="1" ht="14.25" x14ac:dyDescent="0.2">
      <c r="A30" s="174"/>
      <c r="B30" s="113" t="s">
        <v>3974</v>
      </c>
      <c r="C30" s="85"/>
      <c r="D30" s="1279">
        <f>'Statement of Fin Pos'!E33+'Statement of Fin Pos'!E38-'Statement of Fin Pos'!F33-'Statement of Fin Pos'!F38</f>
        <v>5399183.7299999893</v>
      </c>
      <c r="E30" s="1280"/>
      <c r="F30" s="1279">
        <f>-36905952-0.95</f>
        <v>-36905952.950000003</v>
      </c>
      <c r="G30" s="176"/>
      <c r="I30" s="86"/>
      <c r="J30" s="1329"/>
      <c r="K30" s="1339"/>
    </row>
    <row r="31" spans="1:11" s="173" customFormat="1" ht="14.25" x14ac:dyDescent="0.2">
      <c r="A31" s="174"/>
      <c r="B31" s="113" t="s">
        <v>3976</v>
      </c>
      <c r="C31" s="85"/>
      <c r="D31" s="1279">
        <f>'Statement of Fin Pos'!E31-'Statement of Fin Pos'!F31</f>
        <v>1251244.200000003</v>
      </c>
      <c r="E31" s="1280"/>
      <c r="F31" s="1279">
        <v>1961986</v>
      </c>
      <c r="G31" s="176"/>
      <c r="I31" s="86"/>
      <c r="J31" s="1329"/>
      <c r="K31" s="1339"/>
    </row>
    <row r="32" spans="1:11" s="173" customFormat="1" ht="14.25" x14ac:dyDescent="0.2">
      <c r="A32" s="174"/>
      <c r="B32" s="113" t="s">
        <v>3975</v>
      </c>
      <c r="C32" s="85"/>
      <c r="D32" s="1279">
        <f>'Statement of Fin Pos'!E34+'Statement of Fin Pos'!E39-'Statement of Fin Pos'!F34-'Statement of Fin Pos'!F39</f>
        <v>-25324402.5</v>
      </c>
      <c r="E32" s="1280"/>
      <c r="F32" s="1279">
        <v>-21691797</v>
      </c>
      <c r="G32" s="176"/>
      <c r="I32" s="86"/>
      <c r="J32" s="1329"/>
      <c r="K32" s="1339"/>
    </row>
    <row r="33" spans="1:11" s="173" customFormat="1" ht="14.25" x14ac:dyDescent="0.2">
      <c r="A33" s="174"/>
      <c r="B33" s="113"/>
      <c r="C33" s="85"/>
      <c r="D33" s="1280"/>
      <c r="E33" s="1280"/>
      <c r="F33" s="1280"/>
      <c r="G33" s="176"/>
      <c r="J33" s="1331"/>
      <c r="K33" s="1339"/>
    </row>
    <row r="34" spans="1:11" s="181" customFormat="1" ht="15.75" thickBot="1" x14ac:dyDescent="0.3">
      <c r="A34" s="178"/>
      <c r="B34" s="111" t="s">
        <v>409</v>
      </c>
      <c r="C34" s="84"/>
      <c r="D34" s="1284">
        <f>SUM(D30:D32)</f>
        <v>-18673974.570000008</v>
      </c>
      <c r="E34" s="1282"/>
      <c r="F34" s="1284">
        <f>SUM(F30:F32)</f>
        <v>-56635763.950000003</v>
      </c>
      <c r="G34" s="180"/>
      <c r="J34" s="1330"/>
      <c r="K34" s="1339"/>
    </row>
    <row r="35" spans="1:11" s="173" customFormat="1" ht="15" thickTop="1" x14ac:dyDescent="0.2">
      <c r="A35" s="174"/>
      <c r="B35" s="113"/>
      <c r="C35" s="85"/>
      <c r="D35" s="1280"/>
      <c r="E35" s="1280"/>
      <c r="F35" s="1280"/>
      <c r="G35" s="176"/>
      <c r="J35" s="1331"/>
      <c r="K35" s="1339"/>
    </row>
    <row r="36" spans="1:11" s="181" customFormat="1" ht="15.75" thickBot="1" x14ac:dyDescent="0.3">
      <c r="A36" s="178"/>
      <c r="B36" s="111" t="s">
        <v>281</v>
      </c>
      <c r="C36" s="85"/>
      <c r="D36" s="1284">
        <f>D17+D26+D34</f>
        <v>-236634777.01999891</v>
      </c>
      <c r="E36" s="1282"/>
      <c r="F36" s="1284">
        <f>F17+F26+F34-0.91</f>
        <v>-99594570.720000014</v>
      </c>
      <c r="G36" s="180"/>
      <c r="J36" s="1330"/>
      <c r="K36" s="1339"/>
    </row>
    <row r="37" spans="1:11" s="173" customFormat="1" ht="15" thickTop="1" x14ac:dyDescent="0.2">
      <c r="A37" s="174"/>
      <c r="B37" s="113"/>
      <c r="C37" s="85"/>
      <c r="D37" s="1280"/>
      <c r="E37" s="1280"/>
      <c r="F37" s="1280"/>
      <c r="G37" s="176"/>
      <c r="J37" s="1331"/>
      <c r="K37" s="1339"/>
    </row>
    <row r="38" spans="1:11" s="173" customFormat="1" ht="15" x14ac:dyDescent="0.25">
      <c r="A38" s="174"/>
      <c r="B38" s="113" t="s">
        <v>282</v>
      </c>
      <c r="C38" s="84">
        <v>15</v>
      </c>
      <c r="D38" s="1285">
        <f>+F39</f>
        <v>322963447.28000003</v>
      </c>
      <c r="E38" s="1280"/>
      <c r="F38" s="1285">
        <v>422558018</v>
      </c>
      <c r="G38" s="176"/>
      <c r="J38" s="1329"/>
      <c r="K38" s="1339"/>
    </row>
    <row r="39" spans="1:11" s="173" customFormat="1" ht="15" x14ac:dyDescent="0.25">
      <c r="A39" s="174"/>
      <c r="B39" s="113" t="s">
        <v>283</v>
      </c>
      <c r="C39" s="84">
        <v>15</v>
      </c>
      <c r="D39" s="1286">
        <f>'Statement of Fin Pos'!E7</f>
        <v>86328671.160000011</v>
      </c>
      <c r="E39" s="1280"/>
      <c r="F39" s="1286">
        <f>'Note 9-33'!J268</f>
        <v>322963447.28000003</v>
      </c>
      <c r="G39" s="176"/>
      <c r="J39" s="1329"/>
      <c r="K39" s="1339"/>
    </row>
    <row r="40" spans="1:11" s="173" customFormat="1" ht="15" thickBot="1" x14ac:dyDescent="0.25">
      <c r="A40" s="183"/>
      <c r="B40" s="170"/>
      <c r="C40" s="124"/>
      <c r="D40" s="1202"/>
      <c r="E40" s="1202"/>
      <c r="F40" s="1202"/>
      <c r="G40" s="184"/>
      <c r="I40" s="579"/>
      <c r="K40" s="182"/>
    </row>
    <row r="41" spans="1:11" s="173" customFormat="1" ht="14.25" x14ac:dyDescent="0.2">
      <c r="C41" s="86"/>
      <c r="D41" s="1203"/>
      <c r="E41" s="1203"/>
      <c r="F41" s="1203"/>
      <c r="K41" s="182"/>
    </row>
    <row r="42" spans="1:11" s="173" customFormat="1" ht="14.25" hidden="1" customHeight="1" x14ac:dyDescent="0.2">
      <c r="B42" s="579"/>
      <c r="C42" s="86"/>
      <c r="D42" s="1204">
        <f>D38-D39</f>
        <v>236634776.12</v>
      </c>
      <c r="E42" s="1204"/>
      <c r="F42" s="1204">
        <f>F38-F39</f>
        <v>99594570.719999969</v>
      </c>
      <c r="K42" s="182"/>
    </row>
    <row r="43" spans="1:11" s="173" customFormat="1" ht="14.25" hidden="1" x14ac:dyDescent="0.2">
      <c r="B43" s="579"/>
      <c r="C43" s="86"/>
      <c r="D43" s="1204">
        <f>D36+D42</f>
        <v>-0.89999890327453613</v>
      </c>
      <c r="E43" s="1204"/>
      <c r="F43" s="1204">
        <f>F36+F42</f>
        <v>0</v>
      </c>
      <c r="K43" s="182"/>
    </row>
    <row r="44" spans="1:11" s="173" customFormat="1" ht="16.5" x14ac:dyDescent="0.35">
      <c r="C44" s="86"/>
      <c r="D44" s="621"/>
      <c r="E44" s="182"/>
      <c r="F44" s="182"/>
      <c r="K44" s="1334"/>
    </row>
    <row r="45" spans="1:11" s="173" customFormat="1" ht="14.25" x14ac:dyDescent="0.2">
      <c r="C45" s="86"/>
      <c r="D45" s="182"/>
      <c r="E45" s="182"/>
      <c r="F45" s="182"/>
      <c r="K45" s="182"/>
    </row>
    <row r="46" spans="1:11" s="173" customFormat="1" ht="14.25" x14ac:dyDescent="0.2">
      <c r="C46" s="86"/>
      <c r="D46" s="182"/>
      <c r="E46" s="182"/>
      <c r="F46" s="182"/>
      <c r="K46" s="182"/>
    </row>
    <row r="47" spans="1:11" s="173" customFormat="1" ht="14.25" x14ac:dyDescent="0.2">
      <c r="C47" s="86"/>
      <c r="D47" s="182"/>
      <c r="E47" s="182"/>
      <c r="F47" s="182"/>
      <c r="K47" s="182"/>
    </row>
    <row r="48" spans="1:11" s="173" customFormat="1" ht="14.25" x14ac:dyDescent="0.2">
      <c r="C48" s="86"/>
      <c r="D48" s="182"/>
      <c r="E48" s="182"/>
      <c r="F48" s="182"/>
      <c r="K48" s="182"/>
    </row>
    <row r="49" spans="3:11" s="173" customFormat="1" ht="14.25" x14ac:dyDescent="0.2">
      <c r="C49" s="86"/>
      <c r="D49" s="182"/>
      <c r="E49" s="182"/>
      <c r="F49" s="182"/>
      <c r="K49" s="182"/>
    </row>
    <row r="50" spans="3:11" s="173" customFormat="1" ht="14.25" x14ac:dyDescent="0.2">
      <c r="C50" s="86"/>
      <c r="D50" s="182"/>
      <c r="E50" s="182"/>
      <c r="F50" s="182"/>
      <c r="K50" s="182"/>
    </row>
    <row r="51" spans="3:11" s="173" customFormat="1" ht="14.25" x14ac:dyDescent="0.2">
      <c r="C51" s="86"/>
      <c r="D51" s="182"/>
      <c r="E51" s="182"/>
      <c r="F51" s="182"/>
      <c r="K51" s="182"/>
    </row>
  </sheetData>
  <phoneticPr fontId="0" type="noConversion"/>
  <pageMargins left="0.6692913385826772" right="0.39370078740157483" top="0.98425196850393704" bottom="0.98425196850393704" header="0.51181102362204722" footer="0.51181102362204722"/>
  <pageSetup paperSize="9" scale="85" firstPageNumber="7" orientation="portrait" useFirstPageNumber="1" r:id="rId1"/>
  <headerFooter alignWithMargins="0">
    <oddHeader xml:space="preserve">&amp;C &amp;"Calibri,Bold"&amp;12POLOKWANE MUNICIPALITY
CASH FLOW STATEMENT FOR THE YEAR ENDED 30 JUNE 2016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zoomScaleNormal="100" workbookViewId="0">
      <selection activeCell="F19" sqref="F19"/>
    </sheetView>
  </sheetViews>
  <sheetFormatPr defaultRowHeight="12.75" x14ac:dyDescent="0.2"/>
  <cols>
    <col min="1" max="1" width="16.85546875" style="185" customWidth="1"/>
    <col min="2" max="2" width="41.5703125" style="185" customWidth="1"/>
    <col min="3" max="3" width="14.42578125" style="274" customWidth="1"/>
    <col min="4" max="4" width="13.7109375" style="185" customWidth="1"/>
    <col min="5" max="5" width="16.140625" style="185" customWidth="1"/>
    <col min="6" max="6" width="13.7109375" style="185" customWidth="1"/>
    <col min="7" max="7" width="15.5703125" style="185" customWidth="1"/>
    <col min="8" max="9" width="13.42578125" style="185" hidden="1" customWidth="1"/>
    <col min="10" max="10" width="13.28515625" style="185" customWidth="1"/>
    <col min="11" max="11" width="9.140625" style="185" customWidth="1"/>
    <col min="12" max="12" width="12.5703125" style="185" customWidth="1"/>
    <col min="13" max="13" width="11.140625" style="185" hidden="1" customWidth="1"/>
    <col min="14" max="14" width="12.42578125" style="185" hidden="1" customWidth="1"/>
    <col min="15" max="15" width="9.85546875" style="185" hidden="1" customWidth="1"/>
    <col min="16" max="16" width="0" style="185" hidden="1" customWidth="1"/>
    <col min="17" max="19" width="9.140625" style="185"/>
    <col min="20" max="20" width="12.28515625" style="185" bestFit="1" customWidth="1"/>
    <col min="21" max="16384" width="9.140625" style="185"/>
  </cols>
  <sheetData>
    <row r="1" spans="2:16" ht="14.25" customHeight="1" thickBot="1" x14ac:dyDescent="0.25">
      <c r="B1" s="1818"/>
      <c r="C1" s="1818"/>
      <c r="D1" s="1818"/>
      <c r="E1" s="1818"/>
      <c r="F1" s="1818"/>
      <c r="G1" s="1818"/>
      <c r="H1" s="1818"/>
      <c r="I1" s="1818"/>
      <c r="J1" s="1818"/>
      <c r="K1" s="1818"/>
      <c r="L1" s="1818"/>
    </row>
    <row r="2" spans="2:16" ht="13.5" thickBot="1" x14ac:dyDescent="0.25">
      <c r="B2" s="1819" t="s">
        <v>1004</v>
      </c>
      <c r="C2" s="1822" t="s">
        <v>3901</v>
      </c>
      <c r="D2" s="1823"/>
      <c r="E2" s="1823"/>
      <c r="F2" s="1823"/>
      <c r="G2" s="1823"/>
      <c r="H2" s="1823"/>
      <c r="I2" s="1823"/>
      <c r="J2" s="1823"/>
      <c r="K2" s="1823"/>
      <c r="L2" s="1824"/>
      <c r="M2" s="1815" t="s">
        <v>3158</v>
      </c>
      <c r="N2" s="1815"/>
      <c r="O2" s="1815"/>
      <c r="P2" s="1816"/>
    </row>
    <row r="3" spans="2:16" ht="66.75" customHeight="1" thickBot="1" x14ac:dyDescent="0.25">
      <c r="B3" s="1820"/>
      <c r="C3" s="1112" t="s">
        <v>2469</v>
      </c>
      <c r="D3" s="1113" t="s">
        <v>3663</v>
      </c>
      <c r="E3" s="1113" t="s">
        <v>3664</v>
      </c>
      <c r="F3" s="1113" t="s">
        <v>1005</v>
      </c>
      <c r="G3" s="1113" t="s">
        <v>2470</v>
      </c>
      <c r="H3" s="1114" t="s">
        <v>1006</v>
      </c>
      <c r="I3" s="1114" t="s">
        <v>3239</v>
      </c>
      <c r="J3" s="1115" t="s">
        <v>882</v>
      </c>
      <c r="K3" s="1114" t="s">
        <v>2471</v>
      </c>
      <c r="L3" s="1262" t="s">
        <v>2472</v>
      </c>
      <c r="M3" s="1259" t="s">
        <v>3240</v>
      </c>
      <c r="N3" s="1114" t="s">
        <v>3241</v>
      </c>
      <c r="O3" s="1114" t="s">
        <v>3242</v>
      </c>
      <c r="P3" s="1114" t="s">
        <v>3243</v>
      </c>
    </row>
    <row r="4" spans="2:16" ht="13.5" thickBot="1" x14ac:dyDescent="0.25">
      <c r="B4" s="1820"/>
      <c r="C4" s="1116" t="s">
        <v>59</v>
      </c>
      <c r="D4" s="1116" t="s">
        <v>59</v>
      </c>
      <c r="E4" s="1116" t="s">
        <v>59</v>
      </c>
      <c r="F4" s="1116" t="s">
        <v>59</v>
      </c>
      <c r="G4" s="1116" t="s">
        <v>59</v>
      </c>
      <c r="H4" s="1116" t="s">
        <v>59</v>
      </c>
      <c r="I4" s="1116"/>
      <c r="J4" s="1116" t="s">
        <v>59</v>
      </c>
      <c r="K4" s="1117"/>
      <c r="L4" s="1263"/>
      <c r="M4" s="1260"/>
      <c r="N4" s="1117"/>
      <c r="O4" s="1117"/>
      <c r="P4" s="1117"/>
    </row>
    <row r="5" spans="2:16" ht="16.5" customHeight="1" thickBot="1" x14ac:dyDescent="0.25">
      <c r="B5" s="1821"/>
      <c r="C5" s="1118">
        <v>1</v>
      </c>
      <c r="D5" s="1119">
        <v>2</v>
      </c>
      <c r="E5" s="1119">
        <v>3</v>
      </c>
      <c r="F5" s="1119">
        <v>4</v>
      </c>
      <c r="G5" s="1119">
        <v>5</v>
      </c>
      <c r="H5" s="1119">
        <v>6</v>
      </c>
      <c r="I5" s="1119">
        <v>6</v>
      </c>
      <c r="J5" s="1119">
        <v>7</v>
      </c>
      <c r="K5" s="1119">
        <v>8</v>
      </c>
      <c r="L5" s="1264">
        <v>9</v>
      </c>
      <c r="M5" s="1429">
        <v>10</v>
      </c>
      <c r="N5" s="1119">
        <v>11</v>
      </c>
      <c r="O5" s="1119">
        <v>12</v>
      </c>
      <c r="P5" s="1119">
        <v>13</v>
      </c>
    </row>
    <row r="6" spans="2:16" ht="12.75" hidden="1" customHeight="1" x14ac:dyDescent="0.2">
      <c r="B6" s="1121"/>
      <c r="C6" s="1120"/>
      <c r="D6" s="1120"/>
      <c r="E6" s="1121"/>
      <c r="F6" s="1121"/>
      <c r="G6" s="1121"/>
      <c r="H6" s="1121"/>
      <c r="I6" s="1121"/>
      <c r="J6" s="1121"/>
      <c r="K6" s="1121"/>
      <c r="L6" s="1121"/>
      <c r="M6" s="1261"/>
      <c r="N6" s="1122"/>
      <c r="O6" s="1122"/>
      <c r="P6" s="1123"/>
    </row>
    <row r="7" spans="2:16" x14ac:dyDescent="0.2">
      <c r="B7" s="1265" t="s">
        <v>1007</v>
      </c>
      <c r="C7" s="468"/>
      <c r="D7" s="468"/>
      <c r="E7" s="469" t="s">
        <v>296</v>
      </c>
      <c r="F7" s="469"/>
      <c r="G7" s="469"/>
      <c r="H7" s="469"/>
      <c r="I7" s="469"/>
      <c r="J7" s="469"/>
      <c r="K7" s="591"/>
      <c r="L7" s="1016"/>
      <c r="M7" s="232"/>
      <c r="N7" s="591"/>
      <c r="O7" s="591"/>
      <c r="P7" s="1124"/>
    </row>
    <row r="8" spans="2:16" x14ac:dyDescent="0.2">
      <c r="B8" s="1266" t="s">
        <v>429</v>
      </c>
      <c r="C8" s="468">
        <f>-'TB3'!Y6</f>
        <v>332477244</v>
      </c>
      <c r="D8" s="468">
        <f>-'TB3'!Z6</f>
        <v>314000000</v>
      </c>
      <c r="E8" s="468">
        <f>-'TB3'!AA6</f>
        <v>314000000</v>
      </c>
      <c r="F8" s="468">
        <f>E8</f>
        <v>314000000</v>
      </c>
      <c r="G8" s="468">
        <f>'Statement of Financial Performa'!G9</f>
        <v>281023720.90999997</v>
      </c>
      <c r="H8" s="469"/>
      <c r="I8" s="469"/>
      <c r="J8" s="469">
        <f>G8-F8</f>
        <v>-32976279.090000033</v>
      </c>
      <c r="K8" s="592">
        <f>G8/F8*100</f>
        <v>89.498000289808914</v>
      </c>
      <c r="L8" s="471">
        <f>G8/C8*100</f>
        <v>84.52419706354398</v>
      </c>
      <c r="M8" s="232"/>
      <c r="N8" s="1130"/>
      <c r="O8" s="591"/>
      <c r="P8" s="1124"/>
    </row>
    <row r="9" spans="2:16" x14ac:dyDescent="0.2">
      <c r="B9" s="1266" t="s">
        <v>3226</v>
      </c>
      <c r="C9" s="468">
        <f>-'TB3'!Y20</f>
        <v>793523342</v>
      </c>
      <c r="D9" s="468">
        <f>-'TB3'!Z20</f>
        <v>793523342</v>
      </c>
      <c r="E9" s="468">
        <f>-'TB3'!AA20</f>
        <v>793523342</v>
      </c>
      <c r="F9" s="468">
        <f t="shared" ref="F9:F20" si="0">E9</f>
        <v>793523342</v>
      </c>
      <c r="G9" s="468">
        <f>'Note 9-33'!H303</f>
        <v>764663907.75</v>
      </c>
      <c r="H9" s="469"/>
      <c r="I9" s="469"/>
      <c r="J9" s="469">
        <f t="shared" ref="J9:J20" si="1">G9-F9</f>
        <v>-28859434.25</v>
      </c>
      <c r="K9" s="592">
        <f t="shared" ref="K9:K20" si="2">G9/F9*100</f>
        <v>96.363127242449792</v>
      </c>
      <c r="L9" s="471">
        <f t="shared" ref="L9:L20" si="3">G9/C9*100</f>
        <v>96.363127242449792</v>
      </c>
      <c r="M9" s="232"/>
      <c r="N9" s="1130"/>
      <c r="O9" s="591"/>
      <c r="P9" s="1124"/>
    </row>
    <row r="10" spans="2:16" x14ac:dyDescent="0.2">
      <c r="B10" s="1266" t="s">
        <v>3227</v>
      </c>
      <c r="C10" s="468">
        <f>-'TB3'!Y33</f>
        <v>182516033</v>
      </c>
      <c r="D10" s="468">
        <f>-'TB3'!Z33</f>
        <v>182516033</v>
      </c>
      <c r="E10" s="468">
        <f>-'TB3'!AA33</f>
        <v>182516033</v>
      </c>
      <c r="F10" s="468">
        <f t="shared" si="0"/>
        <v>182516033</v>
      </c>
      <c r="G10" s="468">
        <f>'Note 9-33'!H304</f>
        <v>210326830.97000003</v>
      </c>
      <c r="H10" s="469"/>
      <c r="I10" s="469"/>
      <c r="J10" s="469">
        <f t="shared" si="1"/>
        <v>27810797.970000029</v>
      </c>
      <c r="K10" s="592">
        <f t="shared" si="2"/>
        <v>115.23745476650811</v>
      </c>
      <c r="L10" s="471">
        <f t="shared" si="3"/>
        <v>115.23745476650811</v>
      </c>
      <c r="M10" s="232"/>
      <c r="N10" s="1130"/>
      <c r="O10" s="591"/>
      <c r="P10" s="1124"/>
    </row>
    <row r="11" spans="2:16" x14ac:dyDescent="0.2">
      <c r="B11" s="1266" t="s">
        <v>3228</v>
      </c>
      <c r="C11" s="468">
        <f>-'TB3'!Y44</f>
        <v>55325708</v>
      </c>
      <c r="D11" s="468">
        <f>-'TB3'!Z44</f>
        <v>55325708</v>
      </c>
      <c r="E11" s="468">
        <f>-'TB3'!AA44</f>
        <v>55325708</v>
      </c>
      <c r="F11" s="468">
        <f t="shared" si="0"/>
        <v>55325708</v>
      </c>
      <c r="G11" s="468">
        <f>'Note 9-33'!H306</f>
        <v>52800384.810000002</v>
      </c>
      <c r="H11" s="469"/>
      <c r="I11" s="469"/>
      <c r="J11" s="469">
        <f t="shared" si="1"/>
        <v>-2525323.1899999976</v>
      </c>
      <c r="K11" s="592">
        <f t="shared" si="2"/>
        <v>95.435533893212892</v>
      </c>
      <c r="L11" s="471">
        <f t="shared" si="3"/>
        <v>95.435533893212892</v>
      </c>
      <c r="M11" s="232"/>
      <c r="N11" s="1130"/>
      <c r="O11" s="591"/>
      <c r="P11" s="1124"/>
    </row>
    <row r="12" spans="2:16" x14ac:dyDescent="0.2">
      <c r="B12" s="1266" t="s">
        <v>3229</v>
      </c>
      <c r="C12" s="468">
        <f>-'TB3'!Y51</f>
        <v>63982984</v>
      </c>
      <c r="D12" s="468">
        <f>-'TB3'!Z51</f>
        <v>63982984</v>
      </c>
      <c r="E12" s="468">
        <f>-'TB3'!AA51</f>
        <v>63982984</v>
      </c>
      <c r="F12" s="468">
        <f t="shared" si="0"/>
        <v>63982984</v>
      </c>
      <c r="G12" s="468">
        <f>'Note 9-33'!H305</f>
        <v>64253430.979999997</v>
      </c>
      <c r="H12" s="469"/>
      <c r="I12" s="469"/>
      <c r="J12" s="469">
        <f t="shared" si="1"/>
        <v>270446.97999999672</v>
      </c>
      <c r="K12" s="592">
        <f t="shared" si="2"/>
        <v>100.42268578783384</v>
      </c>
      <c r="L12" s="471">
        <f t="shared" si="3"/>
        <v>100.42268578783384</v>
      </c>
      <c r="M12" s="232"/>
      <c r="N12" s="1130"/>
      <c r="O12" s="591"/>
      <c r="P12" s="1124"/>
    </row>
    <row r="13" spans="2:16" x14ac:dyDescent="0.2">
      <c r="B13" s="1267" t="s">
        <v>2551</v>
      </c>
      <c r="C13" s="468">
        <f>-'TB3'!Y85</f>
        <v>21711177</v>
      </c>
      <c r="D13" s="468">
        <f>-'TB3'!Z85</f>
        <v>19711177</v>
      </c>
      <c r="E13" s="468">
        <f>-'TB3'!AA85</f>
        <v>19711177</v>
      </c>
      <c r="F13" s="468">
        <f t="shared" si="0"/>
        <v>19711177</v>
      </c>
      <c r="G13" s="468">
        <f>'Statement of Financial Performa'!G11</f>
        <v>12342191.979999999</v>
      </c>
      <c r="H13" s="469"/>
      <c r="I13" s="469"/>
      <c r="J13" s="469">
        <f t="shared" si="1"/>
        <v>-7368985.0200000014</v>
      </c>
      <c r="K13" s="592">
        <f t="shared" si="2"/>
        <v>62.615195328011097</v>
      </c>
      <c r="L13" s="471">
        <f t="shared" si="3"/>
        <v>56.847180509836015</v>
      </c>
      <c r="M13" s="232"/>
      <c r="N13" s="1130"/>
      <c r="O13" s="591"/>
      <c r="P13" s="1124"/>
    </row>
    <row r="14" spans="2:16" x14ac:dyDescent="0.2">
      <c r="B14" s="1267" t="s">
        <v>567</v>
      </c>
      <c r="C14" s="468">
        <f>-'TB3'!Y90</f>
        <v>31000000</v>
      </c>
      <c r="D14" s="468">
        <f>-'TB3'!Z90</f>
        <v>37000000</v>
      </c>
      <c r="E14" s="468">
        <f>-'TB3'!AA90</f>
        <v>37000000</v>
      </c>
      <c r="F14" s="468">
        <f t="shared" si="0"/>
        <v>37000000</v>
      </c>
      <c r="G14" s="468">
        <f>'Statement of Financial Performa'!G12</f>
        <v>27592761.699999999</v>
      </c>
      <c r="H14" s="469"/>
      <c r="I14" s="469"/>
      <c r="J14" s="469">
        <f t="shared" si="1"/>
        <v>-9407238.3000000007</v>
      </c>
      <c r="K14" s="592">
        <f t="shared" si="2"/>
        <v>74.575031621621619</v>
      </c>
      <c r="L14" s="471">
        <f t="shared" si="3"/>
        <v>89.008908709677414</v>
      </c>
      <c r="M14" s="232"/>
      <c r="N14" s="1130"/>
      <c r="O14" s="591"/>
      <c r="P14" s="1124"/>
    </row>
    <row r="15" spans="2:16" x14ac:dyDescent="0.2">
      <c r="B15" s="1267" t="s">
        <v>952</v>
      </c>
      <c r="C15" s="468">
        <f>-'TB3'!Y97</f>
        <v>31800000</v>
      </c>
      <c r="D15" s="468">
        <f>-'TB3'!Z97</f>
        <v>25800000</v>
      </c>
      <c r="E15" s="468">
        <f>-'TB3'!AA97</f>
        <v>25800000</v>
      </c>
      <c r="F15" s="468">
        <f t="shared" si="0"/>
        <v>25800000</v>
      </c>
      <c r="G15" s="468">
        <f>'Statement of Financial Performa'!G13</f>
        <v>54307169.009999998</v>
      </c>
      <c r="H15" s="469"/>
      <c r="I15" s="469"/>
      <c r="J15" s="469">
        <f t="shared" si="1"/>
        <v>28507169.009999998</v>
      </c>
      <c r="K15" s="592">
        <f t="shared" si="2"/>
        <v>210.49290313953489</v>
      </c>
      <c r="L15" s="471">
        <f t="shared" si="3"/>
        <v>170.77726103773585</v>
      </c>
      <c r="M15" s="232"/>
      <c r="N15" s="1130"/>
      <c r="O15" s="591"/>
      <c r="P15" s="1124"/>
    </row>
    <row r="16" spans="2:16" x14ac:dyDescent="0.2">
      <c r="B16" s="1267" t="s">
        <v>3222</v>
      </c>
      <c r="C16" s="468">
        <f>-'TB3'!Y102</f>
        <v>13725784</v>
      </c>
      <c r="D16" s="468">
        <f>-'TB3'!Z102</f>
        <v>13725784</v>
      </c>
      <c r="E16" s="468">
        <f>-'TB3'!AA102</f>
        <v>13725784</v>
      </c>
      <c r="F16" s="468">
        <f t="shared" si="0"/>
        <v>13725784</v>
      </c>
      <c r="G16" s="468">
        <f>'Statement of Financial Performa'!G14</f>
        <v>17128584.780000001</v>
      </c>
      <c r="H16" s="469"/>
      <c r="I16" s="469"/>
      <c r="J16" s="469">
        <f t="shared" si="1"/>
        <v>3402800.7800000012</v>
      </c>
      <c r="K16" s="592">
        <f t="shared" si="2"/>
        <v>124.79130357872454</v>
      </c>
      <c r="L16" s="471">
        <f t="shared" si="3"/>
        <v>124.79130357872454</v>
      </c>
      <c r="M16" s="232"/>
      <c r="N16" s="1130"/>
      <c r="O16" s="591"/>
      <c r="P16" s="1124"/>
    </row>
    <row r="17" spans="2:20" x14ac:dyDescent="0.2">
      <c r="B17" s="1267" t="s">
        <v>405</v>
      </c>
      <c r="C17" s="468">
        <f>-'TB3'!Y117</f>
        <v>9569079</v>
      </c>
      <c r="D17" s="468">
        <f>-'TB3'!Z117</f>
        <v>9570079</v>
      </c>
      <c r="E17" s="468">
        <f>-'TB3'!AA117</f>
        <v>9570079</v>
      </c>
      <c r="F17" s="468">
        <f t="shared" si="0"/>
        <v>9570079</v>
      </c>
      <c r="G17" s="468">
        <f>'Statement of Financial Performa'!G15</f>
        <v>8100962.2000000002</v>
      </c>
      <c r="H17" s="469"/>
      <c r="I17" s="469"/>
      <c r="J17" s="469">
        <f t="shared" si="1"/>
        <v>-1469116.7999999998</v>
      </c>
      <c r="K17" s="592">
        <f t="shared" si="2"/>
        <v>84.648853995876109</v>
      </c>
      <c r="L17" s="471">
        <f t="shared" si="3"/>
        <v>84.657700077510071</v>
      </c>
      <c r="M17" s="232"/>
      <c r="N17" s="1130"/>
      <c r="O17" s="591"/>
      <c r="P17" s="1124"/>
    </row>
    <row r="18" spans="2:20" x14ac:dyDescent="0.2">
      <c r="B18" s="1267" t="s">
        <v>3223</v>
      </c>
      <c r="C18" s="468">
        <f>-'TB3'!Y122</f>
        <v>16595572</v>
      </c>
      <c r="D18" s="468">
        <f>-'TB3'!Z122</f>
        <v>16595572</v>
      </c>
      <c r="E18" s="468">
        <f>-'TB3'!AA122</f>
        <v>16595572</v>
      </c>
      <c r="F18" s="468">
        <f t="shared" si="0"/>
        <v>16595572</v>
      </c>
      <c r="G18" s="468">
        <f>'Statement of Financial Performa'!G16</f>
        <v>15931818.16</v>
      </c>
      <c r="H18" s="469"/>
      <c r="I18" s="469"/>
      <c r="J18" s="469">
        <f t="shared" si="1"/>
        <v>-663753.83999999985</v>
      </c>
      <c r="K18" s="592">
        <f t="shared" si="2"/>
        <v>96.000416014585099</v>
      </c>
      <c r="L18" s="471">
        <f t="shared" si="3"/>
        <v>96.000416014585099</v>
      </c>
      <c r="M18" s="232"/>
      <c r="N18" s="1130"/>
      <c r="O18" s="591"/>
      <c r="P18" s="1124"/>
    </row>
    <row r="19" spans="2:20" x14ac:dyDescent="0.2">
      <c r="B19" s="1268" t="s">
        <v>3224</v>
      </c>
      <c r="C19" s="468">
        <f>-'TB3'!Y149</f>
        <v>678860000</v>
      </c>
      <c r="D19" s="468">
        <f>-'TB3'!Z149</f>
        <v>678860000</v>
      </c>
      <c r="E19" s="468">
        <f>-'TB3'!AA149</f>
        <v>678860000</v>
      </c>
      <c r="F19" s="468">
        <f t="shared" si="0"/>
        <v>678860000</v>
      </c>
      <c r="G19" s="468">
        <f>'Statement of Financial Performa'!G17</f>
        <v>616432886.5</v>
      </c>
      <c r="H19" s="469"/>
      <c r="I19" s="469"/>
      <c r="J19" s="469">
        <f t="shared" si="1"/>
        <v>-62427113.5</v>
      </c>
      <c r="K19" s="592">
        <f t="shared" si="2"/>
        <v>90.804125519252864</v>
      </c>
      <c r="L19" s="471">
        <f t="shared" si="3"/>
        <v>90.804125519252864</v>
      </c>
      <c r="M19" s="232"/>
      <c r="N19" s="1130"/>
      <c r="O19" s="591"/>
      <c r="P19" s="1124"/>
    </row>
    <row r="20" spans="2:20" x14ac:dyDescent="0.2">
      <c r="B20" s="1266" t="s">
        <v>275</v>
      </c>
      <c r="C20" s="468">
        <f>-'TB3'!Y242</f>
        <v>173376077</v>
      </c>
      <c r="D20" s="468">
        <f>-'TB3'!Z242</f>
        <v>268005664</v>
      </c>
      <c r="E20" s="468">
        <f>-'TB3'!AA242</f>
        <v>268005664</v>
      </c>
      <c r="F20" s="468">
        <f t="shared" si="0"/>
        <v>268005664</v>
      </c>
      <c r="G20" s="468">
        <f>'Statement of Financial Performa'!G20</f>
        <v>187481214.11000001</v>
      </c>
      <c r="H20" s="469"/>
      <c r="I20" s="469"/>
      <c r="J20" s="469">
        <f t="shared" si="1"/>
        <v>-80524449.889999986</v>
      </c>
      <c r="K20" s="592">
        <f t="shared" si="2"/>
        <v>69.954198471715884</v>
      </c>
      <c r="L20" s="471">
        <f t="shared" si="3"/>
        <v>108.13557288529489</v>
      </c>
      <c r="M20" s="232"/>
      <c r="N20" s="1130"/>
      <c r="O20" s="591"/>
      <c r="P20" s="1124"/>
    </row>
    <row r="21" spans="2:20" hidden="1" x14ac:dyDescent="0.2">
      <c r="B21" s="1266" t="s">
        <v>3225</v>
      </c>
      <c r="C21" s="468"/>
      <c r="D21" s="468"/>
      <c r="E21" s="468"/>
      <c r="F21" s="468">
        <f>D21</f>
        <v>0</v>
      </c>
      <c r="G21" s="468"/>
      <c r="H21" s="469"/>
      <c r="I21" s="469"/>
      <c r="J21" s="469"/>
      <c r="K21" s="592" t="e">
        <f>G21/F21*100</f>
        <v>#DIV/0!</v>
      </c>
      <c r="L21" s="471" t="e">
        <f>G21/C21*100</f>
        <v>#DIV/0!</v>
      </c>
      <c r="M21" s="232"/>
      <c r="N21" s="1130"/>
      <c r="O21" s="591"/>
      <c r="P21" s="1124"/>
    </row>
    <row r="22" spans="2:20" s="260" customFormat="1" ht="25.5" x14ac:dyDescent="0.2">
      <c r="B22" s="1269" t="s">
        <v>3221</v>
      </c>
      <c r="C22" s="586">
        <f t="shared" ref="C22:J22" si="4">SUM(C7:C21)</f>
        <v>2404463000</v>
      </c>
      <c r="D22" s="586">
        <f t="shared" si="4"/>
        <v>2478616343</v>
      </c>
      <c r="E22" s="586">
        <f t="shared" si="4"/>
        <v>2478616343</v>
      </c>
      <c r="F22" s="586">
        <f>E22</f>
        <v>2478616343</v>
      </c>
      <c r="G22" s="586">
        <f t="shared" si="4"/>
        <v>2312385863.8600001</v>
      </c>
      <c r="H22" s="586">
        <f t="shared" si="4"/>
        <v>0</v>
      </c>
      <c r="I22" s="586"/>
      <c r="J22" s="586">
        <f t="shared" si="4"/>
        <v>-166230479.13999999</v>
      </c>
      <c r="K22" s="1009">
        <f>G22/F22*100</f>
        <v>93.293416320381297</v>
      </c>
      <c r="L22" s="602">
        <f>G22/C22*100</f>
        <v>96.170573797974853</v>
      </c>
      <c r="M22" s="1435"/>
      <c r="N22" s="1436"/>
      <c r="O22" s="1436"/>
      <c r="P22" s="1125"/>
    </row>
    <row r="23" spans="2:20" x14ac:dyDescent="0.2">
      <c r="B23" s="470" t="s">
        <v>3230</v>
      </c>
      <c r="C23" s="590">
        <f>'TB3'!Y296</f>
        <v>571535731</v>
      </c>
      <c r="D23" s="590">
        <f>'TB3'!AA296</f>
        <v>581111186</v>
      </c>
      <c r="E23" s="590">
        <f>'TB3'!AA296</f>
        <v>581111186</v>
      </c>
      <c r="F23" s="590">
        <f>E23</f>
        <v>581111186</v>
      </c>
      <c r="G23" s="590">
        <f>'Statement of Financial Performa'!G26</f>
        <v>598398758.71000004</v>
      </c>
      <c r="H23" s="595"/>
      <c r="I23" s="595"/>
      <c r="J23" s="595">
        <f>G23-F23</f>
        <v>17287572.710000038</v>
      </c>
      <c r="K23" s="596">
        <f>G23/F23*100</f>
        <v>102.97491652655953</v>
      </c>
      <c r="L23" s="600">
        <f>G23/C23*100</f>
        <v>104.7001484339393</v>
      </c>
      <c r="M23" s="1126"/>
      <c r="N23" s="1127"/>
      <c r="O23" s="1128"/>
      <c r="P23" s="1129"/>
    </row>
    <row r="24" spans="2:20" x14ac:dyDescent="0.2">
      <c r="B24" s="470" t="s">
        <v>3231</v>
      </c>
      <c r="C24" s="468">
        <f>'TB3'!Y321</f>
        <v>25779550</v>
      </c>
      <c r="D24" s="468">
        <f>'TB3'!AA321</f>
        <v>28348587</v>
      </c>
      <c r="E24" s="468">
        <f>'TB3'!AA321</f>
        <v>28348587</v>
      </c>
      <c r="F24" s="468">
        <f>E24</f>
        <v>28348587</v>
      </c>
      <c r="G24" s="468">
        <f>'Statement of Financial Performa'!G27</f>
        <v>27019623.370000001</v>
      </c>
      <c r="H24" s="469"/>
      <c r="I24" s="469"/>
      <c r="J24" s="469">
        <f>G24-F24</f>
        <v>-1328963.629999999</v>
      </c>
      <c r="K24" s="592">
        <f>G24/F24*100</f>
        <v>95.312063948725211</v>
      </c>
      <c r="L24" s="471">
        <f>G24/C24*100</f>
        <v>104.81029874454752</v>
      </c>
      <c r="M24" s="232"/>
      <c r="N24" s="1130"/>
      <c r="O24" s="591"/>
      <c r="P24" s="1124"/>
    </row>
    <row r="25" spans="2:20" x14ac:dyDescent="0.2">
      <c r="B25" s="470" t="s">
        <v>3232</v>
      </c>
      <c r="C25" s="468">
        <f>'TB3'!Y327</f>
        <v>50000000</v>
      </c>
      <c r="D25" s="468">
        <f>'TB3'!AA327</f>
        <v>50000000</v>
      </c>
      <c r="E25" s="468">
        <f>'TB3'!AA327</f>
        <v>50000000</v>
      </c>
      <c r="F25" s="468">
        <f t="shared" ref="F25:F30" si="5">E25</f>
        <v>50000000</v>
      </c>
      <c r="G25" s="468">
        <f>'Statement of Financial Performa'!G28</f>
        <v>76708428.220000014</v>
      </c>
      <c r="H25" s="469"/>
      <c r="I25" s="469">
        <v>79322161</v>
      </c>
      <c r="J25" s="469">
        <f t="shared" ref="J25:J32" si="6">G25-F25</f>
        <v>26708428.220000014</v>
      </c>
      <c r="K25" s="592">
        <f t="shared" ref="K25:K31" si="7">G25/F25*100</f>
        <v>153.41685644000003</v>
      </c>
      <c r="L25" s="471">
        <f t="shared" ref="L25:L31" si="8">G25/C25*100</f>
        <v>153.41685644000003</v>
      </c>
      <c r="M25" s="232"/>
      <c r="N25" s="1130"/>
      <c r="O25" s="591"/>
      <c r="P25" s="1124"/>
    </row>
    <row r="26" spans="2:20" x14ac:dyDescent="0.2">
      <c r="B26" s="470" t="s">
        <v>3233</v>
      </c>
      <c r="C26" s="468">
        <f>'TB3'!Y335</f>
        <v>205000000</v>
      </c>
      <c r="D26" s="468">
        <f>'TB3'!AA335</f>
        <v>205000000</v>
      </c>
      <c r="E26" s="468">
        <f>'TB3'!AA335</f>
        <v>205000000</v>
      </c>
      <c r="F26" s="468">
        <f>E26+286964008</f>
        <v>491964008</v>
      </c>
      <c r="G26" s="468">
        <f>'Statement of Financial Performa'!G30</f>
        <v>475210190.04000008</v>
      </c>
      <c r="H26" s="469"/>
      <c r="I26" s="469">
        <v>337259681</v>
      </c>
      <c r="J26" s="469">
        <f t="shared" si="6"/>
        <v>-16753817.959999919</v>
      </c>
      <c r="K26" s="592">
        <f t="shared" si="7"/>
        <v>96.594503319844506</v>
      </c>
      <c r="L26" s="471">
        <f t="shared" si="8"/>
        <v>231.80984880000005</v>
      </c>
      <c r="M26" s="232"/>
      <c r="N26" s="1130"/>
      <c r="O26" s="603"/>
      <c r="P26" s="1124"/>
      <c r="T26" s="1694"/>
    </row>
    <row r="27" spans="2:20" x14ac:dyDescent="0.2">
      <c r="B27" s="470" t="s">
        <v>3234</v>
      </c>
      <c r="C27" s="468">
        <f>'TB3'!Y341</f>
        <v>37000000</v>
      </c>
      <c r="D27" s="468">
        <f>'TB3'!AA341</f>
        <v>35585363</v>
      </c>
      <c r="E27" s="468">
        <f>'TB3'!AA341</f>
        <v>35585363</v>
      </c>
      <c r="F27" s="468">
        <f t="shared" si="5"/>
        <v>35585363</v>
      </c>
      <c r="G27" s="468">
        <f>'Statement of Financial Performa'!G32</f>
        <v>33955930.579999998</v>
      </c>
      <c r="H27" s="469"/>
      <c r="I27" s="469"/>
      <c r="J27" s="469">
        <f t="shared" si="6"/>
        <v>-1629432.4200000018</v>
      </c>
      <c r="K27" s="592">
        <f t="shared" si="7"/>
        <v>95.421060001551766</v>
      </c>
      <c r="L27" s="471">
        <f t="shared" si="8"/>
        <v>91.772785351351345</v>
      </c>
      <c r="M27" s="232"/>
      <c r="N27" s="1131"/>
      <c r="O27" s="591"/>
      <c r="P27" s="1124"/>
    </row>
    <row r="28" spans="2:20" x14ac:dyDescent="0.2">
      <c r="B28" s="470" t="s">
        <v>62</v>
      </c>
      <c r="C28" s="468">
        <f>'TB3'!Y348</f>
        <v>767000000</v>
      </c>
      <c r="D28" s="468">
        <f>'TB3'!AA348</f>
        <v>748891192</v>
      </c>
      <c r="E28" s="468">
        <f>'TB3'!AA348</f>
        <v>748891192</v>
      </c>
      <c r="F28" s="468">
        <f t="shared" si="5"/>
        <v>748891192</v>
      </c>
      <c r="G28" s="468">
        <f>'Statement of Financial Performa'!G33</f>
        <v>748278150.28999996</v>
      </c>
      <c r="H28" s="469"/>
      <c r="I28" s="469"/>
      <c r="J28" s="469">
        <f t="shared" si="6"/>
        <v>-613041.71000003815</v>
      </c>
      <c r="K28" s="592">
        <f t="shared" si="7"/>
        <v>99.918140082758512</v>
      </c>
      <c r="L28" s="471">
        <f t="shared" si="8"/>
        <v>97.559080872229458</v>
      </c>
      <c r="M28" s="232"/>
      <c r="N28" s="1130"/>
      <c r="O28" s="603"/>
      <c r="P28" s="1124"/>
    </row>
    <row r="29" spans="2:20" x14ac:dyDescent="0.2">
      <c r="B29" s="470" t="s">
        <v>3235</v>
      </c>
      <c r="C29" s="468">
        <f>'TB3'!Y404</f>
        <v>143798966</v>
      </c>
      <c r="D29" s="468">
        <f>'TB3'!AA404</f>
        <v>203941962</v>
      </c>
      <c r="E29" s="468">
        <f>'TB3'!AA404</f>
        <v>203941962</v>
      </c>
      <c r="F29" s="468">
        <f t="shared" si="5"/>
        <v>203941962</v>
      </c>
      <c r="G29" s="468">
        <f>'Statement of Financial Performa'!G31</f>
        <v>199521473.98000008</v>
      </c>
      <c r="H29" s="469"/>
      <c r="I29" s="469"/>
      <c r="J29" s="469">
        <f t="shared" si="6"/>
        <v>-4420488.0199999213</v>
      </c>
      <c r="K29" s="592">
        <f t="shared" si="7"/>
        <v>97.832477447677036</v>
      </c>
      <c r="L29" s="471">
        <f t="shared" si="8"/>
        <v>138.75028418493639</v>
      </c>
      <c r="M29" s="232"/>
      <c r="N29" s="1130"/>
      <c r="O29" s="603"/>
      <c r="P29" s="1124"/>
    </row>
    <row r="30" spans="2:20" x14ac:dyDescent="0.2">
      <c r="B30" s="470" t="s">
        <v>49</v>
      </c>
      <c r="C30" s="468">
        <f>'TB3'!Y410</f>
        <v>6480000</v>
      </c>
      <c r="D30" s="468">
        <f>'TB3'!AA410</f>
        <v>17180000</v>
      </c>
      <c r="E30" s="468">
        <f>'TB3'!AA410</f>
        <v>17180000</v>
      </c>
      <c r="F30" s="468">
        <f t="shared" si="5"/>
        <v>17180000</v>
      </c>
      <c r="G30" s="468">
        <f>'Statement of Financial Performa'!G34</f>
        <v>17180000</v>
      </c>
      <c r="H30" s="469"/>
      <c r="I30" s="469"/>
      <c r="J30" s="469">
        <f t="shared" si="6"/>
        <v>0</v>
      </c>
      <c r="K30" s="592">
        <f t="shared" si="7"/>
        <v>100</v>
      </c>
      <c r="L30" s="471">
        <f t="shared" si="8"/>
        <v>265.12345679012344</v>
      </c>
      <c r="M30" s="232"/>
      <c r="N30" s="1132"/>
      <c r="O30" s="591"/>
      <c r="P30" s="1124"/>
    </row>
    <row r="31" spans="2:20" x14ac:dyDescent="0.2">
      <c r="B31" s="470" t="s">
        <v>3236</v>
      </c>
      <c r="C31" s="468">
        <f>'TB3'!Y607+'TB3'!Y330</f>
        <v>482239353</v>
      </c>
      <c r="D31" s="468">
        <f>'TB3'!AA607+'TB3'!AA330</f>
        <v>451911710</v>
      </c>
      <c r="E31" s="468">
        <f>'TB3'!AA607+'TB3'!AA330</f>
        <v>451911710</v>
      </c>
      <c r="F31" s="468">
        <f>E31</f>
        <v>451911710</v>
      </c>
      <c r="G31" s="468">
        <f>'Statement of Financial Performa'!G29+'Statement of Financial Performa'!G35</f>
        <v>586464903.8900001</v>
      </c>
      <c r="H31" s="469"/>
      <c r="I31" s="469"/>
      <c r="J31" s="469">
        <f t="shared" si="6"/>
        <v>134553193.8900001</v>
      </c>
      <c r="K31" s="592">
        <f t="shared" si="7"/>
        <v>129.77422158191035</v>
      </c>
      <c r="L31" s="471">
        <f t="shared" si="8"/>
        <v>121.61282571437096</v>
      </c>
      <c r="M31" s="232"/>
      <c r="N31" s="1132"/>
      <c r="O31" s="591"/>
      <c r="P31" s="1124"/>
    </row>
    <row r="32" spans="2:20" ht="37.5" customHeight="1" x14ac:dyDescent="0.2">
      <c r="B32" s="1275" t="s">
        <v>3713</v>
      </c>
      <c r="C32" s="468"/>
      <c r="D32" s="468"/>
      <c r="E32" s="468">
        <f>'TB3'!U610</f>
        <v>0</v>
      </c>
      <c r="F32" s="468"/>
      <c r="G32" s="468">
        <f>'Statement of Financial Performa'!G40+'Statement of Financial Performa'!G42</f>
        <v>-31469827.550000004</v>
      </c>
      <c r="H32" s="469"/>
      <c r="I32" s="469">
        <f>G32-F32</f>
        <v>-31469827.550000004</v>
      </c>
      <c r="J32" s="469">
        <f t="shared" si="6"/>
        <v>-31469827.550000004</v>
      </c>
      <c r="K32" s="592">
        <v>0</v>
      </c>
      <c r="L32" s="471">
        <v>0</v>
      </c>
      <c r="M32" s="232"/>
      <c r="N32" s="1132"/>
      <c r="O32" s="591"/>
      <c r="P32" s="1124"/>
    </row>
    <row r="33" spans="2:16" hidden="1" x14ac:dyDescent="0.2">
      <c r="B33" s="1270" t="s">
        <v>3237</v>
      </c>
      <c r="C33" s="468">
        <v>0</v>
      </c>
      <c r="D33" s="468">
        <v>0</v>
      </c>
      <c r="E33" s="468">
        <v>0</v>
      </c>
      <c r="F33" s="468">
        <v>0</v>
      </c>
      <c r="G33" s="468"/>
      <c r="H33" s="469"/>
      <c r="I33" s="469"/>
      <c r="J33" s="469">
        <f>G33-F33</f>
        <v>0</v>
      </c>
      <c r="K33" s="592" t="e">
        <f>G33/F33*100</f>
        <v>#DIV/0!</v>
      </c>
      <c r="L33" s="471" t="e">
        <f>G33/C33*100</f>
        <v>#DIV/0!</v>
      </c>
      <c r="M33" s="232"/>
      <c r="N33" s="1132"/>
      <c r="O33" s="591"/>
      <c r="P33" s="1124"/>
    </row>
    <row r="34" spans="2:16" s="260" customFormat="1" x14ac:dyDescent="0.2">
      <c r="B34" s="1265" t="s">
        <v>369</v>
      </c>
      <c r="C34" s="582">
        <f t="shared" ref="C34:I34" si="9">SUM(C23:C33)</f>
        <v>2288833600</v>
      </c>
      <c r="D34" s="582">
        <f t="shared" si="9"/>
        <v>2321970000</v>
      </c>
      <c r="E34" s="582">
        <f t="shared" si="9"/>
        <v>2321970000</v>
      </c>
      <c r="F34" s="582">
        <f t="shared" si="9"/>
        <v>2608934008</v>
      </c>
      <c r="G34" s="582">
        <f t="shared" si="9"/>
        <v>2731267631.5299997</v>
      </c>
      <c r="H34" s="582">
        <f t="shared" si="9"/>
        <v>0</v>
      </c>
      <c r="I34" s="582">
        <f t="shared" si="9"/>
        <v>385112014.44999999</v>
      </c>
      <c r="J34" s="582">
        <f>G34-F34</f>
        <v>122333623.52999973</v>
      </c>
      <c r="K34" s="1010">
        <f>G34/F34*100</f>
        <v>104.68902713349122</v>
      </c>
      <c r="L34" s="601">
        <f>G34/C34*100</f>
        <v>119.3301090795766</v>
      </c>
      <c r="M34" s="1015"/>
      <c r="N34" s="593"/>
      <c r="O34" s="593"/>
      <c r="P34" s="597"/>
    </row>
    <row r="35" spans="2:16" s="260" customFormat="1" x14ac:dyDescent="0.2">
      <c r="B35" s="1265" t="s">
        <v>2926</v>
      </c>
      <c r="C35" s="582"/>
      <c r="D35" s="582"/>
      <c r="E35" s="582"/>
      <c r="F35" s="582"/>
      <c r="G35" s="582">
        <v>0</v>
      </c>
      <c r="H35" s="583"/>
      <c r="I35" s="583"/>
      <c r="J35" s="583"/>
      <c r="K35" s="606"/>
      <c r="L35" s="605"/>
      <c r="M35" s="186"/>
      <c r="N35" s="1132"/>
      <c r="O35" s="1133"/>
      <c r="P35" s="1134"/>
    </row>
    <row r="36" spans="2:16" s="260" customFormat="1" x14ac:dyDescent="0.2">
      <c r="B36" s="1133" t="s">
        <v>1008</v>
      </c>
      <c r="C36" s="468">
        <f t="shared" ref="C36:H36" si="10">SUM(C22-C35-C34)</f>
        <v>115629400</v>
      </c>
      <c r="D36" s="533">
        <f t="shared" si="10"/>
        <v>156646343</v>
      </c>
      <c r="E36" s="468">
        <f t="shared" si="10"/>
        <v>156646343</v>
      </c>
      <c r="F36" s="533">
        <f>E36</f>
        <v>156646343</v>
      </c>
      <c r="G36" s="468">
        <f t="shared" si="10"/>
        <v>-418881767.6699996</v>
      </c>
      <c r="H36" s="533">
        <f t="shared" si="10"/>
        <v>0</v>
      </c>
      <c r="I36" s="533"/>
      <c r="J36" s="534">
        <f>G36-F36</f>
        <v>-575528110.6699996</v>
      </c>
      <c r="K36" s="1011">
        <f>G36/F36*100</f>
        <v>-267.40603045549528</v>
      </c>
      <c r="L36" s="613">
        <f>G36/C36*100</f>
        <v>-362.26233783968405</v>
      </c>
      <c r="M36" s="186"/>
      <c r="N36" s="1130"/>
      <c r="O36" s="1437"/>
      <c r="P36" s="1134"/>
    </row>
    <row r="37" spans="2:16" x14ac:dyDescent="0.2">
      <c r="B37" s="591" t="s">
        <v>3238</v>
      </c>
      <c r="C37" s="468">
        <f>-'TB3'!Y173-C38</f>
        <v>466288000</v>
      </c>
      <c r="D37" s="533">
        <f>-'TB3'!Z173-D38</f>
        <v>470853657</v>
      </c>
      <c r="E37" s="468">
        <f>-'TB3'!AA173</f>
        <v>470853657</v>
      </c>
      <c r="F37" s="533">
        <f>E37</f>
        <v>470853657</v>
      </c>
      <c r="G37" s="468">
        <f>'Statement of Financial Performa'!G18</f>
        <v>473584799.02000004</v>
      </c>
      <c r="H37" s="584"/>
      <c r="I37" s="584"/>
      <c r="J37" s="603">
        <f>G37-F37</f>
        <v>2731142.0200000405</v>
      </c>
      <c r="K37" s="1012">
        <f>G37/F37*100</f>
        <v>100.58004052414104</v>
      </c>
      <c r="L37" s="614">
        <f>G37/C37*100</f>
        <v>101.56486956987958</v>
      </c>
      <c r="M37" s="232"/>
      <c r="N37" s="1132"/>
      <c r="O37" s="591"/>
      <c r="P37" s="1124"/>
    </row>
    <row r="38" spans="2:16" ht="25.5" x14ac:dyDescent="0.2">
      <c r="B38" s="1271" t="s">
        <v>3244</v>
      </c>
      <c r="C38" s="468"/>
      <c r="D38" s="533"/>
      <c r="E38" s="468"/>
      <c r="F38" s="533">
        <f>E38</f>
        <v>0</v>
      </c>
      <c r="G38" s="468">
        <f>'Statement of Financial Performa'!G19</f>
        <v>3355674.42</v>
      </c>
      <c r="H38" s="585">
        <f>SUM(H37)</f>
        <v>0</v>
      </c>
      <c r="I38" s="1438"/>
      <c r="J38" s="603">
        <f>G38-F38</f>
        <v>3355674.42</v>
      </c>
      <c r="K38" s="1012">
        <v>100</v>
      </c>
      <c r="L38" s="614">
        <v>0</v>
      </c>
      <c r="M38" s="232"/>
      <c r="N38" s="1135"/>
      <c r="O38" s="591"/>
      <c r="P38" s="1124"/>
    </row>
    <row r="39" spans="2:16" s="260" customFormat="1" ht="25.5" x14ac:dyDescent="0.2">
      <c r="B39" s="1272" t="s">
        <v>2473</v>
      </c>
      <c r="C39" s="1438">
        <f>C36+C37+C38</f>
        <v>581917400</v>
      </c>
      <c r="D39" s="1438">
        <f>D36+D37+D38</f>
        <v>627500000</v>
      </c>
      <c r="E39" s="1438">
        <f>E36+E37+E38</f>
        <v>627500000</v>
      </c>
      <c r="F39" s="468">
        <f>E39</f>
        <v>627500000</v>
      </c>
      <c r="G39" s="533">
        <f>G36+G37+G38</f>
        <v>58058705.770000443</v>
      </c>
      <c r="H39" s="533">
        <f>H36+H37+H38</f>
        <v>0</v>
      </c>
      <c r="I39" s="1438">
        <f>I36+I37+I38</f>
        <v>0</v>
      </c>
      <c r="J39" s="603">
        <f>G39-F39</f>
        <v>-569441294.22999954</v>
      </c>
      <c r="K39" s="1012">
        <f>G39/F39*100</f>
        <v>9.2523833896415049</v>
      </c>
      <c r="L39" s="614">
        <f>G39/C39*100</f>
        <v>9.9771386402950739</v>
      </c>
      <c r="M39" s="186"/>
      <c r="N39" s="1135"/>
      <c r="O39" s="1133"/>
      <c r="P39" s="1134"/>
    </row>
    <row r="40" spans="2:16" x14ac:dyDescent="0.2">
      <c r="B40" s="470" t="s">
        <v>3631</v>
      </c>
      <c r="C40" s="472">
        <v>0</v>
      </c>
      <c r="D40" s="472">
        <v>0</v>
      </c>
      <c r="E40" s="581">
        <v>0</v>
      </c>
      <c r="F40" s="581">
        <v>0</v>
      </c>
      <c r="G40" s="472">
        <v>0</v>
      </c>
      <c r="H40" s="581">
        <v>0</v>
      </c>
      <c r="I40" s="581"/>
      <c r="J40" s="604">
        <v>0</v>
      </c>
      <c r="K40" s="1013"/>
      <c r="L40" s="615"/>
      <c r="M40" s="232"/>
      <c r="N40" s="1135"/>
      <c r="O40" s="591"/>
      <c r="P40" s="1124"/>
    </row>
    <row r="41" spans="2:16" x14ac:dyDescent="0.2">
      <c r="B41" s="1265" t="s">
        <v>2982</v>
      </c>
      <c r="C41" s="582">
        <f t="shared" ref="C41:H41" si="11">SUM(C39+C40)</f>
        <v>581917400</v>
      </c>
      <c r="D41" s="582">
        <f t="shared" si="11"/>
        <v>627500000</v>
      </c>
      <c r="E41" s="582">
        <f t="shared" si="11"/>
        <v>627500000</v>
      </c>
      <c r="F41" s="582">
        <f t="shared" si="11"/>
        <v>627500000</v>
      </c>
      <c r="G41" s="582">
        <f t="shared" si="11"/>
        <v>58058705.770000443</v>
      </c>
      <c r="H41" s="582">
        <f t="shared" si="11"/>
        <v>0</v>
      </c>
      <c r="I41" s="582"/>
      <c r="J41" s="582">
        <f>G41-F41</f>
        <v>-569441294.22999954</v>
      </c>
      <c r="K41" s="611">
        <f>G41/F41*100</f>
        <v>9.2523833896415049</v>
      </c>
      <c r="L41" s="612">
        <f>G41/C41*100</f>
        <v>9.9771386402950739</v>
      </c>
      <c r="M41" s="1439"/>
      <c r="N41" s="1440"/>
      <c r="O41" s="1440"/>
      <c r="P41" s="598"/>
    </row>
    <row r="42" spans="2:16" ht="9.75" customHeight="1" x14ac:dyDescent="0.2">
      <c r="B42" s="1273"/>
      <c r="C42" s="480"/>
      <c r="D42" s="587"/>
      <c r="E42" s="588"/>
      <c r="F42" s="588"/>
      <c r="G42" s="587"/>
      <c r="H42" s="588"/>
      <c r="I42" s="588"/>
      <c r="J42" s="588"/>
      <c r="K42" s="607"/>
      <c r="L42" s="1017"/>
      <c r="M42" s="594"/>
      <c r="N42" s="594"/>
      <c r="O42" s="594"/>
      <c r="P42" s="589"/>
    </row>
    <row r="43" spans="2:16" ht="25.5" customHeight="1" x14ac:dyDescent="0.2">
      <c r="B43" s="1274" t="s">
        <v>2474</v>
      </c>
      <c r="C43" s="468"/>
      <c r="D43" s="468"/>
      <c r="E43" s="469"/>
      <c r="F43" s="469"/>
      <c r="G43" s="468">
        <v>0</v>
      </c>
      <c r="H43" s="469"/>
      <c r="I43" s="469"/>
      <c r="J43" s="469"/>
      <c r="K43" s="592"/>
      <c r="L43" s="471"/>
      <c r="M43" s="232"/>
      <c r="N43" s="1135"/>
      <c r="O43" s="591"/>
      <c r="P43" s="1124"/>
    </row>
    <row r="44" spans="2:16" x14ac:dyDescent="0.2">
      <c r="B44" s="1265" t="s">
        <v>2475</v>
      </c>
      <c r="C44" s="468"/>
      <c r="D44" s="468"/>
      <c r="E44" s="469"/>
      <c r="F44" s="469"/>
      <c r="G44" s="468"/>
      <c r="H44" s="469"/>
      <c r="I44" s="469"/>
      <c r="J44" s="469"/>
      <c r="K44" s="592"/>
      <c r="L44" s="471"/>
      <c r="M44" s="232"/>
      <c r="N44" s="1135"/>
      <c r="O44" s="591"/>
      <c r="P44" s="1124"/>
    </row>
    <row r="45" spans="2:16" x14ac:dyDescent="0.2">
      <c r="B45" s="470" t="s">
        <v>3632</v>
      </c>
      <c r="C45" s="468">
        <f>-'TB3'!Y173</f>
        <v>466288000</v>
      </c>
      <c r="D45" s="468">
        <v>470854000</v>
      </c>
      <c r="E45" s="468">
        <v>509097000</v>
      </c>
      <c r="F45" s="468">
        <v>509097000</v>
      </c>
      <c r="G45" s="468">
        <f>'Statement of Financial Performa'!G18</f>
        <v>473584799.02000004</v>
      </c>
      <c r="H45" s="469"/>
      <c r="I45" s="469"/>
      <c r="J45" s="469">
        <f>G45-F45</f>
        <v>-35512200.979999959</v>
      </c>
      <c r="K45" s="592">
        <f>G45/F45*100</f>
        <v>93.024472550417698</v>
      </c>
      <c r="L45" s="471">
        <f>G45/C45*100</f>
        <v>101.56486956987958</v>
      </c>
      <c r="M45" s="232"/>
      <c r="N45" s="1135"/>
      <c r="O45" s="1441"/>
      <c r="P45" s="1124"/>
    </row>
    <row r="46" spans="2:16" x14ac:dyDescent="0.2">
      <c r="B46" s="470" t="s">
        <v>3633</v>
      </c>
      <c r="C46" s="468">
        <v>0</v>
      </c>
      <c r="D46" s="468">
        <v>3355000</v>
      </c>
      <c r="E46" s="468">
        <v>3355000</v>
      </c>
      <c r="F46" s="468">
        <v>3355000</v>
      </c>
      <c r="G46" s="468">
        <f>'Statement of Financial Performa'!G19</f>
        <v>3355674.42</v>
      </c>
      <c r="H46" s="469"/>
      <c r="I46" s="469"/>
      <c r="J46" s="469">
        <f>G46-F46</f>
        <v>674.41999999992549</v>
      </c>
      <c r="K46" s="592">
        <f>G46/F46*100</f>
        <v>100.02010193740685</v>
      </c>
      <c r="L46" s="471">
        <v>0</v>
      </c>
      <c r="M46" s="232"/>
      <c r="N46" s="1135"/>
      <c r="O46" s="591"/>
      <c r="P46" s="1124"/>
    </row>
    <row r="47" spans="2:16" hidden="1" x14ac:dyDescent="0.2">
      <c r="B47" s="470" t="s">
        <v>2476</v>
      </c>
      <c r="C47" s="468"/>
      <c r="D47" s="468"/>
      <c r="E47" s="469"/>
      <c r="F47" s="469"/>
      <c r="G47" s="468"/>
      <c r="H47" s="469"/>
      <c r="I47" s="469"/>
      <c r="J47" s="469">
        <f>G47-F47</f>
        <v>0</v>
      </c>
      <c r="K47" s="592" t="e">
        <f>G47/F47*100</f>
        <v>#DIV/0!</v>
      </c>
      <c r="L47" s="471"/>
      <c r="M47" s="232"/>
      <c r="N47" s="1135"/>
      <c r="O47" s="1441"/>
      <c r="P47" s="1124"/>
    </row>
    <row r="48" spans="2:16" x14ac:dyDescent="0.2">
      <c r="B48" s="470" t="s">
        <v>3634</v>
      </c>
      <c r="C48" s="472">
        <v>113833000</v>
      </c>
      <c r="D48" s="472">
        <v>152076000</v>
      </c>
      <c r="E48" s="472">
        <v>113833000</v>
      </c>
      <c r="F48" s="472">
        <v>113833000</v>
      </c>
      <c r="G48" s="472">
        <v>111527559.54000001</v>
      </c>
      <c r="H48" s="581"/>
      <c r="I48" s="469"/>
      <c r="J48" s="469">
        <f>G48-F48</f>
        <v>-2305440.4599999934</v>
      </c>
      <c r="K48" s="592">
        <f>G48/F48*100</f>
        <v>97.974716944998391</v>
      </c>
      <c r="L48" s="471">
        <f>G48/C48*100</f>
        <v>97.974716944998391</v>
      </c>
      <c r="M48" s="232"/>
      <c r="N48" s="1135"/>
      <c r="O48" s="591"/>
      <c r="P48" s="1124"/>
    </row>
    <row r="49" spans="1:16" s="260" customFormat="1" ht="13.5" thickBot="1" x14ac:dyDescent="0.25">
      <c r="B49" s="368" t="s">
        <v>2477</v>
      </c>
      <c r="C49" s="473">
        <f>SUM(C45:C48)</f>
        <v>580121000</v>
      </c>
      <c r="D49" s="473">
        <f>SUM(D45:D48)</f>
        <v>626285000</v>
      </c>
      <c r="E49" s="473">
        <f>SUM(E45:E48)</f>
        <v>626285000</v>
      </c>
      <c r="F49" s="473">
        <f>E49</f>
        <v>626285000</v>
      </c>
      <c r="G49" s="473">
        <f>SUM(G45:G48)</f>
        <v>588468032.98000002</v>
      </c>
      <c r="H49" s="473">
        <f>SUM(H45:H48)</f>
        <v>0</v>
      </c>
      <c r="I49" s="473"/>
      <c r="J49" s="473">
        <f>G49-F49</f>
        <v>-37816967.019999981</v>
      </c>
      <c r="K49" s="1014">
        <f>G49/F49*100</f>
        <v>93.961700021555686</v>
      </c>
      <c r="L49" s="610">
        <f>G49/C49*100</f>
        <v>101.43884344472964</v>
      </c>
      <c r="M49" s="1442"/>
      <c r="N49" s="1443"/>
      <c r="O49" s="1443"/>
      <c r="P49" s="474"/>
    </row>
    <row r="50" spans="1:16" ht="10.5" customHeight="1" thickTop="1" x14ac:dyDescent="0.2">
      <c r="B50" s="470"/>
      <c r="C50" s="476"/>
      <c r="D50" s="476"/>
      <c r="E50" s="476"/>
      <c r="F50" s="477"/>
      <c r="G50" s="476" t="s">
        <v>296</v>
      </c>
      <c r="H50" s="477"/>
      <c r="I50" s="477"/>
      <c r="J50" s="477"/>
      <c r="K50" s="609"/>
      <c r="L50" s="608"/>
      <c r="M50" s="232"/>
      <c r="N50" s="591"/>
      <c r="O50" s="591"/>
      <c r="P50" s="1124"/>
    </row>
    <row r="51" spans="1:16" x14ac:dyDescent="0.2">
      <c r="B51" s="1265" t="s">
        <v>2478</v>
      </c>
      <c r="C51" s="478"/>
      <c r="D51" s="479"/>
      <c r="E51" s="470"/>
      <c r="F51" s="470"/>
      <c r="G51" s="479"/>
      <c r="H51" s="470"/>
      <c r="I51" s="470"/>
      <c r="J51" s="470"/>
      <c r="K51" s="592"/>
      <c r="L51" s="471"/>
      <c r="M51" s="232"/>
      <c r="N51" s="591"/>
      <c r="O51" s="591"/>
      <c r="P51" s="1124"/>
    </row>
    <row r="52" spans="1:16" x14ac:dyDescent="0.2">
      <c r="B52" s="1265" t="s">
        <v>2479</v>
      </c>
      <c r="C52" s="479">
        <v>236990000</v>
      </c>
      <c r="D52" s="479">
        <v>322963000</v>
      </c>
      <c r="E52" s="479">
        <v>322963000</v>
      </c>
      <c r="F52" s="479">
        <v>322963000</v>
      </c>
      <c r="G52" s="479">
        <f>'Cash Flow Statement'!D38</f>
        <v>322963447.28000003</v>
      </c>
      <c r="H52" s="470"/>
      <c r="I52" s="470"/>
      <c r="J52" s="599">
        <f>G52-F52</f>
        <v>447.28000003099442</v>
      </c>
      <c r="K52" s="592">
        <f>G52/F52*100</f>
        <v>100.00013849264468</v>
      </c>
      <c r="L52" s="471">
        <f>G52/C52*100</f>
        <v>136.27724683741931</v>
      </c>
      <c r="M52" s="232"/>
      <c r="N52" s="591"/>
      <c r="O52" s="591"/>
      <c r="P52" s="1124"/>
    </row>
    <row r="53" spans="1:16" x14ac:dyDescent="0.2">
      <c r="B53" s="470" t="s">
        <v>3635</v>
      </c>
      <c r="C53" s="479">
        <v>692942000</v>
      </c>
      <c r="D53" s="479">
        <v>477270000</v>
      </c>
      <c r="E53" s="479">
        <v>477270000</v>
      </c>
      <c r="F53" s="479">
        <v>477270000</v>
      </c>
      <c r="G53" s="479">
        <f>'Cash Flow Statement'!D17</f>
        <v>349810466.6600011</v>
      </c>
      <c r="H53" s="470"/>
      <c r="I53" s="470"/>
      <c r="J53" s="599">
        <f>G53-F53</f>
        <v>-127459533.3399989</v>
      </c>
      <c r="K53" s="592">
        <f>G53/F53*100</f>
        <v>73.294040408993041</v>
      </c>
      <c r="L53" s="471">
        <f>G53/C53*100</f>
        <v>50.481925855266539</v>
      </c>
      <c r="M53" s="232"/>
      <c r="N53" s="591"/>
      <c r="O53" s="591"/>
      <c r="P53" s="1124"/>
    </row>
    <row r="54" spans="1:16" x14ac:dyDescent="0.2">
      <c r="B54" s="470" t="s">
        <v>3636</v>
      </c>
      <c r="C54" s="479">
        <v>-558581000</v>
      </c>
      <c r="D54" s="479">
        <v>-601258000</v>
      </c>
      <c r="E54" s="479">
        <v>-601258000</v>
      </c>
      <c r="F54" s="479">
        <v>-601258000</v>
      </c>
      <c r="G54" s="479">
        <f>'Cash Flow Statement'!D26</f>
        <v>-567771269.11000001</v>
      </c>
      <c r="H54" s="470"/>
      <c r="I54" s="470"/>
      <c r="J54" s="599">
        <f>G54-F54</f>
        <v>33486730.889999986</v>
      </c>
      <c r="K54" s="592">
        <f>G54/F54*100</f>
        <v>94.430555453732012</v>
      </c>
      <c r="L54" s="471">
        <f>G54/C54*100</f>
        <v>101.64528852753674</v>
      </c>
      <c r="M54" s="232"/>
      <c r="N54" s="591"/>
      <c r="O54" s="591"/>
      <c r="P54" s="1124"/>
    </row>
    <row r="55" spans="1:16" x14ac:dyDescent="0.2">
      <c r="B55" s="470" t="s">
        <v>3637</v>
      </c>
      <c r="C55" s="479">
        <v>-56100000</v>
      </c>
      <c r="D55" s="469">
        <v>-56100000</v>
      </c>
      <c r="E55" s="469">
        <v>-56100000</v>
      </c>
      <c r="F55" s="469">
        <v>-56100000</v>
      </c>
      <c r="G55" s="479">
        <f>'Cash Flow Statement'!D34</f>
        <v>-18673974.570000008</v>
      </c>
      <c r="H55" s="470"/>
      <c r="I55" s="470"/>
      <c r="J55" s="599">
        <f>G55-F55</f>
        <v>37426025.429999992</v>
      </c>
      <c r="K55" s="592">
        <f>G55/F55*100</f>
        <v>33.286942192513379</v>
      </c>
      <c r="L55" s="471">
        <f>G55/C55*100</f>
        <v>33.286942192513379</v>
      </c>
      <c r="M55" s="232"/>
      <c r="N55" s="591"/>
      <c r="O55" s="591"/>
      <c r="P55" s="1124"/>
    </row>
    <row r="56" spans="1:16" ht="13.5" thickBot="1" x14ac:dyDescent="0.25">
      <c r="B56" s="368" t="s">
        <v>2480</v>
      </c>
      <c r="C56" s="1292">
        <f>SUM(C52:C55)</f>
        <v>315251000</v>
      </c>
      <c r="D56" s="1658">
        <f>SUM(D52:D55)</f>
        <v>142875000</v>
      </c>
      <c r="E56" s="1658">
        <f>SUM(E52:E55)</f>
        <v>142875000</v>
      </c>
      <c r="F56" s="1658">
        <f>SUM(F52:F55)</f>
        <v>142875000</v>
      </c>
      <c r="G56" s="1292">
        <f>'Cash Flow Statement'!D39</f>
        <v>86328671.160000011</v>
      </c>
      <c r="H56" s="1273"/>
      <c r="I56" s="1273"/>
      <c r="J56" s="1658">
        <f>G56-F56</f>
        <v>-56546328.839999989</v>
      </c>
      <c r="K56" s="1659">
        <f>G56/F56*100</f>
        <v>60.422516997375332</v>
      </c>
      <c r="L56" s="1018">
        <f>G56/C56*100</f>
        <v>27.384107000453611</v>
      </c>
      <c r="M56" s="1444"/>
      <c r="N56" s="1445"/>
      <c r="O56" s="1445"/>
      <c r="P56" s="1136"/>
    </row>
    <row r="57" spans="1:16" x14ac:dyDescent="0.2">
      <c r="A57" s="232"/>
      <c r="B57" s="714" t="s">
        <v>4228</v>
      </c>
      <c r="C57" s="738"/>
      <c r="D57" s="232"/>
      <c r="E57" s="232"/>
      <c r="F57" s="232"/>
      <c r="G57" s="232"/>
      <c r="H57" s="232"/>
      <c r="I57" s="232"/>
      <c r="J57" s="232"/>
      <c r="K57" s="232"/>
      <c r="L57" s="1657"/>
    </row>
    <row r="58" spans="1:16" ht="13.5" customHeight="1" x14ac:dyDescent="0.25">
      <c r="B58" s="1817" t="s">
        <v>4286</v>
      </c>
      <c r="C58" s="1817"/>
      <c r="D58" s="1825"/>
      <c r="E58" s="1825"/>
      <c r="F58" s="1825"/>
      <c r="G58" s="1825"/>
      <c r="H58" s="1825"/>
      <c r="I58" s="1825"/>
      <c r="J58" s="1825"/>
      <c r="K58" s="1825"/>
      <c r="L58" s="1825"/>
    </row>
    <row r="59" spans="1:16" x14ac:dyDescent="0.2">
      <c r="B59" s="714" t="s">
        <v>3311</v>
      </c>
      <c r="C59" s="738"/>
      <c r="D59" s="232"/>
      <c r="E59" s="232"/>
      <c r="F59" s="232"/>
      <c r="G59" s="232"/>
      <c r="H59" s="232"/>
      <c r="I59" s="232"/>
      <c r="J59" s="232"/>
      <c r="K59" s="232"/>
      <c r="L59" s="232"/>
    </row>
    <row r="61" spans="1:16" x14ac:dyDescent="0.2">
      <c r="B61" s="1817"/>
      <c r="C61" s="1817"/>
    </row>
  </sheetData>
  <mergeCells count="6">
    <mergeCell ref="M2:P2"/>
    <mergeCell ref="B61:C61"/>
    <mergeCell ref="B1:L1"/>
    <mergeCell ref="B2:B5"/>
    <mergeCell ref="C2:L2"/>
    <mergeCell ref="B58:L58"/>
  </mergeCells>
  <pageMargins left="0.70866141732283472" right="0.70866141732283472" top="0.74803149606299213" bottom="0.74803149606299213" header="0.31496062992125984" footer="0.31496062992125984"/>
  <pageSetup paperSize="9" scale="60" firstPageNumber="8" orientation="landscape" useFirstPageNumber="1" r:id="rId1"/>
  <headerFooter alignWithMargins="0">
    <oddHeader xml:space="preserve">&amp;C&amp;"-,Bold"POLOKWANE MUNICIPALITY
STATEMENT OF COMPARISON OF BUDGET AND ACTUAL FOR THE YEAR ENDED 30 JUNE 2016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46"/>
  <sheetViews>
    <sheetView view="pageBreakPreview" zoomScale="90" zoomScaleSheetLayoutView="90" workbookViewId="0">
      <selection activeCell="B264" sqref="B264"/>
    </sheetView>
  </sheetViews>
  <sheetFormatPr defaultRowHeight="14.25" outlineLevelRow="2" x14ac:dyDescent="0.2"/>
  <cols>
    <col min="1" max="1" width="7" style="456" customWidth="1"/>
    <col min="2" max="2" width="98.42578125" style="456" customWidth="1"/>
    <col min="3" max="3" width="3.140625" style="456" customWidth="1"/>
    <col min="4" max="4" width="0.28515625" style="809" customWidth="1"/>
    <col min="5" max="16384" width="9.140625" style="456"/>
  </cols>
  <sheetData>
    <row r="2" spans="2:4" ht="15" x14ac:dyDescent="0.25">
      <c r="B2" s="498" t="s">
        <v>1519</v>
      </c>
      <c r="D2" s="808"/>
    </row>
    <row r="4" spans="2:4" ht="15" x14ac:dyDescent="0.25">
      <c r="B4" s="498" t="s">
        <v>1520</v>
      </c>
    </row>
    <row r="6" spans="2:4" x14ac:dyDescent="0.2">
      <c r="B6" s="456" t="s">
        <v>1666</v>
      </c>
      <c r="D6" s="1827"/>
    </row>
    <row r="7" spans="2:4" x14ac:dyDescent="0.2">
      <c r="B7" s="456" t="s">
        <v>1667</v>
      </c>
      <c r="D7" s="1827"/>
    </row>
    <row r="8" spans="2:4" ht="15" x14ac:dyDescent="0.25">
      <c r="B8" s="456" t="s">
        <v>3330</v>
      </c>
      <c r="D8" s="810"/>
    </row>
    <row r="9" spans="2:4" ht="15" x14ac:dyDescent="0.25">
      <c r="B9" s="456" t="s">
        <v>4110</v>
      </c>
      <c r="D9" s="810"/>
    </row>
    <row r="10" spans="2:4" ht="15" x14ac:dyDescent="0.25">
      <c r="B10" s="456" t="s">
        <v>3331</v>
      </c>
      <c r="D10" s="810"/>
    </row>
    <row r="12" spans="2:4" x14ac:dyDescent="0.2">
      <c r="B12" s="456" t="s">
        <v>1668</v>
      </c>
      <c r="D12" s="1827"/>
    </row>
    <row r="13" spans="2:4" x14ac:dyDescent="0.2">
      <c r="B13" s="456" t="s">
        <v>1669</v>
      </c>
      <c r="D13" s="1827"/>
    </row>
    <row r="14" spans="2:4" x14ac:dyDescent="0.2">
      <c r="D14" s="1827"/>
    </row>
    <row r="15" spans="2:4" x14ac:dyDescent="0.2">
      <c r="B15" s="456" t="s">
        <v>1521</v>
      </c>
      <c r="D15" s="1827"/>
    </row>
    <row r="16" spans="2:4" x14ac:dyDescent="0.2">
      <c r="D16" s="1827"/>
    </row>
    <row r="17" spans="2:8" ht="15" x14ac:dyDescent="0.25">
      <c r="B17" s="498" t="s">
        <v>2884</v>
      </c>
      <c r="D17" s="1827"/>
    </row>
    <row r="19" spans="2:8" ht="14.25" customHeight="1" x14ac:dyDescent="0.2">
      <c r="B19" s="456" t="s">
        <v>1670</v>
      </c>
      <c r="D19" s="1829"/>
    </row>
    <row r="20" spans="2:8" ht="14.25" customHeight="1" x14ac:dyDescent="0.2">
      <c r="B20" s="456" t="s">
        <v>1671</v>
      </c>
      <c r="D20" s="1829"/>
    </row>
    <row r="21" spans="2:8" ht="14.25" customHeight="1" x14ac:dyDescent="0.2">
      <c r="B21" s="456" t="s">
        <v>2885</v>
      </c>
      <c r="D21" s="1829"/>
    </row>
    <row r="22" spans="2:8" ht="14.25" customHeight="1" x14ac:dyDescent="0.2">
      <c r="B22" s="456" t="s">
        <v>1672</v>
      </c>
      <c r="D22" s="1829"/>
    </row>
    <row r="23" spans="2:8" ht="14.25" customHeight="1" x14ac:dyDescent="0.2">
      <c r="B23" s="456" t="s">
        <v>2886</v>
      </c>
      <c r="D23" s="1829"/>
    </row>
    <row r="24" spans="2:8" ht="14.25" customHeight="1" x14ac:dyDescent="0.2">
      <c r="D24" s="1829"/>
    </row>
    <row r="25" spans="2:8" ht="15" x14ac:dyDescent="0.25">
      <c r="B25" s="498" t="s">
        <v>1522</v>
      </c>
      <c r="D25" s="810"/>
    </row>
    <row r="26" spans="2:8" ht="14.25" customHeight="1" x14ac:dyDescent="0.25">
      <c r="D26" s="810"/>
    </row>
    <row r="27" spans="2:8" ht="14.25" customHeight="1" x14ac:dyDescent="0.25">
      <c r="B27" s="456" t="s">
        <v>3332</v>
      </c>
      <c r="D27" s="810"/>
      <c r="E27" s="811"/>
      <c r="G27" s="811"/>
      <c r="H27" s="811"/>
    </row>
    <row r="28" spans="2:8" ht="15" x14ac:dyDescent="0.25">
      <c r="B28" s="456" t="s">
        <v>3333</v>
      </c>
      <c r="D28" s="810"/>
      <c r="E28" s="812"/>
      <c r="G28" s="812"/>
      <c r="H28" s="812"/>
    </row>
    <row r="29" spans="2:8" ht="15" x14ac:dyDescent="0.25">
      <c r="B29" s="456" t="s">
        <v>3334</v>
      </c>
      <c r="D29" s="810"/>
      <c r="E29" s="812"/>
      <c r="G29" s="812"/>
      <c r="H29" s="812"/>
    </row>
    <row r="31" spans="2:8" x14ac:dyDescent="0.2">
      <c r="B31" s="456" t="s">
        <v>1673</v>
      </c>
    </row>
    <row r="32" spans="2:8" x14ac:dyDescent="0.2">
      <c r="B32" s="456" t="s">
        <v>1674</v>
      </c>
    </row>
    <row r="33" spans="2:2" x14ac:dyDescent="0.2">
      <c r="B33" s="456" t="s">
        <v>1675</v>
      </c>
    </row>
    <row r="34" spans="2:2" x14ac:dyDescent="0.2">
      <c r="B34" s="456" t="s">
        <v>1676</v>
      </c>
    </row>
    <row r="35" spans="2:2" x14ac:dyDescent="0.2">
      <c r="B35" s="456" t="s">
        <v>1677</v>
      </c>
    </row>
    <row r="37" spans="2:2" ht="15" x14ac:dyDescent="0.25">
      <c r="B37" s="498" t="s">
        <v>1523</v>
      </c>
    </row>
    <row r="39" spans="2:2" x14ac:dyDescent="0.2">
      <c r="B39" s="456" t="s">
        <v>1678</v>
      </c>
    </row>
    <row r="40" spans="2:2" x14ac:dyDescent="0.2">
      <c r="B40" s="456" t="s">
        <v>1679</v>
      </c>
    </row>
    <row r="41" spans="2:2" x14ac:dyDescent="0.2">
      <c r="B41" s="456" t="s">
        <v>1680</v>
      </c>
    </row>
    <row r="42" spans="2:2" x14ac:dyDescent="0.2">
      <c r="B42" s="456" t="s">
        <v>1524</v>
      </c>
    </row>
    <row r="44" spans="2:2" ht="15" x14ac:dyDescent="0.25">
      <c r="B44" s="498" t="s">
        <v>1525</v>
      </c>
    </row>
    <row r="46" spans="2:2" x14ac:dyDescent="0.2">
      <c r="B46" s="456" t="s">
        <v>1681</v>
      </c>
    </row>
    <row r="47" spans="2:2" x14ac:dyDescent="0.2">
      <c r="B47" s="456" t="s">
        <v>1682</v>
      </c>
    </row>
    <row r="48" spans="2:2" x14ac:dyDescent="0.2">
      <c r="B48" s="456" t="s">
        <v>1683</v>
      </c>
    </row>
    <row r="49" spans="2:4" x14ac:dyDescent="0.2">
      <c r="B49" s="456" t="s">
        <v>1684</v>
      </c>
    </row>
    <row r="50" spans="2:4" x14ac:dyDescent="0.2">
      <c r="B50" s="456" t="s">
        <v>1685</v>
      </c>
    </row>
    <row r="51" spans="2:4" x14ac:dyDescent="0.2">
      <c r="B51" s="456" t="s">
        <v>1686</v>
      </c>
    </row>
    <row r="52" spans="2:4" x14ac:dyDescent="0.2">
      <c r="B52" s="456" t="s">
        <v>3087</v>
      </c>
    </row>
    <row r="53" spans="2:4" x14ac:dyDescent="0.2">
      <c r="B53" s="456" t="s">
        <v>1687</v>
      </c>
    </row>
    <row r="55" spans="2:4" ht="15" x14ac:dyDescent="0.25">
      <c r="B55" s="498" t="s">
        <v>1526</v>
      </c>
    </row>
    <row r="57" spans="2:4" customFormat="1" ht="29.25" x14ac:dyDescent="0.25">
      <c r="B57" s="546" t="s">
        <v>3088</v>
      </c>
      <c r="D57" s="1827"/>
    </row>
    <row r="58" spans="2:4" customFormat="1" ht="15" x14ac:dyDescent="0.25">
      <c r="B58" s="547"/>
      <c r="D58" s="1827"/>
    </row>
    <row r="59" spans="2:4" customFormat="1" ht="43.5" x14ac:dyDescent="0.25">
      <c r="B59" s="546" t="s">
        <v>3089</v>
      </c>
      <c r="D59" s="1827"/>
    </row>
    <row r="60" spans="2:4" x14ac:dyDescent="0.2">
      <c r="D60" s="1827"/>
    </row>
    <row r="61" spans="2:4" ht="15" x14ac:dyDescent="0.25">
      <c r="B61" s="498" t="s">
        <v>547</v>
      </c>
    </row>
    <row r="63" spans="2:4" x14ac:dyDescent="0.2">
      <c r="B63" s="456" t="s">
        <v>1688</v>
      </c>
    </row>
    <row r="64" spans="2:4" x14ac:dyDescent="0.2">
      <c r="B64" s="456" t="s">
        <v>3672</v>
      </c>
    </row>
    <row r="65" spans="2:4" x14ac:dyDescent="0.2">
      <c r="B65" s="456" t="s">
        <v>1689</v>
      </c>
    </row>
    <row r="67" spans="2:4" ht="15" x14ac:dyDescent="0.25">
      <c r="B67" s="475" t="s">
        <v>3090</v>
      </c>
    </row>
    <row r="69" spans="2:4" x14ac:dyDescent="0.2">
      <c r="B69" s="467" t="s">
        <v>1690</v>
      </c>
    </row>
    <row r="70" spans="2:4" x14ac:dyDescent="0.2">
      <c r="B70" s="467" t="s">
        <v>3091</v>
      </c>
    </row>
    <row r="71" spans="2:4" x14ac:dyDescent="0.2">
      <c r="B71" s="467" t="s">
        <v>1691</v>
      </c>
    </row>
    <row r="73" spans="2:4" ht="15" x14ac:dyDescent="0.25">
      <c r="B73" s="498" t="s">
        <v>1527</v>
      </c>
      <c r="D73" s="1828"/>
    </row>
    <row r="74" spans="2:4" x14ac:dyDescent="0.2">
      <c r="D74" s="1828"/>
    </row>
    <row r="75" spans="2:4" x14ac:dyDescent="0.2">
      <c r="B75" s="456" t="s">
        <v>1692</v>
      </c>
      <c r="D75" s="1828"/>
    </row>
    <row r="76" spans="2:4" x14ac:dyDescent="0.2">
      <c r="B76" s="456" t="s">
        <v>1693</v>
      </c>
      <c r="D76" s="1828"/>
    </row>
    <row r="77" spans="2:4" x14ac:dyDescent="0.2">
      <c r="B77" s="456" t="s">
        <v>1694</v>
      </c>
      <c r="D77" s="1828"/>
    </row>
    <row r="78" spans="2:4" ht="15" x14ac:dyDescent="0.2">
      <c r="B78" s="456" t="s">
        <v>1695</v>
      </c>
      <c r="D78" s="813"/>
    </row>
    <row r="79" spans="2:4" ht="15" x14ac:dyDescent="0.2">
      <c r="D79" s="813"/>
    </row>
    <row r="80" spans="2:4" ht="15" x14ac:dyDescent="0.2">
      <c r="B80" s="456" t="s">
        <v>1696</v>
      </c>
      <c r="D80" s="813"/>
    </row>
    <row r="81" spans="2:4" ht="15" x14ac:dyDescent="0.2">
      <c r="B81" s="456" t="s">
        <v>1697</v>
      </c>
      <c r="D81" s="814"/>
    </row>
    <row r="82" spans="2:4" ht="15" x14ac:dyDescent="0.2">
      <c r="B82" s="456" t="s">
        <v>1698</v>
      </c>
      <c r="D82" s="814"/>
    </row>
    <row r="83" spans="2:4" ht="15" x14ac:dyDescent="0.2">
      <c r="B83" s="456" t="s">
        <v>1699</v>
      </c>
      <c r="D83" s="814"/>
    </row>
    <row r="84" spans="2:4" ht="15" x14ac:dyDescent="0.2">
      <c r="B84" s="456" t="s">
        <v>1700</v>
      </c>
      <c r="D84" s="814"/>
    </row>
    <row r="85" spans="2:4" ht="15" x14ac:dyDescent="0.2">
      <c r="B85" s="456" t="s">
        <v>1701</v>
      </c>
      <c r="D85" s="814"/>
    </row>
    <row r="86" spans="2:4" ht="15" x14ac:dyDescent="0.2">
      <c r="B86" s="456" t="s">
        <v>1702</v>
      </c>
      <c r="D86" s="814"/>
    </row>
    <row r="87" spans="2:4" ht="15" x14ac:dyDescent="0.2">
      <c r="B87" s="467" t="s">
        <v>3674</v>
      </c>
      <c r="D87" s="814"/>
    </row>
    <row r="89" spans="2:4" ht="15" x14ac:dyDescent="0.25">
      <c r="B89" s="498" t="s">
        <v>3550</v>
      </c>
    </row>
    <row r="91" spans="2:4" x14ac:dyDescent="0.2">
      <c r="B91" s="456" t="s">
        <v>1528</v>
      </c>
    </row>
    <row r="93" spans="2:4" s="498" customFormat="1" ht="15" x14ac:dyDescent="0.25">
      <c r="B93" s="498" t="s">
        <v>1529</v>
      </c>
      <c r="D93" s="815"/>
    </row>
    <row r="95" spans="2:4" x14ac:dyDescent="0.2">
      <c r="B95" s="456" t="s">
        <v>3092</v>
      </c>
    </row>
    <row r="96" spans="2:4" x14ac:dyDescent="0.2">
      <c r="B96" s="456" t="s">
        <v>3093</v>
      </c>
    </row>
    <row r="97" spans="1:5" x14ac:dyDescent="0.2">
      <c r="B97" s="456" t="s">
        <v>1703</v>
      </c>
    </row>
    <row r="98" spans="1:5" x14ac:dyDescent="0.2">
      <c r="B98" s="456" t="s">
        <v>3549</v>
      </c>
    </row>
    <row r="100" spans="1:5" ht="15" x14ac:dyDescent="0.25">
      <c r="B100" s="475" t="s">
        <v>3740</v>
      </c>
      <c r="E100" s="456" t="s">
        <v>3742</v>
      </c>
    </row>
    <row r="101" spans="1:5" x14ac:dyDescent="0.2">
      <c r="B101" s="467"/>
    </row>
    <row r="102" spans="1:5" x14ac:dyDescent="0.2">
      <c r="B102" s="1826" t="s">
        <v>3741</v>
      </c>
    </row>
    <row r="103" spans="1:5" x14ac:dyDescent="0.2">
      <c r="B103" s="1826"/>
    </row>
    <row r="104" spans="1:5" x14ac:dyDescent="0.2">
      <c r="B104" s="1826"/>
    </row>
    <row r="106" spans="1:5" ht="15" x14ac:dyDescent="0.25">
      <c r="B106" s="475" t="s">
        <v>2607</v>
      </c>
    </row>
    <row r="108" spans="1:5" ht="28.5" x14ac:dyDescent="0.2">
      <c r="B108" s="465" t="s">
        <v>3756</v>
      </c>
    </row>
    <row r="110" spans="1:5" ht="15" x14ac:dyDescent="0.25">
      <c r="B110" s="498" t="s">
        <v>3776</v>
      </c>
    </row>
    <row r="112" spans="1:5" x14ac:dyDescent="0.2">
      <c r="A112" s="456" t="s">
        <v>296</v>
      </c>
      <c r="B112" s="456" t="s">
        <v>4115</v>
      </c>
    </row>
    <row r="113" spans="2:8" ht="42.75" x14ac:dyDescent="0.2">
      <c r="B113" s="465" t="s">
        <v>4113</v>
      </c>
    </row>
    <row r="114" spans="2:8" ht="42.75" x14ac:dyDescent="0.2">
      <c r="B114" s="1547" t="s">
        <v>4114</v>
      </c>
    </row>
    <row r="116" spans="2:8" ht="15" x14ac:dyDescent="0.25">
      <c r="B116" s="498" t="s">
        <v>1530</v>
      </c>
    </row>
    <row r="118" spans="2:8" x14ac:dyDescent="0.2">
      <c r="B118" s="456" t="s">
        <v>1704</v>
      </c>
    </row>
    <row r="119" spans="2:8" x14ac:dyDescent="0.2">
      <c r="B119" s="456" t="s">
        <v>1705</v>
      </c>
    </row>
    <row r="121" spans="2:8" ht="15" x14ac:dyDescent="0.25">
      <c r="B121" s="498" t="s">
        <v>1531</v>
      </c>
    </row>
    <row r="123" spans="2:8" x14ac:dyDescent="0.2">
      <c r="B123" s="456" t="s">
        <v>1706</v>
      </c>
    </row>
    <row r="124" spans="2:8" x14ac:dyDescent="0.2">
      <c r="B124" s="456" t="s">
        <v>4111</v>
      </c>
    </row>
    <row r="125" spans="2:8" x14ac:dyDescent="0.2">
      <c r="B125" s="456" t="s">
        <v>4112</v>
      </c>
    </row>
    <row r="127" spans="2:8" ht="15" x14ac:dyDescent="0.25">
      <c r="B127" s="498" t="s">
        <v>3335</v>
      </c>
      <c r="D127" s="1827"/>
    </row>
    <row r="128" spans="2:8" ht="15" x14ac:dyDescent="0.25">
      <c r="D128" s="1827"/>
      <c r="E128" s="816"/>
      <c r="F128" s="816"/>
      <c r="G128" s="816"/>
      <c r="H128" s="816"/>
    </row>
    <row r="129" spans="2:8" ht="14.25" customHeight="1" x14ac:dyDescent="0.25">
      <c r="B129" s="456" t="s">
        <v>1593</v>
      </c>
      <c r="D129" s="817"/>
      <c r="E129" s="816"/>
      <c r="F129" s="816"/>
      <c r="G129" s="816"/>
      <c r="H129" s="816"/>
    </row>
    <row r="130" spans="2:8" ht="14.25" customHeight="1" x14ac:dyDescent="0.25">
      <c r="D130" s="817"/>
      <c r="E130" s="816"/>
      <c r="F130" s="816"/>
      <c r="G130" s="816"/>
      <c r="H130" s="816"/>
    </row>
    <row r="131" spans="2:8" ht="14.25" customHeight="1" x14ac:dyDescent="0.25">
      <c r="B131" s="456" t="s">
        <v>2096</v>
      </c>
      <c r="D131" s="817"/>
      <c r="E131" s="816"/>
      <c r="F131" s="816"/>
      <c r="G131" s="816"/>
      <c r="H131" s="816"/>
    </row>
    <row r="132" spans="2:8" ht="15" x14ac:dyDescent="0.25">
      <c r="B132" s="456" t="s">
        <v>2097</v>
      </c>
      <c r="D132" s="817"/>
      <c r="E132" s="816"/>
      <c r="F132" s="816"/>
      <c r="G132" s="816"/>
      <c r="H132" s="816"/>
    </row>
    <row r="133" spans="2:8" ht="15" x14ac:dyDescent="0.25">
      <c r="D133" s="817"/>
      <c r="E133" s="816"/>
      <c r="F133" s="816"/>
      <c r="G133" s="816"/>
      <c r="H133" s="816"/>
    </row>
    <row r="134" spans="2:8" ht="15" x14ac:dyDescent="0.25">
      <c r="B134" s="456" t="s">
        <v>1594</v>
      </c>
      <c r="D134" s="817"/>
      <c r="E134" s="816"/>
      <c r="F134" s="816"/>
      <c r="G134" s="816"/>
      <c r="H134" s="816"/>
    </row>
    <row r="135" spans="2:8" ht="15" x14ac:dyDescent="0.25">
      <c r="D135" s="817"/>
      <c r="E135" s="816"/>
      <c r="F135" s="816"/>
      <c r="G135" s="816"/>
      <c r="H135" s="816"/>
    </row>
    <row r="136" spans="2:8" ht="15" x14ac:dyDescent="0.25">
      <c r="B136" s="456" t="s">
        <v>2098</v>
      </c>
      <c r="D136" s="817"/>
      <c r="E136" s="816"/>
      <c r="F136" s="816"/>
      <c r="G136" s="816"/>
      <c r="H136" s="816"/>
    </row>
    <row r="137" spans="2:8" ht="15" x14ac:dyDescent="0.25">
      <c r="B137" s="456" t="s">
        <v>2099</v>
      </c>
      <c r="D137" s="817"/>
      <c r="E137" s="816"/>
      <c r="F137" s="816"/>
      <c r="G137" s="816"/>
      <c r="H137" s="816"/>
    </row>
    <row r="138" spans="2:8" ht="15" x14ac:dyDescent="0.25">
      <c r="B138" s="456" t="s">
        <v>2100</v>
      </c>
      <c r="D138" s="817"/>
      <c r="E138" s="816"/>
      <c r="F138" s="816"/>
      <c r="G138" s="816"/>
      <c r="H138" s="816"/>
    </row>
    <row r="139" spans="2:8" ht="15" x14ac:dyDescent="0.25">
      <c r="B139" s="456" t="s">
        <v>2101</v>
      </c>
      <c r="D139" s="817"/>
      <c r="E139" s="816"/>
      <c r="F139" s="816"/>
      <c r="G139" s="816"/>
      <c r="H139" s="816"/>
    </row>
    <row r="140" spans="2:8" ht="15" x14ac:dyDescent="0.25">
      <c r="B140" s="456" t="s">
        <v>2102</v>
      </c>
      <c r="D140" s="817"/>
      <c r="E140" s="816"/>
      <c r="F140" s="816"/>
      <c r="G140" s="816"/>
      <c r="H140" s="816"/>
    </row>
    <row r="142" spans="2:8" ht="15" x14ac:dyDescent="0.25">
      <c r="B142" s="498" t="s">
        <v>3336</v>
      </c>
    </row>
    <row r="144" spans="2:8" x14ac:dyDescent="0.2">
      <c r="B144" s="456" t="s">
        <v>2330</v>
      </c>
    </row>
    <row r="145" spans="2:4" x14ac:dyDescent="0.2">
      <c r="B145" s="456" t="s">
        <v>2331</v>
      </c>
    </row>
    <row r="147" spans="2:4" ht="15" x14ac:dyDescent="0.25">
      <c r="B147" s="498" t="s">
        <v>3337</v>
      </c>
    </row>
    <row r="149" spans="2:4" x14ac:dyDescent="0.2">
      <c r="B149" s="467" t="s">
        <v>1709</v>
      </c>
    </row>
    <row r="150" spans="2:4" x14ac:dyDescent="0.2">
      <c r="B150" s="467" t="s">
        <v>1710</v>
      </c>
    </row>
    <row r="151" spans="2:4" x14ac:dyDescent="0.2">
      <c r="B151" s="467" t="s">
        <v>1711</v>
      </c>
    </row>
    <row r="152" spans="2:4" x14ac:dyDescent="0.2">
      <c r="B152" s="467" t="s">
        <v>1712</v>
      </c>
    </row>
    <row r="153" spans="2:4" x14ac:dyDescent="0.2">
      <c r="B153" s="467" t="s">
        <v>1713</v>
      </c>
    </row>
    <row r="154" spans="2:4" x14ac:dyDescent="0.2">
      <c r="B154" s="467" t="s">
        <v>1714</v>
      </c>
    </row>
    <row r="155" spans="2:4" x14ac:dyDescent="0.2">
      <c r="B155" s="467" t="s">
        <v>1715</v>
      </c>
    </row>
    <row r="156" spans="2:4" x14ac:dyDescent="0.2">
      <c r="B156" s="467" t="s">
        <v>1716</v>
      </c>
    </row>
    <row r="157" spans="2:4" x14ac:dyDescent="0.2">
      <c r="B157" s="467" t="s">
        <v>1717</v>
      </c>
    </row>
    <row r="158" spans="2:4" x14ac:dyDescent="0.2">
      <c r="B158" s="467" t="s">
        <v>1718</v>
      </c>
    </row>
    <row r="160" spans="2:4" ht="15" x14ac:dyDescent="0.25">
      <c r="B160" s="499" t="s">
        <v>3338</v>
      </c>
      <c r="C160" s="500"/>
      <c r="D160" s="1827"/>
    </row>
    <row r="161" spans="2:4" x14ac:dyDescent="0.2">
      <c r="D161" s="1827"/>
    </row>
    <row r="162" spans="2:4" x14ac:dyDescent="0.2">
      <c r="B162" s="456" t="s">
        <v>3867</v>
      </c>
      <c r="D162" s="1827"/>
    </row>
    <row r="163" spans="2:4" x14ac:dyDescent="0.2">
      <c r="B163" s="456" t="s">
        <v>3868</v>
      </c>
      <c r="D163" s="1827"/>
    </row>
    <row r="164" spans="2:4" x14ac:dyDescent="0.2">
      <c r="B164" s="456" t="s">
        <v>3869</v>
      </c>
    </row>
    <row r="165" spans="2:4" x14ac:dyDescent="0.2">
      <c r="B165" s="456" t="s">
        <v>3870</v>
      </c>
    </row>
    <row r="166" spans="2:4" x14ac:dyDescent="0.2">
      <c r="B166" s="456" t="s">
        <v>3871</v>
      </c>
    </row>
    <row r="169" spans="2:4" ht="15" x14ac:dyDescent="0.25">
      <c r="B169" s="498" t="s">
        <v>3339</v>
      </c>
    </row>
    <row r="171" spans="2:4" ht="15" x14ac:dyDescent="0.25">
      <c r="B171" s="475" t="s">
        <v>3340</v>
      </c>
    </row>
    <row r="172" spans="2:4" x14ac:dyDescent="0.2">
      <c r="B172" s="456" t="s">
        <v>1719</v>
      </c>
    </row>
    <row r="173" spans="2:4" x14ac:dyDescent="0.2">
      <c r="B173" s="456" t="s">
        <v>1720</v>
      </c>
    </row>
    <row r="174" spans="2:4" x14ac:dyDescent="0.2">
      <c r="B174" s="456" t="s">
        <v>1721</v>
      </c>
    </row>
    <row r="175" spans="2:4" x14ac:dyDescent="0.2">
      <c r="B175" s="456" t="s">
        <v>1722</v>
      </c>
    </row>
    <row r="177" spans="2:2" x14ac:dyDescent="0.2">
      <c r="B177" s="456" t="s">
        <v>1533</v>
      </c>
    </row>
    <row r="179" spans="2:2" ht="15" x14ac:dyDescent="0.25">
      <c r="B179" s="456" t="s">
        <v>2485</v>
      </c>
    </row>
    <row r="180" spans="2:2" x14ac:dyDescent="0.2">
      <c r="B180" s="456" t="s">
        <v>2486</v>
      </c>
    </row>
    <row r="181" spans="2:2" ht="15" x14ac:dyDescent="0.25">
      <c r="B181" s="456" t="s">
        <v>2928</v>
      </c>
    </row>
    <row r="183" spans="2:2" x14ac:dyDescent="0.2">
      <c r="B183" s="456" t="s">
        <v>1723</v>
      </c>
    </row>
    <row r="184" spans="2:2" x14ac:dyDescent="0.2">
      <c r="B184" s="456" t="s">
        <v>1724</v>
      </c>
    </row>
    <row r="185" spans="2:2" x14ac:dyDescent="0.2">
      <c r="B185" s="456" t="s">
        <v>1725</v>
      </c>
    </row>
    <row r="186" spans="2:2" x14ac:dyDescent="0.2">
      <c r="B186" s="456" t="s">
        <v>1726</v>
      </c>
    </row>
    <row r="188" spans="2:2" ht="28.5" x14ac:dyDescent="0.2">
      <c r="B188" s="546" t="s">
        <v>3094</v>
      </c>
    </row>
    <row r="190" spans="2:2" x14ac:dyDescent="0.2">
      <c r="B190" s="456" t="s">
        <v>1727</v>
      </c>
    </row>
    <row r="191" spans="2:2" x14ac:dyDescent="0.2">
      <c r="B191" s="456" t="s">
        <v>1728</v>
      </c>
    </row>
    <row r="192" spans="2:2" x14ac:dyDescent="0.2">
      <c r="B192" s="456" t="s">
        <v>1729</v>
      </c>
    </row>
    <row r="193" spans="2:7" x14ac:dyDescent="0.2">
      <c r="B193" s="456" t="s">
        <v>1730</v>
      </c>
    </row>
    <row r="194" spans="2:7" x14ac:dyDescent="0.2">
      <c r="B194" s="456" t="s">
        <v>1731</v>
      </c>
    </row>
    <row r="195" spans="2:7" x14ac:dyDescent="0.2">
      <c r="B195" s="456" t="s">
        <v>1732</v>
      </c>
    </row>
    <row r="197" spans="2:7" x14ac:dyDescent="0.2">
      <c r="B197" s="456" t="s">
        <v>1733</v>
      </c>
    </row>
    <row r="198" spans="2:7" x14ac:dyDescent="0.2">
      <c r="B198" s="456" t="s">
        <v>1734</v>
      </c>
    </row>
    <row r="199" spans="2:7" x14ac:dyDescent="0.2">
      <c r="B199" s="456" t="s">
        <v>1735</v>
      </c>
    </row>
    <row r="201" spans="2:7" x14ac:dyDescent="0.2">
      <c r="B201" s="456" t="s">
        <v>1736</v>
      </c>
    </row>
    <row r="202" spans="2:7" x14ac:dyDescent="0.2">
      <c r="B202" s="456" t="s">
        <v>1737</v>
      </c>
    </row>
    <row r="203" spans="2:7" x14ac:dyDescent="0.2">
      <c r="B203" s="456" t="s">
        <v>1738</v>
      </c>
    </row>
    <row r="204" spans="2:7" x14ac:dyDescent="0.2">
      <c r="B204" s="456" t="s">
        <v>1739</v>
      </c>
    </row>
    <row r="205" spans="2:7" x14ac:dyDescent="0.2">
      <c r="G205" s="318"/>
    </row>
    <row r="206" spans="2:7" x14ac:dyDescent="0.2">
      <c r="B206" s="456" t="s">
        <v>1740</v>
      </c>
    </row>
    <row r="207" spans="2:7" x14ac:dyDescent="0.2">
      <c r="B207" s="456" t="s">
        <v>1741</v>
      </c>
    </row>
    <row r="208" spans="2:7" x14ac:dyDescent="0.2">
      <c r="B208" s="456" t="s">
        <v>1742</v>
      </c>
    </row>
    <row r="210" spans="2:2" x14ac:dyDescent="0.2">
      <c r="B210" s="456" t="s">
        <v>1743</v>
      </c>
    </row>
    <row r="211" spans="2:2" x14ac:dyDescent="0.2">
      <c r="B211" s="456" t="s">
        <v>1744</v>
      </c>
    </row>
    <row r="212" spans="2:2" x14ac:dyDescent="0.2">
      <c r="B212" s="456" t="s">
        <v>1745</v>
      </c>
    </row>
    <row r="213" spans="2:2" x14ac:dyDescent="0.2">
      <c r="B213" s="456" t="s">
        <v>1746</v>
      </c>
    </row>
    <row r="215" spans="2:2" x14ac:dyDescent="0.2">
      <c r="B215" s="456" t="s">
        <v>1747</v>
      </c>
    </row>
    <row r="216" spans="2:2" x14ac:dyDescent="0.2">
      <c r="B216" s="456" t="s">
        <v>1748</v>
      </c>
    </row>
    <row r="217" spans="2:2" x14ac:dyDescent="0.2">
      <c r="B217" s="456" t="s">
        <v>1749</v>
      </c>
    </row>
    <row r="218" spans="2:2" x14ac:dyDescent="0.2">
      <c r="B218" s="456" t="s">
        <v>1750</v>
      </c>
    </row>
    <row r="220" spans="2:2" x14ac:dyDescent="0.2">
      <c r="B220" s="456" t="s">
        <v>1751</v>
      </c>
    </row>
    <row r="221" spans="2:2" x14ac:dyDescent="0.2">
      <c r="B221" s="456" t="s">
        <v>1752</v>
      </c>
    </row>
    <row r="223" spans="2:2" ht="15" x14ac:dyDescent="0.25">
      <c r="B223" s="475" t="s">
        <v>3341</v>
      </c>
    </row>
    <row r="224" spans="2:2" ht="71.25" x14ac:dyDescent="0.2">
      <c r="B224" s="546" t="s">
        <v>3418</v>
      </c>
    </row>
    <row r="225" spans="2:2" x14ac:dyDescent="0.2">
      <c r="B225" s="548"/>
    </row>
    <row r="226" spans="2:2" ht="15.75" customHeight="1" x14ac:dyDescent="0.2">
      <c r="B226" s="465" t="s">
        <v>3419</v>
      </c>
    </row>
    <row r="227" spans="2:2" ht="15.75" customHeight="1" x14ac:dyDescent="0.2">
      <c r="B227" s="465" t="s">
        <v>3420</v>
      </c>
    </row>
    <row r="228" spans="2:2" x14ac:dyDescent="0.2">
      <c r="B228" s="548"/>
    </row>
    <row r="229" spans="2:2" x14ac:dyDescent="0.2">
      <c r="B229" s="456" t="s">
        <v>1753</v>
      </c>
    </row>
    <row r="230" spans="2:2" x14ac:dyDescent="0.2">
      <c r="B230" s="456" t="s">
        <v>1754</v>
      </c>
    </row>
    <row r="231" spans="2:2" x14ac:dyDescent="0.2">
      <c r="B231" s="456" t="s">
        <v>1755</v>
      </c>
    </row>
    <row r="232" spans="2:2" x14ac:dyDescent="0.2">
      <c r="B232" s="456" t="s">
        <v>1756</v>
      </c>
    </row>
    <row r="234" spans="2:2" x14ac:dyDescent="0.2">
      <c r="B234" s="456" t="s">
        <v>1757</v>
      </c>
    </row>
    <row r="235" spans="2:2" x14ac:dyDescent="0.2">
      <c r="B235" s="456" t="s">
        <v>1758</v>
      </c>
    </row>
    <row r="236" spans="2:2" x14ac:dyDescent="0.2">
      <c r="B236" s="456" t="s">
        <v>1759</v>
      </c>
    </row>
    <row r="237" spans="2:2" x14ac:dyDescent="0.2">
      <c r="B237" s="456" t="s">
        <v>1760</v>
      </c>
    </row>
    <row r="239" spans="2:2" x14ac:dyDescent="0.2">
      <c r="B239" s="456" t="s">
        <v>1761</v>
      </c>
    </row>
    <row r="240" spans="2:2" x14ac:dyDescent="0.2">
      <c r="B240" s="456" t="s">
        <v>1762</v>
      </c>
    </row>
    <row r="241" spans="2:2" x14ac:dyDescent="0.2">
      <c r="B241" s="456" t="s">
        <v>1763</v>
      </c>
    </row>
    <row r="242" spans="2:2" x14ac:dyDescent="0.2">
      <c r="B242" s="456" t="s">
        <v>1764</v>
      </c>
    </row>
    <row r="243" spans="2:2" x14ac:dyDescent="0.2">
      <c r="B243" s="456" t="s">
        <v>1765</v>
      </c>
    </row>
    <row r="245" spans="2:2" x14ac:dyDescent="0.2">
      <c r="B245" s="456" t="s">
        <v>1766</v>
      </c>
    </row>
    <row r="246" spans="2:2" x14ac:dyDescent="0.2">
      <c r="B246" s="456" t="s">
        <v>1767</v>
      </c>
    </row>
    <row r="247" spans="2:2" x14ac:dyDescent="0.2">
      <c r="B247" s="456" t="s">
        <v>1768</v>
      </c>
    </row>
    <row r="248" spans="2:2" x14ac:dyDescent="0.2">
      <c r="B248" s="467" t="s">
        <v>3342</v>
      </c>
    </row>
    <row r="249" spans="2:2" x14ac:dyDescent="0.2">
      <c r="B249" s="467" t="s">
        <v>3343</v>
      </c>
    </row>
    <row r="251" spans="2:2" ht="14.25" hidden="1" customHeight="1" x14ac:dyDescent="0.2">
      <c r="B251" s="1826"/>
    </row>
    <row r="252" spans="2:2" hidden="1" x14ac:dyDescent="0.2">
      <c r="B252" s="1826"/>
    </row>
    <row r="253" spans="2:2" hidden="1" x14ac:dyDescent="0.2">
      <c r="B253" s="1826"/>
    </row>
    <row r="254" spans="2:2" hidden="1" x14ac:dyDescent="0.2"/>
    <row r="255" spans="2:2" ht="15" x14ac:dyDescent="0.25">
      <c r="B255" s="475" t="s">
        <v>3344</v>
      </c>
    </row>
    <row r="256" spans="2:2" x14ac:dyDescent="0.2">
      <c r="B256" s="456" t="s">
        <v>1769</v>
      </c>
    </row>
    <row r="257" spans="2:2" x14ac:dyDescent="0.2">
      <c r="B257" s="456" t="s">
        <v>3345</v>
      </c>
    </row>
    <row r="259" spans="2:2" x14ac:dyDescent="0.2">
      <c r="B259" s="456" t="s">
        <v>1534</v>
      </c>
    </row>
    <row r="261" spans="2:2" x14ac:dyDescent="0.2">
      <c r="B261" s="467" t="s">
        <v>3346</v>
      </c>
    </row>
    <row r="263" spans="2:2" x14ac:dyDescent="0.2">
      <c r="B263" s="456" t="s">
        <v>916</v>
      </c>
    </row>
    <row r="265" spans="2:2" ht="15" x14ac:dyDescent="0.25">
      <c r="B265" s="467" t="s">
        <v>3347</v>
      </c>
    </row>
    <row r="266" spans="2:2" ht="15" x14ac:dyDescent="0.25">
      <c r="B266" s="467" t="s">
        <v>3348</v>
      </c>
    </row>
    <row r="267" spans="2:2" ht="15" x14ac:dyDescent="0.25">
      <c r="B267" s="467" t="s">
        <v>3349</v>
      </c>
    </row>
    <row r="268" spans="2:2" ht="15" x14ac:dyDescent="0.25">
      <c r="B268" s="467" t="s">
        <v>3350</v>
      </c>
    </row>
    <row r="269" spans="2:2" ht="15" x14ac:dyDescent="0.25">
      <c r="B269" s="467" t="s">
        <v>3351</v>
      </c>
    </row>
    <row r="270" spans="2:2" ht="15" x14ac:dyDescent="0.25">
      <c r="B270" s="467" t="s">
        <v>3352</v>
      </c>
    </row>
    <row r="271" spans="2:2" x14ac:dyDescent="0.2">
      <c r="B271" s="467"/>
    </row>
    <row r="272" spans="2:2" x14ac:dyDescent="0.2">
      <c r="B272" s="467" t="s">
        <v>801</v>
      </c>
    </row>
    <row r="273" spans="2:2" x14ac:dyDescent="0.2">
      <c r="B273" s="467"/>
    </row>
    <row r="274" spans="2:2" ht="15" x14ac:dyDescent="0.25">
      <c r="B274" s="467" t="s">
        <v>3353</v>
      </c>
    </row>
    <row r="275" spans="2:2" ht="15" x14ac:dyDescent="0.25">
      <c r="B275" s="467" t="s">
        <v>3354</v>
      </c>
    </row>
    <row r="276" spans="2:2" ht="15" x14ac:dyDescent="0.25">
      <c r="B276" s="467" t="s">
        <v>3355</v>
      </c>
    </row>
    <row r="277" spans="2:2" ht="15" x14ac:dyDescent="0.25">
      <c r="B277" s="467" t="s">
        <v>3356</v>
      </c>
    </row>
    <row r="278" spans="2:2" ht="15" x14ac:dyDescent="0.25">
      <c r="B278" s="467" t="s">
        <v>3357</v>
      </c>
    </row>
    <row r="279" spans="2:2" ht="15" x14ac:dyDescent="0.25">
      <c r="B279" s="467" t="s">
        <v>3358</v>
      </c>
    </row>
    <row r="280" spans="2:2" ht="15" x14ac:dyDescent="0.25">
      <c r="B280" s="467" t="s">
        <v>3359</v>
      </c>
    </row>
    <row r="281" spans="2:2" ht="15" x14ac:dyDescent="0.25">
      <c r="B281" s="467" t="s">
        <v>3360</v>
      </c>
    </row>
    <row r="282" spans="2:2" ht="15" x14ac:dyDescent="0.25">
      <c r="B282" s="467" t="s">
        <v>3361</v>
      </c>
    </row>
    <row r="283" spans="2:2" x14ac:dyDescent="0.2">
      <c r="B283" s="467"/>
    </row>
    <row r="284" spans="2:2" x14ac:dyDescent="0.2">
      <c r="B284" s="467" t="s">
        <v>809</v>
      </c>
    </row>
    <row r="285" spans="2:2" ht="15" x14ac:dyDescent="0.25">
      <c r="B285" s="467" t="s">
        <v>3362</v>
      </c>
    </row>
    <row r="286" spans="2:2" ht="15" x14ac:dyDescent="0.25">
      <c r="B286" s="467" t="s">
        <v>3363</v>
      </c>
    </row>
    <row r="287" spans="2:2" ht="15" x14ac:dyDescent="0.25">
      <c r="B287" s="467" t="s">
        <v>3364</v>
      </c>
    </row>
    <row r="288" spans="2:2" ht="15" x14ac:dyDescent="0.25">
      <c r="B288" s="467" t="s">
        <v>3365</v>
      </c>
    </row>
    <row r="289" spans="2:2" ht="15" x14ac:dyDescent="0.25">
      <c r="B289" s="467" t="s">
        <v>3366</v>
      </c>
    </row>
    <row r="291" spans="2:2" x14ac:dyDescent="0.2">
      <c r="B291" s="456" t="s">
        <v>2465</v>
      </c>
    </row>
    <row r="293" spans="2:2" x14ac:dyDescent="0.2">
      <c r="B293" s="456" t="s">
        <v>1770</v>
      </c>
    </row>
    <row r="294" spans="2:2" x14ac:dyDescent="0.2">
      <c r="B294" s="456" t="s">
        <v>1771</v>
      </c>
    </row>
    <row r="295" spans="2:2" x14ac:dyDescent="0.2">
      <c r="B295" s="456" t="s">
        <v>1772</v>
      </c>
    </row>
    <row r="296" spans="2:2" x14ac:dyDescent="0.2">
      <c r="B296" s="456" t="s">
        <v>1773</v>
      </c>
    </row>
    <row r="297" spans="2:2" x14ac:dyDescent="0.2">
      <c r="B297" s="456" t="s">
        <v>1535</v>
      </c>
    </row>
    <row r="299" spans="2:2" x14ac:dyDescent="0.2">
      <c r="B299" s="456" t="s">
        <v>1774</v>
      </c>
    </row>
    <row r="300" spans="2:2" x14ac:dyDescent="0.2">
      <c r="B300" s="456" t="s">
        <v>1775</v>
      </c>
    </row>
    <row r="302" spans="2:2" ht="15" x14ac:dyDescent="0.25">
      <c r="B302" s="498" t="s">
        <v>3367</v>
      </c>
    </row>
    <row r="304" spans="2:2" x14ac:dyDescent="0.2">
      <c r="B304" s="456" t="s">
        <v>1536</v>
      </c>
    </row>
    <row r="306" spans="2:2" x14ac:dyDescent="0.2">
      <c r="B306" s="456" t="s">
        <v>1645</v>
      </c>
    </row>
    <row r="308" spans="2:2" ht="15" x14ac:dyDescent="0.25">
      <c r="B308" s="456" t="s">
        <v>2487</v>
      </c>
    </row>
    <row r="309" spans="2:2" ht="15" x14ac:dyDescent="0.25">
      <c r="B309" s="456" t="s">
        <v>2488</v>
      </c>
    </row>
    <row r="310" spans="2:2" x14ac:dyDescent="0.2">
      <c r="B310" s="456" t="s">
        <v>2489</v>
      </c>
    </row>
    <row r="311" spans="2:2" ht="15" x14ac:dyDescent="0.25">
      <c r="B311" s="456" t="s">
        <v>2490</v>
      </c>
    </row>
    <row r="313" spans="2:2" x14ac:dyDescent="0.2">
      <c r="B313" s="456" t="s">
        <v>1532</v>
      </c>
    </row>
    <row r="315" spans="2:2" x14ac:dyDescent="0.2">
      <c r="B315" s="456" t="s">
        <v>1646</v>
      </c>
    </row>
    <row r="317" spans="2:2" x14ac:dyDescent="0.2">
      <c r="B317" s="456" t="s">
        <v>1647</v>
      </c>
    </row>
    <row r="318" spans="2:2" x14ac:dyDescent="0.2">
      <c r="B318" s="456" t="s">
        <v>1648</v>
      </c>
    </row>
    <row r="319" spans="2:2" x14ac:dyDescent="0.2">
      <c r="B319" s="456" t="s">
        <v>1649</v>
      </c>
    </row>
    <row r="320" spans="2:2" x14ac:dyDescent="0.2">
      <c r="B320" s="456" t="s">
        <v>1650</v>
      </c>
    </row>
    <row r="321" spans="2:4" x14ac:dyDescent="0.2">
      <c r="B321" s="456" t="s">
        <v>1651</v>
      </c>
    </row>
    <row r="322" spans="2:4" x14ac:dyDescent="0.2">
      <c r="B322" s="456" t="s">
        <v>1652</v>
      </c>
    </row>
    <row r="324" spans="2:4" x14ac:dyDescent="0.2">
      <c r="B324" s="456" t="s">
        <v>1653</v>
      </c>
    </row>
    <row r="325" spans="2:4" x14ac:dyDescent="0.2">
      <c r="B325" s="456" t="s">
        <v>1654</v>
      </c>
    </row>
    <row r="326" spans="2:4" x14ac:dyDescent="0.2">
      <c r="B326" s="456" t="s">
        <v>1655</v>
      </c>
    </row>
    <row r="328" spans="2:4" x14ac:dyDescent="0.2">
      <c r="B328" s="456" t="s">
        <v>1537</v>
      </c>
    </row>
    <row r="329" spans="2:4" x14ac:dyDescent="0.2">
      <c r="B329" s="456" t="s">
        <v>1538</v>
      </c>
    </row>
    <row r="330" spans="2:4" x14ac:dyDescent="0.2">
      <c r="B330" s="456" t="s">
        <v>1539</v>
      </c>
    </row>
    <row r="332" spans="2:4" x14ac:dyDescent="0.2">
      <c r="B332" s="456" t="s">
        <v>1540</v>
      </c>
    </row>
    <row r="333" spans="2:4" x14ac:dyDescent="0.2">
      <c r="B333" s="456" t="s">
        <v>1656</v>
      </c>
    </row>
    <row r="334" spans="2:4" x14ac:dyDescent="0.2">
      <c r="B334" s="456" t="s">
        <v>1541</v>
      </c>
    </row>
    <row r="336" spans="2:4" x14ac:dyDescent="0.2">
      <c r="B336" s="456" t="s">
        <v>1542</v>
      </c>
      <c r="D336" s="1827"/>
    </row>
    <row r="337" spans="2:5" x14ac:dyDescent="0.2">
      <c r="B337" s="456" t="s">
        <v>1543</v>
      </c>
      <c r="D337" s="1827"/>
    </row>
    <row r="338" spans="2:5" x14ac:dyDescent="0.2">
      <c r="D338" s="1827"/>
    </row>
    <row r="339" spans="2:5" x14ac:dyDescent="0.2">
      <c r="B339" s="456" t="s">
        <v>1657</v>
      </c>
    </row>
    <row r="340" spans="2:5" x14ac:dyDescent="0.2">
      <c r="B340" s="456" t="s">
        <v>1658</v>
      </c>
      <c r="D340" s="1827"/>
    </row>
    <row r="341" spans="2:5" x14ac:dyDescent="0.2">
      <c r="B341" s="456" t="s">
        <v>1544</v>
      </c>
      <c r="D341" s="1827"/>
    </row>
    <row r="342" spans="2:5" x14ac:dyDescent="0.2">
      <c r="D342" s="1827"/>
    </row>
    <row r="343" spans="2:5" customFormat="1" ht="15" x14ac:dyDescent="0.25">
      <c r="B343" s="549" t="s">
        <v>3368</v>
      </c>
      <c r="C343" s="550"/>
      <c r="D343" s="818"/>
      <c r="E343" s="550"/>
    </row>
    <row r="344" spans="2:5" customFormat="1" ht="15" x14ac:dyDescent="0.25">
      <c r="B344" s="549"/>
      <c r="C344" s="550"/>
      <c r="D344" s="818"/>
      <c r="E344" s="550"/>
    </row>
    <row r="345" spans="2:5" customFormat="1" ht="15" x14ac:dyDescent="0.25">
      <c r="B345" s="475" t="s">
        <v>1631</v>
      </c>
      <c r="C345" s="550"/>
      <c r="D345" s="818"/>
      <c r="E345" s="550"/>
    </row>
    <row r="346" spans="2:5" customFormat="1" ht="43.5" x14ac:dyDescent="0.25">
      <c r="B346" s="551" t="s">
        <v>3095</v>
      </c>
      <c r="C346" s="550"/>
      <c r="D346" s="818"/>
      <c r="E346" s="550"/>
    </row>
    <row r="347" spans="2:5" customFormat="1" ht="15" x14ac:dyDescent="0.25">
      <c r="B347" s="552"/>
      <c r="C347" s="550"/>
      <c r="D347" s="818"/>
      <c r="E347" s="550"/>
    </row>
    <row r="348" spans="2:5" x14ac:dyDescent="0.2">
      <c r="B348" s="456" t="s">
        <v>1632</v>
      </c>
    </row>
    <row r="350" spans="2:5" ht="15" x14ac:dyDescent="0.25">
      <c r="B350" s="456" t="s">
        <v>2859</v>
      </c>
    </row>
    <row r="351" spans="2:5" x14ac:dyDescent="0.2">
      <c r="B351" s="456" t="s">
        <v>2860</v>
      </c>
    </row>
    <row r="352" spans="2:5" ht="15" x14ac:dyDescent="0.25">
      <c r="B352" s="456" t="s">
        <v>2861</v>
      </c>
    </row>
    <row r="354" spans="2:5" x14ac:dyDescent="0.2">
      <c r="B354" s="456" t="s">
        <v>1633</v>
      </c>
    </row>
    <row r="356" spans="2:5" ht="42.75" x14ac:dyDescent="0.2">
      <c r="B356" s="465" t="s">
        <v>3743</v>
      </c>
      <c r="E356" s="456" t="s">
        <v>3744</v>
      </c>
    </row>
    <row r="357" spans="2:5" customFormat="1" ht="15" x14ac:dyDescent="0.25">
      <c r="B357" s="552"/>
      <c r="C357" s="550"/>
      <c r="D357" s="818"/>
      <c r="E357" s="550"/>
    </row>
    <row r="358" spans="2:5" s="554" customFormat="1" ht="29.25" x14ac:dyDescent="0.25">
      <c r="B358" s="551" t="s">
        <v>3096</v>
      </c>
      <c r="C358" s="553"/>
      <c r="D358" s="548"/>
      <c r="E358" s="553"/>
    </row>
    <row r="359" spans="2:5" s="554" customFormat="1" ht="15" x14ac:dyDescent="0.25">
      <c r="B359" s="555"/>
      <c r="C359" s="553"/>
      <c r="D359" s="548"/>
      <c r="E359" s="553"/>
    </row>
    <row r="360" spans="2:5" s="554" customFormat="1" ht="15" x14ac:dyDescent="0.25">
      <c r="B360" s="556" t="s">
        <v>3097</v>
      </c>
      <c r="C360" s="553"/>
      <c r="D360" s="548"/>
      <c r="E360" s="553"/>
    </row>
    <row r="361" spans="2:5" s="554" customFormat="1" ht="15" outlineLevel="1" x14ac:dyDescent="0.25">
      <c r="B361" s="556" t="s">
        <v>3098</v>
      </c>
      <c r="C361" s="553"/>
      <c r="D361" s="553"/>
      <c r="E361" s="553"/>
    </row>
    <row r="362" spans="2:5" s="554" customFormat="1" ht="15" outlineLevel="1" x14ac:dyDescent="0.25">
      <c r="B362" s="556" t="s">
        <v>3099</v>
      </c>
      <c r="C362" s="553"/>
      <c r="D362" s="553"/>
      <c r="E362" s="553"/>
    </row>
    <row r="363" spans="2:5" s="554" customFormat="1" ht="15" outlineLevel="1" x14ac:dyDescent="0.25">
      <c r="B363" s="556" t="s">
        <v>3100</v>
      </c>
      <c r="C363" s="553"/>
      <c r="D363" s="553"/>
      <c r="E363" s="553"/>
    </row>
    <row r="364" spans="2:5" outlineLevel="1" x14ac:dyDescent="0.2"/>
    <row r="365" spans="2:5" ht="28.5" outlineLevel="1" x14ac:dyDescent="0.2">
      <c r="B365" s="465" t="s">
        <v>3101</v>
      </c>
    </row>
    <row r="367" spans="2:5" x14ac:dyDescent="0.2">
      <c r="B367" s="456" t="s">
        <v>1634</v>
      </c>
    </row>
    <row r="369" spans="2:5" x14ac:dyDescent="0.2">
      <c r="B369" s="456" t="s">
        <v>1635</v>
      </c>
    </row>
    <row r="371" spans="2:5" ht="15" x14ac:dyDescent="0.25">
      <c r="B371" s="456" t="s">
        <v>2862</v>
      </c>
    </row>
    <row r="372" spans="2:5" ht="15" x14ac:dyDescent="0.25">
      <c r="B372" s="456" t="s">
        <v>2771</v>
      </c>
    </row>
    <row r="373" spans="2:5" x14ac:dyDescent="0.2">
      <c r="B373" s="456" t="s">
        <v>2772</v>
      </c>
    </row>
    <row r="375" spans="2:5" outlineLevel="1" x14ac:dyDescent="0.2">
      <c r="B375" s="456" t="s">
        <v>2408</v>
      </c>
    </row>
    <row r="376" spans="2:5" outlineLevel="2" x14ac:dyDescent="0.2">
      <c r="B376" s="456" t="s">
        <v>2409</v>
      </c>
    </row>
    <row r="377" spans="2:5" outlineLevel="2" x14ac:dyDescent="0.2">
      <c r="B377" s="456" t="s">
        <v>2410</v>
      </c>
    </row>
    <row r="378" spans="2:5" outlineLevel="2" x14ac:dyDescent="0.2">
      <c r="B378" s="456" t="s">
        <v>2411</v>
      </c>
    </row>
    <row r="379" spans="2:5" outlineLevel="2" x14ac:dyDescent="0.2">
      <c r="D379" s="552"/>
    </row>
    <row r="380" spans="2:5" customFormat="1" ht="15" outlineLevel="2" x14ac:dyDescent="0.25">
      <c r="B380" s="549" t="s">
        <v>3369</v>
      </c>
      <c r="C380" s="557"/>
      <c r="D380" s="810"/>
      <c r="E380" s="557"/>
    </row>
    <row r="381" spans="2:5" customFormat="1" ht="15" outlineLevel="2" x14ac:dyDescent="0.25">
      <c r="B381" s="558"/>
      <c r="D381" s="810"/>
    </row>
    <row r="382" spans="2:5" customFormat="1" ht="15" x14ac:dyDescent="0.25">
      <c r="B382" s="549" t="s">
        <v>3102</v>
      </c>
      <c r="C382" s="557"/>
      <c r="D382" s="810"/>
      <c r="E382" s="557"/>
    </row>
    <row r="383" spans="2:5" customFormat="1" ht="43.5" x14ac:dyDescent="0.25">
      <c r="B383" s="551" t="s">
        <v>3103</v>
      </c>
      <c r="C383" s="559"/>
      <c r="D383" s="810"/>
      <c r="E383" s="559"/>
    </row>
    <row r="384" spans="2:5" customFormat="1" ht="15" x14ac:dyDescent="0.25">
      <c r="B384" s="560"/>
      <c r="D384" s="810"/>
    </row>
    <row r="385" spans="2:5" customFormat="1" ht="29.25" x14ac:dyDescent="0.25">
      <c r="B385" s="551" t="s">
        <v>3104</v>
      </c>
      <c r="C385" s="559"/>
      <c r="D385" s="553"/>
      <c r="E385" s="559"/>
    </row>
    <row r="386" spans="2:5" customFormat="1" ht="15" x14ac:dyDescent="0.25">
      <c r="B386" s="560"/>
      <c r="D386" s="554"/>
    </row>
    <row r="387" spans="2:5" customFormat="1" ht="29.25" x14ac:dyDescent="0.25">
      <c r="B387" s="551" t="s">
        <v>3105</v>
      </c>
      <c r="C387" s="559"/>
      <c r="D387" s="553"/>
      <c r="E387" s="559"/>
    </row>
    <row r="388" spans="2:5" customFormat="1" ht="15" x14ac:dyDescent="0.25">
      <c r="B388" s="560"/>
      <c r="D388" s="554"/>
    </row>
    <row r="389" spans="2:5" customFormat="1" ht="43.5" x14ac:dyDescent="0.25">
      <c r="B389" s="551" t="s">
        <v>3106</v>
      </c>
      <c r="C389" s="559"/>
      <c r="D389" s="553"/>
      <c r="E389" s="559"/>
    </row>
    <row r="390" spans="2:5" customFormat="1" ht="15" x14ac:dyDescent="0.25">
      <c r="B390" s="560"/>
      <c r="D390" s="554"/>
    </row>
    <row r="391" spans="2:5" customFormat="1" ht="15" x14ac:dyDescent="0.25">
      <c r="B391" s="551" t="s">
        <v>3107</v>
      </c>
      <c r="C391" s="559"/>
      <c r="D391" s="553"/>
      <c r="E391" s="559"/>
    </row>
    <row r="392" spans="2:5" customFormat="1" ht="72" x14ac:dyDescent="0.25">
      <c r="B392" s="551" t="s">
        <v>3108</v>
      </c>
      <c r="C392" s="559"/>
      <c r="D392" s="553"/>
      <c r="E392" s="559"/>
    </row>
    <row r="393" spans="2:5" customFormat="1" ht="29.25" x14ac:dyDescent="0.25">
      <c r="B393" s="551" t="s">
        <v>3109</v>
      </c>
      <c r="C393" s="559"/>
      <c r="D393" s="553"/>
      <c r="E393" s="559"/>
    </row>
    <row r="394" spans="2:5" customFormat="1" ht="15" x14ac:dyDescent="0.25">
      <c r="B394" s="560"/>
      <c r="D394" s="554"/>
    </row>
    <row r="395" spans="2:5" customFormat="1" ht="15" x14ac:dyDescent="0.25">
      <c r="B395" s="549" t="s">
        <v>3110</v>
      </c>
      <c r="C395" s="557"/>
      <c r="D395" s="819"/>
      <c r="E395" s="557"/>
    </row>
    <row r="396" spans="2:5" customFormat="1" ht="15" x14ac:dyDescent="0.25">
      <c r="B396" s="549" t="s">
        <v>3111</v>
      </c>
      <c r="C396" s="557"/>
      <c r="D396" s="819"/>
      <c r="E396" s="557"/>
    </row>
    <row r="397" spans="2:5" customFormat="1" ht="57.75" x14ac:dyDescent="0.25">
      <c r="B397" s="551" t="s">
        <v>3112</v>
      </c>
      <c r="C397" s="559"/>
      <c r="D397" s="548"/>
      <c r="E397" s="559"/>
    </row>
    <row r="398" spans="2:5" customFormat="1" ht="15" x14ac:dyDescent="0.25">
      <c r="B398" s="547"/>
      <c r="D398" s="554"/>
      <c r="E398" s="1278" t="s">
        <v>3745</v>
      </c>
    </row>
    <row r="399" spans="2:5" customFormat="1" ht="15" outlineLevel="2" x14ac:dyDescent="0.25">
      <c r="B399" s="549" t="s">
        <v>3114</v>
      </c>
      <c r="C399" s="557"/>
      <c r="D399" s="819"/>
      <c r="E399" s="557"/>
    </row>
    <row r="400" spans="2:5" customFormat="1" ht="43.5" outlineLevel="2" x14ac:dyDescent="0.25">
      <c r="B400" s="551" t="s">
        <v>3115</v>
      </c>
      <c r="C400" s="559"/>
      <c r="D400" s="553"/>
      <c r="E400" s="559"/>
    </row>
    <row r="401" spans="2:5" customFormat="1" ht="13.5" customHeight="1" outlineLevel="2" x14ac:dyDescent="0.25">
      <c r="B401" s="552"/>
      <c r="C401" s="559"/>
      <c r="D401" s="553"/>
      <c r="E401" s="559"/>
    </row>
    <row r="402" spans="2:5" ht="15" outlineLevel="2" x14ac:dyDescent="0.25">
      <c r="B402" s="498" t="s">
        <v>3370</v>
      </c>
    </row>
    <row r="403" spans="2:5" outlineLevel="2" x14ac:dyDescent="0.2"/>
    <row r="404" spans="2:5" ht="27" customHeight="1" outlineLevel="2" x14ac:dyDescent="0.2">
      <c r="B404" s="465" t="s">
        <v>3131</v>
      </c>
    </row>
    <row r="405" spans="2:5" outlineLevel="1" x14ac:dyDescent="0.2">
      <c r="B405" s="456" t="s">
        <v>1545</v>
      </c>
    </row>
    <row r="406" spans="2:5" outlineLevel="2" x14ac:dyDescent="0.2">
      <c r="B406" s="456" t="s">
        <v>1776</v>
      </c>
    </row>
    <row r="407" spans="2:5" ht="16.5" customHeight="1" outlineLevel="2" x14ac:dyDescent="0.2">
      <c r="B407" s="456" t="s">
        <v>1777</v>
      </c>
    </row>
    <row r="408" spans="2:5" outlineLevel="1" x14ac:dyDescent="0.2">
      <c r="B408" s="456" t="s">
        <v>3129</v>
      </c>
    </row>
    <row r="409" spans="2:5" outlineLevel="1" x14ac:dyDescent="0.2">
      <c r="B409" s="456" t="s">
        <v>1778</v>
      </c>
    </row>
    <row r="410" spans="2:5" ht="15.75" customHeight="1" outlineLevel="2" x14ac:dyDescent="0.2">
      <c r="B410" s="456" t="s">
        <v>1779</v>
      </c>
    </row>
    <row r="411" spans="2:5" outlineLevel="2" x14ac:dyDescent="0.2">
      <c r="B411" s="456" t="s">
        <v>1780</v>
      </c>
    </row>
    <row r="412" spans="2:5" ht="15.75" customHeight="1" outlineLevel="2" x14ac:dyDescent="0.2">
      <c r="B412" s="456" t="s">
        <v>1781</v>
      </c>
    </row>
    <row r="413" spans="2:5" outlineLevel="1" x14ac:dyDescent="0.2">
      <c r="B413" s="456" t="s">
        <v>1782</v>
      </c>
    </row>
    <row r="414" spans="2:5" outlineLevel="1" x14ac:dyDescent="0.2">
      <c r="B414" s="456" t="s">
        <v>1783</v>
      </c>
    </row>
    <row r="415" spans="2:5" outlineLevel="1" x14ac:dyDescent="0.2">
      <c r="B415" s="456" t="s">
        <v>1784</v>
      </c>
    </row>
    <row r="416" spans="2:5" ht="14.25" customHeight="1" outlineLevel="2" x14ac:dyDescent="0.2">
      <c r="B416" s="456" t="s">
        <v>1785</v>
      </c>
    </row>
    <row r="417" spans="2:2" outlineLevel="2" x14ac:dyDescent="0.2"/>
    <row r="418" spans="2:2" x14ac:dyDescent="0.2">
      <c r="B418" s="456" t="s">
        <v>1786</v>
      </c>
    </row>
    <row r="419" spans="2:2" x14ac:dyDescent="0.2">
      <c r="B419" s="456" t="s">
        <v>1787</v>
      </c>
    </row>
    <row r="421" spans="2:2" x14ac:dyDescent="0.2">
      <c r="B421" s="456" t="s">
        <v>1788</v>
      </c>
    </row>
    <row r="422" spans="2:2" x14ac:dyDescent="0.2">
      <c r="B422" s="456" t="s">
        <v>1789</v>
      </c>
    </row>
    <row r="423" spans="2:2" x14ac:dyDescent="0.2">
      <c r="B423" s="456" t="s">
        <v>1790</v>
      </c>
    </row>
    <row r="425" spans="2:2" ht="15" x14ac:dyDescent="0.25">
      <c r="B425" s="498" t="s">
        <v>3371</v>
      </c>
    </row>
    <row r="427" spans="2:2" x14ac:dyDescent="0.2">
      <c r="B427" s="456" t="s">
        <v>1791</v>
      </c>
    </row>
    <row r="428" spans="2:2" x14ac:dyDescent="0.2">
      <c r="B428" s="456" t="s">
        <v>1792</v>
      </c>
    </row>
    <row r="429" spans="2:2" x14ac:dyDescent="0.2">
      <c r="B429" s="456" t="s">
        <v>1793</v>
      </c>
    </row>
    <row r="430" spans="2:2" x14ac:dyDescent="0.2">
      <c r="B430" s="456" t="s">
        <v>1794</v>
      </c>
    </row>
    <row r="431" spans="2:2" x14ac:dyDescent="0.2">
      <c r="B431" s="456" t="s">
        <v>1795</v>
      </c>
    </row>
    <row r="432" spans="2:2" x14ac:dyDescent="0.2">
      <c r="B432" s="456" t="s">
        <v>1796</v>
      </c>
    </row>
    <row r="433" spans="2:2" x14ac:dyDescent="0.2">
      <c r="B433" s="456" t="s">
        <v>1797</v>
      </c>
    </row>
    <row r="435" spans="2:2" x14ac:dyDescent="0.2">
      <c r="B435" s="456" t="s">
        <v>1798</v>
      </c>
    </row>
    <row r="436" spans="2:2" x14ac:dyDescent="0.2">
      <c r="B436" s="456" t="s">
        <v>1799</v>
      </c>
    </row>
    <row r="437" spans="2:2" x14ac:dyDescent="0.2">
      <c r="B437" s="456" t="s">
        <v>1800</v>
      </c>
    </row>
    <row r="438" spans="2:2" x14ac:dyDescent="0.2">
      <c r="B438" s="456" t="s">
        <v>1801</v>
      </c>
    </row>
    <row r="439" spans="2:2" x14ac:dyDescent="0.2">
      <c r="B439" s="456" t="s">
        <v>1546</v>
      </c>
    </row>
    <row r="441" spans="2:2" x14ac:dyDescent="0.2">
      <c r="B441" s="456" t="s">
        <v>1802</v>
      </c>
    </row>
    <row r="442" spans="2:2" x14ac:dyDescent="0.2">
      <c r="B442" s="456" t="s">
        <v>1803</v>
      </c>
    </row>
    <row r="443" spans="2:2" x14ac:dyDescent="0.2">
      <c r="B443" s="456" t="s">
        <v>1804</v>
      </c>
    </row>
    <row r="444" spans="2:2" x14ac:dyDescent="0.2">
      <c r="B444" s="456" t="s">
        <v>1805</v>
      </c>
    </row>
    <row r="445" spans="2:2" x14ac:dyDescent="0.2">
      <c r="B445" s="456" t="s">
        <v>1806</v>
      </c>
    </row>
    <row r="446" spans="2:2" x14ac:dyDescent="0.2">
      <c r="B446" s="456" t="s">
        <v>1807</v>
      </c>
    </row>
    <row r="447" spans="2:2" x14ac:dyDescent="0.2">
      <c r="B447" s="456" t="s">
        <v>1808</v>
      </c>
    </row>
    <row r="448" spans="2:2" x14ac:dyDescent="0.2">
      <c r="B448" s="456" t="s">
        <v>1809</v>
      </c>
    </row>
    <row r="449" spans="2:2" x14ac:dyDescent="0.2">
      <c r="B449" s="456" t="s">
        <v>1810</v>
      </c>
    </row>
    <row r="451" spans="2:2" x14ac:dyDescent="0.2">
      <c r="B451" s="456" t="s">
        <v>1811</v>
      </c>
    </row>
    <row r="452" spans="2:2" x14ac:dyDescent="0.2">
      <c r="B452" s="456" t="s">
        <v>1812</v>
      </c>
    </row>
    <row r="453" spans="2:2" x14ac:dyDescent="0.2">
      <c r="B453" s="456" t="s">
        <v>1813</v>
      </c>
    </row>
    <row r="454" spans="2:2" x14ac:dyDescent="0.2">
      <c r="B454" s="456" t="s">
        <v>1814</v>
      </c>
    </row>
    <row r="455" spans="2:2" x14ac:dyDescent="0.2">
      <c r="B455" s="456" t="s">
        <v>1815</v>
      </c>
    </row>
    <row r="456" spans="2:2" x14ac:dyDescent="0.2">
      <c r="B456" s="456" t="s">
        <v>1816</v>
      </c>
    </row>
    <row r="457" spans="2:2" x14ac:dyDescent="0.2">
      <c r="B457" s="456" t="s">
        <v>1817</v>
      </c>
    </row>
    <row r="458" spans="2:2" x14ac:dyDescent="0.2">
      <c r="B458" s="456" t="s">
        <v>1818</v>
      </c>
    </row>
    <row r="459" spans="2:2" x14ac:dyDescent="0.2">
      <c r="B459" s="456" t="s">
        <v>1819</v>
      </c>
    </row>
    <row r="461" spans="2:2" x14ac:dyDescent="0.2">
      <c r="B461" s="456" t="s">
        <v>1820</v>
      </c>
    </row>
    <row r="462" spans="2:2" x14ac:dyDescent="0.2">
      <c r="B462" s="456" t="s">
        <v>1821</v>
      </c>
    </row>
    <row r="464" spans="2:2" x14ac:dyDescent="0.2">
      <c r="B464" s="456" t="s">
        <v>1547</v>
      </c>
    </row>
    <row r="466" spans="2:2" ht="15" x14ac:dyDescent="0.25">
      <c r="B466" s="456" t="s">
        <v>2482</v>
      </c>
    </row>
    <row r="467" spans="2:2" ht="15" x14ac:dyDescent="0.25">
      <c r="B467" s="456" t="s">
        <v>2483</v>
      </c>
    </row>
    <row r="468" spans="2:2" ht="15" x14ac:dyDescent="0.25">
      <c r="B468" s="456" t="s">
        <v>2484</v>
      </c>
    </row>
    <row r="470" spans="2:2" ht="15" x14ac:dyDescent="0.25">
      <c r="B470" s="456" t="s">
        <v>2491</v>
      </c>
    </row>
    <row r="471" spans="2:2" ht="15" x14ac:dyDescent="0.25">
      <c r="B471" s="456" t="s">
        <v>2492</v>
      </c>
    </row>
    <row r="472" spans="2:2" x14ac:dyDescent="0.2">
      <c r="B472" s="456" t="s">
        <v>2493</v>
      </c>
    </row>
    <row r="474" spans="2:2" x14ac:dyDescent="0.2">
      <c r="B474" s="456" t="s">
        <v>1822</v>
      </c>
    </row>
    <row r="475" spans="2:2" x14ac:dyDescent="0.2">
      <c r="B475" s="456" t="s">
        <v>1823</v>
      </c>
    </row>
    <row r="476" spans="2:2" x14ac:dyDescent="0.2">
      <c r="B476" s="456" t="s">
        <v>1824</v>
      </c>
    </row>
    <row r="477" spans="2:2" x14ac:dyDescent="0.2">
      <c r="B477" s="456" t="s">
        <v>1825</v>
      </c>
    </row>
    <row r="479" spans="2:2" x14ac:dyDescent="0.2">
      <c r="B479" s="456" t="s">
        <v>1548</v>
      </c>
    </row>
    <row r="481" spans="2:2" ht="15" x14ac:dyDescent="0.25">
      <c r="B481" s="456" t="s">
        <v>2494</v>
      </c>
    </row>
    <row r="482" spans="2:2" ht="15" x14ac:dyDescent="0.25">
      <c r="B482" s="456" t="s">
        <v>2495</v>
      </c>
    </row>
    <row r="483" spans="2:2" x14ac:dyDescent="0.2">
      <c r="B483" s="456" t="s">
        <v>2496</v>
      </c>
    </row>
    <row r="485" spans="2:2" x14ac:dyDescent="0.2">
      <c r="B485" s="456" t="s">
        <v>1826</v>
      </c>
    </row>
    <row r="486" spans="2:2" x14ac:dyDescent="0.2">
      <c r="B486" s="456" t="s">
        <v>1827</v>
      </c>
    </row>
    <row r="488" spans="2:2" x14ac:dyDescent="0.2">
      <c r="B488" s="456" t="s">
        <v>1828</v>
      </c>
    </row>
    <row r="489" spans="2:2" x14ac:dyDescent="0.2">
      <c r="B489" s="456" t="s">
        <v>1829</v>
      </c>
    </row>
    <row r="490" spans="2:2" x14ac:dyDescent="0.2">
      <c r="B490" s="456" t="s">
        <v>1830</v>
      </c>
    </row>
    <row r="491" spans="2:2" x14ac:dyDescent="0.2">
      <c r="B491" s="456" t="s">
        <v>1831</v>
      </c>
    </row>
    <row r="493" spans="2:2" x14ac:dyDescent="0.2">
      <c r="B493" s="456" t="s">
        <v>1549</v>
      </c>
    </row>
    <row r="495" spans="2:2" x14ac:dyDescent="0.2">
      <c r="B495" s="456" t="s">
        <v>1832</v>
      </c>
    </row>
    <row r="496" spans="2:2" x14ac:dyDescent="0.2">
      <c r="B496" s="456" t="s">
        <v>1833</v>
      </c>
    </row>
    <row r="497" spans="2:2" x14ac:dyDescent="0.2">
      <c r="B497" s="456" t="s">
        <v>1834</v>
      </c>
    </row>
    <row r="498" spans="2:2" x14ac:dyDescent="0.2">
      <c r="B498" s="456" t="s">
        <v>1835</v>
      </c>
    </row>
    <row r="500" spans="2:2" x14ac:dyDescent="0.2">
      <c r="B500" s="456" t="s">
        <v>1836</v>
      </c>
    </row>
    <row r="501" spans="2:2" x14ac:dyDescent="0.2">
      <c r="B501" s="456" t="s">
        <v>1837</v>
      </c>
    </row>
    <row r="502" spans="2:2" x14ac:dyDescent="0.2">
      <c r="B502" s="456" t="s">
        <v>1838</v>
      </c>
    </row>
    <row r="504" spans="2:2" x14ac:dyDescent="0.2">
      <c r="B504" s="456" t="s">
        <v>1839</v>
      </c>
    </row>
    <row r="505" spans="2:2" x14ac:dyDescent="0.2">
      <c r="B505" s="456" t="s">
        <v>1840</v>
      </c>
    </row>
    <row r="506" spans="2:2" x14ac:dyDescent="0.2">
      <c r="B506" s="456" t="s">
        <v>1841</v>
      </c>
    </row>
    <row r="507" spans="2:2" x14ac:dyDescent="0.2">
      <c r="B507" s="456" t="s">
        <v>1842</v>
      </c>
    </row>
    <row r="508" spans="2:2" x14ac:dyDescent="0.2">
      <c r="B508" s="456" t="s">
        <v>1843</v>
      </c>
    </row>
    <row r="510" spans="2:2" x14ac:dyDescent="0.2">
      <c r="B510" s="456" t="s">
        <v>1844</v>
      </c>
    </row>
    <row r="511" spans="2:2" x14ac:dyDescent="0.2">
      <c r="B511" s="456" t="s">
        <v>2936</v>
      </c>
    </row>
    <row r="512" spans="2:2" ht="15" x14ac:dyDescent="0.25">
      <c r="B512" s="456" t="s">
        <v>2497</v>
      </c>
    </row>
    <row r="513" spans="2:2" ht="15" x14ac:dyDescent="0.25">
      <c r="B513" s="456" t="s">
        <v>2498</v>
      </c>
    </row>
    <row r="515" spans="2:2" x14ac:dyDescent="0.2">
      <c r="B515" s="456" t="s">
        <v>1845</v>
      </c>
    </row>
    <row r="516" spans="2:2" x14ac:dyDescent="0.2">
      <c r="B516" s="456" t="s">
        <v>1846</v>
      </c>
    </row>
    <row r="518" spans="2:2" x14ac:dyDescent="0.2">
      <c r="B518" s="456" t="s">
        <v>1550</v>
      </c>
    </row>
    <row r="520" spans="2:2" ht="15" x14ac:dyDescent="0.25">
      <c r="B520" s="456" t="s">
        <v>2499</v>
      </c>
    </row>
    <row r="521" spans="2:2" ht="15" x14ac:dyDescent="0.25">
      <c r="B521" s="456" t="s">
        <v>2500</v>
      </c>
    </row>
    <row r="522" spans="2:2" ht="15" x14ac:dyDescent="0.25">
      <c r="B522" s="456" t="s">
        <v>2501</v>
      </c>
    </row>
    <row r="523" spans="2:2" ht="15" x14ac:dyDescent="0.25">
      <c r="B523" s="456" t="s">
        <v>2502</v>
      </c>
    </row>
    <row r="524" spans="2:2" x14ac:dyDescent="0.2">
      <c r="B524" s="456" t="s">
        <v>2503</v>
      </c>
    </row>
    <row r="525" spans="2:2" ht="15" x14ac:dyDescent="0.25">
      <c r="B525" s="456" t="s">
        <v>2504</v>
      </c>
    </row>
    <row r="526" spans="2:2" x14ac:dyDescent="0.2">
      <c r="B526" s="456" t="s">
        <v>2505</v>
      </c>
    </row>
    <row r="527" spans="2:2" x14ac:dyDescent="0.2">
      <c r="B527" s="456" t="s">
        <v>2506</v>
      </c>
    </row>
    <row r="528" spans="2:2" ht="15" x14ac:dyDescent="0.25">
      <c r="B528" s="456" t="s">
        <v>2507</v>
      </c>
    </row>
    <row r="529" spans="2:2" x14ac:dyDescent="0.2">
      <c r="B529" s="456" t="s">
        <v>2508</v>
      </c>
    </row>
    <row r="530" spans="2:2" ht="15" x14ac:dyDescent="0.25">
      <c r="B530" s="456" t="s">
        <v>2509</v>
      </c>
    </row>
    <row r="531" spans="2:2" x14ac:dyDescent="0.2">
      <c r="B531" s="456" t="s">
        <v>2510</v>
      </c>
    </row>
    <row r="533" spans="2:2" ht="15" x14ac:dyDescent="0.25">
      <c r="B533" s="498" t="s">
        <v>1551</v>
      </c>
    </row>
    <row r="535" spans="2:2" x14ac:dyDescent="0.2">
      <c r="B535" s="456" t="s">
        <v>1847</v>
      </c>
    </row>
    <row r="536" spans="2:2" x14ac:dyDescent="0.2">
      <c r="B536" s="456" t="s">
        <v>1848</v>
      </c>
    </row>
    <row r="538" spans="2:2" ht="15" x14ac:dyDescent="0.25">
      <c r="B538" s="498" t="s">
        <v>1552</v>
      </c>
    </row>
    <row r="540" spans="2:2" x14ac:dyDescent="0.2">
      <c r="B540" s="456" t="s">
        <v>1553</v>
      </c>
    </row>
    <row r="541" spans="2:2" x14ac:dyDescent="0.2">
      <c r="B541" s="456" t="s">
        <v>1554</v>
      </c>
    </row>
    <row r="543" spans="2:2" ht="15" x14ac:dyDescent="0.25">
      <c r="B543" s="498" t="s">
        <v>1555</v>
      </c>
    </row>
    <row r="545" spans="2:3" x14ac:dyDescent="0.2">
      <c r="B545" s="456" t="s">
        <v>1849</v>
      </c>
    </row>
    <row r="546" spans="2:3" x14ac:dyDescent="0.2">
      <c r="B546" s="456" t="s">
        <v>1850</v>
      </c>
    </row>
    <row r="547" spans="2:3" x14ac:dyDescent="0.2">
      <c r="B547" s="456" t="s">
        <v>1556</v>
      </c>
    </row>
    <row r="549" spans="2:3" ht="15" x14ac:dyDescent="0.25">
      <c r="B549" s="498" t="s">
        <v>1557</v>
      </c>
    </row>
    <row r="551" spans="2:3" x14ac:dyDescent="0.2">
      <c r="B551" s="456" t="s">
        <v>1851</v>
      </c>
    </row>
    <row r="552" spans="2:3" x14ac:dyDescent="0.2">
      <c r="B552" s="456" t="s">
        <v>1852</v>
      </c>
    </row>
    <row r="553" spans="2:3" x14ac:dyDescent="0.2">
      <c r="B553" s="456" t="s">
        <v>2924</v>
      </c>
      <c r="C553" s="456" t="s">
        <v>296</v>
      </c>
    </row>
    <row r="554" spans="2:3" x14ac:dyDescent="0.2">
      <c r="B554" s="456" t="s">
        <v>2906</v>
      </c>
    </row>
    <row r="555" spans="2:3" x14ac:dyDescent="0.2">
      <c r="B555" s="456" t="s">
        <v>2907</v>
      </c>
    </row>
    <row r="557" spans="2:3" x14ac:dyDescent="0.2">
      <c r="B557" s="456" t="s">
        <v>1558</v>
      </c>
    </row>
    <row r="559" spans="2:3" ht="15" x14ac:dyDescent="0.25">
      <c r="B559" s="456" t="s">
        <v>2929</v>
      </c>
    </row>
    <row r="560" spans="2:3" x14ac:dyDescent="0.2">
      <c r="B560" s="456" t="s">
        <v>2932</v>
      </c>
    </row>
    <row r="561" spans="2:2" ht="15" x14ac:dyDescent="0.25">
      <c r="B561" s="456" t="s">
        <v>2930</v>
      </c>
    </row>
    <row r="562" spans="2:2" x14ac:dyDescent="0.2">
      <c r="B562" s="456" t="s">
        <v>2931</v>
      </c>
    </row>
    <row r="564" spans="2:2" ht="15" x14ac:dyDescent="0.25">
      <c r="B564" s="498" t="s">
        <v>1559</v>
      </c>
    </row>
    <row r="566" spans="2:2" x14ac:dyDescent="0.2">
      <c r="B566" s="456" t="s">
        <v>1853</v>
      </c>
    </row>
    <row r="567" spans="2:2" x14ac:dyDescent="0.2">
      <c r="B567" s="456" t="s">
        <v>1854</v>
      </c>
    </row>
    <row r="569" spans="2:2" ht="15" x14ac:dyDescent="0.25">
      <c r="B569" s="456" t="s">
        <v>2511</v>
      </c>
    </row>
    <row r="570" spans="2:2" ht="15" x14ac:dyDescent="0.25">
      <c r="B570" s="456" t="s">
        <v>2512</v>
      </c>
    </row>
    <row r="571" spans="2:2" ht="15" x14ac:dyDescent="0.25">
      <c r="B571" s="456" t="s">
        <v>2513</v>
      </c>
    </row>
    <row r="573" spans="2:2" x14ac:dyDescent="0.2">
      <c r="B573" s="456" t="s">
        <v>1560</v>
      </c>
    </row>
    <row r="575" spans="2:2" ht="15" x14ac:dyDescent="0.25">
      <c r="B575" s="498" t="s">
        <v>1561</v>
      </c>
    </row>
    <row r="577" spans="2:2" x14ac:dyDescent="0.2">
      <c r="B577" s="456" t="s">
        <v>1855</v>
      </c>
    </row>
    <row r="578" spans="2:2" x14ac:dyDescent="0.2">
      <c r="B578" s="456" t="s">
        <v>1856</v>
      </c>
    </row>
    <row r="580" spans="2:2" x14ac:dyDescent="0.2">
      <c r="B580" s="456" t="s">
        <v>1857</v>
      </c>
    </row>
    <row r="581" spans="2:2" x14ac:dyDescent="0.2">
      <c r="B581" s="456" t="s">
        <v>1858</v>
      </c>
    </row>
    <row r="582" spans="2:2" x14ac:dyDescent="0.2">
      <c r="B582" s="456" t="s">
        <v>1859</v>
      </c>
    </row>
    <row r="583" spans="2:2" x14ac:dyDescent="0.2">
      <c r="B583" s="456" t="s">
        <v>1860</v>
      </c>
    </row>
    <row r="584" spans="2:2" x14ac:dyDescent="0.2">
      <c r="B584" s="456" t="s">
        <v>1861</v>
      </c>
    </row>
    <row r="585" spans="2:2" x14ac:dyDescent="0.2">
      <c r="B585" s="456" t="s">
        <v>1862</v>
      </c>
    </row>
    <row r="586" spans="2:2" x14ac:dyDescent="0.2">
      <c r="B586" s="456" t="s">
        <v>1863</v>
      </c>
    </row>
    <row r="587" spans="2:2" x14ac:dyDescent="0.2">
      <c r="B587" s="456" t="s">
        <v>1864</v>
      </c>
    </row>
    <row r="588" spans="2:2" x14ac:dyDescent="0.2">
      <c r="B588" s="456" t="s">
        <v>1865</v>
      </c>
    </row>
    <row r="589" spans="2:2" x14ac:dyDescent="0.2">
      <c r="B589" s="456" t="s">
        <v>1866</v>
      </c>
    </row>
    <row r="590" spans="2:2" x14ac:dyDescent="0.2">
      <c r="B590" s="456" t="s">
        <v>1867</v>
      </c>
    </row>
    <row r="591" spans="2:2" x14ac:dyDescent="0.2">
      <c r="B591" s="456" t="s">
        <v>1868</v>
      </c>
    </row>
    <row r="592" spans="2:2" x14ac:dyDescent="0.2">
      <c r="B592" s="456" t="s">
        <v>1869</v>
      </c>
    </row>
    <row r="593" spans="2:2" x14ac:dyDescent="0.2">
      <c r="B593" s="456" t="s">
        <v>1870</v>
      </c>
    </row>
    <row r="594" spans="2:2" x14ac:dyDescent="0.2">
      <c r="B594" s="456" t="s">
        <v>1871</v>
      </c>
    </row>
    <row r="595" spans="2:2" x14ac:dyDescent="0.2">
      <c r="B595" s="456" t="s">
        <v>1872</v>
      </c>
    </row>
    <row r="596" spans="2:2" x14ac:dyDescent="0.2">
      <c r="B596" s="456" t="s">
        <v>1873</v>
      </c>
    </row>
    <row r="598" spans="2:2" ht="15" x14ac:dyDescent="0.25">
      <c r="B598" s="498" t="s">
        <v>1562</v>
      </c>
    </row>
    <row r="600" spans="2:2" x14ac:dyDescent="0.2">
      <c r="B600" s="456" t="s">
        <v>1563</v>
      </c>
    </row>
    <row r="602" spans="2:2" ht="15" x14ac:dyDescent="0.25">
      <c r="B602" s="456" t="s">
        <v>2514</v>
      </c>
    </row>
    <row r="603" spans="2:2" ht="15" x14ac:dyDescent="0.25">
      <c r="B603" s="456" t="s">
        <v>2515</v>
      </c>
    </row>
    <row r="605" spans="2:2" x14ac:dyDescent="0.2">
      <c r="B605" s="456" t="s">
        <v>1874</v>
      </c>
    </row>
    <row r="606" spans="2:2" x14ac:dyDescent="0.2">
      <c r="B606" s="456" t="s">
        <v>1875</v>
      </c>
    </row>
    <row r="607" spans="2:2" x14ac:dyDescent="0.2">
      <c r="B607" s="456" t="s">
        <v>1876</v>
      </c>
    </row>
    <row r="609" spans="2:2" x14ac:dyDescent="0.2">
      <c r="B609" s="456" t="s">
        <v>1564</v>
      </c>
    </row>
    <row r="610" spans="2:2" x14ac:dyDescent="0.2">
      <c r="B610" s="456" t="s">
        <v>1877</v>
      </c>
    </row>
    <row r="611" spans="2:2" x14ac:dyDescent="0.2">
      <c r="B611" s="456" t="s">
        <v>1878</v>
      </c>
    </row>
    <row r="612" spans="2:2" x14ac:dyDescent="0.2">
      <c r="B612" s="456" t="s">
        <v>1879</v>
      </c>
    </row>
    <row r="614" spans="2:2" x14ac:dyDescent="0.2">
      <c r="B614" s="456" t="s">
        <v>1880</v>
      </c>
    </row>
    <row r="615" spans="2:2" x14ac:dyDescent="0.2">
      <c r="B615" s="456" t="s">
        <v>1881</v>
      </c>
    </row>
    <row r="616" spans="2:2" x14ac:dyDescent="0.2">
      <c r="B616" s="456" t="s">
        <v>1882</v>
      </c>
    </row>
    <row r="618" spans="2:2" ht="15" x14ac:dyDescent="0.25">
      <c r="B618" s="498" t="s">
        <v>1565</v>
      </c>
    </row>
    <row r="620" spans="2:2" x14ac:dyDescent="0.2">
      <c r="B620" s="456" t="s">
        <v>1883</v>
      </c>
    </row>
    <row r="621" spans="2:2" x14ac:dyDescent="0.2">
      <c r="B621" s="456" t="s">
        <v>1884</v>
      </c>
    </row>
    <row r="622" spans="2:2" x14ac:dyDescent="0.2">
      <c r="B622" s="456" t="s">
        <v>1885</v>
      </c>
    </row>
    <row r="623" spans="2:2" x14ac:dyDescent="0.2">
      <c r="B623" s="456" t="s">
        <v>1886</v>
      </c>
    </row>
    <row r="624" spans="2:2" x14ac:dyDescent="0.2">
      <c r="B624" s="456" t="s">
        <v>1887</v>
      </c>
    </row>
    <row r="626" spans="2:4" s="498" customFormat="1" ht="15" x14ac:dyDescent="0.25">
      <c r="B626" s="498" t="s">
        <v>1566</v>
      </c>
      <c r="D626" s="815"/>
    </row>
    <row r="628" spans="2:4" x14ac:dyDescent="0.2">
      <c r="B628" s="456" t="s">
        <v>1888</v>
      </c>
    </row>
    <row r="629" spans="2:4" x14ac:dyDescent="0.2">
      <c r="B629" s="456" t="s">
        <v>1889</v>
      </c>
    </row>
    <row r="631" spans="2:4" x14ac:dyDescent="0.2">
      <c r="B631" s="456" t="s">
        <v>1567</v>
      </c>
    </row>
    <row r="633" spans="2:4" x14ac:dyDescent="0.2">
      <c r="B633" s="456" t="s">
        <v>1890</v>
      </c>
    </row>
    <row r="634" spans="2:4" x14ac:dyDescent="0.2">
      <c r="B634" s="456" t="s">
        <v>1891</v>
      </c>
    </row>
    <row r="635" spans="2:4" x14ac:dyDescent="0.2">
      <c r="B635" s="456" t="s">
        <v>1892</v>
      </c>
    </row>
    <row r="636" spans="2:4" x14ac:dyDescent="0.2">
      <c r="B636" s="456" t="s">
        <v>1893</v>
      </c>
    </row>
    <row r="637" spans="2:4" x14ac:dyDescent="0.2">
      <c r="B637" s="456" t="s">
        <v>1894</v>
      </c>
    </row>
    <row r="638" spans="2:4" x14ac:dyDescent="0.2">
      <c r="B638" s="456" t="s">
        <v>4116</v>
      </c>
    </row>
    <row r="639" spans="2:4" x14ac:dyDescent="0.2">
      <c r="B639" s="456" t="s">
        <v>1895</v>
      </c>
    </row>
    <row r="641" spans="2:2" x14ac:dyDescent="0.2">
      <c r="B641" s="456" t="s">
        <v>1896</v>
      </c>
    </row>
    <row r="642" spans="2:2" x14ac:dyDescent="0.2">
      <c r="B642" s="456" t="s">
        <v>1897</v>
      </c>
    </row>
    <row r="643" spans="2:2" x14ac:dyDescent="0.2">
      <c r="B643" s="456" t="s">
        <v>4117</v>
      </c>
    </row>
    <row r="644" spans="2:2" x14ac:dyDescent="0.2">
      <c r="B644" s="456" t="s">
        <v>1898</v>
      </c>
    </row>
    <row r="645" spans="2:2" x14ac:dyDescent="0.2">
      <c r="B645" s="456" t="s">
        <v>1899</v>
      </c>
    </row>
    <row r="646" spans="2:2" x14ac:dyDescent="0.2">
      <c r="B646" s="456" t="s">
        <v>1900</v>
      </c>
    </row>
    <row r="647" spans="2:2" x14ac:dyDescent="0.2">
      <c r="B647" s="456" t="s">
        <v>1901</v>
      </c>
    </row>
    <row r="649" spans="2:2" ht="15" x14ac:dyDescent="0.25">
      <c r="B649" s="498" t="s">
        <v>2908</v>
      </c>
    </row>
    <row r="651" spans="2:2" x14ac:dyDescent="0.2">
      <c r="B651" s="456" t="s">
        <v>1902</v>
      </c>
    </row>
    <row r="652" spans="2:2" x14ac:dyDescent="0.2">
      <c r="B652" s="456" t="s">
        <v>1903</v>
      </c>
    </row>
    <row r="653" spans="2:2" x14ac:dyDescent="0.2">
      <c r="B653" s="456" t="s">
        <v>1904</v>
      </c>
    </row>
    <row r="654" spans="2:2" x14ac:dyDescent="0.2">
      <c r="B654" s="456" t="s">
        <v>1905</v>
      </c>
    </row>
    <row r="655" spans="2:2" x14ac:dyDescent="0.2">
      <c r="B655" s="456" t="s">
        <v>1906</v>
      </c>
    </row>
    <row r="656" spans="2:2" x14ac:dyDescent="0.2">
      <c r="B656" s="456" t="s">
        <v>1907</v>
      </c>
    </row>
    <row r="658" spans="2:2" ht="15" x14ac:dyDescent="0.25">
      <c r="B658" s="498" t="s">
        <v>1568</v>
      </c>
    </row>
    <row r="660" spans="2:2" ht="15" x14ac:dyDescent="0.25">
      <c r="B660" s="498" t="s">
        <v>1569</v>
      </c>
    </row>
    <row r="662" spans="2:2" x14ac:dyDescent="0.2">
      <c r="B662" s="456" t="s">
        <v>1570</v>
      </c>
    </row>
    <row r="664" spans="2:2" x14ac:dyDescent="0.2">
      <c r="B664" s="456" t="s">
        <v>1571</v>
      </c>
    </row>
    <row r="666" spans="2:2" ht="15" x14ac:dyDescent="0.25">
      <c r="B666" s="456" t="s">
        <v>2516</v>
      </c>
    </row>
    <row r="667" spans="2:2" x14ac:dyDescent="0.2">
      <c r="B667" s="456" t="s">
        <v>2933</v>
      </c>
    </row>
    <row r="668" spans="2:2" ht="15" x14ac:dyDescent="0.25">
      <c r="B668" s="456" t="s">
        <v>2517</v>
      </c>
    </row>
    <row r="669" spans="2:2" x14ac:dyDescent="0.2">
      <c r="B669" s="456" t="s">
        <v>2519</v>
      </c>
    </row>
    <row r="670" spans="2:2" ht="15" x14ac:dyDescent="0.25">
      <c r="B670" s="456" t="s">
        <v>2518</v>
      </c>
    </row>
    <row r="671" spans="2:2" x14ac:dyDescent="0.2">
      <c r="B671" s="456" t="s">
        <v>2520</v>
      </c>
    </row>
    <row r="672" spans="2:2" x14ac:dyDescent="0.2">
      <c r="B672" s="456" t="s">
        <v>2521</v>
      </c>
    </row>
    <row r="673" spans="2:3" x14ac:dyDescent="0.2">
      <c r="B673" s="456" t="s">
        <v>2522</v>
      </c>
    </row>
    <row r="674" spans="2:3" x14ac:dyDescent="0.2">
      <c r="B674" s="456" t="s">
        <v>2934</v>
      </c>
    </row>
    <row r="675" spans="2:3" x14ac:dyDescent="0.2">
      <c r="B675" s="456" t="s">
        <v>2935</v>
      </c>
    </row>
    <row r="677" spans="2:3" x14ac:dyDescent="0.2">
      <c r="B677" s="456" t="s">
        <v>1659</v>
      </c>
    </row>
    <row r="678" spans="2:3" x14ac:dyDescent="0.2">
      <c r="B678" s="456" t="s">
        <v>1908</v>
      </c>
    </row>
    <row r="679" spans="2:3" x14ac:dyDescent="0.2">
      <c r="B679" s="456" t="s">
        <v>1909</v>
      </c>
    </row>
    <row r="680" spans="2:3" x14ac:dyDescent="0.2">
      <c r="B680" s="456" t="s">
        <v>1910</v>
      </c>
    </row>
    <row r="681" spans="2:3" x14ac:dyDescent="0.2">
      <c r="B681" s="456" t="s">
        <v>1572</v>
      </c>
    </row>
    <row r="683" spans="2:3" x14ac:dyDescent="0.2">
      <c r="B683" s="456" t="s">
        <v>1911</v>
      </c>
    </row>
    <row r="684" spans="2:3" x14ac:dyDescent="0.2">
      <c r="B684" s="456" t="s">
        <v>1912</v>
      </c>
    </row>
    <row r="685" spans="2:3" x14ac:dyDescent="0.2">
      <c r="B685" s="456" t="s">
        <v>1913</v>
      </c>
    </row>
    <row r="686" spans="2:3" x14ac:dyDescent="0.2">
      <c r="B686" s="456" t="s">
        <v>1914</v>
      </c>
    </row>
    <row r="687" spans="2:3" x14ac:dyDescent="0.2">
      <c r="B687" s="456" t="s">
        <v>2875</v>
      </c>
      <c r="C687" s="456" t="s">
        <v>296</v>
      </c>
    </row>
    <row r="688" spans="2:3" x14ac:dyDescent="0.2">
      <c r="B688" s="456" t="s">
        <v>1915</v>
      </c>
    </row>
    <row r="689" spans="2:2" x14ac:dyDescent="0.2">
      <c r="B689" s="456" t="s">
        <v>1916</v>
      </c>
    </row>
    <row r="690" spans="2:2" x14ac:dyDescent="0.2">
      <c r="B690" s="456" t="s">
        <v>1917</v>
      </c>
    </row>
    <row r="692" spans="2:2" x14ac:dyDescent="0.2">
      <c r="B692" s="456" t="s">
        <v>1918</v>
      </c>
    </row>
    <row r="693" spans="2:2" x14ac:dyDescent="0.2">
      <c r="B693" s="456" t="s">
        <v>1919</v>
      </c>
    </row>
    <row r="694" spans="2:2" x14ac:dyDescent="0.2">
      <c r="B694" s="456" t="s">
        <v>1920</v>
      </c>
    </row>
    <row r="695" spans="2:2" x14ac:dyDescent="0.2">
      <c r="B695" s="456" t="s">
        <v>1921</v>
      </c>
    </row>
    <row r="697" spans="2:2" x14ac:dyDescent="0.2">
      <c r="B697" s="456" t="s">
        <v>1922</v>
      </c>
    </row>
    <row r="698" spans="2:2" x14ac:dyDescent="0.2">
      <c r="B698" s="456" t="s">
        <v>1923</v>
      </c>
    </row>
    <row r="699" spans="2:2" x14ac:dyDescent="0.2">
      <c r="B699" s="456" t="s">
        <v>1924</v>
      </c>
    </row>
    <row r="700" spans="2:2" x14ac:dyDescent="0.2">
      <c r="B700" s="456" t="s">
        <v>1925</v>
      </c>
    </row>
    <row r="701" spans="2:2" x14ac:dyDescent="0.2">
      <c r="B701" s="456" t="s">
        <v>1926</v>
      </c>
    </row>
    <row r="702" spans="2:2" x14ac:dyDescent="0.2">
      <c r="B702" s="456" t="s">
        <v>1927</v>
      </c>
    </row>
    <row r="703" spans="2:2" x14ac:dyDescent="0.2">
      <c r="B703" s="456" t="s">
        <v>1928</v>
      </c>
    </row>
    <row r="704" spans="2:2" x14ac:dyDescent="0.2">
      <c r="B704" s="456" t="s">
        <v>1929</v>
      </c>
    </row>
    <row r="705" spans="2:2" x14ac:dyDescent="0.2">
      <c r="B705" s="456" t="s">
        <v>1930</v>
      </c>
    </row>
    <row r="706" spans="2:2" x14ac:dyDescent="0.2">
      <c r="B706" s="456" t="s">
        <v>1573</v>
      </c>
    </row>
    <row r="708" spans="2:2" x14ac:dyDescent="0.2">
      <c r="B708" s="456" t="s">
        <v>1931</v>
      </c>
    </row>
    <row r="709" spans="2:2" x14ac:dyDescent="0.2">
      <c r="B709" s="456" t="s">
        <v>1932</v>
      </c>
    </row>
    <row r="710" spans="2:2" x14ac:dyDescent="0.2">
      <c r="B710" s="456" t="s">
        <v>1933</v>
      </c>
    </row>
    <row r="711" spans="2:2" x14ac:dyDescent="0.2">
      <c r="B711" s="456" t="s">
        <v>1934</v>
      </c>
    </row>
    <row r="712" spans="2:2" x14ac:dyDescent="0.2">
      <c r="B712" s="456" t="s">
        <v>1935</v>
      </c>
    </row>
    <row r="713" spans="2:2" x14ac:dyDescent="0.2">
      <c r="B713" s="456" t="s">
        <v>1936</v>
      </c>
    </row>
    <row r="715" spans="2:2" ht="15" x14ac:dyDescent="0.25">
      <c r="B715" s="498" t="s">
        <v>1574</v>
      </c>
    </row>
    <row r="717" spans="2:2" x14ac:dyDescent="0.2">
      <c r="B717" s="456" t="s">
        <v>1937</v>
      </c>
    </row>
    <row r="718" spans="2:2" x14ac:dyDescent="0.2">
      <c r="B718" s="456" t="s">
        <v>1938</v>
      </c>
    </row>
    <row r="719" spans="2:2" x14ac:dyDescent="0.2">
      <c r="B719" s="456" t="s">
        <v>1939</v>
      </c>
    </row>
    <row r="721" spans="2:2" x14ac:dyDescent="0.2">
      <c r="B721" s="456" t="s">
        <v>1940</v>
      </c>
    </row>
    <row r="722" spans="2:2" x14ac:dyDescent="0.2">
      <c r="B722" s="456" t="s">
        <v>1941</v>
      </c>
    </row>
    <row r="723" spans="2:2" x14ac:dyDescent="0.2">
      <c r="B723" s="456" t="s">
        <v>1942</v>
      </c>
    </row>
    <row r="724" spans="2:2" x14ac:dyDescent="0.2">
      <c r="B724" s="456" t="s">
        <v>1943</v>
      </c>
    </row>
    <row r="725" spans="2:2" x14ac:dyDescent="0.2">
      <c r="B725" s="456" t="s">
        <v>1575</v>
      </c>
    </row>
    <row r="727" spans="2:2" x14ac:dyDescent="0.2">
      <c r="B727" s="456" t="s">
        <v>1944</v>
      </c>
    </row>
    <row r="728" spans="2:2" x14ac:dyDescent="0.2">
      <c r="B728" s="456" t="s">
        <v>1945</v>
      </c>
    </row>
    <row r="729" spans="2:2" x14ac:dyDescent="0.2">
      <c r="B729" s="456" t="s">
        <v>1946</v>
      </c>
    </row>
    <row r="730" spans="2:2" x14ac:dyDescent="0.2">
      <c r="B730" s="456" t="s">
        <v>1947</v>
      </c>
    </row>
    <row r="731" spans="2:2" x14ac:dyDescent="0.2">
      <c r="B731" s="456" t="s">
        <v>1948</v>
      </c>
    </row>
    <row r="732" spans="2:2" x14ac:dyDescent="0.2">
      <c r="B732" s="456" t="s">
        <v>1949</v>
      </c>
    </row>
    <row r="734" spans="2:2" ht="15" x14ac:dyDescent="0.25">
      <c r="B734" s="498" t="s">
        <v>1576</v>
      </c>
    </row>
    <row r="736" spans="2:2" x14ac:dyDescent="0.2">
      <c r="B736" s="456" t="s">
        <v>1950</v>
      </c>
    </row>
    <row r="737" spans="2:2" x14ac:dyDescent="0.2">
      <c r="B737" s="456" t="s">
        <v>1951</v>
      </c>
    </row>
    <row r="739" spans="2:2" x14ac:dyDescent="0.2">
      <c r="B739" s="456" t="s">
        <v>1952</v>
      </c>
    </row>
    <row r="740" spans="2:2" x14ac:dyDescent="0.2">
      <c r="B740" s="456" t="s">
        <v>1953</v>
      </c>
    </row>
    <row r="741" spans="2:2" x14ac:dyDescent="0.2">
      <c r="B741" s="456" t="s">
        <v>1954</v>
      </c>
    </row>
    <row r="742" spans="2:2" x14ac:dyDescent="0.2">
      <c r="B742" s="456" t="s">
        <v>1955</v>
      </c>
    </row>
    <row r="744" spans="2:2" x14ac:dyDescent="0.2">
      <c r="B744" s="456" t="s">
        <v>1956</v>
      </c>
    </row>
    <row r="745" spans="2:2" x14ac:dyDescent="0.2">
      <c r="B745" s="456" t="s">
        <v>4219</v>
      </c>
    </row>
    <row r="746" spans="2:2" x14ac:dyDescent="0.2">
      <c r="B746" s="456" t="s">
        <v>1957</v>
      </c>
    </row>
    <row r="747" spans="2:2" x14ac:dyDescent="0.2">
      <c r="B747" s="456" t="s">
        <v>4220</v>
      </c>
    </row>
    <row r="749" spans="2:2" x14ac:dyDescent="0.2">
      <c r="B749" s="456" t="s">
        <v>1958</v>
      </c>
    </row>
    <row r="750" spans="2:2" x14ac:dyDescent="0.2">
      <c r="B750" s="456" t="s">
        <v>1959</v>
      </c>
    </row>
    <row r="751" spans="2:2" x14ac:dyDescent="0.2">
      <c r="B751" s="456" t="s">
        <v>1960</v>
      </c>
    </row>
    <row r="752" spans="2:2" x14ac:dyDescent="0.2">
      <c r="B752" s="456" t="s">
        <v>1961</v>
      </c>
    </row>
    <row r="753" spans="2:2" x14ac:dyDescent="0.2">
      <c r="B753" s="456" t="s">
        <v>1962</v>
      </c>
    </row>
    <row r="754" spans="2:2" x14ac:dyDescent="0.2">
      <c r="B754" s="456" t="s">
        <v>1963</v>
      </c>
    </row>
    <row r="756" spans="2:2" ht="15" x14ac:dyDescent="0.25">
      <c r="B756" s="498" t="s">
        <v>3372</v>
      </c>
    </row>
    <row r="758" spans="2:2" x14ac:dyDescent="0.2">
      <c r="B758" s="456" t="s">
        <v>1964</v>
      </c>
    </row>
    <row r="759" spans="2:2" x14ac:dyDescent="0.2">
      <c r="B759" s="456" t="s">
        <v>1965</v>
      </c>
    </row>
    <row r="760" spans="2:2" x14ac:dyDescent="0.2">
      <c r="B760" s="456" t="s">
        <v>1966</v>
      </c>
    </row>
    <row r="762" spans="2:2" x14ac:dyDescent="0.2">
      <c r="B762" s="456" t="s">
        <v>1967</v>
      </c>
    </row>
    <row r="763" spans="2:2" x14ac:dyDescent="0.2">
      <c r="B763" s="456" t="s">
        <v>1968</v>
      </c>
    </row>
    <row r="764" spans="2:2" x14ac:dyDescent="0.2">
      <c r="B764" s="456" t="s">
        <v>1969</v>
      </c>
    </row>
    <row r="766" spans="2:2" x14ac:dyDescent="0.2">
      <c r="B766" s="456" t="s">
        <v>1820</v>
      </c>
    </row>
    <row r="767" spans="2:2" x14ac:dyDescent="0.2">
      <c r="B767" s="456" t="s">
        <v>1970</v>
      </c>
    </row>
    <row r="769" spans="2:2" ht="15" x14ac:dyDescent="0.25">
      <c r="B769" s="498" t="s">
        <v>1577</v>
      </c>
    </row>
    <row r="771" spans="2:2" x14ac:dyDescent="0.2">
      <c r="B771" s="456" t="s">
        <v>1971</v>
      </c>
    </row>
    <row r="772" spans="2:2" x14ac:dyDescent="0.2">
      <c r="B772" s="456" t="s">
        <v>1972</v>
      </c>
    </row>
    <row r="774" spans="2:2" ht="15" x14ac:dyDescent="0.25">
      <c r="B774" s="498" t="s">
        <v>1578</v>
      </c>
    </row>
    <row r="776" spans="2:2" x14ac:dyDescent="0.2">
      <c r="B776" s="456" t="s">
        <v>1973</v>
      </c>
    </row>
    <row r="777" spans="2:2" x14ac:dyDescent="0.2">
      <c r="B777" s="456" t="s">
        <v>1974</v>
      </c>
    </row>
    <row r="779" spans="2:2" ht="15" x14ac:dyDescent="0.25">
      <c r="B779" s="456" t="s">
        <v>2733</v>
      </c>
    </row>
    <row r="780" spans="2:2" x14ac:dyDescent="0.2">
      <c r="B780" s="456" t="s">
        <v>2734</v>
      </c>
    </row>
    <row r="781" spans="2:2" ht="15" x14ac:dyDescent="0.25">
      <c r="B781" s="456" t="s">
        <v>2735</v>
      </c>
    </row>
    <row r="782" spans="2:2" x14ac:dyDescent="0.2">
      <c r="B782" s="456" t="s">
        <v>2736</v>
      </c>
    </row>
    <row r="783" spans="2:2" x14ac:dyDescent="0.2">
      <c r="B783" s="456" t="s">
        <v>2737</v>
      </c>
    </row>
    <row r="784" spans="2:2" ht="15" x14ac:dyDescent="0.25">
      <c r="B784" s="456" t="s">
        <v>2738</v>
      </c>
    </row>
    <row r="785" spans="2:2" x14ac:dyDescent="0.2">
      <c r="B785" s="456" t="s">
        <v>2739</v>
      </c>
    </row>
    <row r="786" spans="2:2" ht="15" x14ac:dyDescent="0.25">
      <c r="B786" s="456" t="s">
        <v>2909</v>
      </c>
    </row>
    <row r="788" spans="2:2" ht="15" x14ac:dyDescent="0.25">
      <c r="B788" s="498" t="s">
        <v>1579</v>
      </c>
    </row>
    <row r="790" spans="2:2" x14ac:dyDescent="0.2">
      <c r="B790" s="456" t="s">
        <v>1975</v>
      </c>
    </row>
    <row r="791" spans="2:2" x14ac:dyDescent="0.2">
      <c r="B791" s="456" t="s">
        <v>1976</v>
      </c>
    </row>
    <row r="792" spans="2:2" x14ac:dyDescent="0.2">
      <c r="B792" s="456" t="s">
        <v>1977</v>
      </c>
    </row>
    <row r="793" spans="2:2" x14ac:dyDescent="0.2">
      <c r="B793" s="456" t="s">
        <v>1978</v>
      </c>
    </row>
    <row r="795" spans="2:2" ht="15" x14ac:dyDescent="0.25">
      <c r="B795" s="456" t="s">
        <v>2740</v>
      </c>
    </row>
    <row r="796" spans="2:2" ht="15" x14ac:dyDescent="0.25">
      <c r="B796" s="456" t="s">
        <v>2738</v>
      </c>
    </row>
    <row r="797" spans="2:2" x14ac:dyDescent="0.2">
      <c r="B797" s="456" t="s">
        <v>2741</v>
      </c>
    </row>
    <row r="798" spans="2:2" ht="15" x14ac:dyDescent="0.25">
      <c r="B798" s="456" t="s">
        <v>2742</v>
      </c>
    </row>
    <row r="799" spans="2:2" x14ac:dyDescent="0.2">
      <c r="B799" s="456" t="s">
        <v>2743</v>
      </c>
    </row>
    <row r="800" spans="2:2" ht="15" x14ac:dyDescent="0.25">
      <c r="B800" s="456" t="s">
        <v>2744</v>
      </c>
    </row>
    <row r="801" spans="2:2" x14ac:dyDescent="0.2">
      <c r="B801" s="456" t="s">
        <v>2745</v>
      </c>
    </row>
    <row r="803" spans="2:2" x14ac:dyDescent="0.2">
      <c r="B803" s="456" t="s">
        <v>1979</v>
      </c>
    </row>
    <row r="804" spans="2:2" x14ac:dyDescent="0.2">
      <c r="B804" s="456" t="s">
        <v>1980</v>
      </c>
    </row>
    <row r="805" spans="2:2" x14ac:dyDescent="0.2">
      <c r="B805" s="456" t="s">
        <v>1981</v>
      </c>
    </row>
    <row r="806" spans="2:2" x14ac:dyDescent="0.2">
      <c r="B806" s="456" t="s">
        <v>1982</v>
      </c>
    </row>
    <row r="807" spans="2:2" x14ac:dyDescent="0.2">
      <c r="B807" s="456" t="s">
        <v>1580</v>
      </c>
    </row>
    <row r="809" spans="2:2" x14ac:dyDescent="0.2">
      <c r="B809" s="456" t="s">
        <v>1983</v>
      </c>
    </row>
    <row r="810" spans="2:2" x14ac:dyDescent="0.2">
      <c r="B810" s="456" t="s">
        <v>1984</v>
      </c>
    </row>
    <row r="811" spans="2:2" x14ac:dyDescent="0.2">
      <c r="B811" s="456" t="s">
        <v>1985</v>
      </c>
    </row>
    <row r="812" spans="2:2" x14ac:dyDescent="0.2">
      <c r="B812" s="456" t="s">
        <v>1986</v>
      </c>
    </row>
    <row r="814" spans="2:2" ht="15" x14ac:dyDescent="0.25">
      <c r="B814" s="498" t="s">
        <v>1581</v>
      </c>
    </row>
    <row r="816" spans="2:2" x14ac:dyDescent="0.2">
      <c r="B816" s="456" t="s">
        <v>1987</v>
      </c>
    </row>
    <row r="817" spans="2:2" x14ac:dyDescent="0.2">
      <c r="B817" s="456" t="s">
        <v>1988</v>
      </c>
    </row>
    <row r="819" spans="2:2" ht="15" x14ac:dyDescent="0.25">
      <c r="B819" s="456" t="s">
        <v>2746</v>
      </c>
    </row>
    <row r="820" spans="2:2" x14ac:dyDescent="0.2">
      <c r="B820" s="456" t="s">
        <v>2747</v>
      </c>
    </row>
    <row r="821" spans="2:2" ht="15" x14ac:dyDescent="0.25">
      <c r="B821" s="456" t="s">
        <v>2748</v>
      </c>
    </row>
    <row r="823" spans="2:2" x14ac:dyDescent="0.2">
      <c r="B823" s="456" t="s">
        <v>1582</v>
      </c>
    </row>
    <row r="824" spans="2:2" x14ac:dyDescent="0.2">
      <c r="B824" s="456" t="s">
        <v>1989</v>
      </c>
    </row>
    <row r="825" spans="2:2" x14ac:dyDescent="0.2">
      <c r="B825" s="456" t="s">
        <v>1990</v>
      </c>
    </row>
    <row r="827" spans="2:2" x14ac:dyDescent="0.2">
      <c r="B827" s="456" t="s">
        <v>1991</v>
      </c>
    </row>
    <row r="828" spans="2:2" x14ac:dyDescent="0.2">
      <c r="B828" s="456" t="s">
        <v>1992</v>
      </c>
    </row>
    <row r="830" spans="2:2" x14ac:dyDescent="0.2">
      <c r="B830" s="456" t="s">
        <v>1993</v>
      </c>
    </row>
    <row r="831" spans="2:2" x14ac:dyDescent="0.2">
      <c r="B831" s="456" t="s">
        <v>1994</v>
      </c>
    </row>
    <row r="833" spans="2:4" ht="15" x14ac:dyDescent="0.25">
      <c r="B833" s="498" t="s">
        <v>3373</v>
      </c>
      <c r="D833" s="820"/>
    </row>
    <row r="834" spans="2:4" ht="15" x14ac:dyDescent="0.2">
      <c r="D834" s="821"/>
    </row>
    <row r="835" spans="2:4" ht="15" x14ac:dyDescent="0.2">
      <c r="B835" s="456" t="s">
        <v>1995</v>
      </c>
      <c r="D835" s="821"/>
    </row>
    <row r="836" spans="2:4" ht="15" x14ac:dyDescent="0.2">
      <c r="B836" s="456" t="s">
        <v>1996</v>
      </c>
      <c r="D836" s="821"/>
    </row>
    <row r="837" spans="2:4" ht="15" x14ac:dyDescent="0.2">
      <c r="B837" s="456" t="s">
        <v>1997</v>
      </c>
      <c r="D837" s="821"/>
    </row>
    <row r="838" spans="2:4" ht="15" x14ac:dyDescent="0.2">
      <c r="D838" s="821"/>
    </row>
    <row r="839" spans="2:4" ht="15" x14ac:dyDescent="0.2">
      <c r="B839" s="456" t="s">
        <v>1998</v>
      </c>
      <c r="D839" s="821"/>
    </row>
    <row r="840" spans="2:4" ht="15" x14ac:dyDescent="0.2">
      <c r="B840" s="456" t="s">
        <v>1999</v>
      </c>
      <c r="D840" s="821"/>
    </row>
    <row r="841" spans="2:4" ht="15" x14ac:dyDescent="0.2">
      <c r="B841" s="456" t="s">
        <v>2000</v>
      </c>
      <c r="D841" s="821"/>
    </row>
    <row r="842" spans="2:4" ht="15" x14ac:dyDescent="0.2">
      <c r="B842" s="456" t="s">
        <v>2001</v>
      </c>
      <c r="D842" s="821"/>
    </row>
    <row r="843" spans="2:4" ht="15" x14ac:dyDescent="0.2">
      <c r="D843" s="821"/>
    </row>
    <row r="844" spans="2:4" ht="15" x14ac:dyDescent="0.2">
      <c r="B844" s="456" t="s">
        <v>2002</v>
      </c>
      <c r="D844" s="821"/>
    </row>
    <row r="845" spans="2:4" x14ac:dyDescent="0.2">
      <c r="B845" s="456" t="s">
        <v>2003</v>
      </c>
    </row>
    <row r="846" spans="2:4" x14ac:dyDescent="0.2">
      <c r="B846" s="456" t="s">
        <v>2004</v>
      </c>
    </row>
    <row r="848" spans="2:4" x14ac:dyDescent="0.2">
      <c r="B848" s="456" t="s">
        <v>2005</v>
      </c>
    </row>
    <row r="849" spans="2:2" x14ac:dyDescent="0.2">
      <c r="B849" s="456" t="s">
        <v>2006</v>
      </c>
    </row>
    <row r="850" spans="2:2" x14ac:dyDescent="0.2">
      <c r="B850" s="456" t="s">
        <v>2007</v>
      </c>
    </row>
    <row r="851" spans="2:2" x14ac:dyDescent="0.2">
      <c r="B851" s="456" t="s">
        <v>2008</v>
      </c>
    </row>
    <row r="852" spans="2:2" x14ac:dyDescent="0.2">
      <c r="B852" s="456" t="s">
        <v>2009</v>
      </c>
    </row>
    <row r="853" spans="2:2" x14ac:dyDescent="0.2">
      <c r="B853" s="456" t="s">
        <v>2010</v>
      </c>
    </row>
    <row r="855" spans="2:2" x14ac:dyDescent="0.2">
      <c r="B855" s="456" t="s">
        <v>2011</v>
      </c>
    </row>
    <row r="856" spans="2:2" x14ac:dyDescent="0.2">
      <c r="B856" s="456" t="s">
        <v>2012</v>
      </c>
    </row>
    <row r="857" spans="2:2" x14ac:dyDescent="0.2">
      <c r="B857" s="456" t="s">
        <v>2013</v>
      </c>
    </row>
    <row r="858" spans="2:2" x14ac:dyDescent="0.2">
      <c r="B858" s="456" t="s">
        <v>2014</v>
      </c>
    </row>
    <row r="860" spans="2:2" x14ac:dyDescent="0.2">
      <c r="B860" s="456" t="s">
        <v>2015</v>
      </c>
    </row>
    <row r="861" spans="2:2" x14ac:dyDescent="0.2">
      <c r="B861" s="456" t="s">
        <v>2016</v>
      </c>
    </row>
    <row r="862" spans="2:2" x14ac:dyDescent="0.2">
      <c r="B862" s="456" t="s">
        <v>2017</v>
      </c>
    </row>
    <row r="863" spans="2:2" x14ac:dyDescent="0.2">
      <c r="B863" s="456" t="s">
        <v>2018</v>
      </c>
    </row>
    <row r="864" spans="2:2" x14ac:dyDescent="0.2">
      <c r="B864" s="456" t="s">
        <v>2019</v>
      </c>
    </row>
    <row r="865" spans="2:2" x14ac:dyDescent="0.2">
      <c r="B865" s="456" t="s">
        <v>2020</v>
      </c>
    </row>
    <row r="866" spans="2:2" x14ac:dyDescent="0.2">
      <c r="B866" s="456" t="s">
        <v>2021</v>
      </c>
    </row>
    <row r="867" spans="2:2" x14ac:dyDescent="0.2">
      <c r="B867" s="456" t="s">
        <v>2022</v>
      </c>
    </row>
    <row r="868" spans="2:2" x14ac:dyDescent="0.2">
      <c r="B868" s="456" t="s">
        <v>2023</v>
      </c>
    </row>
    <row r="869" spans="2:2" x14ac:dyDescent="0.2">
      <c r="B869" s="456" t="s">
        <v>2024</v>
      </c>
    </row>
    <row r="871" spans="2:2" ht="15" x14ac:dyDescent="0.25">
      <c r="B871" s="498" t="s">
        <v>1583</v>
      </c>
    </row>
    <row r="873" spans="2:2" x14ac:dyDescent="0.2">
      <c r="B873" s="456" t="s">
        <v>2025</v>
      </c>
    </row>
    <row r="874" spans="2:2" x14ac:dyDescent="0.2">
      <c r="B874" s="456" t="s">
        <v>2026</v>
      </c>
    </row>
    <row r="875" spans="2:2" x14ac:dyDescent="0.2">
      <c r="B875" s="456" t="s">
        <v>2027</v>
      </c>
    </row>
    <row r="877" spans="2:2" x14ac:dyDescent="0.2">
      <c r="B877" s="456" t="s">
        <v>2028</v>
      </c>
    </row>
    <row r="878" spans="2:2" x14ac:dyDescent="0.2">
      <c r="B878" s="456" t="s">
        <v>2029</v>
      </c>
    </row>
    <row r="879" spans="2:2" x14ac:dyDescent="0.2">
      <c r="B879" s="456" t="s">
        <v>2030</v>
      </c>
    </row>
    <row r="880" spans="2:2" x14ac:dyDescent="0.2">
      <c r="B880" s="456" t="s">
        <v>2031</v>
      </c>
    </row>
    <row r="882" spans="2:2" ht="15" x14ac:dyDescent="0.25">
      <c r="B882" s="498" t="s">
        <v>1577</v>
      </c>
    </row>
    <row r="884" spans="2:2" x14ac:dyDescent="0.2">
      <c r="B884" s="456" t="s">
        <v>2032</v>
      </c>
    </row>
    <row r="885" spans="2:2" x14ac:dyDescent="0.2">
      <c r="B885" s="456" t="s">
        <v>2033</v>
      </c>
    </row>
    <row r="886" spans="2:2" x14ac:dyDescent="0.2">
      <c r="B886" s="456" t="s">
        <v>2034</v>
      </c>
    </row>
    <row r="887" spans="2:2" x14ac:dyDescent="0.2">
      <c r="B887" s="456" t="s">
        <v>2035</v>
      </c>
    </row>
    <row r="888" spans="2:2" x14ac:dyDescent="0.2">
      <c r="B888" s="456" t="s">
        <v>2036</v>
      </c>
    </row>
    <row r="889" spans="2:2" x14ac:dyDescent="0.2">
      <c r="B889" s="456" t="s">
        <v>2037</v>
      </c>
    </row>
    <row r="890" spans="2:2" x14ac:dyDescent="0.2">
      <c r="B890" s="456" t="s">
        <v>2038</v>
      </c>
    </row>
    <row r="891" spans="2:2" x14ac:dyDescent="0.2">
      <c r="B891" s="456" t="s">
        <v>2039</v>
      </c>
    </row>
    <row r="892" spans="2:2" x14ac:dyDescent="0.2">
      <c r="B892" s="456" t="s">
        <v>2040</v>
      </c>
    </row>
    <row r="894" spans="2:2" ht="15" x14ac:dyDescent="0.25">
      <c r="B894" s="498" t="s">
        <v>1584</v>
      </c>
    </row>
    <row r="896" spans="2:2" x14ac:dyDescent="0.2">
      <c r="B896" s="456" t="s">
        <v>2041</v>
      </c>
    </row>
    <row r="897" spans="2:2" x14ac:dyDescent="0.2">
      <c r="B897" s="456" t="s">
        <v>2042</v>
      </c>
    </row>
    <row r="898" spans="2:2" x14ac:dyDescent="0.2">
      <c r="B898" s="456" t="s">
        <v>2043</v>
      </c>
    </row>
    <row r="899" spans="2:2" x14ac:dyDescent="0.2">
      <c r="B899" s="456" t="s">
        <v>2044</v>
      </c>
    </row>
    <row r="900" spans="2:2" x14ac:dyDescent="0.2">
      <c r="B900" s="456" t="s">
        <v>2045</v>
      </c>
    </row>
    <row r="901" spans="2:2" x14ac:dyDescent="0.2">
      <c r="B901" s="456" t="s">
        <v>2046</v>
      </c>
    </row>
    <row r="903" spans="2:2" ht="15" x14ac:dyDescent="0.25">
      <c r="B903" s="498" t="s">
        <v>404</v>
      </c>
    </row>
    <row r="905" spans="2:2" x14ac:dyDescent="0.2">
      <c r="B905" s="456" t="s">
        <v>2047</v>
      </c>
    </row>
    <row r="906" spans="2:2" x14ac:dyDescent="0.2">
      <c r="B906" s="456" t="s">
        <v>2048</v>
      </c>
    </row>
    <row r="907" spans="2:2" x14ac:dyDescent="0.2">
      <c r="B907" s="456" t="s">
        <v>2049</v>
      </c>
    </row>
    <row r="908" spans="2:2" x14ac:dyDescent="0.2">
      <c r="B908" s="456" t="s">
        <v>2050</v>
      </c>
    </row>
    <row r="910" spans="2:2" ht="15" x14ac:dyDescent="0.25">
      <c r="B910" s="498" t="s">
        <v>1585</v>
      </c>
    </row>
    <row r="912" spans="2:2" x14ac:dyDescent="0.2">
      <c r="B912" s="456" t="s">
        <v>2051</v>
      </c>
    </row>
    <row r="913" spans="2:2" x14ac:dyDescent="0.2">
      <c r="B913" s="456" t="s">
        <v>2052</v>
      </c>
    </row>
    <row r="914" spans="2:2" x14ac:dyDescent="0.2">
      <c r="B914" s="456" t="s">
        <v>2053</v>
      </c>
    </row>
    <row r="916" spans="2:2" ht="15" x14ac:dyDescent="0.25">
      <c r="B916" s="498" t="s">
        <v>1586</v>
      </c>
    </row>
    <row r="918" spans="2:2" x14ac:dyDescent="0.2">
      <c r="B918" s="456" t="s">
        <v>2054</v>
      </c>
    </row>
    <row r="919" spans="2:2" x14ac:dyDescent="0.2">
      <c r="B919" s="456" t="s">
        <v>2055</v>
      </c>
    </row>
    <row r="920" spans="2:2" x14ac:dyDescent="0.2">
      <c r="B920" s="456" t="s">
        <v>2053</v>
      </c>
    </row>
    <row r="922" spans="2:2" ht="15" x14ac:dyDescent="0.25">
      <c r="B922" s="498" t="s">
        <v>3777</v>
      </c>
    </row>
    <row r="923" spans="2:2" ht="15" x14ac:dyDescent="0.25">
      <c r="B923" s="498"/>
    </row>
    <row r="924" spans="2:2" ht="15" x14ac:dyDescent="0.25">
      <c r="B924" s="498" t="s">
        <v>3779</v>
      </c>
    </row>
    <row r="925" spans="2:2" x14ac:dyDescent="0.2">
      <c r="B925" s="456" t="s">
        <v>2056</v>
      </c>
    </row>
    <row r="926" spans="2:2" x14ac:dyDescent="0.2">
      <c r="B926" s="456" t="s">
        <v>2057</v>
      </c>
    </row>
    <row r="927" spans="2:2" x14ac:dyDescent="0.2">
      <c r="B927" s="456" t="s">
        <v>2058</v>
      </c>
    </row>
    <row r="928" spans="2:2" x14ac:dyDescent="0.2">
      <c r="B928" s="456" t="s">
        <v>2059</v>
      </c>
    </row>
    <row r="930" spans="2:2" ht="15" x14ac:dyDescent="0.25">
      <c r="B930" s="498" t="s">
        <v>3778</v>
      </c>
    </row>
    <row r="931" spans="2:2" x14ac:dyDescent="0.2">
      <c r="B931" s="456" t="s">
        <v>3781</v>
      </c>
    </row>
    <row r="932" spans="2:2" x14ac:dyDescent="0.2">
      <c r="B932" s="456" t="s">
        <v>3780</v>
      </c>
    </row>
    <row r="934" spans="2:2" ht="15" x14ac:dyDescent="0.25">
      <c r="B934" s="498" t="s">
        <v>3374</v>
      </c>
    </row>
    <row r="936" spans="2:2" x14ac:dyDescent="0.2">
      <c r="B936" s="456" t="s">
        <v>1587</v>
      </c>
    </row>
    <row r="938" spans="2:2" ht="15" x14ac:dyDescent="0.25">
      <c r="B938" s="456" t="s">
        <v>2749</v>
      </c>
    </row>
    <row r="939" spans="2:2" ht="15" x14ac:dyDescent="0.25">
      <c r="B939" s="456" t="s">
        <v>2750</v>
      </c>
    </row>
    <row r="940" spans="2:2" x14ac:dyDescent="0.2">
      <c r="B940" s="456" t="s">
        <v>2751</v>
      </c>
    </row>
    <row r="941" spans="2:2" ht="15" x14ac:dyDescent="0.25">
      <c r="B941" s="456" t="s">
        <v>2752</v>
      </c>
    </row>
    <row r="943" spans="2:2" x14ac:dyDescent="0.2">
      <c r="B943" s="456" t="s">
        <v>2060</v>
      </c>
    </row>
    <row r="944" spans="2:2" x14ac:dyDescent="0.2">
      <c r="B944" s="456" t="s">
        <v>2061</v>
      </c>
    </row>
    <row r="945" spans="2:2" x14ac:dyDescent="0.2">
      <c r="B945" s="456" t="s">
        <v>2062</v>
      </c>
    </row>
    <row r="946" spans="2:2" x14ac:dyDescent="0.2">
      <c r="B946" s="456" t="s">
        <v>2063</v>
      </c>
    </row>
    <row r="947" spans="2:2" x14ac:dyDescent="0.2">
      <c r="B947" s="456" t="s">
        <v>2064</v>
      </c>
    </row>
    <row r="949" spans="2:2" x14ac:dyDescent="0.2">
      <c r="B949" s="456" t="s">
        <v>2065</v>
      </c>
    </row>
    <row r="950" spans="2:2" x14ac:dyDescent="0.2">
      <c r="B950" s="456" t="s">
        <v>2066</v>
      </c>
    </row>
    <row r="951" spans="2:2" x14ac:dyDescent="0.2">
      <c r="B951" s="456" t="s">
        <v>2067</v>
      </c>
    </row>
    <row r="952" spans="2:2" x14ac:dyDescent="0.2">
      <c r="B952" s="456" t="s">
        <v>2068</v>
      </c>
    </row>
    <row r="953" spans="2:2" x14ac:dyDescent="0.2">
      <c r="B953" s="456" t="s">
        <v>1588</v>
      </c>
    </row>
    <row r="955" spans="2:2" x14ac:dyDescent="0.2">
      <c r="B955" s="456" t="s">
        <v>2069</v>
      </c>
    </row>
    <row r="956" spans="2:2" x14ac:dyDescent="0.2">
      <c r="B956" s="456" t="s">
        <v>2070</v>
      </c>
    </row>
    <row r="957" spans="2:2" x14ac:dyDescent="0.2">
      <c r="B957" s="456" t="s">
        <v>2071</v>
      </c>
    </row>
    <row r="958" spans="2:2" x14ac:dyDescent="0.2">
      <c r="B958" s="456" t="s">
        <v>2072</v>
      </c>
    </row>
    <row r="959" spans="2:2" x14ac:dyDescent="0.2">
      <c r="B959" s="456" t="s">
        <v>2073</v>
      </c>
    </row>
    <row r="960" spans="2:2" x14ac:dyDescent="0.2">
      <c r="B960" s="456" t="s">
        <v>1589</v>
      </c>
    </row>
    <row r="961" spans="2:2" x14ac:dyDescent="0.2">
      <c r="B961" s="456" t="s">
        <v>1590</v>
      </c>
    </row>
    <row r="963" spans="2:2" x14ac:dyDescent="0.2">
      <c r="B963" s="456" t="s">
        <v>2074</v>
      </c>
    </row>
    <row r="964" spans="2:2" x14ac:dyDescent="0.2">
      <c r="B964" s="456" t="s">
        <v>2075</v>
      </c>
    </row>
    <row r="965" spans="2:2" x14ac:dyDescent="0.2">
      <c r="B965" s="456" t="s">
        <v>2076</v>
      </c>
    </row>
    <row r="966" spans="2:2" x14ac:dyDescent="0.2">
      <c r="B966" s="456" t="s">
        <v>1591</v>
      </c>
    </row>
    <row r="968" spans="2:2" x14ac:dyDescent="0.2">
      <c r="B968" s="456" t="s">
        <v>2077</v>
      </c>
    </row>
    <row r="969" spans="2:2" x14ac:dyDescent="0.2">
      <c r="B969" s="456" t="s">
        <v>2078</v>
      </c>
    </row>
    <row r="971" spans="2:2" ht="15" x14ac:dyDescent="0.25">
      <c r="B971" s="456" t="s">
        <v>2753</v>
      </c>
    </row>
    <row r="972" spans="2:2" ht="15" x14ac:dyDescent="0.25">
      <c r="B972" s="456" t="s">
        <v>2754</v>
      </c>
    </row>
    <row r="974" spans="2:2" x14ac:dyDescent="0.2">
      <c r="B974" s="456" t="s">
        <v>3673</v>
      </c>
    </row>
    <row r="976" spans="2:2" ht="15" x14ac:dyDescent="0.25">
      <c r="B976" s="498" t="s">
        <v>3375</v>
      </c>
    </row>
    <row r="978" spans="2:2" x14ac:dyDescent="0.2">
      <c r="B978" s="456" t="s">
        <v>1592</v>
      </c>
    </row>
    <row r="980" spans="2:2" ht="15" x14ac:dyDescent="0.25">
      <c r="B980" s="456" t="s">
        <v>2755</v>
      </c>
    </row>
    <row r="981" spans="2:2" ht="15" x14ac:dyDescent="0.25">
      <c r="B981" s="456" t="s">
        <v>2756</v>
      </c>
    </row>
    <row r="982" spans="2:2" x14ac:dyDescent="0.2">
      <c r="B982" s="456" t="s">
        <v>2757</v>
      </c>
    </row>
    <row r="984" spans="2:2" x14ac:dyDescent="0.2">
      <c r="B984" s="456" t="s">
        <v>2079</v>
      </c>
    </row>
    <row r="985" spans="2:2" x14ac:dyDescent="0.2">
      <c r="B985" s="456" t="s">
        <v>2080</v>
      </c>
    </row>
    <row r="986" spans="2:2" x14ac:dyDescent="0.2">
      <c r="B986" s="456" t="s">
        <v>2081</v>
      </c>
    </row>
    <row r="987" spans="2:2" x14ac:dyDescent="0.2">
      <c r="B987" s="456" t="s">
        <v>2082</v>
      </c>
    </row>
    <row r="989" spans="2:2" ht="15" x14ac:dyDescent="0.25">
      <c r="B989" s="498" t="s">
        <v>3376</v>
      </c>
    </row>
    <row r="991" spans="2:2" x14ac:dyDescent="0.2">
      <c r="B991" s="456" t="s">
        <v>2083</v>
      </c>
    </row>
    <row r="992" spans="2:2" x14ac:dyDescent="0.2">
      <c r="B992" s="456" t="s">
        <v>2084</v>
      </c>
    </row>
    <row r="993" spans="2:2" x14ac:dyDescent="0.2">
      <c r="B993" s="456" t="s">
        <v>2085</v>
      </c>
    </row>
    <row r="994" spans="2:2" x14ac:dyDescent="0.2">
      <c r="B994" s="456" t="s">
        <v>2086</v>
      </c>
    </row>
    <row r="996" spans="2:2" x14ac:dyDescent="0.2">
      <c r="B996" s="456" t="s">
        <v>2087</v>
      </c>
    </row>
    <row r="997" spans="2:2" x14ac:dyDescent="0.2">
      <c r="B997" s="456" t="s">
        <v>2088</v>
      </c>
    </row>
    <row r="998" spans="2:2" x14ac:dyDescent="0.2">
      <c r="B998" s="456" t="s">
        <v>2089</v>
      </c>
    </row>
    <row r="1000" spans="2:2" ht="15" x14ac:dyDescent="0.25">
      <c r="B1000" s="498" t="s">
        <v>3377</v>
      </c>
    </row>
    <row r="1002" spans="2:2" x14ac:dyDescent="0.2">
      <c r="B1002" s="456" t="s">
        <v>2090</v>
      </c>
    </row>
    <row r="1003" spans="2:2" x14ac:dyDescent="0.2">
      <c r="B1003" s="456" t="s">
        <v>2091</v>
      </c>
    </row>
    <row r="1004" spans="2:2" x14ac:dyDescent="0.2">
      <c r="B1004" s="456" t="s">
        <v>2092</v>
      </c>
    </row>
    <row r="1005" spans="2:2" x14ac:dyDescent="0.2">
      <c r="B1005" s="456" t="s">
        <v>2093</v>
      </c>
    </row>
    <row r="1006" spans="2:2" x14ac:dyDescent="0.2">
      <c r="B1006" s="456" t="s">
        <v>2094</v>
      </c>
    </row>
    <row r="1007" spans="2:2" x14ac:dyDescent="0.2">
      <c r="B1007" s="456" t="s">
        <v>2095</v>
      </c>
    </row>
    <row r="1009" spans="2:8" ht="15" x14ac:dyDescent="0.25">
      <c r="B1009" s="498" t="s">
        <v>3116</v>
      </c>
      <c r="D1009" s="817"/>
      <c r="E1009" s="816"/>
      <c r="F1009" s="816"/>
      <c r="G1009" s="816"/>
      <c r="H1009" s="816"/>
    </row>
    <row r="1010" spans="2:8" ht="15" x14ac:dyDescent="0.25">
      <c r="D1010" s="817"/>
      <c r="E1010" s="816"/>
      <c r="F1010" s="816"/>
      <c r="G1010" s="816"/>
      <c r="H1010" s="816"/>
    </row>
    <row r="1011" spans="2:8" x14ac:dyDescent="0.2">
      <c r="B1011" s="456" t="s">
        <v>2103</v>
      </c>
    </row>
    <row r="1012" spans="2:8" x14ac:dyDescent="0.2">
      <c r="B1012" s="456" t="s">
        <v>2104</v>
      </c>
    </row>
    <row r="1013" spans="2:8" x14ac:dyDescent="0.2">
      <c r="B1013" s="456" t="s">
        <v>2105</v>
      </c>
    </row>
    <row r="1015" spans="2:8" ht="15" x14ac:dyDescent="0.25">
      <c r="B1015" s="498" t="s">
        <v>1595</v>
      </c>
    </row>
    <row r="1017" spans="2:8" x14ac:dyDescent="0.2">
      <c r="B1017" s="456" t="s">
        <v>2106</v>
      </c>
    </row>
    <row r="1018" spans="2:8" x14ac:dyDescent="0.2">
      <c r="B1018" s="456" t="s">
        <v>2107</v>
      </c>
    </row>
    <row r="1019" spans="2:8" x14ac:dyDescent="0.2">
      <c r="B1019" s="456" t="s">
        <v>2108</v>
      </c>
    </row>
    <row r="1020" spans="2:8" x14ac:dyDescent="0.2">
      <c r="B1020" s="456" t="s">
        <v>2109</v>
      </c>
    </row>
    <row r="1022" spans="2:8" x14ac:dyDescent="0.2">
      <c r="B1022" s="456" t="s">
        <v>2110</v>
      </c>
    </row>
    <row r="1023" spans="2:8" x14ac:dyDescent="0.2">
      <c r="B1023" s="456" t="s">
        <v>2111</v>
      </c>
    </row>
    <row r="1024" spans="2:8" x14ac:dyDescent="0.2">
      <c r="B1024" s="456" t="s">
        <v>2112</v>
      </c>
    </row>
    <row r="1025" spans="2:4" x14ac:dyDescent="0.2">
      <c r="B1025" s="456" t="s">
        <v>2113</v>
      </c>
    </row>
    <row r="1026" spans="2:4" x14ac:dyDescent="0.2">
      <c r="B1026" s="456" t="s">
        <v>2114</v>
      </c>
    </row>
    <row r="1028" spans="2:4" ht="15" x14ac:dyDescent="0.25">
      <c r="B1028" s="498" t="s">
        <v>1596</v>
      </c>
    </row>
    <row r="1030" spans="2:4" x14ac:dyDescent="0.2">
      <c r="B1030" s="456" t="s">
        <v>2115</v>
      </c>
    </row>
    <row r="1031" spans="2:4" x14ac:dyDescent="0.2">
      <c r="B1031" s="456" t="s">
        <v>2116</v>
      </c>
    </row>
    <row r="1032" spans="2:4" x14ac:dyDescent="0.2">
      <c r="B1032" s="456" t="s">
        <v>2117</v>
      </c>
    </row>
    <row r="1033" spans="2:4" x14ac:dyDescent="0.2">
      <c r="B1033" s="456" t="s">
        <v>2118</v>
      </c>
    </row>
    <row r="1035" spans="2:4" x14ac:dyDescent="0.2">
      <c r="B1035" s="456" t="s">
        <v>1597</v>
      </c>
    </row>
    <row r="1037" spans="2:4" ht="15" x14ac:dyDescent="0.25">
      <c r="B1037" s="498" t="s">
        <v>1598</v>
      </c>
      <c r="D1037" s="1830"/>
    </row>
    <row r="1038" spans="2:4" x14ac:dyDescent="0.2">
      <c r="D1038" s="1830"/>
    </row>
    <row r="1039" spans="2:4" x14ac:dyDescent="0.2">
      <c r="B1039" s="467" t="s">
        <v>2119</v>
      </c>
      <c r="D1039" s="1830"/>
    </row>
    <row r="1040" spans="2:4" x14ac:dyDescent="0.2">
      <c r="B1040" s="467" t="s">
        <v>2120</v>
      </c>
      <c r="D1040" s="1830"/>
    </row>
    <row r="1041" spans="2:4" x14ac:dyDescent="0.2">
      <c r="B1041" s="467" t="s">
        <v>3378</v>
      </c>
      <c r="D1041" s="1830"/>
    </row>
    <row r="1042" spans="2:4" x14ac:dyDescent="0.2">
      <c r="B1042" s="467" t="s">
        <v>2121</v>
      </c>
      <c r="D1042" s="1830"/>
    </row>
    <row r="1043" spans="2:4" x14ac:dyDescent="0.2">
      <c r="B1043" s="467"/>
      <c r="D1043" s="1830"/>
    </row>
    <row r="1044" spans="2:4" x14ac:dyDescent="0.2">
      <c r="B1044" s="467" t="s">
        <v>1599</v>
      </c>
      <c r="D1044" s="1830"/>
    </row>
    <row r="1045" spans="2:4" ht="15" x14ac:dyDescent="0.2">
      <c r="D1045" s="822"/>
    </row>
    <row r="1046" spans="2:4" ht="15" x14ac:dyDescent="0.25">
      <c r="B1046" s="498" t="s">
        <v>3117</v>
      </c>
    </row>
    <row r="1048" spans="2:4" x14ac:dyDescent="0.2">
      <c r="B1048" s="456" t="s">
        <v>1600</v>
      </c>
    </row>
    <row r="1050" spans="2:4" x14ac:dyDescent="0.2">
      <c r="B1050" s="456" t="s">
        <v>2122</v>
      </c>
    </row>
    <row r="1051" spans="2:4" x14ac:dyDescent="0.2">
      <c r="B1051" s="456" t="s">
        <v>2123</v>
      </c>
    </row>
    <row r="1052" spans="2:4" x14ac:dyDescent="0.2">
      <c r="B1052" s="456" t="s">
        <v>2124</v>
      </c>
    </row>
    <row r="1053" spans="2:4" x14ac:dyDescent="0.2">
      <c r="B1053" s="456" t="s">
        <v>2125</v>
      </c>
    </row>
    <row r="1054" spans="2:4" x14ac:dyDescent="0.2">
      <c r="B1054" s="456" t="s">
        <v>2126</v>
      </c>
    </row>
    <row r="1055" spans="2:4" x14ac:dyDescent="0.2">
      <c r="B1055" s="456" t="s">
        <v>2127</v>
      </c>
    </row>
    <row r="1056" spans="2:4" x14ac:dyDescent="0.2">
      <c r="B1056" s="456" t="s">
        <v>1601</v>
      </c>
    </row>
    <row r="1058" spans="2:2" ht="15" x14ac:dyDescent="0.25">
      <c r="B1058" s="456" t="s">
        <v>2758</v>
      </c>
    </row>
    <row r="1059" spans="2:2" x14ac:dyDescent="0.2">
      <c r="B1059" s="456" t="s">
        <v>2759</v>
      </c>
    </row>
    <row r="1060" spans="2:2" ht="15" x14ac:dyDescent="0.25">
      <c r="B1060" s="456" t="s">
        <v>2760</v>
      </c>
    </row>
    <row r="1062" spans="2:2" x14ac:dyDescent="0.2">
      <c r="B1062" s="456" t="s">
        <v>901</v>
      </c>
    </row>
    <row r="1064" spans="2:2" x14ac:dyDescent="0.2">
      <c r="B1064" s="456" t="s">
        <v>2128</v>
      </c>
    </row>
    <row r="1065" spans="2:2" x14ac:dyDescent="0.2">
      <c r="B1065" s="456" t="s">
        <v>2129</v>
      </c>
    </row>
    <row r="1067" spans="2:2" x14ac:dyDescent="0.2">
      <c r="B1067" s="456" t="s">
        <v>2130</v>
      </c>
    </row>
    <row r="1068" spans="2:2" x14ac:dyDescent="0.2">
      <c r="B1068" s="456" t="s">
        <v>2131</v>
      </c>
    </row>
    <row r="1069" spans="2:2" x14ac:dyDescent="0.2">
      <c r="B1069" s="456" t="s">
        <v>2132</v>
      </c>
    </row>
    <row r="1071" spans="2:2" ht="15" x14ac:dyDescent="0.25">
      <c r="B1071" s="456" t="s">
        <v>2761</v>
      </c>
    </row>
    <row r="1072" spans="2:2" x14ac:dyDescent="0.2">
      <c r="B1072" s="456" t="s">
        <v>2762</v>
      </c>
    </row>
    <row r="1073" spans="2:2" ht="15" x14ac:dyDescent="0.25">
      <c r="B1073" s="456" t="s">
        <v>2763</v>
      </c>
    </row>
    <row r="1074" spans="2:2" ht="15" x14ac:dyDescent="0.25">
      <c r="B1074" s="456" t="s">
        <v>2764</v>
      </c>
    </row>
    <row r="1075" spans="2:2" ht="15" x14ac:dyDescent="0.25">
      <c r="B1075" s="456" t="s">
        <v>2765</v>
      </c>
    </row>
    <row r="1076" spans="2:2" ht="15" x14ac:dyDescent="0.25">
      <c r="B1076" s="456" t="s">
        <v>2766</v>
      </c>
    </row>
    <row r="1077" spans="2:2" x14ac:dyDescent="0.2">
      <c r="B1077" s="456" t="s">
        <v>2767</v>
      </c>
    </row>
    <row r="1078" spans="2:2" ht="15" x14ac:dyDescent="0.25">
      <c r="B1078" s="456" t="s">
        <v>2768</v>
      </c>
    </row>
    <row r="1079" spans="2:2" x14ac:dyDescent="0.2">
      <c r="B1079" s="456" t="s">
        <v>2769</v>
      </c>
    </row>
    <row r="1081" spans="2:2" x14ac:dyDescent="0.2">
      <c r="B1081" s="456" t="s">
        <v>2133</v>
      </c>
    </row>
    <row r="1082" spans="2:2" x14ac:dyDescent="0.2">
      <c r="B1082" s="456" t="s">
        <v>2134</v>
      </c>
    </row>
    <row r="1083" spans="2:2" x14ac:dyDescent="0.2">
      <c r="B1083" s="456" t="s">
        <v>2135</v>
      </c>
    </row>
    <row r="1084" spans="2:2" x14ac:dyDescent="0.2">
      <c r="B1084" s="456" t="s">
        <v>2136</v>
      </c>
    </row>
    <row r="1085" spans="2:2" x14ac:dyDescent="0.2">
      <c r="B1085" s="456" t="s">
        <v>2137</v>
      </c>
    </row>
    <row r="1086" spans="2:2" x14ac:dyDescent="0.2">
      <c r="B1086" s="456" t="s">
        <v>2138</v>
      </c>
    </row>
    <row r="1088" spans="2:2" x14ac:dyDescent="0.2">
      <c r="B1088" s="456" t="s">
        <v>2139</v>
      </c>
    </row>
    <row r="1089" spans="2:2" x14ac:dyDescent="0.2">
      <c r="B1089" s="456" t="s">
        <v>2140</v>
      </c>
    </row>
    <row r="1090" spans="2:2" x14ac:dyDescent="0.2">
      <c r="B1090" s="456" t="s">
        <v>2141</v>
      </c>
    </row>
    <row r="1091" spans="2:2" x14ac:dyDescent="0.2">
      <c r="B1091" s="456" t="s">
        <v>2142</v>
      </c>
    </row>
    <row r="1092" spans="2:2" x14ac:dyDescent="0.2">
      <c r="B1092" s="456" t="s">
        <v>2143</v>
      </c>
    </row>
    <row r="1094" spans="2:2" x14ac:dyDescent="0.2">
      <c r="B1094" s="456" t="s">
        <v>2144</v>
      </c>
    </row>
    <row r="1095" spans="2:2" x14ac:dyDescent="0.2">
      <c r="B1095" s="456" t="s">
        <v>2145</v>
      </c>
    </row>
    <row r="1097" spans="2:2" x14ac:dyDescent="0.2">
      <c r="B1097" s="456" t="s">
        <v>2146</v>
      </c>
    </row>
    <row r="1098" spans="2:2" x14ac:dyDescent="0.2">
      <c r="B1098" s="456" t="s">
        <v>2147</v>
      </c>
    </row>
    <row r="1100" spans="2:2" x14ac:dyDescent="0.2">
      <c r="B1100" s="456" t="s">
        <v>1660</v>
      </c>
    </row>
    <row r="1101" spans="2:2" x14ac:dyDescent="0.2">
      <c r="B1101" s="456" t="s">
        <v>1661</v>
      </c>
    </row>
    <row r="1103" spans="2:2" x14ac:dyDescent="0.2">
      <c r="B1103" s="456" t="s">
        <v>3130</v>
      </c>
    </row>
    <row r="1105" spans="2:5" x14ac:dyDescent="0.2">
      <c r="B1105" s="456" t="s">
        <v>1602</v>
      </c>
    </row>
    <row r="1107" spans="2:5" ht="15" x14ac:dyDescent="0.25">
      <c r="B1107" s="456" t="s">
        <v>2770</v>
      </c>
    </row>
    <row r="1108" spans="2:5" ht="15" x14ac:dyDescent="0.25">
      <c r="B1108" s="456" t="s">
        <v>2771</v>
      </c>
    </row>
    <row r="1109" spans="2:5" x14ac:dyDescent="0.2">
      <c r="B1109" s="456" t="s">
        <v>2772</v>
      </c>
    </row>
    <row r="1110" spans="2:5" x14ac:dyDescent="0.2">
      <c r="E1110" s="456" t="s">
        <v>3746</v>
      </c>
    </row>
    <row r="1111" spans="2:5" ht="15" x14ac:dyDescent="0.25">
      <c r="B1111" s="475" t="s">
        <v>3747</v>
      </c>
    </row>
    <row r="1113" spans="2:5" x14ac:dyDescent="0.2">
      <c r="B1113" s="456" t="s">
        <v>2148</v>
      </c>
    </row>
    <row r="1114" spans="2:5" x14ac:dyDescent="0.2">
      <c r="B1114" s="456" t="s">
        <v>2149</v>
      </c>
    </row>
    <row r="1115" spans="2:5" x14ac:dyDescent="0.2">
      <c r="B1115" s="456" t="s">
        <v>2150</v>
      </c>
    </row>
    <row r="1117" spans="2:5" ht="85.5" x14ac:dyDescent="0.2">
      <c r="B1117" s="465" t="s">
        <v>3118</v>
      </c>
    </row>
    <row r="1119" spans="2:5" ht="42.75" x14ac:dyDescent="0.2">
      <c r="B1119" s="465" t="s">
        <v>3119</v>
      </c>
    </row>
    <row r="1120" spans="2:5" x14ac:dyDescent="0.2">
      <c r="B1120" s="465"/>
    </row>
    <row r="1121" spans="2:2" ht="42.75" x14ac:dyDescent="0.2">
      <c r="B1121" s="465" t="s">
        <v>3120</v>
      </c>
    </row>
    <row r="1123" spans="2:2" ht="15" x14ac:dyDescent="0.25">
      <c r="B1123" s="498" t="s">
        <v>1603</v>
      </c>
    </row>
    <row r="1125" spans="2:2" x14ac:dyDescent="0.2">
      <c r="B1125" s="456" t="s">
        <v>2151</v>
      </c>
    </row>
    <row r="1126" spans="2:2" x14ac:dyDescent="0.2">
      <c r="B1126" s="456" t="s">
        <v>2152</v>
      </c>
    </row>
    <row r="1127" spans="2:2" x14ac:dyDescent="0.2">
      <c r="B1127" s="456" t="s">
        <v>2153</v>
      </c>
    </row>
    <row r="1128" spans="2:2" x14ac:dyDescent="0.2">
      <c r="B1128" s="456" t="s">
        <v>2154</v>
      </c>
    </row>
    <row r="1130" spans="2:2" ht="15" x14ac:dyDescent="0.25">
      <c r="B1130" s="498" t="s">
        <v>1605</v>
      </c>
    </row>
    <row r="1132" spans="2:2" x14ac:dyDescent="0.2">
      <c r="B1132" s="456" t="s">
        <v>2155</v>
      </c>
    </row>
    <row r="1133" spans="2:2" x14ac:dyDescent="0.2">
      <c r="B1133" s="456" t="s">
        <v>2156</v>
      </c>
    </row>
    <row r="1134" spans="2:2" x14ac:dyDescent="0.2">
      <c r="B1134" s="456" t="s">
        <v>2157</v>
      </c>
    </row>
    <row r="1135" spans="2:2" x14ac:dyDescent="0.2">
      <c r="B1135" s="456" t="s">
        <v>2158</v>
      </c>
    </row>
    <row r="1137" spans="1:4" x14ac:dyDescent="0.2">
      <c r="B1137" s="456" t="s">
        <v>2159</v>
      </c>
    </row>
    <row r="1138" spans="1:4" x14ac:dyDescent="0.2">
      <c r="B1138" s="456" t="s">
        <v>2160</v>
      </c>
    </row>
    <row r="1139" spans="1:4" x14ac:dyDescent="0.2">
      <c r="B1139" s="456" t="s">
        <v>2161</v>
      </c>
    </row>
    <row r="1140" spans="1:4" x14ac:dyDescent="0.2">
      <c r="B1140" s="456" t="s">
        <v>2162</v>
      </c>
    </row>
    <row r="1141" spans="1:4" x14ac:dyDescent="0.2">
      <c r="B1141" s="456" t="s">
        <v>2163</v>
      </c>
    </row>
    <row r="1143" spans="1:4" ht="15" x14ac:dyDescent="0.25">
      <c r="B1143" s="498" t="s">
        <v>1606</v>
      </c>
    </row>
    <row r="1145" spans="1:4" x14ac:dyDescent="0.2">
      <c r="B1145" s="456" t="s">
        <v>2164</v>
      </c>
    </row>
    <row r="1146" spans="1:4" x14ac:dyDescent="0.2">
      <c r="B1146" s="456" t="s">
        <v>2165</v>
      </c>
    </row>
    <row r="1147" spans="1:4" x14ac:dyDescent="0.2">
      <c r="B1147" s="456" t="s">
        <v>2166</v>
      </c>
    </row>
    <row r="1148" spans="1:4" s="498" customFormat="1" ht="15" x14ac:dyDescent="0.25">
      <c r="A1148" s="456"/>
      <c r="B1148" s="456" t="s">
        <v>2167</v>
      </c>
      <c r="D1148" s="815"/>
    </row>
    <row r="1150" spans="1:4" ht="15" x14ac:dyDescent="0.25">
      <c r="B1150" s="498" t="s">
        <v>1607</v>
      </c>
    </row>
    <row r="1152" spans="1:4" x14ac:dyDescent="0.2">
      <c r="B1152" s="456" t="s">
        <v>2169</v>
      </c>
    </row>
    <row r="1153" spans="1:2" x14ac:dyDescent="0.2">
      <c r="B1153" s="456" t="s">
        <v>2170</v>
      </c>
    </row>
    <row r="1154" spans="1:2" x14ac:dyDescent="0.2">
      <c r="B1154" s="456" t="s">
        <v>2171</v>
      </c>
    </row>
    <row r="1155" spans="1:2" ht="15" x14ac:dyDescent="0.25">
      <c r="A1155" s="498"/>
      <c r="B1155" s="498"/>
    </row>
    <row r="1156" spans="1:2" ht="15" x14ac:dyDescent="0.25">
      <c r="B1156" s="498" t="s">
        <v>3748</v>
      </c>
    </row>
    <row r="1158" spans="1:2" x14ac:dyDescent="0.2">
      <c r="B1158" s="456" t="s">
        <v>1623</v>
      </c>
    </row>
    <row r="1160" spans="1:2" ht="57" x14ac:dyDescent="0.2">
      <c r="B1160" s="465" t="s">
        <v>3128</v>
      </c>
    </row>
    <row r="1161" spans="1:2" ht="57" x14ac:dyDescent="0.2">
      <c r="B1161" s="465" t="s">
        <v>3127</v>
      </c>
    </row>
    <row r="1162" spans="1:2" x14ac:dyDescent="0.2">
      <c r="B1162" s="465"/>
    </row>
    <row r="1163" spans="1:2" ht="15" x14ac:dyDescent="0.25">
      <c r="B1163" s="498" t="s">
        <v>1604</v>
      </c>
    </row>
    <row r="1165" spans="1:2" x14ac:dyDescent="0.2">
      <c r="B1165" s="456" t="s">
        <v>1624</v>
      </c>
    </row>
    <row r="1166" spans="1:2" x14ac:dyDescent="0.2">
      <c r="B1166" s="456" t="s">
        <v>2340</v>
      </c>
    </row>
    <row r="1167" spans="1:2" x14ac:dyDescent="0.2">
      <c r="B1167" s="456" t="s">
        <v>2341</v>
      </c>
    </row>
    <row r="1169" spans="2:2" ht="15" x14ac:dyDescent="0.25">
      <c r="B1169" s="498" t="s">
        <v>1625</v>
      </c>
    </row>
    <row r="1171" spans="2:2" x14ac:dyDescent="0.2">
      <c r="B1171" s="456" t="s">
        <v>2342</v>
      </c>
    </row>
    <row r="1172" spans="2:2" x14ac:dyDescent="0.2">
      <c r="B1172" s="456" t="s">
        <v>2343</v>
      </c>
    </row>
    <row r="1173" spans="2:2" x14ac:dyDescent="0.2">
      <c r="B1173" s="456" t="s">
        <v>2344</v>
      </c>
    </row>
    <row r="1174" spans="2:2" x14ac:dyDescent="0.2">
      <c r="B1174" s="456" t="s">
        <v>2345</v>
      </c>
    </row>
    <row r="1175" spans="2:2" x14ac:dyDescent="0.2">
      <c r="B1175" s="456" t="s">
        <v>2346</v>
      </c>
    </row>
    <row r="1176" spans="2:2" x14ac:dyDescent="0.2">
      <c r="B1176" s="456" t="s">
        <v>2347</v>
      </c>
    </row>
    <row r="1177" spans="2:2" x14ac:dyDescent="0.2">
      <c r="B1177" s="456" t="s">
        <v>2348</v>
      </c>
    </row>
    <row r="1178" spans="2:2" x14ac:dyDescent="0.2">
      <c r="B1178" s="456" t="s">
        <v>2349</v>
      </c>
    </row>
    <row r="1180" spans="2:2" x14ac:dyDescent="0.2">
      <c r="B1180" s="456" t="s">
        <v>2350</v>
      </c>
    </row>
    <row r="1181" spans="2:2" x14ac:dyDescent="0.2">
      <c r="B1181" s="456" t="s">
        <v>2351</v>
      </c>
    </row>
    <row r="1182" spans="2:2" x14ac:dyDescent="0.2">
      <c r="B1182" s="456" t="s">
        <v>2352</v>
      </c>
    </row>
    <row r="1183" spans="2:2" x14ac:dyDescent="0.2">
      <c r="B1183" s="456" t="s">
        <v>2353</v>
      </c>
    </row>
    <row r="1184" spans="2:2" x14ac:dyDescent="0.2">
      <c r="B1184" s="456" t="s">
        <v>2354</v>
      </c>
    </row>
    <row r="1185" spans="1:4" x14ac:dyDescent="0.2">
      <c r="B1185" s="456" t="s">
        <v>2355</v>
      </c>
    </row>
    <row r="1186" spans="1:4" x14ac:dyDescent="0.2">
      <c r="B1186" s="456" t="s">
        <v>2356</v>
      </c>
    </row>
    <row r="1187" spans="1:4" x14ac:dyDescent="0.2">
      <c r="B1187" s="456" t="s">
        <v>2357</v>
      </c>
    </row>
    <row r="1189" spans="1:4" ht="15" x14ac:dyDescent="0.25">
      <c r="B1189" s="498" t="s">
        <v>1626</v>
      </c>
    </row>
    <row r="1191" spans="1:4" x14ac:dyDescent="0.2">
      <c r="B1191" s="456" t="s">
        <v>2358</v>
      </c>
    </row>
    <row r="1192" spans="1:4" x14ac:dyDescent="0.2">
      <c r="B1192" s="456" t="s">
        <v>2359</v>
      </c>
    </row>
    <row r="1193" spans="1:4" x14ac:dyDescent="0.2">
      <c r="B1193" s="456" t="s">
        <v>2360</v>
      </c>
    </row>
    <row r="1194" spans="1:4" x14ac:dyDescent="0.2">
      <c r="B1194" s="456" t="s">
        <v>2361</v>
      </c>
    </row>
    <row r="1195" spans="1:4" x14ac:dyDescent="0.2">
      <c r="B1195" s="456" t="s">
        <v>2362</v>
      </c>
    </row>
    <row r="1196" spans="1:4" x14ac:dyDescent="0.2">
      <c r="B1196" s="456" t="s">
        <v>2363</v>
      </c>
    </row>
    <row r="1198" spans="1:4" ht="15" x14ac:dyDescent="0.25">
      <c r="B1198" s="498" t="s">
        <v>1627</v>
      </c>
    </row>
    <row r="1199" spans="1:4" s="498" customFormat="1" ht="15" x14ac:dyDescent="0.25">
      <c r="A1199" s="456"/>
      <c r="B1199" s="456"/>
      <c r="D1199" s="815"/>
    </row>
    <row r="1200" spans="1:4" s="498" customFormat="1" ht="15" x14ac:dyDescent="0.25">
      <c r="A1200" s="456"/>
      <c r="B1200" s="456" t="s">
        <v>2364</v>
      </c>
      <c r="D1200" s="815"/>
    </row>
    <row r="1201" spans="1:2" x14ac:dyDescent="0.2">
      <c r="B1201" s="456" t="s">
        <v>2365</v>
      </c>
    </row>
    <row r="1202" spans="1:2" x14ac:dyDescent="0.2">
      <c r="B1202" s="456" t="s">
        <v>2366</v>
      </c>
    </row>
    <row r="1203" spans="1:2" x14ac:dyDescent="0.2">
      <c r="B1203" s="456" t="s">
        <v>2367</v>
      </c>
    </row>
    <row r="1204" spans="1:2" x14ac:dyDescent="0.2">
      <c r="B1204" s="456" t="s">
        <v>2368</v>
      </c>
    </row>
    <row r="1205" spans="1:2" x14ac:dyDescent="0.2">
      <c r="B1205" s="456" t="s">
        <v>2369</v>
      </c>
    </row>
    <row r="1206" spans="1:2" ht="15" x14ac:dyDescent="0.25">
      <c r="A1206" s="498"/>
    </row>
    <row r="1207" spans="1:2" ht="15" x14ac:dyDescent="0.25">
      <c r="A1207" s="498"/>
      <c r="B1207" s="498" t="s">
        <v>1628</v>
      </c>
    </row>
    <row r="1208" spans="1:2" ht="15" x14ac:dyDescent="0.25">
      <c r="B1208" s="498"/>
    </row>
    <row r="1209" spans="1:2" x14ac:dyDescent="0.2">
      <c r="B1209" s="456" t="s">
        <v>2370</v>
      </c>
    </row>
    <row r="1210" spans="1:2" x14ac:dyDescent="0.2">
      <c r="B1210" s="456" t="s">
        <v>2371</v>
      </c>
    </row>
    <row r="1211" spans="1:2" x14ac:dyDescent="0.2">
      <c r="B1211" s="456" t="s">
        <v>2372</v>
      </c>
    </row>
    <row r="1212" spans="1:2" x14ac:dyDescent="0.2">
      <c r="B1212" s="456" t="s">
        <v>2373</v>
      </c>
    </row>
    <row r="1213" spans="1:2" x14ac:dyDescent="0.2">
      <c r="B1213" s="456" t="s">
        <v>2374</v>
      </c>
    </row>
    <row r="1214" spans="1:2" x14ac:dyDescent="0.2">
      <c r="B1214" s="456" t="s">
        <v>2375</v>
      </c>
    </row>
    <row r="1215" spans="1:2" x14ac:dyDescent="0.2">
      <c r="B1215" s="456" t="s">
        <v>2376</v>
      </c>
    </row>
    <row r="1216" spans="1:2" x14ac:dyDescent="0.2">
      <c r="B1216" s="456" t="s">
        <v>2377</v>
      </c>
    </row>
    <row r="1217" spans="2:2" x14ac:dyDescent="0.2">
      <c r="B1217" s="456" t="s">
        <v>2378</v>
      </c>
    </row>
    <row r="1218" spans="2:2" x14ac:dyDescent="0.2">
      <c r="B1218" s="456" t="s">
        <v>2168</v>
      </c>
    </row>
    <row r="1219" spans="2:2" x14ac:dyDescent="0.2">
      <c r="B1219" s="456" t="s">
        <v>2379</v>
      </c>
    </row>
    <row r="1221" spans="2:2" ht="15" x14ac:dyDescent="0.25">
      <c r="B1221" s="498" t="s">
        <v>1629</v>
      </c>
    </row>
    <row r="1223" spans="2:2" x14ac:dyDescent="0.2">
      <c r="B1223" s="456" t="s">
        <v>2164</v>
      </c>
    </row>
    <row r="1224" spans="2:2" x14ac:dyDescent="0.2">
      <c r="B1224" s="456" t="s">
        <v>2380</v>
      </c>
    </row>
    <row r="1225" spans="2:2" x14ac:dyDescent="0.2">
      <c r="B1225" s="456" t="s">
        <v>2381</v>
      </c>
    </row>
    <row r="1226" spans="2:2" x14ac:dyDescent="0.2">
      <c r="B1226" s="456" t="s">
        <v>2382</v>
      </c>
    </row>
    <row r="1228" spans="2:2" x14ac:dyDescent="0.2">
      <c r="B1228" s="456" t="s">
        <v>2383</v>
      </c>
    </row>
    <row r="1229" spans="2:2" x14ac:dyDescent="0.2">
      <c r="B1229" s="456" t="s">
        <v>2384</v>
      </c>
    </row>
    <row r="1230" spans="2:2" x14ac:dyDescent="0.2">
      <c r="B1230" s="456" t="s">
        <v>2385</v>
      </c>
    </row>
    <row r="1231" spans="2:2" x14ac:dyDescent="0.2">
      <c r="B1231" s="456" t="s">
        <v>2386</v>
      </c>
    </row>
    <row r="1232" spans="2:2" x14ac:dyDescent="0.2">
      <c r="B1232" s="456" t="s">
        <v>2387</v>
      </c>
    </row>
    <row r="1233" spans="1:4" x14ac:dyDescent="0.2">
      <c r="B1233" s="456" t="s">
        <v>2388</v>
      </c>
    </row>
    <row r="1234" spans="1:4" x14ac:dyDescent="0.2">
      <c r="B1234" s="456" t="s">
        <v>2389</v>
      </c>
    </row>
    <row r="1235" spans="1:4" x14ac:dyDescent="0.2">
      <c r="B1235" s="456" t="s">
        <v>2390</v>
      </c>
    </row>
    <row r="1237" spans="1:4" x14ac:dyDescent="0.2">
      <c r="B1237" s="456" t="s">
        <v>2391</v>
      </c>
    </row>
    <row r="1238" spans="1:4" x14ac:dyDescent="0.2">
      <c r="B1238" s="456" t="s">
        <v>2392</v>
      </c>
    </row>
    <row r="1239" spans="1:4" x14ac:dyDescent="0.2">
      <c r="B1239" s="456" t="s">
        <v>2393</v>
      </c>
    </row>
    <row r="1240" spans="1:4" x14ac:dyDescent="0.2">
      <c r="B1240" s="456" t="s">
        <v>2394</v>
      </c>
    </row>
    <row r="1241" spans="1:4" x14ac:dyDescent="0.2">
      <c r="B1241" s="456" t="s">
        <v>2395</v>
      </c>
    </row>
    <row r="1242" spans="1:4" s="498" customFormat="1" ht="15" x14ac:dyDescent="0.25">
      <c r="A1242" s="456"/>
      <c r="B1242" s="456" t="s">
        <v>2396</v>
      </c>
      <c r="D1242" s="815"/>
    </row>
    <row r="1244" spans="1:4" ht="15" x14ac:dyDescent="0.25">
      <c r="B1244" s="498" t="s">
        <v>1607</v>
      </c>
    </row>
    <row r="1246" spans="1:4" x14ac:dyDescent="0.2">
      <c r="B1246" s="456" t="s">
        <v>2169</v>
      </c>
    </row>
    <row r="1247" spans="1:4" x14ac:dyDescent="0.2">
      <c r="B1247" s="456" t="s">
        <v>2170</v>
      </c>
    </row>
    <row r="1248" spans="1:4" x14ac:dyDescent="0.2">
      <c r="B1248" s="456" t="s">
        <v>2171</v>
      </c>
    </row>
    <row r="1249" spans="1:2" ht="15" x14ac:dyDescent="0.25">
      <c r="A1249" s="498"/>
    </row>
    <row r="1250" spans="1:2" ht="15" x14ac:dyDescent="0.25">
      <c r="B1250" s="498" t="s">
        <v>3749</v>
      </c>
    </row>
    <row r="1252" spans="1:2" x14ac:dyDescent="0.2">
      <c r="B1252" s="456" t="s">
        <v>2172</v>
      </c>
    </row>
    <row r="1253" spans="1:2" x14ac:dyDescent="0.2">
      <c r="B1253" s="456" t="s">
        <v>2173</v>
      </c>
    </row>
    <row r="1254" spans="1:2" x14ac:dyDescent="0.2">
      <c r="B1254" s="456" t="s">
        <v>2174</v>
      </c>
    </row>
    <row r="1255" spans="1:2" x14ac:dyDescent="0.2">
      <c r="B1255" s="456" t="s">
        <v>2175</v>
      </c>
    </row>
    <row r="1256" spans="1:2" x14ac:dyDescent="0.2">
      <c r="B1256" s="456" t="s">
        <v>2176</v>
      </c>
    </row>
    <row r="1257" spans="1:2" x14ac:dyDescent="0.2">
      <c r="B1257" s="456" t="s">
        <v>2177</v>
      </c>
    </row>
    <row r="1258" spans="1:2" x14ac:dyDescent="0.2">
      <c r="B1258" s="456" t="s">
        <v>2178</v>
      </c>
    </row>
    <row r="1260" spans="1:2" ht="15" x14ac:dyDescent="0.25">
      <c r="B1260" s="456" t="s">
        <v>2773</v>
      </c>
    </row>
    <row r="1261" spans="1:2" x14ac:dyDescent="0.2">
      <c r="B1261" s="456" t="s">
        <v>2774</v>
      </c>
    </row>
    <row r="1262" spans="1:2" ht="15" x14ac:dyDescent="0.25">
      <c r="B1262" s="456" t="s">
        <v>2775</v>
      </c>
    </row>
    <row r="1263" spans="1:2" x14ac:dyDescent="0.2">
      <c r="B1263" s="456" t="s">
        <v>2776</v>
      </c>
    </row>
    <row r="1265" spans="2:2" x14ac:dyDescent="0.2">
      <c r="B1265" s="456" t="s">
        <v>1608</v>
      </c>
    </row>
    <row r="1267" spans="2:2" ht="15" x14ac:dyDescent="0.25">
      <c r="B1267" s="456" t="s">
        <v>2777</v>
      </c>
    </row>
    <row r="1268" spans="2:2" x14ac:dyDescent="0.2">
      <c r="B1268" s="456" t="s">
        <v>2778</v>
      </c>
    </row>
    <row r="1269" spans="2:2" ht="15" x14ac:dyDescent="0.25">
      <c r="B1269" s="456" t="s">
        <v>2779</v>
      </c>
    </row>
    <row r="1270" spans="2:2" x14ac:dyDescent="0.2">
      <c r="B1270" s="456" t="s">
        <v>2780</v>
      </c>
    </row>
    <row r="1272" spans="2:2" x14ac:dyDescent="0.2">
      <c r="B1272" s="456" t="s">
        <v>2179</v>
      </c>
    </row>
    <row r="1273" spans="2:2" x14ac:dyDescent="0.2">
      <c r="B1273" s="456" t="s">
        <v>2180</v>
      </c>
    </row>
    <row r="1274" spans="2:2" x14ac:dyDescent="0.2">
      <c r="B1274" s="456" t="s">
        <v>2181</v>
      </c>
    </row>
    <row r="1275" spans="2:2" x14ac:dyDescent="0.2">
      <c r="B1275" s="456" t="s">
        <v>2182</v>
      </c>
    </row>
    <row r="1276" spans="2:2" x14ac:dyDescent="0.2">
      <c r="B1276" s="456" t="s">
        <v>2183</v>
      </c>
    </row>
    <row r="1277" spans="2:2" x14ac:dyDescent="0.2">
      <c r="B1277" s="456" t="s">
        <v>2184</v>
      </c>
    </row>
    <row r="1278" spans="2:2" x14ac:dyDescent="0.2">
      <c r="B1278" s="456" t="s">
        <v>2185</v>
      </c>
    </row>
    <row r="1280" spans="2:2" x14ac:dyDescent="0.2">
      <c r="B1280" s="456" t="s">
        <v>2186</v>
      </c>
    </row>
    <row r="1281" spans="2:2" x14ac:dyDescent="0.2">
      <c r="B1281" s="456" t="s">
        <v>2187</v>
      </c>
    </row>
    <row r="1282" spans="2:2" x14ac:dyDescent="0.2">
      <c r="B1282" s="456" t="s">
        <v>2188</v>
      </c>
    </row>
    <row r="1283" spans="2:2" x14ac:dyDescent="0.2">
      <c r="B1283" s="456" t="s">
        <v>2189</v>
      </c>
    </row>
    <row r="1284" spans="2:2" x14ac:dyDescent="0.2">
      <c r="B1284" s="456" t="s">
        <v>1609</v>
      </c>
    </row>
    <row r="1286" spans="2:2" ht="15" x14ac:dyDescent="0.25">
      <c r="B1286" s="498" t="s">
        <v>1610</v>
      </c>
    </row>
    <row r="1288" spans="2:2" x14ac:dyDescent="0.2">
      <c r="B1288" s="456" t="s">
        <v>2190</v>
      </c>
    </row>
    <row r="1289" spans="2:2" x14ac:dyDescent="0.2">
      <c r="B1289" s="456" t="s">
        <v>2191</v>
      </c>
    </row>
    <row r="1290" spans="2:2" x14ac:dyDescent="0.2">
      <c r="B1290" s="456" t="s">
        <v>2192</v>
      </c>
    </row>
    <row r="1292" spans="2:2" x14ac:dyDescent="0.2">
      <c r="B1292" s="456" t="s">
        <v>1611</v>
      </c>
    </row>
    <row r="1294" spans="2:2" ht="15" x14ac:dyDescent="0.25">
      <c r="B1294" s="456" t="s">
        <v>2781</v>
      </c>
    </row>
    <row r="1295" spans="2:2" ht="15" x14ac:dyDescent="0.25">
      <c r="B1295" s="456" t="s">
        <v>2782</v>
      </c>
    </row>
    <row r="1296" spans="2:2" x14ac:dyDescent="0.2">
      <c r="B1296" s="456" t="s">
        <v>2783</v>
      </c>
    </row>
    <row r="1297" spans="2:2" x14ac:dyDescent="0.2">
      <c r="B1297" s="456" t="s">
        <v>2784</v>
      </c>
    </row>
    <row r="1299" spans="2:2" x14ac:dyDescent="0.2">
      <c r="B1299" s="456" t="s">
        <v>2785</v>
      </c>
    </row>
    <row r="1300" spans="2:2" ht="15" x14ac:dyDescent="0.25">
      <c r="B1300" s="456" t="s">
        <v>2786</v>
      </c>
    </row>
    <row r="1301" spans="2:2" x14ac:dyDescent="0.2">
      <c r="B1301" s="456" t="s">
        <v>2787</v>
      </c>
    </row>
    <row r="1302" spans="2:2" x14ac:dyDescent="0.2">
      <c r="B1302" s="456" t="s">
        <v>2788</v>
      </c>
    </row>
    <row r="1303" spans="2:2" ht="15" x14ac:dyDescent="0.25">
      <c r="B1303" s="456" t="s">
        <v>2789</v>
      </c>
    </row>
    <row r="1304" spans="2:2" x14ac:dyDescent="0.2">
      <c r="B1304" s="456" t="s">
        <v>2790</v>
      </c>
    </row>
    <row r="1306" spans="2:2" x14ac:dyDescent="0.2">
      <c r="B1306" s="456" t="s">
        <v>2193</v>
      </c>
    </row>
    <row r="1307" spans="2:2" x14ac:dyDescent="0.2">
      <c r="B1307" s="456" t="s">
        <v>2194</v>
      </c>
    </row>
    <row r="1308" spans="2:2" x14ac:dyDescent="0.2">
      <c r="B1308" s="456" t="s">
        <v>2195</v>
      </c>
    </row>
    <row r="1310" spans="2:2" ht="15" x14ac:dyDescent="0.25">
      <c r="B1310" s="456" t="s">
        <v>2791</v>
      </c>
    </row>
    <row r="1311" spans="2:2" x14ac:dyDescent="0.2">
      <c r="B1311" s="456" t="s">
        <v>2792</v>
      </c>
    </row>
    <row r="1312" spans="2:2" x14ac:dyDescent="0.2">
      <c r="B1312" s="456" t="s">
        <v>2793</v>
      </c>
    </row>
    <row r="1313" spans="2:2" x14ac:dyDescent="0.2">
      <c r="B1313" s="456" t="s">
        <v>2794</v>
      </c>
    </row>
    <row r="1314" spans="2:2" x14ac:dyDescent="0.2">
      <c r="B1314" s="456" t="s">
        <v>2795</v>
      </c>
    </row>
    <row r="1315" spans="2:2" ht="15" x14ac:dyDescent="0.25">
      <c r="B1315" s="456" t="s">
        <v>2796</v>
      </c>
    </row>
    <row r="1316" spans="2:2" x14ac:dyDescent="0.2">
      <c r="B1316" s="456" t="s">
        <v>2797</v>
      </c>
    </row>
    <row r="1318" spans="2:2" x14ac:dyDescent="0.2">
      <c r="B1318" s="456" t="s">
        <v>2196</v>
      </c>
    </row>
    <row r="1319" spans="2:2" x14ac:dyDescent="0.2">
      <c r="B1319" s="456" t="s">
        <v>2197</v>
      </c>
    </row>
    <row r="1320" spans="2:2" x14ac:dyDescent="0.2">
      <c r="B1320" s="456" t="s">
        <v>2198</v>
      </c>
    </row>
    <row r="1321" spans="2:2" x14ac:dyDescent="0.2">
      <c r="B1321" s="456" t="s">
        <v>2199</v>
      </c>
    </row>
    <row r="1322" spans="2:2" x14ac:dyDescent="0.2">
      <c r="B1322" s="456" t="s">
        <v>2200</v>
      </c>
    </row>
    <row r="1323" spans="2:2" x14ac:dyDescent="0.2">
      <c r="B1323" s="456" t="s">
        <v>2201</v>
      </c>
    </row>
    <row r="1324" spans="2:2" x14ac:dyDescent="0.2">
      <c r="B1324" s="456" t="s">
        <v>2202</v>
      </c>
    </row>
    <row r="1325" spans="2:2" x14ac:dyDescent="0.2">
      <c r="B1325" s="456" t="s">
        <v>2203</v>
      </c>
    </row>
    <row r="1326" spans="2:2" x14ac:dyDescent="0.2">
      <c r="B1326" s="456" t="s">
        <v>2204</v>
      </c>
    </row>
    <row r="1327" spans="2:2" x14ac:dyDescent="0.2">
      <c r="B1327" s="456" t="s">
        <v>2205</v>
      </c>
    </row>
    <row r="1329" spans="2:2" ht="15" x14ac:dyDescent="0.25">
      <c r="B1329" s="498" t="s">
        <v>1612</v>
      </c>
    </row>
    <row r="1331" spans="2:2" x14ac:dyDescent="0.2">
      <c r="B1331" s="456" t="s">
        <v>2206</v>
      </c>
    </row>
    <row r="1332" spans="2:2" x14ac:dyDescent="0.2">
      <c r="B1332" s="456" t="s">
        <v>2207</v>
      </c>
    </row>
    <row r="1333" spans="2:2" x14ac:dyDescent="0.2">
      <c r="B1333" s="456" t="s">
        <v>2208</v>
      </c>
    </row>
    <row r="1334" spans="2:2" x14ac:dyDescent="0.2">
      <c r="B1334" s="456" t="s">
        <v>2209</v>
      </c>
    </row>
    <row r="1336" spans="2:2" ht="15" x14ac:dyDescent="0.25">
      <c r="B1336" s="498" t="s">
        <v>1613</v>
      </c>
    </row>
    <row r="1338" spans="2:2" x14ac:dyDescent="0.2">
      <c r="B1338" s="456" t="s">
        <v>2210</v>
      </c>
    </row>
    <row r="1339" spans="2:2" x14ac:dyDescent="0.2">
      <c r="B1339" s="456" t="s">
        <v>2211</v>
      </c>
    </row>
    <row r="1340" spans="2:2" x14ac:dyDescent="0.2">
      <c r="B1340" s="456" t="s">
        <v>2212</v>
      </c>
    </row>
    <row r="1341" spans="2:2" x14ac:dyDescent="0.2">
      <c r="B1341" s="456" t="s">
        <v>2213</v>
      </c>
    </row>
    <row r="1343" spans="2:2" x14ac:dyDescent="0.2">
      <c r="B1343" s="456" t="s">
        <v>2193</v>
      </c>
    </row>
    <row r="1344" spans="2:2" x14ac:dyDescent="0.2">
      <c r="B1344" s="456" t="s">
        <v>2214</v>
      </c>
    </row>
    <row r="1345" spans="2:2" x14ac:dyDescent="0.2">
      <c r="B1345" s="456" t="s">
        <v>2215</v>
      </c>
    </row>
    <row r="1347" spans="2:2" ht="15" x14ac:dyDescent="0.25">
      <c r="B1347" s="456" t="s">
        <v>2798</v>
      </c>
    </row>
    <row r="1348" spans="2:2" x14ac:dyDescent="0.2">
      <c r="B1348" s="456" t="s">
        <v>2799</v>
      </c>
    </row>
    <row r="1349" spans="2:2" x14ac:dyDescent="0.2">
      <c r="B1349" s="456" t="s">
        <v>2800</v>
      </c>
    </row>
    <row r="1350" spans="2:2" x14ac:dyDescent="0.2">
      <c r="B1350" s="456" t="s">
        <v>2801</v>
      </c>
    </row>
    <row r="1351" spans="2:2" x14ac:dyDescent="0.2">
      <c r="B1351" s="456" t="s">
        <v>2802</v>
      </c>
    </row>
    <row r="1352" spans="2:2" ht="15" x14ac:dyDescent="0.25">
      <c r="B1352" s="456" t="s">
        <v>2796</v>
      </c>
    </row>
    <row r="1353" spans="2:2" x14ac:dyDescent="0.2">
      <c r="B1353" s="456" t="s">
        <v>2803</v>
      </c>
    </row>
    <row r="1355" spans="2:2" x14ac:dyDescent="0.2">
      <c r="B1355" s="456" t="s">
        <v>2216</v>
      </c>
    </row>
    <row r="1356" spans="2:2" x14ac:dyDescent="0.2">
      <c r="B1356" s="456" t="s">
        <v>2217</v>
      </c>
    </row>
    <row r="1357" spans="2:2" x14ac:dyDescent="0.2">
      <c r="B1357" s="456" t="s">
        <v>2218</v>
      </c>
    </row>
    <row r="1358" spans="2:2" x14ac:dyDescent="0.2">
      <c r="B1358" s="456" t="s">
        <v>2219</v>
      </c>
    </row>
    <row r="1359" spans="2:2" x14ac:dyDescent="0.2">
      <c r="B1359" s="456" t="s">
        <v>1614</v>
      </c>
    </row>
    <row r="1361" spans="2:2" ht="15" x14ac:dyDescent="0.25">
      <c r="B1361" s="498" t="s">
        <v>1615</v>
      </c>
    </row>
    <row r="1363" spans="2:2" x14ac:dyDescent="0.2">
      <c r="B1363" s="456" t="s">
        <v>2220</v>
      </c>
    </row>
    <row r="1364" spans="2:2" x14ac:dyDescent="0.2">
      <c r="B1364" s="456" t="s">
        <v>2221</v>
      </c>
    </row>
    <row r="1365" spans="2:2" x14ac:dyDescent="0.2">
      <c r="B1365" s="456" t="s">
        <v>2222</v>
      </c>
    </row>
    <row r="1366" spans="2:2" x14ac:dyDescent="0.2">
      <c r="B1366" s="456" t="s">
        <v>2223</v>
      </c>
    </row>
    <row r="1367" spans="2:2" x14ac:dyDescent="0.2">
      <c r="B1367" s="456" t="s">
        <v>2224</v>
      </c>
    </row>
    <row r="1368" spans="2:2" x14ac:dyDescent="0.2">
      <c r="B1368" s="456" t="s">
        <v>2225</v>
      </c>
    </row>
    <row r="1370" spans="2:2" x14ac:dyDescent="0.2">
      <c r="B1370" s="456" t="s">
        <v>2226</v>
      </c>
    </row>
    <row r="1371" spans="2:2" x14ac:dyDescent="0.2">
      <c r="B1371" s="456" t="s">
        <v>2227</v>
      </c>
    </row>
    <row r="1372" spans="2:2" x14ac:dyDescent="0.2">
      <c r="B1372" s="456" t="s">
        <v>2228</v>
      </c>
    </row>
    <row r="1373" spans="2:2" x14ac:dyDescent="0.2">
      <c r="B1373" s="456" t="s">
        <v>2229</v>
      </c>
    </row>
    <row r="1374" spans="2:2" x14ac:dyDescent="0.2">
      <c r="B1374" s="456" t="s">
        <v>2230</v>
      </c>
    </row>
    <row r="1375" spans="2:2" x14ac:dyDescent="0.2">
      <c r="B1375" s="456" t="s">
        <v>2231</v>
      </c>
    </row>
    <row r="1377" spans="2:2" ht="15" x14ac:dyDescent="0.25">
      <c r="B1377" s="456" t="s">
        <v>2804</v>
      </c>
    </row>
    <row r="1378" spans="2:2" x14ac:dyDescent="0.2">
      <c r="B1378" s="456" t="s">
        <v>2805</v>
      </c>
    </row>
    <row r="1379" spans="2:2" ht="15" x14ac:dyDescent="0.25">
      <c r="B1379" s="456" t="s">
        <v>2806</v>
      </c>
    </row>
    <row r="1380" spans="2:2" x14ac:dyDescent="0.2">
      <c r="B1380" s="456" t="s">
        <v>2807</v>
      </c>
    </row>
    <row r="1382" spans="2:2" x14ac:dyDescent="0.2">
      <c r="B1382" s="456" t="s">
        <v>2232</v>
      </c>
    </row>
    <row r="1383" spans="2:2" x14ac:dyDescent="0.2">
      <c r="B1383" s="456" t="s">
        <v>2233</v>
      </c>
    </row>
    <row r="1384" spans="2:2" x14ac:dyDescent="0.2">
      <c r="B1384" s="456" t="s">
        <v>2234</v>
      </c>
    </row>
    <row r="1385" spans="2:2" x14ac:dyDescent="0.2">
      <c r="B1385" s="456" t="s">
        <v>1616</v>
      </c>
    </row>
    <row r="1387" spans="2:2" x14ac:dyDescent="0.2">
      <c r="B1387" s="456" t="s">
        <v>2235</v>
      </c>
    </row>
    <row r="1388" spans="2:2" x14ac:dyDescent="0.2">
      <c r="B1388" s="456" t="s">
        <v>2236</v>
      </c>
    </row>
    <row r="1389" spans="2:2" x14ac:dyDescent="0.2">
      <c r="B1389" s="456" t="s">
        <v>2237</v>
      </c>
    </row>
    <row r="1390" spans="2:2" x14ac:dyDescent="0.2">
      <c r="B1390" s="456" t="s">
        <v>2238</v>
      </c>
    </row>
    <row r="1391" spans="2:2" x14ac:dyDescent="0.2">
      <c r="B1391" s="456" t="s">
        <v>2239</v>
      </c>
    </row>
    <row r="1392" spans="2:2" x14ac:dyDescent="0.2">
      <c r="B1392" s="456" t="s">
        <v>2240</v>
      </c>
    </row>
    <row r="1393" spans="2:2" x14ac:dyDescent="0.2">
      <c r="B1393" s="456" t="s">
        <v>2241</v>
      </c>
    </row>
    <row r="1394" spans="2:2" x14ac:dyDescent="0.2">
      <c r="B1394" s="456" t="s">
        <v>2242</v>
      </c>
    </row>
    <row r="1396" spans="2:2" x14ac:dyDescent="0.2">
      <c r="B1396" s="456" t="s">
        <v>2243</v>
      </c>
    </row>
    <row r="1397" spans="2:2" x14ac:dyDescent="0.2">
      <c r="B1397" s="456" t="s">
        <v>2244</v>
      </c>
    </row>
    <row r="1398" spans="2:2" x14ac:dyDescent="0.2">
      <c r="B1398" s="456" t="s">
        <v>2245</v>
      </c>
    </row>
    <row r="1399" spans="2:2" x14ac:dyDescent="0.2">
      <c r="B1399" s="456" t="s">
        <v>2246</v>
      </c>
    </row>
    <row r="1401" spans="2:2" x14ac:dyDescent="0.2">
      <c r="B1401" s="456" t="s">
        <v>2247</v>
      </c>
    </row>
    <row r="1402" spans="2:2" x14ac:dyDescent="0.2">
      <c r="B1402" s="456" t="s">
        <v>2248</v>
      </c>
    </row>
    <row r="1403" spans="2:2" x14ac:dyDescent="0.2">
      <c r="B1403" s="456" t="s">
        <v>2249</v>
      </c>
    </row>
    <row r="1404" spans="2:2" x14ac:dyDescent="0.2">
      <c r="B1404" s="456" t="s">
        <v>2250</v>
      </c>
    </row>
    <row r="1405" spans="2:2" x14ac:dyDescent="0.2">
      <c r="B1405" s="456" t="s">
        <v>2251</v>
      </c>
    </row>
    <row r="1406" spans="2:2" x14ac:dyDescent="0.2">
      <c r="B1406" s="456" t="s">
        <v>2252</v>
      </c>
    </row>
    <row r="1407" spans="2:2" x14ac:dyDescent="0.2">
      <c r="B1407" s="456" t="s">
        <v>2253</v>
      </c>
    </row>
    <row r="1408" spans="2:2" x14ac:dyDescent="0.2">
      <c r="B1408" s="456" t="s">
        <v>2254</v>
      </c>
    </row>
    <row r="1409" spans="2:2" x14ac:dyDescent="0.2">
      <c r="B1409" s="456" t="s">
        <v>2255</v>
      </c>
    </row>
    <row r="1410" spans="2:2" x14ac:dyDescent="0.2">
      <c r="B1410" s="456" t="s">
        <v>2256</v>
      </c>
    </row>
    <row r="1412" spans="2:2" x14ac:dyDescent="0.2">
      <c r="B1412" s="456" t="s">
        <v>1617</v>
      </c>
    </row>
    <row r="1414" spans="2:2" ht="15" x14ac:dyDescent="0.25">
      <c r="B1414" s="456" t="s">
        <v>2808</v>
      </c>
    </row>
    <row r="1415" spans="2:2" ht="15" x14ac:dyDescent="0.25">
      <c r="B1415" s="456" t="s">
        <v>2809</v>
      </c>
    </row>
    <row r="1416" spans="2:2" x14ac:dyDescent="0.2">
      <c r="B1416" s="456" t="s">
        <v>2810</v>
      </c>
    </row>
    <row r="1417" spans="2:2" ht="15" x14ac:dyDescent="0.25">
      <c r="B1417" s="456" t="s">
        <v>2811</v>
      </c>
    </row>
    <row r="1419" spans="2:2" x14ac:dyDescent="0.2">
      <c r="B1419" s="456" t="s">
        <v>2257</v>
      </c>
    </row>
    <row r="1420" spans="2:2" x14ac:dyDescent="0.2">
      <c r="B1420" s="456" t="s">
        <v>2258</v>
      </c>
    </row>
    <row r="1422" spans="2:2" ht="15" x14ac:dyDescent="0.25">
      <c r="B1422" s="456" t="s">
        <v>2812</v>
      </c>
    </row>
    <row r="1423" spans="2:2" ht="15" x14ac:dyDescent="0.25">
      <c r="B1423" s="456" t="s">
        <v>2813</v>
      </c>
    </row>
    <row r="1424" spans="2:2" x14ac:dyDescent="0.2">
      <c r="B1424" s="456" t="s">
        <v>2814</v>
      </c>
    </row>
    <row r="1425" spans="2:2" x14ac:dyDescent="0.2">
      <c r="B1425" s="456" t="s">
        <v>2815</v>
      </c>
    </row>
    <row r="1426" spans="2:2" x14ac:dyDescent="0.2">
      <c r="B1426" s="456" t="s">
        <v>2816</v>
      </c>
    </row>
    <row r="1428" spans="2:2" x14ac:dyDescent="0.2">
      <c r="B1428" s="456" t="s">
        <v>1618</v>
      </c>
    </row>
    <row r="1430" spans="2:2" x14ac:dyDescent="0.2">
      <c r="B1430" s="456" t="s">
        <v>2259</v>
      </c>
    </row>
    <row r="1431" spans="2:2" x14ac:dyDescent="0.2">
      <c r="B1431" s="456" t="s">
        <v>2260</v>
      </c>
    </row>
    <row r="1432" spans="2:2" x14ac:dyDescent="0.2">
      <c r="B1432" s="456" t="s">
        <v>2261</v>
      </c>
    </row>
    <row r="1433" spans="2:2" x14ac:dyDescent="0.2">
      <c r="B1433" s="456" t="s">
        <v>2262</v>
      </c>
    </row>
    <row r="1434" spans="2:2" x14ac:dyDescent="0.2">
      <c r="B1434" s="456" t="s">
        <v>2263</v>
      </c>
    </row>
    <row r="1435" spans="2:2" x14ac:dyDescent="0.2">
      <c r="B1435" s="456" t="s">
        <v>2264</v>
      </c>
    </row>
    <row r="1437" spans="2:2" ht="15" x14ac:dyDescent="0.25">
      <c r="B1437" s="456" t="s">
        <v>2817</v>
      </c>
    </row>
    <row r="1438" spans="2:2" ht="15" x14ac:dyDescent="0.25">
      <c r="B1438" s="456" t="s">
        <v>2818</v>
      </c>
    </row>
    <row r="1439" spans="2:2" ht="15" x14ac:dyDescent="0.25">
      <c r="B1439" s="456" t="s">
        <v>2819</v>
      </c>
    </row>
    <row r="1440" spans="2:2" ht="15" x14ac:dyDescent="0.25">
      <c r="B1440" s="456" t="s">
        <v>2820</v>
      </c>
    </row>
    <row r="1441" spans="2:2" ht="15" x14ac:dyDescent="0.25">
      <c r="B1441" s="456" t="s">
        <v>2821</v>
      </c>
    </row>
    <row r="1442" spans="2:2" ht="15" x14ac:dyDescent="0.25">
      <c r="B1442" s="456" t="s">
        <v>2822</v>
      </c>
    </row>
    <row r="1444" spans="2:2" ht="15" x14ac:dyDescent="0.25">
      <c r="B1444" s="456" t="s">
        <v>2823</v>
      </c>
    </row>
    <row r="1446" spans="2:2" x14ac:dyDescent="0.2">
      <c r="B1446" s="456" t="s">
        <v>2265</v>
      </c>
    </row>
    <row r="1447" spans="2:2" x14ac:dyDescent="0.2">
      <c r="B1447" s="456" t="s">
        <v>2266</v>
      </c>
    </row>
    <row r="1448" spans="2:2" x14ac:dyDescent="0.2">
      <c r="B1448" s="456" t="s">
        <v>2267</v>
      </c>
    </row>
    <row r="1449" spans="2:2" x14ac:dyDescent="0.2">
      <c r="B1449" s="456" t="s">
        <v>2268</v>
      </c>
    </row>
    <row r="1450" spans="2:2" x14ac:dyDescent="0.2">
      <c r="B1450" s="456" t="s">
        <v>2269</v>
      </c>
    </row>
    <row r="1451" spans="2:2" x14ac:dyDescent="0.2">
      <c r="B1451" s="456" t="s">
        <v>2270</v>
      </c>
    </row>
    <row r="1453" spans="2:2" x14ac:dyDescent="0.2">
      <c r="B1453" s="456" t="s">
        <v>2271</v>
      </c>
    </row>
    <row r="1454" spans="2:2" x14ac:dyDescent="0.2">
      <c r="B1454" s="456" t="s">
        <v>2272</v>
      </c>
    </row>
    <row r="1455" spans="2:2" x14ac:dyDescent="0.2">
      <c r="B1455" s="456" t="s">
        <v>2273</v>
      </c>
    </row>
    <row r="1456" spans="2:2" x14ac:dyDescent="0.2">
      <c r="B1456" s="456" t="s">
        <v>2876</v>
      </c>
    </row>
    <row r="1457" spans="1:4" x14ac:dyDescent="0.2">
      <c r="B1457" s="456" t="s">
        <v>2274</v>
      </c>
    </row>
    <row r="1459" spans="1:4" ht="15" x14ac:dyDescent="0.25">
      <c r="B1459" s="456" t="s">
        <v>2824</v>
      </c>
    </row>
    <row r="1460" spans="1:4" x14ac:dyDescent="0.2">
      <c r="B1460" s="456" t="s">
        <v>2825</v>
      </c>
    </row>
    <row r="1461" spans="1:4" ht="15" x14ac:dyDescent="0.25">
      <c r="B1461" s="456" t="s">
        <v>2826</v>
      </c>
    </row>
    <row r="1462" spans="1:4" x14ac:dyDescent="0.2">
      <c r="B1462" s="456" t="s">
        <v>2827</v>
      </c>
    </row>
    <row r="1464" spans="1:4" x14ac:dyDescent="0.2">
      <c r="B1464" s="456" t="s">
        <v>2275</v>
      </c>
    </row>
    <row r="1465" spans="1:4" x14ac:dyDescent="0.2">
      <c r="B1465" s="456" t="s">
        <v>2276</v>
      </c>
    </row>
    <row r="1466" spans="1:4" x14ac:dyDescent="0.2">
      <c r="B1466" s="456" t="s">
        <v>2277</v>
      </c>
    </row>
    <row r="1467" spans="1:4" x14ac:dyDescent="0.2">
      <c r="B1467" s="456" t="s">
        <v>2278</v>
      </c>
    </row>
    <row r="1468" spans="1:4" s="318" customFormat="1" x14ac:dyDescent="0.2">
      <c r="A1468" s="456"/>
      <c r="B1468" s="456"/>
      <c r="D1468" s="823"/>
    </row>
    <row r="1469" spans="1:4" s="318" customFormat="1" x14ac:dyDescent="0.2">
      <c r="A1469" s="456"/>
      <c r="B1469" s="456" t="s">
        <v>2279</v>
      </c>
      <c r="D1469" s="823"/>
    </row>
    <row r="1470" spans="1:4" s="318" customFormat="1" x14ac:dyDescent="0.2">
      <c r="A1470" s="456"/>
      <c r="B1470" s="456" t="s">
        <v>2280</v>
      </c>
      <c r="D1470" s="823"/>
    </row>
    <row r="1471" spans="1:4" x14ac:dyDescent="0.2">
      <c r="B1471" s="456" t="s">
        <v>2281</v>
      </c>
    </row>
    <row r="1473" spans="1:2" ht="15" x14ac:dyDescent="0.25">
      <c r="B1473" s="456" t="s">
        <v>2828</v>
      </c>
    </row>
    <row r="1474" spans="1:2" ht="15" x14ac:dyDescent="0.25">
      <c r="B1474" s="456" t="s">
        <v>2829</v>
      </c>
    </row>
    <row r="1475" spans="1:2" x14ac:dyDescent="0.2">
      <c r="A1475" s="318"/>
    </row>
    <row r="1476" spans="1:2" x14ac:dyDescent="0.2">
      <c r="A1476" s="318"/>
      <c r="B1476" s="456" t="s">
        <v>2282</v>
      </c>
    </row>
    <row r="1477" spans="1:2" x14ac:dyDescent="0.2">
      <c r="A1477" s="318"/>
      <c r="B1477" s="456" t="s">
        <v>2283</v>
      </c>
    </row>
    <row r="1478" spans="1:2" x14ac:dyDescent="0.2">
      <c r="B1478" s="456" t="s">
        <v>2284</v>
      </c>
    </row>
    <row r="1479" spans="1:2" x14ac:dyDescent="0.2">
      <c r="B1479" s="456" t="s">
        <v>2285</v>
      </c>
    </row>
    <row r="1480" spans="1:2" x14ac:dyDescent="0.2">
      <c r="B1480" s="456" t="s">
        <v>2286</v>
      </c>
    </row>
    <row r="1481" spans="1:2" x14ac:dyDescent="0.2">
      <c r="B1481" s="456" t="s">
        <v>2287</v>
      </c>
    </row>
    <row r="1482" spans="1:2" x14ac:dyDescent="0.2">
      <c r="B1482" s="456" t="s">
        <v>2288</v>
      </c>
    </row>
    <row r="1483" spans="1:2" x14ac:dyDescent="0.2">
      <c r="B1483" s="456" t="s">
        <v>2289</v>
      </c>
    </row>
    <row r="1485" spans="1:2" x14ac:dyDescent="0.2">
      <c r="B1485" s="456" t="s">
        <v>2290</v>
      </c>
    </row>
    <row r="1486" spans="1:2" x14ac:dyDescent="0.2">
      <c r="B1486" s="456" t="s">
        <v>2291</v>
      </c>
    </row>
    <row r="1487" spans="1:2" x14ac:dyDescent="0.2">
      <c r="B1487" s="456" t="s">
        <v>2292</v>
      </c>
    </row>
    <row r="1488" spans="1:2" x14ac:dyDescent="0.2">
      <c r="B1488" s="456" t="s">
        <v>2293</v>
      </c>
    </row>
    <row r="1489" spans="2:2" x14ac:dyDescent="0.2">
      <c r="B1489" s="456" t="s">
        <v>1619</v>
      </c>
    </row>
    <row r="1491" spans="2:2" ht="15" x14ac:dyDescent="0.25">
      <c r="B1491" s="498" t="s">
        <v>1620</v>
      </c>
    </row>
    <row r="1493" spans="2:2" x14ac:dyDescent="0.2">
      <c r="B1493" s="456" t="s">
        <v>1621</v>
      </c>
    </row>
    <row r="1495" spans="2:2" x14ac:dyDescent="0.2">
      <c r="B1495" s="456" t="s">
        <v>2294</v>
      </c>
    </row>
    <row r="1496" spans="2:2" x14ac:dyDescent="0.2">
      <c r="B1496" s="456" t="s">
        <v>2295</v>
      </c>
    </row>
    <row r="1497" spans="2:2" x14ac:dyDescent="0.2">
      <c r="B1497" s="456" t="s">
        <v>2296</v>
      </c>
    </row>
    <row r="1499" spans="2:2" x14ac:dyDescent="0.2">
      <c r="B1499" s="456" t="s">
        <v>2297</v>
      </c>
    </row>
    <row r="1500" spans="2:2" x14ac:dyDescent="0.2">
      <c r="B1500" s="456" t="s">
        <v>2298</v>
      </c>
    </row>
    <row r="1501" spans="2:2" x14ac:dyDescent="0.2">
      <c r="B1501" s="456" t="s">
        <v>2127</v>
      </c>
    </row>
    <row r="1503" spans="2:2" x14ac:dyDescent="0.2">
      <c r="B1503" s="456" t="s">
        <v>1622</v>
      </c>
    </row>
    <row r="1505" spans="2:2" ht="15" x14ac:dyDescent="0.25">
      <c r="B1505" s="456" t="s">
        <v>2830</v>
      </c>
    </row>
    <row r="1506" spans="2:2" ht="15" x14ac:dyDescent="0.25">
      <c r="B1506" s="456" t="s">
        <v>2831</v>
      </c>
    </row>
    <row r="1507" spans="2:2" x14ac:dyDescent="0.2">
      <c r="B1507" s="456" t="s">
        <v>2832</v>
      </c>
    </row>
    <row r="1508" spans="2:2" ht="15" x14ac:dyDescent="0.25">
      <c r="B1508" s="456" t="s">
        <v>2833</v>
      </c>
    </row>
    <row r="1509" spans="2:2" x14ac:dyDescent="0.2">
      <c r="B1509" s="456" t="s">
        <v>2834</v>
      </c>
    </row>
    <row r="1510" spans="2:2" ht="15" x14ac:dyDescent="0.25">
      <c r="B1510" s="456" t="s">
        <v>2835</v>
      </c>
    </row>
    <row r="1511" spans="2:2" ht="15" x14ac:dyDescent="0.25">
      <c r="B1511" s="456" t="s">
        <v>2836</v>
      </c>
    </row>
    <row r="1512" spans="2:2" x14ac:dyDescent="0.2">
      <c r="B1512" s="456" t="s">
        <v>2837</v>
      </c>
    </row>
    <row r="1513" spans="2:2" x14ac:dyDescent="0.2">
      <c r="B1513" s="456" t="s">
        <v>2838</v>
      </c>
    </row>
    <row r="1515" spans="2:2" x14ac:dyDescent="0.2">
      <c r="B1515" s="456" t="s">
        <v>2299</v>
      </c>
    </row>
    <row r="1516" spans="2:2" x14ac:dyDescent="0.2">
      <c r="B1516" s="456" t="s">
        <v>2300</v>
      </c>
    </row>
    <row r="1518" spans="2:2" x14ac:dyDescent="0.2">
      <c r="B1518" s="456" t="s">
        <v>3737</v>
      </c>
    </row>
    <row r="1519" spans="2:2" x14ac:dyDescent="0.2">
      <c r="B1519" s="456" t="s">
        <v>2920</v>
      </c>
    </row>
    <row r="1520" spans="2:2" x14ac:dyDescent="0.2">
      <c r="B1520" s="456" t="s">
        <v>2921</v>
      </c>
    </row>
    <row r="1521" spans="2:2" x14ac:dyDescent="0.2">
      <c r="B1521" s="456" t="s">
        <v>2922</v>
      </c>
    </row>
    <row r="1522" spans="2:2" ht="28.5" x14ac:dyDescent="0.2">
      <c r="B1522" s="465" t="s">
        <v>3736</v>
      </c>
    </row>
    <row r="1524" spans="2:2" x14ac:dyDescent="0.2">
      <c r="B1524" s="456" t="s">
        <v>2301</v>
      </c>
    </row>
    <row r="1525" spans="2:2" x14ac:dyDescent="0.2">
      <c r="B1525" s="456" t="s">
        <v>2302</v>
      </c>
    </row>
    <row r="1526" spans="2:2" x14ac:dyDescent="0.2">
      <c r="B1526" s="456" t="s">
        <v>2303</v>
      </c>
    </row>
    <row r="1527" spans="2:2" x14ac:dyDescent="0.2">
      <c r="B1527" s="456" t="s">
        <v>2304</v>
      </c>
    </row>
    <row r="1528" spans="2:2" x14ac:dyDescent="0.2">
      <c r="B1528" s="456" t="s">
        <v>2305</v>
      </c>
    </row>
    <row r="1529" spans="2:2" x14ac:dyDescent="0.2">
      <c r="B1529" s="456" t="s">
        <v>2306</v>
      </c>
    </row>
    <row r="1530" spans="2:2" x14ac:dyDescent="0.2">
      <c r="B1530" s="456" t="s">
        <v>2307</v>
      </c>
    </row>
    <row r="1531" spans="2:2" x14ac:dyDescent="0.2">
      <c r="B1531" s="456" t="s">
        <v>2308</v>
      </c>
    </row>
    <row r="1532" spans="2:2" x14ac:dyDescent="0.2">
      <c r="B1532" s="456" t="s">
        <v>2309</v>
      </c>
    </row>
    <row r="1534" spans="2:2" x14ac:dyDescent="0.2">
      <c r="B1534" s="456" t="s">
        <v>2310</v>
      </c>
    </row>
    <row r="1535" spans="2:2" x14ac:dyDescent="0.2">
      <c r="B1535" s="456" t="s">
        <v>2311</v>
      </c>
    </row>
    <row r="1536" spans="2:2" x14ac:dyDescent="0.2">
      <c r="B1536" s="456" t="s">
        <v>2312</v>
      </c>
    </row>
    <row r="1537" spans="2:2" x14ac:dyDescent="0.2">
      <c r="B1537" s="456" t="s">
        <v>2313</v>
      </c>
    </row>
    <row r="1538" spans="2:2" x14ac:dyDescent="0.2">
      <c r="B1538" s="456" t="s">
        <v>2314</v>
      </c>
    </row>
    <row r="1539" spans="2:2" x14ac:dyDescent="0.2">
      <c r="B1539" s="456" t="s">
        <v>2315</v>
      </c>
    </row>
    <row r="1541" spans="2:2" ht="15" x14ac:dyDescent="0.25">
      <c r="B1541" s="498" t="s">
        <v>3750</v>
      </c>
    </row>
    <row r="1543" spans="2:2" x14ac:dyDescent="0.2">
      <c r="B1543" s="456" t="s">
        <v>2316</v>
      </c>
    </row>
    <row r="1544" spans="2:2" x14ac:dyDescent="0.2">
      <c r="B1544" s="456" t="s">
        <v>2317</v>
      </c>
    </row>
    <row r="1545" spans="2:2" x14ac:dyDescent="0.2">
      <c r="B1545" s="456" t="s">
        <v>2318</v>
      </c>
    </row>
    <row r="1546" spans="2:2" x14ac:dyDescent="0.2">
      <c r="B1546" s="456" t="s">
        <v>2319</v>
      </c>
    </row>
    <row r="1548" spans="2:2" ht="15" x14ac:dyDescent="0.25">
      <c r="B1548" s="456" t="s">
        <v>2839</v>
      </c>
    </row>
    <row r="1549" spans="2:2" x14ac:dyDescent="0.2">
      <c r="B1549" s="456" t="s">
        <v>2840</v>
      </c>
    </row>
    <row r="1550" spans="2:2" x14ac:dyDescent="0.2">
      <c r="B1550" s="456" t="s">
        <v>2841</v>
      </c>
    </row>
    <row r="1551" spans="2:2" ht="15" x14ac:dyDescent="0.25">
      <c r="B1551" s="456" t="s">
        <v>2842</v>
      </c>
    </row>
    <row r="1552" spans="2:2" x14ac:dyDescent="0.2">
      <c r="B1552" s="456" t="s">
        <v>2843</v>
      </c>
    </row>
    <row r="1553" spans="2:2" x14ac:dyDescent="0.2">
      <c r="B1553" s="456" t="s">
        <v>2844</v>
      </c>
    </row>
    <row r="1555" spans="2:2" x14ac:dyDescent="0.2">
      <c r="B1555" s="456" t="s">
        <v>2320</v>
      </c>
    </row>
    <row r="1556" spans="2:2" x14ac:dyDescent="0.2">
      <c r="B1556" s="456" t="s">
        <v>2321</v>
      </c>
    </row>
    <row r="1558" spans="2:2" ht="15" x14ac:dyDescent="0.25">
      <c r="B1558" s="456" t="s">
        <v>2845</v>
      </c>
    </row>
    <row r="1559" spans="2:2" ht="15" x14ac:dyDescent="0.25">
      <c r="B1559" s="456" t="s">
        <v>2846</v>
      </c>
    </row>
    <row r="1560" spans="2:2" ht="15" x14ac:dyDescent="0.25">
      <c r="B1560" s="456" t="s">
        <v>2847</v>
      </c>
    </row>
    <row r="1561" spans="2:2" x14ac:dyDescent="0.2">
      <c r="B1561" s="456" t="s">
        <v>2848</v>
      </c>
    </row>
    <row r="1563" spans="2:2" x14ac:dyDescent="0.2">
      <c r="B1563" s="456" t="s">
        <v>2322</v>
      </c>
    </row>
    <row r="1564" spans="2:2" x14ac:dyDescent="0.2">
      <c r="B1564" s="456" t="s">
        <v>2323</v>
      </c>
    </row>
    <row r="1565" spans="2:2" x14ac:dyDescent="0.2">
      <c r="B1565" s="456" t="s">
        <v>2324</v>
      </c>
    </row>
    <row r="1566" spans="2:2" x14ac:dyDescent="0.2">
      <c r="B1566" s="456" t="s">
        <v>4118</v>
      </c>
    </row>
    <row r="1567" spans="2:2" x14ac:dyDescent="0.2">
      <c r="B1567" s="456" t="s">
        <v>2325</v>
      </c>
    </row>
    <row r="1569" spans="2:2" x14ac:dyDescent="0.2">
      <c r="B1569" s="456" t="s">
        <v>2326</v>
      </c>
    </row>
    <row r="1570" spans="2:2" x14ac:dyDescent="0.2">
      <c r="B1570" s="456" t="s">
        <v>2327</v>
      </c>
    </row>
    <row r="1571" spans="2:2" x14ac:dyDescent="0.2">
      <c r="B1571" s="456" t="s">
        <v>2328</v>
      </c>
    </row>
    <row r="1572" spans="2:2" x14ac:dyDescent="0.2">
      <c r="B1572" s="456" t="s">
        <v>2329</v>
      </c>
    </row>
    <row r="1574" spans="2:2" ht="15" x14ac:dyDescent="0.25">
      <c r="B1574" s="498" t="s">
        <v>3751</v>
      </c>
    </row>
    <row r="1576" spans="2:2" x14ac:dyDescent="0.2">
      <c r="B1576" s="456" t="s">
        <v>2332</v>
      </c>
    </row>
    <row r="1577" spans="2:2" x14ac:dyDescent="0.2">
      <c r="B1577" s="456" t="s">
        <v>2333</v>
      </c>
    </row>
    <row r="1578" spans="2:2" x14ac:dyDescent="0.2">
      <c r="B1578" s="456" t="s">
        <v>2334</v>
      </c>
    </row>
    <row r="1580" spans="2:2" ht="15" x14ac:dyDescent="0.25">
      <c r="B1580" s="498" t="s">
        <v>3752</v>
      </c>
    </row>
    <row r="1582" spans="2:2" x14ac:dyDescent="0.2">
      <c r="B1582" s="456" t="s">
        <v>2335</v>
      </c>
    </row>
    <row r="1583" spans="2:2" x14ac:dyDescent="0.2">
      <c r="B1583" s="456" t="s">
        <v>4119</v>
      </c>
    </row>
    <row r="1584" spans="2:2" x14ac:dyDescent="0.2">
      <c r="B1584" s="456" t="s">
        <v>2336</v>
      </c>
    </row>
    <row r="1585" spans="2:4" x14ac:dyDescent="0.2">
      <c r="B1585" s="456" t="s">
        <v>2337</v>
      </c>
    </row>
    <row r="1586" spans="2:4" x14ac:dyDescent="0.2">
      <c r="B1586" s="456" t="s">
        <v>2338</v>
      </c>
    </row>
    <row r="1587" spans="2:4" x14ac:dyDescent="0.2">
      <c r="B1587" s="456" t="s">
        <v>2339</v>
      </c>
    </row>
    <row r="1589" spans="2:4" ht="15" x14ac:dyDescent="0.25">
      <c r="B1589" s="498" t="s">
        <v>3753</v>
      </c>
      <c r="D1589" s="1828"/>
    </row>
    <row r="1590" spans="2:4" x14ac:dyDescent="0.2">
      <c r="D1590" s="1828"/>
    </row>
    <row r="1591" spans="2:4" x14ac:dyDescent="0.2">
      <c r="B1591" s="456" t="s">
        <v>2397</v>
      </c>
      <c r="D1591" s="1828"/>
    </row>
    <row r="1592" spans="2:4" x14ac:dyDescent="0.2">
      <c r="B1592" s="456" t="s">
        <v>2398</v>
      </c>
      <c r="D1592" s="1828"/>
    </row>
    <row r="1593" spans="2:4" x14ac:dyDescent="0.2">
      <c r="B1593" s="456" t="s">
        <v>2399</v>
      </c>
      <c r="D1593" s="1828"/>
    </row>
    <row r="1594" spans="2:4" x14ac:dyDescent="0.2">
      <c r="B1594" s="456" t="s">
        <v>2400</v>
      </c>
      <c r="D1594" s="1828"/>
    </row>
    <row r="1595" spans="2:4" x14ac:dyDescent="0.2">
      <c r="B1595" s="456" t="s">
        <v>2401</v>
      </c>
      <c r="D1595" s="1828"/>
    </row>
    <row r="1596" spans="2:4" x14ac:dyDescent="0.2">
      <c r="D1596" s="1828"/>
    </row>
    <row r="1597" spans="2:4" ht="15" x14ac:dyDescent="0.25">
      <c r="B1597" s="456" t="s">
        <v>2849</v>
      </c>
      <c r="D1597" s="1828"/>
    </row>
    <row r="1598" spans="2:4" ht="15" x14ac:dyDescent="0.25">
      <c r="B1598" s="456" t="s">
        <v>2850</v>
      </c>
      <c r="D1598" s="1828"/>
    </row>
    <row r="1599" spans="2:4" ht="15" x14ac:dyDescent="0.25">
      <c r="B1599" s="456" t="s">
        <v>2851</v>
      </c>
      <c r="D1599" s="1828"/>
    </row>
    <row r="1600" spans="2:4" ht="15" x14ac:dyDescent="0.2">
      <c r="B1600" s="456" t="s">
        <v>2852</v>
      </c>
      <c r="D1600" s="813"/>
    </row>
    <row r="1601" spans="1:4" ht="15" x14ac:dyDescent="0.2">
      <c r="B1601" s="456" t="s">
        <v>2853</v>
      </c>
      <c r="D1601" s="813"/>
    </row>
    <row r="1602" spans="1:4" ht="15" x14ac:dyDescent="0.2">
      <c r="B1602" s="456" t="s">
        <v>2854</v>
      </c>
      <c r="D1602" s="813"/>
    </row>
    <row r="1603" spans="1:4" ht="15" x14ac:dyDescent="0.2">
      <c r="D1603" s="813"/>
    </row>
    <row r="1604" spans="1:4" ht="15" x14ac:dyDescent="0.2">
      <c r="B1604" s="456" t="s">
        <v>2402</v>
      </c>
      <c r="D1604" s="813"/>
    </row>
    <row r="1605" spans="1:4" ht="15" x14ac:dyDescent="0.25">
      <c r="B1605" s="456" t="s">
        <v>2403</v>
      </c>
      <c r="D1605" s="810"/>
    </row>
    <row r="1606" spans="1:4" ht="15" x14ac:dyDescent="0.25">
      <c r="B1606" s="456" t="s">
        <v>2404</v>
      </c>
      <c r="D1606" s="810"/>
    </row>
    <row r="1607" spans="1:4" ht="15" x14ac:dyDescent="0.25">
      <c r="B1607" s="456" t="s">
        <v>2405</v>
      </c>
      <c r="D1607" s="810"/>
    </row>
    <row r="1608" spans="1:4" ht="15" x14ac:dyDescent="0.25">
      <c r="B1608" s="456" t="s">
        <v>2406</v>
      </c>
      <c r="D1608" s="810"/>
    </row>
    <row r="1609" spans="1:4" ht="15" x14ac:dyDescent="0.25">
      <c r="B1609" s="456" t="s">
        <v>2407</v>
      </c>
      <c r="D1609" s="810"/>
    </row>
    <row r="1610" spans="1:4" ht="15" x14ac:dyDescent="0.25">
      <c r="D1610" s="810"/>
    </row>
    <row r="1611" spans="1:4" s="498" customFormat="1" ht="15" x14ac:dyDescent="0.25">
      <c r="A1611" s="456"/>
      <c r="B1611" s="456" t="s">
        <v>1630</v>
      </c>
      <c r="D1611" s="810"/>
    </row>
    <row r="1612" spans="1:4" s="498" customFormat="1" ht="15" x14ac:dyDescent="0.25">
      <c r="A1612" s="456"/>
      <c r="B1612" s="456"/>
      <c r="D1612" s="810"/>
    </row>
    <row r="1613" spans="1:4" ht="15" x14ac:dyDescent="0.25">
      <c r="B1613" s="456" t="s">
        <v>2855</v>
      </c>
    </row>
    <row r="1614" spans="1:4" ht="15" x14ac:dyDescent="0.25">
      <c r="B1614" s="456" t="s">
        <v>2856</v>
      </c>
    </row>
    <row r="1615" spans="1:4" ht="15" x14ac:dyDescent="0.25">
      <c r="B1615" s="456" t="s">
        <v>2857</v>
      </c>
    </row>
    <row r="1616" spans="1:4" ht="15" x14ac:dyDescent="0.25">
      <c r="B1616" s="456" t="s">
        <v>2858</v>
      </c>
    </row>
    <row r="1617" spans="1:4" ht="15" x14ac:dyDescent="0.25">
      <c r="A1617" s="498"/>
    </row>
    <row r="1618" spans="1:4" ht="15" x14ac:dyDescent="0.25">
      <c r="A1618" s="498"/>
      <c r="B1618" s="937" t="s">
        <v>3754</v>
      </c>
    </row>
    <row r="1619" spans="1:4" ht="43.5" x14ac:dyDescent="0.25">
      <c r="A1619" s="498"/>
      <c r="B1619" s="939" t="s">
        <v>3555</v>
      </c>
    </row>
    <row r="1620" spans="1:4" ht="15" x14ac:dyDescent="0.25">
      <c r="A1620" s="498"/>
      <c r="B1620" s="938" t="s">
        <v>3556</v>
      </c>
    </row>
    <row r="1621" spans="1:4" ht="15" x14ac:dyDescent="0.25">
      <c r="A1621" s="498"/>
      <c r="B1621" s="938" t="s">
        <v>3557</v>
      </c>
    </row>
    <row r="1622" spans="1:4" ht="15" x14ac:dyDescent="0.25">
      <c r="A1622" s="498"/>
      <c r="B1622" s="938" t="s">
        <v>3558</v>
      </c>
    </row>
    <row r="1623" spans="1:4" ht="15" x14ac:dyDescent="0.25">
      <c r="A1623" s="498"/>
      <c r="B1623" s="938"/>
    </row>
    <row r="1624" spans="1:4" ht="15" x14ac:dyDescent="0.25">
      <c r="B1624" s="940" t="s">
        <v>3755</v>
      </c>
    </row>
    <row r="1625" spans="1:4" ht="43.5" x14ac:dyDescent="0.25">
      <c r="A1625" s="498"/>
      <c r="B1625" s="939" t="s">
        <v>3559</v>
      </c>
    </row>
    <row r="1626" spans="1:4" ht="15" x14ac:dyDescent="0.25">
      <c r="A1626" s="498"/>
      <c r="B1626" s="938" t="s">
        <v>3560</v>
      </c>
    </row>
    <row r="1627" spans="1:4" ht="29.25" x14ac:dyDescent="0.25">
      <c r="A1627" s="498"/>
      <c r="B1627" s="939" t="s">
        <v>4120</v>
      </c>
    </row>
    <row r="1628" spans="1:4" ht="15" customHeight="1" x14ac:dyDescent="0.25">
      <c r="A1628" s="498"/>
      <c r="B1628" s="498" t="s">
        <v>1636</v>
      </c>
      <c r="D1628" s="1827" t="s">
        <v>3379</v>
      </c>
    </row>
    <row r="1629" spans="1:4" ht="15" x14ac:dyDescent="0.25">
      <c r="B1629" s="498"/>
      <c r="D1629" s="1827"/>
    </row>
    <row r="1630" spans="1:4" ht="15" x14ac:dyDescent="0.25">
      <c r="B1630" s="498" t="s">
        <v>1637</v>
      </c>
      <c r="D1630" s="1827"/>
    </row>
    <row r="1632" spans="1:4" x14ac:dyDescent="0.2">
      <c r="B1632" s="456" t="s">
        <v>3121</v>
      </c>
    </row>
    <row r="1634" spans="2:2" ht="15" x14ac:dyDescent="0.25">
      <c r="B1634" s="498" t="s">
        <v>1638</v>
      </c>
    </row>
    <row r="1636" spans="2:2" x14ac:dyDescent="0.2">
      <c r="B1636" s="456" t="s">
        <v>2412</v>
      </c>
    </row>
    <row r="1637" spans="2:2" x14ac:dyDescent="0.2">
      <c r="B1637" s="456" t="s">
        <v>2413</v>
      </c>
    </row>
    <row r="1638" spans="2:2" x14ac:dyDescent="0.2">
      <c r="B1638" s="456" t="s">
        <v>2414</v>
      </c>
    </row>
    <row r="1639" spans="2:2" x14ac:dyDescent="0.2">
      <c r="B1639" s="456" t="s">
        <v>2415</v>
      </c>
    </row>
    <row r="1640" spans="2:2" x14ac:dyDescent="0.2">
      <c r="B1640" s="456" t="s">
        <v>2416</v>
      </c>
    </row>
    <row r="1642" spans="2:2" x14ac:dyDescent="0.2">
      <c r="B1642" s="456" t="s">
        <v>2417</v>
      </c>
    </row>
    <row r="1643" spans="2:2" x14ac:dyDescent="0.2">
      <c r="B1643" s="456" t="s">
        <v>2418</v>
      </c>
    </row>
    <row r="1644" spans="2:2" x14ac:dyDescent="0.2">
      <c r="B1644" s="456" t="s">
        <v>2419</v>
      </c>
    </row>
    <row r="1645" spans="2:2" x14ac:dyDescent="0.2">
      <c r="B1645" s="456" t="s">
        <v>2420</v>
      </c>
    </row>
    <row r="1646" spans="2:2" x14ac:dyDescent="0.2">
      <c r="B1646" s="456" t="s">
        <v>2421</v>
      </c>
    </row>
    <row r="1648" spans="2:2" x14ac:dyDescent="0.2">
      <c r="B1648" s="456" t="s">
        <v>2422</v>
      </c>
    </row>
    <row r="1649" spans="2:2" x14ac:dyDescent="0.2">
      <c r="B1649" s="456" t="s">
        <v>2423</v>
      </c>
    </row>
    <row r="1650" spans="2:2" x14ac:dyDescent="0.2">
      <c r="B1650" s="456" t="s">
        <v>2424</v>
      </c>
    </row>
    <row r="1652" spans="2:2" x14ac:dyDescent="0.2">
      <c r="B1652" s="456" t="s">
        <v>1639</v>
      </c>
    </row>
    <row r="1654" spans="2:2" x14ac:dyDescent="0.2">
      <c r="B1654" s="456" t="s">
        <v>2425</v>
      </c>
    </row>
    <row r="1655" spans="2:2" x14ac:dyDescent="0.2">
      <c r="B1655" s="456" t="s">
        <v>2426</v>
      </c>
    </row>
    <row r="1656" spans="2:2" x14ac:dyDescent="0.2">
      <c r="B1656" s="456" t="s">
        <v>2427</v>
      </c>
    </row>
    <row r="1658" spans="2:2" ht="15" x14ac:dyDescent="0.25">
      <c r="B1658" s="498" t="s">
        <v>1640</v>
      </c>
    </row>
    <row r="1660" spans="2:2" x14ac:dyDescent="0.2">
      <c r="B1660" s="456" t="s">
        <v>1662</v>
      </c>
    </row>
    <row r="1662" spans="2:2" x14ac:dyDescent="0.2">
      <c r="B1662" s="456" t="s">
        <v>1663</v>
      </c>
    </row>
    <row r="1663" spans="2:2" x14ac:dyDescent="0.2">
      <c r="B1663" s="456" t="s">
        <v>2428</v>
      </c>
    </row>
    <row r="1664" spans="2:2" x14ac:dyDescent="0.2">
      <c r="B1664" s="456" t="s">
        <v>1641</v>
      </c>
    </row>
    <row r="1666" spans="2:2" x14ac:dyDescent="0.2">
      <c r="B1666" s="456" t="s">
        <v>2429</v>
      </c>
    </row>
    <row r="1667" spans="2:2" x14ac:dyDescent="0.2">
      <c r="B1667" s="456" t="s">
        <v>2430</v>
      </c>
    </row>
    <row r="1668" spans="2:2" x14ac:dyDescent="0.2">
      <c r="B1668" s="456" t="s">
        <v>2431</v>
      </c>
    </row>
    <row r="1670" spans="2:2" x14ac:dyDescent="0.2">
      <c r="B1670" s="456" t="s">
        <v>1664</v>
      </c>
    </row>
    <row r="1671" spans="2:2" x14ac:dyDescent="0.2">
      <c r="B1671" s="456" t="s">
        <v>1665</v>
      </c>
    </row>
    <row r="1673" spans="2:2" x14ac:dyDescent="0.2">
      <c r="B1673" s="456" t="s">
        <v>2432</v>
      </c>
    </row>
    <row r="1674" spans="2:2" x14ac:dyDescent="0.2">
      <c r="B1674" s="456" t="s">
        <v>2433</v>
      </c>
    </row>
    <row r="1675" spans="2:2" x14ac:dyDescent="0.2">
      <c r="B1675" s="456" t="s">
        <v>2434</v>
      </c>
    </row>
    <row r="1677" spans="2:2" x14ac:dyDescent="0.2">
      <c r="B1677" s="456" t="s">
        <v>2435</v>
      </c>
    </row>
    <row r="1678" spans="2:2" x14ac:dyDescent="0.2">
      <c r="B1678" s="456" t="s">
        <v>2436</v>
      </c>
    </row>
    <row r="1679" spans="2:2" x14ac:dyDescent="0.2">
      <c r="B1679" s="456" t="s">
        <v>2437</v>
      </c>
    </row>
    <row r="1680" spans="2:2" x14ac:dyDescent="0.2">
      <c r="B1680" s="456" t="s">
        <v>2438</v>
      </c>
    </row>
    <row r="1681" spans="2:2" x14ac:dyDescent="0.2">
      <c r="B1681" s="456" t="s">
        <v>2439</v>
      </c>
    </row>
    <row r="1683" spans="2:2" x14ac:dyDescent="0.2">
      <c r="B1683" s="456" t="s">
        <v>2440</v>
      </c>
    </row>
    <row r="1684" spans="2:2" x14ac:dyDescent="0.2">
      <c r="B1684" s="456" t="s">
        <v>2441</v>
      </c>
    </row>
    <row r="1685" spans="2:2" x14ac:dyDescent="0.2">
      <c r="B1685" s="456" t="s">
        <v>2442</v>
      </c>
    </row>
    <row r="1686" spans="2:2" x14ac:dyDescent="0.2">
      <c r="B1686" s="456" t="s">
        <v>2443</v>
      </c>
    </row>
    <row r="1687" spans="2:2" x14ac:dyDescent="0.2">
      <c r="B1687" s="456" t="s">
        <v>2444</v>
      </c>
    </row>
    <row r="1689" spans="2:2" x14ac:dyDescent="0.2">
      <c r="B1689" s="456" t="s">
        <v>2445</v>
      </c>
    </row>
    <row r="1690" spans="2:2" x14ac:dyDescent="0.2">
      <c r="B1690" s="456" t="s">
        <v>2446</v>
      </c>
    </row>
    <row r="1692" spans="2:2" x14ac:dyDescent="0.2">
      <c r="B1692" s="456" t="s">
        <v>2447</v>
      </c>
    </row>
    <row r="1693" spans="2:2" x14ac:dyDescent="0.2">
      <c r="B1693" s="456" t="s">
        <v>2448</v>
      </c>
    </row>
    <row r="1694" spans="2:2" x14ac:dyDescent="0.2">
      <c r="B1694" s="456" t="s">
        <v>2449</v>
      </c>
    </row>
    <row r="1695" spans="2:2" x14ac:dyDescent="0.2">
      <c r="B1695" s="456" t="s">
        <v>2450</v>
      </c>
    </row>
    <row r="1696" spans="2:2" x14ac:dyDescent="0.2">
      <c r="B1696" s="456" t="s">
        <v>2451</v>
      </c>
    </row>
    <row r="1698" spans="2:2" x14ac:dyDescent="0.2">
      <c r="B1698" s="456" t="s">
        <v>3782</v>
      </c>
    </row>
    <row r="1699" spans="2:2" x14ac:dyDescent="0.2">
      <c r="B1699" s="456" t="s">
        <v>2452</v>
      </c>
    </row>
    <row r="1700" spans="2:2" x14ac:dyDescent="0.2">
      <c r="B1700" s="456" t="s">
        <v>2453</v>
      </c>
    </row>
    <row r="1702" spans="2:2" x14ac:dyDescent="0.2">
      <c r="B1702" s="456" t="s">
        <v>1642</v>
      </c>
    </row>
    <row r="1704" spans="2:2" ht="15" x14ac:dyDescent="0.25">
      <c r="B1704" s="498" t="s">
        <v>2454</v>
      </c>
    </row>
    <row r="1705" spans="2:2" ht="15" x14ac:dyDescent="0.25">
      <c r="B1705" s="498" t="s">
        <v>1643</v>
      </c>
    </row>
    <row r="1707" spans="2:2" x14ac:dyDescent="0.2">
      <c r="B1707" s="456" t="s">
        <v>2455</v>
      </c>
    </row>
    <row r="1708" spans="2:2" x14ac:dyDescent="0.2">
      <c r="B1708" s="456" t="s">
        <v>2456</v>
      </c>
    </row>
    <row r="1709" spans="2:2" x14ac:dyDescent="0.2">
      <c r="B1709" s="456" t="s">
        <v>2457</v>
      </c>
    </row>
    <row r="1710" spans="2:2" x14ac:dyDescent="0.2">
      <c r="B1710" s="456" t="s">
        <v>2458</v>
      </c>
    </row>
    <row r="1712" spans="2:2" ht="15" x14ac:dyDescent="0.25">
      <c r="B1712" s="498" t="s">
        <v>2459</v>
      </c>
    </row>
    <row r="1713" spans="2:2" ht="15" x14ac:dyDescent="0.25">
      <c r="B1713" s="498" t="s">
        <v>1643</v>
      </c>
    </row>
    <row r="1715" spans="2:2" x14ac:dyDescent="0.2">
      <c r="B1715" s="456" t="s">
        <v>2455</v>
      </c>
    </row>
    <row r="1716" spans="2:2" x14ac:dyDescent="0.2">
      <c r="B1716" s="456" t="s">
        <v>2456</v>
      </c>
    </row>
    <row r="1717" spans="2:2" x14ac:dyDescent="0.2">
      <c r="B1717" s="456" t="s">
        <v>2460</v>
      </c>
    </row>
    <row r="1718" spans="2:2" x14ac:dyDescent="0.2">
      <c r="B1718" s="456" t="s">
        <v>2461</v>
      </c>
    </row>
    <row r="1720" spans="2:2" ht="15" x14ac:dyDescent="0.25">
      <c r="B1720" s="498" t="s">
        <v>1644</v>
      </c>
    </row>
    <row r="1722" spans="2:2" x14ac:dyDescent="0.2">
      <c r="B1722" s="456" t="s">
        <v>2455</v>
      </c>
    </row>
    <row r="1723" spans="2:2" x14ac:dyDescent="0.2">
      <c r="B1723" s="456" t="s">
        <v>2462</v>
      </c>
    </row>
    <row r="1724" spans="2:2" x14ac:dyDescent="0.2">
      <c r="B1724" s="456" t="s">
        <v>2463</v>
      </c>
    </row>
    <row r="1725" spans="2:2" x14ac:dyDescent="0.2">
      <c r="B1725" s="456" t="s">
        <v>2464</v>
      </c>
    </row>
    <row r="1727" spans="2:2" ht="15" x14ac:dyDescent="0.25">
      <c r="B1727" s="1276" t="s">
        <v>3721</v>
      </c>
    </row>
    <row r="1728" spans="2:2" ht="15" x14ac:dyDescent="0.25">
      <c r="B1728"/>
    </row>
    <row r="1729" spans="2:2" x14ac:dyDescent="0.2">
      <c r="B1729" s="1277" t="s">
        <v>2455</v>
      </c>
    </row>
    <row r="1730" spans="2:2" x14ac:dyDescent="0.2">
      <c r="B1730" s="1277" t="s">
        <v>3722</v>
      </c>
    </row>
    <row r="1731" spans="2:2" x14ac:dyDescent="0.2">
      <c r="B1731" s="1277" t="s">
        <v>3723</v>
      </c>
    </row>
    <row r="1732" spans="2:2" x14ac:dyDescent="0.2">
      <c r="B1732" s="1277" t="s">
        <v>2464</v>
      </c>
    </row>
    <row r="1734" spans="2:2" ht="15" x14ac:dyDescent="0.25">
      <c r="B1734" s="1276" t="s">
        <v>3724</v>
      </c>
    </row>
    <row r="1735" spans="2:2" ht="15" x14ac:dyDescent="0.25">
      <c r="B1735"/>
    </row>
    <row r="1736" spans="2:2" x14ac:dyDescent="0.2">
      <c r="B1736" s="1277" t="s">
        <v>2455</v>
      </c>
    </row>
    <row r="1737" spans="2:2" x14ac:dyDescent="0.2">
      <c r="B1737" s="1277" t="s">
        <v>3725</v>
      </c>
    </row>
    <row r="1738" spans="2:2" x14ac:dyDescent="0.2">
      <c r="B1738" s="1277" t="s">
        <v>3726</v>
      </c>
    </row>
    <row r="1739" spans="2:2" x14ac:dyDescent="0.2">
      <c r="B1739" s="1277" t="s">
        <v>2464</v>
      </c>
    </row>
    <row r="1740" spans="2:2" ht="15" x14ac:dyDescent="0.25">
      <c r="B1740"/>
    </row>
    <row r="1741" spans="2:2" ht="15" x14ac:dyDescent="0.25">
      <c r="B1741" s="1276" t="s">
        <v>3727</v>
      </c>
    </row>
    <row r="1742" spans="2:2" ht="15" x14ac:dyDescent="0.25">
      <c r="B1742"/>
    </row>
    <row r="1743" spans="2:2" x14ac:dyDescent="0.2">
      <c r="B1743" s="1277" t="s">
        <v>2455</v>
      </c>
    </row>
    <row r="1744" spans="2:2" x14ac:dyDescent="0.2">
      <c r="B1744" s="1277" t="s">
        <v>3728</v>
      </c>
    </row>
    <row r="1745" spans="2:2" x14ac:dyDescent="0.2">
      <c r="B1745" s="1277" t="s">
        <v>3723</v>
      </c>
    </row>
    <row r="1746" spans="2:2" x14ac:dyDescent="0.2">
      <c r="B1746" s="1277" t="s">
        <v>2464</v>
      </c>
    </row>
  </sheetData>
  <mergeCells count="15">
    <mergeCell ref="D1628:D1630"/>
    <mergeCell ref="D127:D128"/>
    <mergeCell ref="D160:D163"/>
    <mergeCell ref="D6:D7"/>
    <mergeCell ref="D12:D17"/>
    <mergeCell ref="D19:D24"/>
    <mergeCell ref="D57:D58"/>
    <mergeCell ref="D59:D60"/>
    <mergeCell ref="D1037:D1044"/>
    <mergeCell ref="B251:B253"/>
    <mergeCell ref="D336:D338"/>
    <mergeCell ref="D340:D342"/>
    <mergeCell ref="D73:D77"/>
    <mergeCell ref="D1589:D1599"/>
    <mergeCell ref="B102:B104"/>
  </mergeCells>
  <pageMargins left="0.94488188976377963" right="0.70866141732283472" top="0.94488188976377963" bottom="0.74803149606299213" header="0.31496062992125984" footer="0.31496062992125984"/>
  <pageSetup scale="77" firstPageNumber="9" orientation="portrait" useFirstPageNumber="1" r:id="rId1"/>
  <headerFooter>
    <oddHeader>&amp;C&amp;"-,Bold"POLOKWANE MUNICIPALITY
NOTES TO THE FINANCIAL STATEMENTS FOR THE YEAR ENDED 30 JUNE 2016</oddHeader>
    <oddFooter>&amp;C&amp;P</oddFooter>
  </headerFooter>
  <rowBreaks count="24" manualBreakCount="24">
    <brk id="54" max="1" man="1"/>
    <brk id="120" max="1" man="1"/>
    <brk id="168" max="1" man="1"/>
    <brk id="222" max="1" man="1"/>
    <brk id="424" max="1" man="1"/>
    <brk id="537" max="1" man="1"/>
    <brk id="597" max="1" man="1"/>
    <brk id="657" max="1" man="1"/>
    <brk id="714" max="1" man="1"/>
    <brk id="768" max="1" man="1"/>
    <brk id="826" max="1" man="1"/>
    <brk id="881" max="1" man="1"/>
    <brk id="947" max="1" man="1"/>
    <brk id="1008" max="1" man="1"/>
    <brk id="1110" max="1" man="1"/>
    <brk id="1156" max="1" man="1"/>
    <brk id="1206" max="1" man="1"/>
    <brk id="1328" max="1" man="1"/>
    <brk id="1386" max="1" man="1"/>
    <brk id="1445" max="1" man="1"/>
    <brk id="1504" max="1" man="1"/>
    <brk id="1539" max="1" man="1"/>
    <brk id="1573" max="1" man="1"/>
    <brk id="1629"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168"/>
  <sheetViews>
    <sheetView showGridLines="0" topLeftCell="A29" zoomScaleSheetLayoutView="80" workbookViewId="0">
      <selection activeCell="C60" sqref="C60"/>
    </sheetView>
  </sheetViews>
  <sheetFormatPr defaultRowHeight="12.75" x14ac:dyDescent="0.2"/>
  <cols>
    <col min="1" max="1" width="4.140625" style="254" customWidth="1"/>
    <col min="2" max="2" width="5.42578125" style="254" customWidth="1"/>
    <col min="3" max="3" width="67.140625" style="252" customWidth="1"/>
    <col min="4" max="4" width="1.5703125" style="252" customWidth="1"/>
    <col min="5" max="5" width="13.5703125" style="252" customWidth="1"/>
    <col min="6" max="6" width="1.5703125" style="252" customWidth="1"/>
    <col min="7" max="7" width="16.7109375" style="251" customWidth="1"/>
    <col min="8" max="8" width="1.5703125" style="252" customWidth="1"/>
    <col min="9" max="9" width="17.42578125" style="251" customWidth="1"/>
    <col min="10" max="10" width="1.5703125" style="252" customWidth="1"/>
    <col min="11" max="11" width="3.140625" style="249" customWidth="1"/>
    <col min="12" max="12" width="15" style="251" hidden="1" customWidth="1"/>
    <col min="13" max="13" width="16.28515625" style="251" hidden="1" customWidth="1"/>
    <col min="14" max="14" width="14.5703125" style="251" hidden="1" customWidth="1"/>
    <col min="15" max="15" width="13.42578125" style="252" hidden="1" customWidth="1"/>
    <col min="16" max="16" width="0" style="252" hidden="1" customWidth="1"/>
    <col min="17" max="17" width="18.7109375" style="252" hidden="1" customWidth="1"/>
    <col min="18" max="18" width="11" style="252" bestFit="1" customWidth="1"/>
    <col min="19" max="19" width="10.28515625" style="252" bestFit="1" customWidth="1"/>
    <col min="20" max="16384" width="9.140625" style="252"/>
  </cols>
  <sheetData>
    <row r="1" spans="1:17" x14ac:dyDescent="0.2">
      <c r="A1" s="242"/>
      <c r="B1" s="242"/>
      <c r="C1" s="249"/>
      <c r="D1" s="249"/>
      <c r="E1" s="249"/>
      <c r="F1" s="249"/>
      <c r="G1" s="207"/>
      <c r="H1" s="249"/>
      <c r="I1" s="242" t="s">
        <v>296</v>
      </c>
      <c r="J1" s="249"/>
      <c r="O1" s="252" t="s">
        <v>296</v>
      </c>
    </row>
    <row r="2" spans="1:17" s="622" customFormat="1" x14ac:dyDescent="0.2">
      <c r="A2" s="242"/>
      <c r="B2" s="242"/>
      <c r="C2" s="40"/>
      <c r="D2" s="40"/>
      <c r="E2" s="40"/>
      <c r="F2" s="40"/>
      <c r="G2" s="243" t="s">
        <v>3900</v>
      </c>
      <c r="H2" s="40"/>
      <c r="I2" s="243" t="s">
        <v>3575</v>
      </c>
      <c r="J2" s="40"/>
      <c r="K2" s="40"/>
      <c r="L2" s="254"/>
      <c r="M2" s="254" t="s">
        <v>3157</v>
      </c>
      <c r="N2" s="254"/>
      <c r="O2" s="622" t="s">
        <v>2952</v>
      </c>
    </row>
    <row r="3" spans="1:17" s="622" customFormat="1" x14ac:dyDescent="0.2">
      <c r="A3" s="242"/>
      <c r="B3" s="242"/>
      <c r="C3" s="40"/>
      <c r="D3" s="40"/>
      <c r="E3" s="40"/>
      <c r="F3" s="40"/>
      <c r="G3" s="242" t="s">
        <v>59</v>
      </c>
      <c r="H3" s="40"/>
      <c r="I3" s="242" t="s">
        <v>59</v>
      </c>
      <c r="J3" s="40"/>
      <c r="K3" s="40"/>
      <c r="L3" s="254"/>
      <c r="M3" s="254" t="s">
        <v>59</v>
      </c>
      <c r="N3" s="254"/>
      <c r="O3" s="622" t="s">
        <v>59</v>
      </c>
    </row>
    <row r="4" spans="1:17" s="248" customFormat="1" x14ac:dyDescent="0.2">
      <c r="A4" s="243" t="s">
        <v>15</v>
      </c>
      <c r="B4" s="243"/>
      <c r="C4" s="244" t="s">
        <v>284</v>
      </c>
      <c r="D4" s="245"/>
      <c r="E4" s="245"/>
      <c r="F4" s="245"/>
      <c r="G4" s="246" t="s">
        <v>296</v>
      </c>
      <c r="H4" s="245"/>
      <c r="I4" s="242" t="s">
        <v>3136</v>
      </c>
      <c r="J4" s="245"/>
      <c r="K4" s="245"/>
      <c r="L4" s="247"/>
      <c r="M4" s="247" t="s">
        <v>296</v>
      </c>
      <c r="N4" s="247"/>
      <c r="O4" s="248" t="s">
        <v>296</v>
      </c>
    </row>
    <row r="5" spans="1:17" s="248" customFormat="1" x14ac:dyDescent="0.2">
      <c r="A5" s="243"/>
      <c r="B5" s="243"/>
      <c r="C5" s="244"/>
      <c r="D5" s="245"/>
      <c r="E5" s="245"/>
      <c r="F5" s="245"/>
      <c r="G5" s="1183">
        <f>SUM(G6:G7)</f>
        <v>0</v>
      </c>
      <c r="H5" s="66"/>
      <c r="I5" s="1183">
        <f>SUM(I6:I7)</f>
        <v>6955961.6299999999</v>
      </c>
      <c r="J5" s="245"/>
      <c r="K5" s="245"/>
      <c r="L5" s="247"/>
      <c r="M5" s="247">
        <v>10444441.98</v>
      </c>
      <c r="N5" s="247"/>
      <c r="O5" s="248">
        <v>10754922</v>
      </c>
      <c r="Q5" s="924">
        <f t="shared" ref="Q5:Q14" si="0">+G5-M5</f>
        <v>-10444441.98</v>
      </c>
    </row>
    <row r="6" spans="1:17" x14ac:dyDescent="0.2">
      <c r="A6" s="242"/>
      <c r="B6" s="242"/>
      <c r="C6" s="164" t="s">
        <v>28</v>
      </c>
      <c r="D6" s="249"/>
      <c r="E6" s="249"/>
      <c r="F6" s="249"/>
      <c r="G6" s="1446">
        <v>0</v>
      </c>
      <c r="H6" s="197"/>
      <c r="I6" s="1446">
        <f>I14-I7</f>
        <v>3975990.63</v>
      </c>
      <c r="J6" s="249"/>
      <c r="M6" s="251">
        <v>7464470.9800000004</v>
      </c>
      <c r="O6" s="252">
        <v>7774951</v>
      </c>
      <c r="Q6" s="924">
        <f t="shared" si="0"/>
        <v>-7464470.9800000004</v>
      </c>
    </row>
    <row r="7" spans="1:17" x14ac:dyDescent="0.2">
      <c r="A7" s="242"/>
      <c r="B7" s="242"/>
      <c r="C7" s="164" t="s">
        <v>3799</v>
      </c>
      <c r="D7" s="249"/>
      <c r="E7" s="249"/>
      <c r="F7" s="249"/>
      <c r="G7" s="1187">
        <v>0</v>
      </c>
      <c r="H7" s="197"/>
      <c r="I7" s="1187">
        <v>2979971</v>
      </c>
      <c r="J7" s="249"/>
      <c r="M7" s="251">
        <v>2979971</v>
      </c>
      <c r="O7" s="252">
        <v>2979971</v>
      </c>
      <c r="Q7" s="924">
        <f t="shared" si="0"/>
        <v>-2979971</v>
      </c>
    </row>
    <row r="8" spans="1:17" x14ac:dyDescent="0.2">
      <c r="A8" s="242"/>
      <c r="B8" s="242"/>
      <c r="C8" s="164"/>
      <c r="D8" s="249"/>
      <c r="E8" s="249"/>
      <c r="F8" s="249"/>
      <c r="G8" s="81"/>
      <c r="H8" s="197"/>
      <c r="I8" s="81"/>
      <c r="J8" s="249"/>
      <c r="Q8" s="924">
        <f t="shared" si="0"/>
        <v>0</v>
      </c>
    </row>
    <row r="9" spans="1:17" x14ac:dyDescent="0.2">
      <c r="A9" s="242"/>
      <c r="B9" s="242"/>
      <c r="C9" s="164" t="s">
        <v>3798</v>
      </c>
      <c r="D9" s="249"/>
      <c r="E9" s="249"/>
      <c r="F9" s="249"/>
      <c r="G9" s="81"/>
      <c r="H9" s="197"/>
      <c r="I9" s="81"/>
      <c r="J9" s="249"/>
      <c r="Q9" s="924">
        <f t="shared" si="0"/>
        <v>0</v>
      </c>
    </row>
    <row r="10" spans="1:17" hidden="1" x14ac:dyDescent="0.2">
      <c r="A10" s="242"/>
      <c r="B10" s="242"/>
      <c r="C10" s="164" t="s">
        <v>29</v>
      </c>
      <c r="D10" s="249"/>
      <c r="E10" s="249"/>
      <c r="F10" s="249"/>
      <c r="G10" s="250">
        <v>0</v>
      </c>
      <c r="H10" s="197"/>
      <c r="I10" s="250">
        <v>0</v>
      </c>
      <c r="J10" s="249"/>
      <c r="M10" s="251">
        <v>0</v>
      </c>
      <c r="O10" s="252">
        <v>507721</v>
      </c>
      <c r="Q10" s="924">
        <f t="shared" si="0"/>
        <v>0</v>
      </c>
    </row>
    <row r="11" spans="1:17" x14ac:dyDescent="0.2">
      <c r="A11" s="242"/>
      <c r="B11" s="242"/>
      <c r="C11" s="164" t="s">
        <v>30</v>
      </c>
      <c r="D11" s="249"/>
      <c r="E11" s="249"/>
      <c r="F11" s="249"/>
      <c r="G11" s="1446">
        <v>0</v>
      </c>
      <c r="H11" s="197"/>
      <c r="I11" s="1446">
        <f>'TB4'!U162</f>
        <v>166835.56</v>
      </c>
      <c r="J11" s="249"/>
      <c r="M11" s="251">
        <v>1255137.97</v>
      </c>
      <c r="O11" s="252">
        <v>1605037</v>
      </c>
      <c r="Q11" s="924">
        <f t="shared" si="0"/>
        <v>-1255137.97</v>
      </c>
    </row>
    <row r="12" spans="1:17" x14ac:dyDescent="0.2">
      <c r="A12" s="242"/>
      <c r="B12" s="242"/>
      <c r="C12" s="164" t="s">
        <v>439</v>
      </c>
      <c r="D12" s="249"/>
      <c r="E12" s="249"/>
      <c r="F12" s="249"/>
      <c r="G12" s="1187">
        <v>0</v>
      </c>
      <c r="H12" s="197"/>
      <c r="I12" s="1187">
        <v>9189304.0099999998</v>
      </c>
      <c r="J12" s="249"/>
      <c r="M12" s="251">
        <v>9189304.0099999998</v>
      </c>
      <c r="O12" s="252">
        <v>8642164</v>
      </c>
      <c r="Q12" s="924">
        <f t="shared" si="0"/>
        <v>-9189304.0099999998</v>
      </c>
    </row>
    <row r="13" spans="1:17" x14ac:dyDescent="0.2">
      <c r="A13" s="242"/>
      <c r="B13" s="242"/>
      <c r="C13" s="164"/>
      <c r="D13" s="249"/>
      <c r="E13" s="249"/>
      <c r="F13" s="249"/>
      <c r="G13" s="81"/>
      <c r="H13" s="197"/>
      <c r="I13" s="81"/>
      <c r="J13" s="249"/>
      <c r="Q13" s="924">
        <f t="shared" si="0"/>
        <v>0</v>
      </c>
    </row>
    <row r="14" spans="1:17" ht="13.5" thickBot="1" x14ac:dyDescent="0.25">
      <c r="A14" s="242"/>
      <c r="B14" s="242"/>
      <c r="C14" s="164"/>
      <c r="D14" s="249"/>
      <c r="E14" s="249"/>
      <c r="F14" s="249"/>
      <c r="G14" s="1447">
        <f>-'TB4'!X5</f>
        <v>0</v>
      </c>
      <c r="H14" s="66"/>
      <c r="I14" s="1447">
        <f>-'TB4'!U5</f>
        <v>6955961.6299999999</v>
      </c>
      <c r="J14" s="249"/>
      <c r="M14" s="251">
        <v>10444441.98</v>
      </c>
      <c r="O14" s="252">
        <v>10754922</v>
      </c>
      <c r="Q14" s="924">
        <f t="shared" si="0"/>
        <v>-10444441.98</v>
      </c>
    </row>
    <row r="15" spans="1:17" ht="13.5" thickTop="1" x14ac:dyDescent="0.2">
      <c r="A15" s="242"/>
      <c r="B15" s="242"/>
      <c r="C15" s="164"/>
      <c r="D15" s="249"/>
      <c r="E15" s="249"/>
      <c r="F15" s="249"/>
      <c r="G15" s="1183"/>
      <c r="H15" s="66"/>
      <c r="I15" s="1183"/>
      <c r="J15" s="249"/>
      <c r="Q15" s="924"/>
    </row>
    <row r="16" spans="1:17" x14ac:dyDescent="0.2">
      <c r="A16" s="242"/>
      <c r="B16" s="242"/>
      <c r="C16" s="164" t="s">
        <v>4181</v>
      </c>
      <c r="D16" s="249"/>
      <c r="E16" s="249"/>
      <c r="F16" s="249"/>
      <c r="G16" s="1446">
        <f>I19</f>
        <v>6955961.6299999999</v>
      </c>
      <c r="H16" s="66"/>
      <c r="I16" s="1605">
        <v>10444441.98</v>
      </c>
      <c r="J16" s="249"/>
      <c r="Q16" s="924"/>
    </row>
    <row r="17" spans="1:17" x14ac:dyDescent="0.2">
      <c r="A17" s="242"/>
      <c r="B17" s="242"/>
      <c r="C17" s="164" t="s">
        <v>4182</v>
      </c>
      <c r="D17" s="249"/>
      <c r="E17" s="249"/>
      <c r="F17" s="249"/>
      <c r="G17" s="1184">
        <v>19675.11</v>
      </c>
      <c r="H17" s="66"/>
      <c r="I17" s="1184">
        <v>-3488480.3500000006</v>
      </c>
      <c r="J17" s="249"/>
      <c r="Q17" s="924"/>
    </row>
    <row r="18" spans="1:17" x14ac:dyDescent="0.2">
      <c r="A18" s="242"/>
      <c r="B18" s="242"/>
      <c r="C18" s="164" t="s">
        <v>4183</v>
      </c>
      <c r="D18" s="249"/>
      <c r="E18" s="249"/>
      <c r="F18" s="249"/>
      <c r="G18" s="1187">
        <v>-6975637</v>
      </c>
      <c r="H18" s="66"/>
      <c r="I18" s="1187">
        <v>0</v>
      </c>
      <c r="J18" s="249"/>
      <c r="Q18" s="924"/>
    </row>
    <row r="19" spans="1:17" ht="13.5" thickBot="1" x14ac:dyDescent="0.25">
      <c r="A19" s="242"/>
      <c r="B19" s="242"/>
      <c r="C19" s="164" t="s">
        <v>3394</v>
      </c>
      <c r="D19" s="249"/>
      <c r="E19" s="249"/>
      <c r="F19" s="249"/>
      <c r="G19" s="1447">
        <v>0</v>
      </c>
      <c r="H19" s="66"/>
      <c r="I19" s="1447">
        <f>SUM(I16:I18)</f>
        <v>6955961.6299999999</v>
      </c>
      <c r="J19" s="249"/>
      <c r="Q19" s="924"/>
    </row>
    <row r="20" spans="1:17" ht="13.5" thickTop="1" x14ac:dyDescent="0.2">
      <c r="A20" s="242"/>
      <c r="B20" s="242"/>
      <c r="C20" s="164"/>
      <c r="D20" s="249"/>
      <c r="E20" s="249"/>
      <c r="F20" s="249"/>
      <c r="G20" s="1183"/>
      <c r="H20" s="66"/>
      <c r="I20" s="1183"/>
      <c r="J20" s="249"/>
      <c r="Q20" s="924"/>
    </row>
    <row r="21" spans="1:17" ht="12.75" customHeight="1" x14ac:dyDescent="0.2">
      <c r="A21" s="242"/>
      <c r="B21" s="242"/>
      <c r="C21" s="36" t="s">
        <v>4121</v>
      </c>
      <c r="D21" s="249"/>
      <c r="E21" s="249"/>
      <c r="F21" s="249"/>
      <c r="G21" s="94"/>
      <c r="H21" s="66"/>
      <c r="I21" s="94"/>
      <c r="J21" s="249"/>
      <c r="Q21" s="924"/>
    </row>
    <row r="22" spans="1:17" x14ac:dyDescent="0.2">
      <c r="A22" s="242"/>
      <c r="B22" s="242"/>
      <c r="C22" s="36" t="s">
        <v>4122</v>
      </c>
      <c r="D22" s="249"/>
      <c r="E22" s="249"/>
      <c r="F22" s="249"/>
      <c r="G22" s="94"/>
      <c r="H22" s="66"/>
      <c r="I22" s="94"/>
      <c r="J22" s="249"/>
      <c r="Q22" s="924"/>
    </row>
    <row r="23" spans="1:17" ht="38.25" x14ac:dyDescent="0.2">
      <c r="A23" s="242"/>
      <c r="B23" s="242"/>
      <c r="C23" s="36" t="s">
        <v>4245</v>
      </c>
      <c r="D23" s="249"/>
      <c r="E23" s="249"/>
      <c r="F23" s="249"/>
      <c r="G23" s="94"/>
      <c r="H23" s="66"/>
      <c r="I23" s="94"/>
      <c r="J23" s="249"/>
      <c r="Q23" s="924"/>
    </row>
    <row r="24" spans="1:17" x14ac:dyDescent="0.2">
      <c r="A24" s="242"/>
      <c r="B24" s="242"/>
      <c r="C24" s="36"/>
      <c r="D24" s="249"/>
      <c r="E24" s="249"/>
      <c r="F24" s="249"/>
      <c r="G24" s="94"/>
      <c r="H24" s="66"/>
      <c r="I24" s="94"/>
      <c r="J24" s="249"/>
      <c r="Q24" s="924"/>
    </row>
    <row r="25" spans="1:17" s="248" customFormat="1" x14ac:dyDescent="0.2">
      <c r="A25" s="243" t="s">
        <v>32</v>
      </c>
      <c r="B25" s="243"/>
      <c r="C25" s="244" t="s">
        <v>285</v>
      </c>
      <c r="D25" s="245"/>
      <c r="E25" s="245"/>
      <c r="F25" s="245"/>
      <c r="G25" s="94" t="s">
        <v>296</v>
      </c>
      <c r="H25" s="66"/>
      <c r="I25" s="66" t="s">
        <v>296</v>
      </c>
      <c r="J25" s="245"/>
      <c r="K25" s="253"/>
      <c r="L25" s="247"/>
      <c r="M25" s="247" t="s">
        <v>296</v>
      </c>
      <c r="N25" s="247"/>
      <c r="O25" s="248" t="s">
        <v>296</v>
      </c>
      <c r="Q25" s="924"/>
    </row>
    <row r="26" spans="1:17" s="248" customFormat="1" x14ac:dyDescent="0.2">
      <c r="A26" s="242"/>
      <c r="B26" s="242"/>
      <c r="C26" s="244"/>
      <c r="D26" s="245"/>
      <c r="E26" s="245"/>
      <c r="F26" s="245"/>
      <c r="G26" s="94"/>
      <c r="H26" s="66"/>
      <c r="I26" s="94"/>
      <c r="J26" s="245"/>
      <c r="K26" s="245"/>
      <c r="L26" s="247"/>
      <c r="M26" s="247"/>
      <c r="N26" s="247"/>
      <c r="Q26" s="924">
        <f t="shared" ref="Q26:Q33" si="1">+G26-M26</f>
        <v>0</v>
      </c>
    </row>
    <row r="27" spans="1:17" s="248" customFormat="1" x14ac:dyDescent="0.2">
      <c r="A27" s="242"/>
      <c r="B27" s="242"/>
      <c r="C27" s="223" t="s">
        <v>915</v>
      </c>
      <c r="D27" s="245"/>
      <c r="E27" s="245"/>
      <c r="F27" s="245"/>
      <c r="G27" s="1183">
        <f>SUM(G28:G30)</f>
        <v>3408519200.7299995</v>
      </c>
      <c r="H27" s="66"/>
      <c r="I27" s="1183">
        <f>SUM(I28:I30)</f>
        <v>3433074767.2999997</v>
      </c>
      <c r="J27" s="245"/>
      <c r="K27" s="245"/>
      <c r="L27" s="246"/>
      <c r="M27" s="246">
        <v>1918739268.4399996</v>
      </c>
      <c r="N27" s="247"/>
      <c r="O27" s="248">
        <v>770838771.13999999</v>
      </c>
      <c r="Q27" s="924">
        <f t="shared" si="1"/>
        <v>1489779932.29</v>
      </c>
    </row>
    <row r="28" spans="1:17" x14ac:dyDescent="0.2">
      <c r="A28" s="242"/>
      <c r="B28" s="242"/>
      <c r="C28" s="36" t="s">
        <v>3499</v>
      </c>
      <c r="D28" s="249"/>
      <c r="E28" s="249"/>
      <c r="F28" s="249"/>
      <c r="G28" s="1446">
        <f>I27</f>
        <v>3433074767.2999997</v>
      </c>
      <c r="H28" s="197"/>
      <c r="I28" s="250">
        <v>3440548904.1399999</v>
      </c>
      <c r="J28" s="249"/>
      <c r="L28" s="207"/>
      <c r="M28" s="207"/>
      <c r="N28" s="247"/>
      <c r="Q28" s="924">
        <f t="shared" si="1"/>
        <v>3433074767.2999997</v>
      </c>
    </row>
    <row r="29" spans="1:17" x14ac:dyDescent="0.2">
      <c r="A29" s="242"/>
      <c r="B29" s="242"/>
      <c r="C29" s="36" t="s">
        <v>4103</v>
      </c>
      <c r="D29" s="249"/>
      <c r="E29" s="249"/>
      <c r="F29" s="249"/>
      <c r="G29" s="144">
        <v>-24555566.57</v>
      </c>
      <c r="H29" s="197"/>
      <c r="I29" s="144">
        <v>-7474136.8399999999</v>
      </c>
      <c r="J29" s="249"/>
      <c r="L29" s="207"/>
      <c r="M29" s="207"/>
      <c r="N29" s="247"/>
      <c r="Q29" s="924">
        <f t="shared" si="1"/>
        <v>-24555566.57</v>
      </c>
    </row>
    <row r="30" spans="1:17" x14ac:dyDescent="0.2">
      <c r="A30" s="242"/>
      <c r="B30" s="242"/>
      <c r="C30" s="36" t="s">
        <v>3497</v>
      </c>
      <c r="D30" s="249"/>
      <c r="E30" s="249"/>
      <c r="F30" s="249"/>
      <c r="G30" s="1448">
        <f>'Note 8 Assets'!I54</f>
        <v>0</v>
      </c>
      <c r="H30" s="197"/>
      <c r="I30" s="1448"/>
      <c r="J30" s="249"/>
      <c r="L30" s="207"/>
      <c r="M30" s="207"/>
      <c r="N30" s="247"/>
      <c r="Q30" s="924">
        <f t="shared" si="1"/>
        <v>0</v>
      </c>
    </row>
    <row r="31" spans="1:17" x14ac:dyDescent="0.2">
      <c r="A31" s="242"/>
      <c r="B31" s="242"/>
      <c r="C31" s="36"/>
      <c r="D31" s="249"/>
      <c r="E31" s="249"/>
      <c r="F31" s="249"/>
      <c r="G31" s="81"/>
      <c r="H31" s="197"/>
      <c r="I31" s="252"/>
      <c r="J31" s="249"/>
      <c r="L31" s="207"/>
      <c r="M31" s="207"/>
      <c r="N31" s="247"/>
      <c r="Q31" s="924">
        <f t="shared" si="1"/>
        <v>0</v>
      </c>
    </row>
    <row r="32" spans="1:17" x14ac:dyDescent="0.2">
      <c r="A32" s="242"/>
      <c r="B32" s="242"/>
      <c r="C32" s="36"/>
      <c r="D32" s="249"/>
      <c r="E32" s="249"/>
      <c r="F32" s="249"/>
      <c r="G32" s="81"/>
      <c r="H32" s="197"/>
      <c r="I32" s="81"/>
      <c r="J32" s="249"/>
      <c r="L32" s="207"/>
      <c r="M32" s="207"/>
      <c r="N32" s="247"/>
      <c r="Q32" s="924">
        <f t="shared" si="1"/>
        <v>0</v>
      </c>
    </row>
    <row r="33" spans="1:17" x14ac:dyDescent="0.2">
      <c r="A33" s="242"/>
      <c r="B33" s="242"/>
      <c r="C33" s="164"/>
      <c r="D33" s="249"/>
      <c r="E33" s="249"/>
      <c r="F33" s="249"/>
      <c r="G33" s="81"/>
      <c r="H33" s="197"/>
      <c r="I33" s="81"/>
      <c r="J33" s="249"/>
      <c r="L33" s="207"/>
      <c r="N33" s="247"/>
      <c r="Q33" s="924">
        <f t="shared" si="1"/>
        <v>0</v>
      </c>
    </row>
    <row r="34" spans="1:17" x14ac:dyDescent="0.2">
      <c r="B34" s="242"/>
      <c r="C34" s="249"/>
      <c r="D34" s="249"/>
      <c r="E34" s="249"/>
      <c r="F34" s="249"/>
      <c r="G34" s="94"/>
      <c r="H34" s="66"/>
      <c r="I34" s="94"/>
      <c r="J34" s="249"/>
    </row>
    <row r="35" spans="1:17" x14ac:dyDescent="0.2">
      <c r="A35" s="243" t="s">
        <v>33</v>
      </c>
      <c r="B35" s="243"/>
      <c r="C35" s="223" t="s">
        <v>2910</v>
      </c>
      <c r="D35" s="249"/>
      <c r="E35" s="249"/>
      <c r="F35" s="249"/>
      <c r="G35" s="81"/>
      <c r="H35" s="197"/>
      <c r="I35" s="81"/>
      <c r="J35" s="249"/>
    </row>
    <row r="36" spans="1:17" x14ac:dyDescent="0.2">
      <c r="A36" s="242"/>
      <c r="B36" s="242"/>
      <c r="C36" s="36"/>
      <c r="D36" s="249"/>
      <c r="E36" s="249"/>
      <c r="F36" s="249"/>
      <c r="G36" s="81"/>
      <c r="H36" s="197"/>
      <c r="I36" s="81"/>
      <c r="J36" s="249"/>
    </row>
    <row r="37" spans="1:17" x14ac:dyDescent="0.2">
      <c r="A37" s="242"/>
      <c r="B37" s="242"/>
      <c r="C37" s="223" t="s">
        <v>2911</v>
      </c>
      <c r="D37" s="249"/>
      <c r="E37" s="249"/>
      <c r="F37" s="249"/>
      <c r="G37" s="81"/>
      <c r="H37" s="197"/>
      <c r="I37" s="81"/>
      <c r="J37" s="249"/>
    </row>
    <row r="38" spans="1:17" x14ac:dyDescent="0.2">
      <c r="A38" s="242"/>
      <c r="B38" s="242"/>
      <c r="C38" s="36"/>
      <c r="D38" s="249"/>
      <c r="E38" s="249"/>
      <c r="F38" s="249"/>
      <c r="G38" s="81"/>
      <c r="H38" s="197"/>
      <c r="I38" s="81"/>
      <c r="J38" s="249"/>
    </row>
    <row r="39" spans="1:17" x14ac:dyDescent="0.2">
      <c r="A39" s="242"/>
      <c r="B39" s="242"/>
      <c r="C39" s="36" t="s">
        <v>898</v>
      </c>
      <c r="D39" s="249"/>
      <c r="E39" s="249"/>
      <c r="F39" s="249"/>
      <c r="G39" s="1185">
        <f>-'TB4'!X18-G44</f>
        <v>0</v>
      </c>
      <c r="H39" s="197"/>
      <c r="I39" s="1185">
        <f>-'TB4'!U18-I44</f>
        <v>136828.91</v>
      </c>
      <c r="J39" s="249"/>
      <c r="M39" s="251">
        <v>164628.22999999998</v>
      </c>
      <c r="O39" s="252">
        <v>366594.57299999997</v>
      </c>
      <c r="Q39" s="924">
        <f>+G39-M39</f>
        <v>-164628.22999999998</v>
      </c>
    </row>
    <row r="40" spans="1:17" x14ac:dyDescent="0.2">
      <c r="A40" s="242"/>
      <c r="B40" s="242"/>
      <c r="C40" s="36" t="s">
        <v>286</v>
      </c>
      <c r="D40" s="249"/>
      <c r="E40" s="249"/>
      <c r="F40" s="249"/>
      <c r="G40" s="1186">
        <f>-'TB4'!X19-G45</f>
        <v>165622037.69</v>
      </c>
      <c r="H40" s="197"/>
      <c r="I40" s="1186">
        <f>-'TB4'!U19-I45</f>
        <v>187887558.34</v>
      </c>
      <c r="J40" s="249"/>
      <c r="M40" s="251">
        <v>225123746.61000001</v>
      </c>
      <c r="O40" s="252">
        <v>261836365.93000001</v>
      </c>
      <c r="Q40" s="924">
        <f t="shared" ref="Q40:Q104" si="2">+G40-M40</f>
        <v>-59501708.920000017</v>
      </c>
    </row>
    <row r="41" spans="1:17" s="248" customFormat="1" x14ac:dyDescent="0.2">
      <c r="A41" s="242"/>
      <c r="B41" s="242"/>
      <c r="C41" s="223"/>
      <c r="D41" s="245"/>
      <c r="E41" s="245"/>
      <c r="F41" s="245"/>
      <c r="G41" s="1183">
        <f>SUM(G39:G40)</f>
        <v>165622037.69</v>
      </c>
      <c r="H41" s="66"/>
      <c r="I41" s="1183">
        <f>SUM(I39:I40)</f>
        <v>188024387.25</v>
      </c>
      <c r="J41" s="245"/>
      <c r="K41" s="245"/>
      <c r="L41" s="247"/>
      <c r="M41" s="247">
        <v>225288374.84</v>
      </c>
      <c r="N41" s="247"/>
      <c r="O41" s="248">
        <v>262202960.50300002</v>
      </c>
      <c r="Q41" s="924">
        <f t="shared" si="2"/>
        <v>-59666337.150000006</v>
      </c>
    </row>
    <row r="42" spans="1:17" x14ac:dyDescent="0.2">
      <c r="A42" s="242"/>
      <c r="B42" s="242"/>
      <c r="C42" s="36"/>
      <c r="D42" s="249"/>
      <c r="E42" s="249"/>
      <c r="F42" s="249"/>
      <c r="G42" s="1185"/>
      <c r="H42" s="197"/>
      <c r="I42" s="81"/>
      <c r="J42" s="249"/>
      <c r="Q42" s="924">
        <f t="shared" si="2"/>
        <v>0</v>
      </c>
    </row>
    <row r="43" spans="1:17" ht="15" customHeight="1" x14ac:dyDescent="0.2">
      <c r="A43" s="242"/>
      <c r="B43" s="242"/>
      <c r="C43" s="223" t="s">
        <v>2912</v>
      </c>
      <c r="D43" s="249"/>
      <c r="E43" s="249"/>
      <c r="F43" s="249"/>
      <c r="G43" s="1183">
        <f>SUM(G44:G45)</f>
        <v>65065520.640000001</v>
      </c>
      <c r="H43" s="197"/>
      <c r="I43" s="1183">
        <f>SUM(I44:I45)</f>
        <v>37263987.349999994</v>
      </c>
      <c r="J43" s="249"/>
      <c r="M43" s="251">
        <v>36905952</v>
      </c>
      <c r="O43" s="252">
        <v>36384956</v>
      </c>
      <c r="Q43" s="924">
        <f t="shared" si="2"/>
        <v>28159568.640000001</v>
      </c>
    </row>
    <row r="44" spans="1:17" ht="15" customHeight="1" x14ac:dyDescent="0.2">
      <c r="A44" s="242"/>
      <c r="B44" s="242"/>
      <c r="C44" s="36" t="s">
        <v>898</v>
      </c>
      <c r="D44" s="249"/>
      <c r="E44" s="249"/>
      <c r="F44" s="249"/>
      <c r="G44" s="1446"/>
      <c r="H44" s="197"/>
      <c r="I44" s="1446">
        <v>27798.98</v>
      </c>
      <c r="J44" s="249"/>
      <c r="M44" s="251">
        <v>193333</v>
      </c>
      <c r="O44" s="252">
        <v>150000</v>
      </c>
      <c r="Q44" s="924">
        <f t="shared" si="2"/>
        <v>-193333</v>
      </c>
    </row>
    <row r="45" spans="1:17" x14ac:dyDescent="0.2">
      <c r="A45" s="242"/>
      <c r="B45" s="242"/>
      <c r="C45" s="36" t="s">
        <v>286</v>
      </c>
      <c r="D45" s="249"/>
      <c r="E45" s="249"/>
      <c r="F45" s="249"/>
      <c r="G45" s="1187">
        <v>65065520.640000001</v>
      </c>
      <c r="H45" s="197"/>
      <c r="I45" s="1187">
        <v>37236188.369999997</v>
      </c>
      <c r="J45" s="249"/>
      <c r="M45" s="251">
        <v>36712619</v>
      </c>
      <c r="O45" s="252">
        <v>36234956</v>
      </c>
      <c r="Q45" s="924">
        <f t="shared" si="2"/>
        <v>28352901.640000001</v>
      </c>
    </row>
    <row r="46" spans="1:17" ht="13.5" thickBot="1" x14ac:dyDescent="0.25">
      <c r="A46" s="242"/>
      <c r="B46" s="242"/>
      <c r="C46" s="223" t="s">
        <v>296</v>
      </c>
      <c r="D46" s="249"/>
      <c r="E46" s="249"/>
      <c r="F46" s="249"/>
      <c r="G46" s="1447">
        <f>G41+G43</f>
        <v>230687558.32999998</v>
      </c>
      <c r="H46" s="197"/>
      <c r="I46" s="1447">
        <f>I41+I43</f>
        <v>225288374.59999999</v>
      </c>
      <c r="J46" s="249"/>
      <c r="M46" s="251">
        <v>262194326.84</v>
      </c>
      <c r="O46" s="252">
        <v>298587916.50300002</v>
      </c>
      <c r="Q46" s="924">
        <f t="shared" si="2"/>
        <v>-31506768.51000002</v>
      </c>
    </row>
    <row r="47" spans="1:17" ht="13.5" thickTop="1" x14ac:dyDescent="0.2">
      <c r="A47" s="242"/>
      <c r="B47" s="242"/>
      <c r="C47" s="249"/>
      <c r="D47" s="249"/>
      <c r="E47" s="249"/>
      <c r="F47" s="249"/>
      <c r="G47" s="81"/>
      <c r="H47" s="197"/>
      <c r="I47" s="81"/>
      <c r="J47" s="249"/>
      <c r="Q47" s="924">
        <f t="shared" si="2"/>
        <v>0</v>
      </c>
    </row>
    <row r="48" spans="1:17" x14ac:dyDescent="0.2">
      <c r="A48" s="242"/>
      <c r="B48" s="242"/>
      <c r="C48" s="1242" t="s">
        <v>293</v>
      </c>
      <c r="D48" s="406"/>
      <c r="E48" s="406"/>
      <c r="F48" s="406"/>
      <c r="G48" s="407"/>
      <c r="H48" s="407"/>
      <c r="I48" s="407"/>
      <c r="J48" s="406"/>
      <c r="Q48" s="924">
        <f t="shared" si="2"/>
        <v>0</v>
      </c>
    </row>
    <row r="49" spans="1:17" x14ac:dyDescent="0.2">
      <c r="A49" s="242"/>
      <c r="B49" s="242"/>
      <c r="C49" s="34"/>
      <c r="D49" s="406"/>
      <c r="E49" s="406"/>
      <c r="F49" s="406"/>
      <c r="G49" s="407"/>
      <c r="H49" s="407"/>
      <c r="I49" s="407"/>
      <c r="J49" s="406"/>
      <c r="Q49" s="924">
        <f t="shared" si="2"/>
        <v>0</v>
      </c>
    </row>
    <row r="50" spans="1:17" x14ac:dyDescent="0.2">
      <c r="A50" s="242"/>
      <c r="B50" s="242"/>
      <c r="C50" s="36" t="s">
        <v>3677</v>
      </c>
      <c r="D50" s="406"/>
      <c r="E50" s="406"/>
      <c r="F50" s="406"/>
      <c r="G50" s="407"/>
      <c r="H50" s="407"/>
      <c r="I50" s="407"/>
      <c r="J50" s="406"/>
      <c r="Q50" s="924">
        <f t="shared" si="2"/>
        <v>0</v>
      </c>
    </row>
    <row r="51" spans="1:17" x14ac:dyDescent="0.2">
      <c r="A51" s="242"/>
      <c r="B51" s="242"/>
      <c r="C51" s="34"/>
      <c r="D51" s="406"/>
      <c r="E51" s="406"/>
      <c r="F51" s="406"/>
      <c r="G51" s="407"/>
      <c r="H51" s="407"/>
      <c r="I51" s="407"/>
      <c r="J51" s="406"/>
      <c r="Q51" s="924">
        <f t="shared" si="2"/>
        <v>0</v>
      </c>
    </row>
    <row r="52" spans="1:17" x14ac:dyDescent="0.2">
      <c r="A52" s="242"/>
      <c r="B52" s="242"/>
      <c r="C52" s="562" t="s">
        <v>3144</v>
      </c>
      <c r="D52" s="406"/>
      <c r="E52" s="406"/>
      <c r="F52" s="406"/>
      <c r="G52" s="407"/>
      <c r="H52" s="407"/>
      <c r="I52" s="407"/>
      <c r="J52" s="406"/>
      <c r="Q52" s="924">
        <f t="shared" si="2"/>
        <v>0</v>
      </c>
    </row>
    <row r="53" spans="1:17" ht="42" customHeight="1" x14ac:dyDescent="0.2">
      <c r="A53" s="242"/>
      <c r="B53" s="242"/>
      <c r="C53" s="34" t="s">
        <v>3927</v>
      </c>
      <c r="D53" s="406"/>
      <c r="E53" s="406"/>
      <c r="F53" s="406"/>
      <c r="G53" s="407"/>
      <c r="H53" s="407"/>
      <c r="I53" s="407"/>
      <c r="J53" s="406"/>
      <c r="M53" s="36"/>
      <c r="Q53" s="924">
        <f t="shared" si="2"/>
        <v>0</v>
      </c>
    </row>
    <row r="54" spans="1:17" x14ac:dyDescent="0.2">
      <c r="A54" s="242"/>
      <c r="B54" s="242"/>
      <c r="C54" s="34"/>
      <c r="D54" s="406"/>
      <c r="E54" s="406"/>
      <c r="F54" s="406"/>
      <c r="G54" s="407"/>
      <c r="H54" s="407"/>
      <c r="I54" s="407"/>
      <c r="J54" s="406"/>
      <c r="M54" s="34"/>
      <c r="Q54" s="924">
        <f t="shared" si="2"/>
        <v>0</v>
      </c>
    </row>
    <row r="55" spans="1:17" ht="40.5" customHeight="1" x14ac:dyDescent="0.2">
      <c r="A55" s="242"/>
      <c r="B55" s="242"/>
      <c r="C55" s="34" t="s">
        <v>3928</v>
      </c>
      <c r="D55" s="406"/>
      <c r="E55" s="406"/>
      <c r="F55" s="406"/>
      <c r="G55" s="407"/>
      <c r="H55" s="407"/>
      <c r="I55" s="407"/>
      <c r="J55" s="406"/>
      <c r="M55" s="34"/>
      <c r="Q55" s="924">
        <f t="shared" si="2"/>
        <v>0</v>
      </c>
    </row>
    <row r="56" spans="1:17" x14ac:dyDescent="0.2">
      <c r="A56" s="242"/>
      <c r="B56" s="242"/>
      <c r="C56" s="249"/>
      <c r="D56" s="249"/>
      <c r="E56" s="249"/>
      <c r="F56" s="249"/>
      <c r="G56" s="81"/>
      <c r="H56" s="197"/>
      <c r="I56" s="81"/>
      <c r="J56" s="249"/>
      <c r="M56" s="34"/>
      <c r="Q56" s="924">
        <f t="shared" si="2"/>
        <v>0</v>
      </c>
    </row>
    <row r="57" spans="1:17" ht="50.25" customHeight="1" x14ac:dyDescent="0.2">
      <c r="A57" s="242"/>
      <c r="B57" s="242"/>
      <c r="C57" s="34" t="s">
        <v>4123</v>
      </c>
      <c r="D57" s="249"/>
      <c r="E57" s="249"/>
      <c r="F57" s="249"/>
      <c r="G57" s="81"/>
      <c r="H57" s="197"/>
      <c r="I57" s="81"/>
      <c r="J57" s="249"/>
      <c r="M57" s="34"/>
      <c r="Q57" s="924"/>
    </row>
    <row r="58" spans="1:17" ht="33" customHeight="1" x14ac:dyDescent="0.2">
      <c r="A58" s="242"/>
      <c r="B58" s="242"/>
      <c r="C58" s="563" t="s">
        <v>4124</v>
      </c>
      <c r="D58" s="249"/>
      <c r="E58" s="249"/>
      <c r="F58" s="249"/>
      <c r="G58" s="81"/>
      <c r="H58" s="197"/>
      <c r="I58" s="81"/>
      <c r="J58" s="249"/>
      <c r="M58" s="34"/>
      <c r="Q58" s="924">
        <f t="shared" si="2"/>
        <v>0</v>
      </c>
    </row>
    <row r="59" spans="1:17" x14ac:dyDescent="0.2">
      <c r="A59" s="242"/>
      <c r="B59" s="242"/>
      <c r="C59" s="563"/>
      <c r="D59" s="249"/>
      <c r="E59" s="249"/>
      <c r="F59" s="249"/>
      <c r="G59" s="81"/>
      <c r="H59" s="197"/>
      <c r="I59" s="81"/>
      <c r="J59" s="249"/>
      <c r="M59" s="34"/>
      <c r="Q59" s="924"/>
    </row>
    <row r="60" spans="1:17" x14ac:dyDescent="0.2">
      <c r="A60" s="242"/>
      <c r="B60" s="242"/>
      <c r="C60" s="563" t="s">
        <v>3739</v>
      </c>
      <c r="D60" s="249"/>
      <c r="E60" s="249"/>
      <c r="F60" s="249"/>
      <c r="G60" s="81"/>
      <c r="H60" s="197"/>
      <c r="I60" s="81"/>
      <c r="J60" s="249"/>
      <c r="M60" s="34"/>
      <c r="Q60" s="924"/>
    </row>
    <row r="61" spans="1:17" x14ac:dyDescent="0.2">
      <c r="A61" s="242"/>
      <c r="B61" s="242"/>
      <c r="C61" s="34"/>
      <c r="D61" s="249"/>
      <c r="E61" s="249"/>
      <c r="F61" s="249"/>
      <c r="G61" s="81"/>
      <c r="H61" s="197"/>
      <c r="I61" s="81"/>
      <c r="J61" s="249"/>
      <c r="M61" s="34"/>
      <c r="Q61" s="924">
        <f t="shared" si="2"/>
        <v>0</v>
      </c>
    </row>
    <row r="62" spans="1:17" x14ac:dyDescent="0.2">
      <c r="A62" s="243" t="s">
        <v>34</v>
      </c>
      <c r="B62" s="243"/>
      <c r="C62" s="223" t="s">
        <v>808</v>
      </c>
      <c r="D62" s="36"/>
      <c r="E62" s="36"/>
      <c r="F62" s="36"/>
      <c r="G62" s="408"/>
      <c r="H62" s="197"/>
      <c r="I62" s="81"/>
      <c r="J62" s="249"/>
      <c r="Q62" s="924">
        <f t="shared" si="2"/>
        <v>0</v>
      </c>
    </row>
    <row r="63" spans="1:17" x14ac:dyDescent="0.2">
      <c r="A63" s="243"/>
      <c r="B63" s="243"/>
      <c r="C63" s="223"/>
      <c r="D63" s="36"/>
      <c r="E63" s="36"/>
      <c r="F63" s="36"/>
      <c r="G63" s="408"/>
      <c r="H63" s="197"/>
      <c r="I63" s="81"/>
      <c r="J63" s="249"/>
      <c r="Q63" s="924">
        <f t="shared" si="2"/>
        <v>0</v>
      </c>
    </row>
    <row r="64" spans="1:17" ht="13.5" thickBot="1" x14ac:dyDescent="0.25">
      <c r="A64" s="242"/>
      <c r="B64" s="242"/>
      <c r="C64" s="36" t="s">
        <v>3183</v>
      </c>
      <c r="D64" s="36"/>
      <c r="E64" s="36"/>
      <c r="F64" s="36"/>
      <c r="G64" s="1449">
        <f>-'TB4'!X29</f>
        <v>68863503.030000001</v>
      </c>
      <c r="H64" s="197"/>
      <c r="I64" s="1449">
        <f>-'TB4'!U29</f>
        <v>67612258.829999998</v>
      </c>
      <c r="J64" s="249"/>
      <c r="M64" s="251">
        <v>65650272.82</v>
      </c>
      <c r="O64" s="252">
        <v>63788114.170000002</v>
      </c>
      <c r="Q64" s="924">
        <f t="shared" si="2"/>
        <v>3213230.2100000009</v>
      </c>
    </row>
    <row r="65" spans="1:17" ht="13.5" thickTop="1" x14ac:dyDescent="0.2">
      <c r="A65" s="242"/>
      <c r="B65" s="242"/>
      <c r="C65" s="36"/>
      <c r="D65" s="36"/>
      <c r="E65" s="36"/>
      <c r="F65" s="36"/>
      <c r="G65" s="1450"/>
      <c r="H65" s="197"/>
      <c r="I65" s="94"/>
      <c r="J65" s="249"/>
      <c r="Q65" s="924">
        <f t="shared" si="2"/>
        <v>0</v>
      </c>
    </row>
    <row r="66" spans="1:17" x14ac:dyDescent="0.2">
      <c r="A66" s="242"/>
      <c r="B66" s="242"/>
      <c r="C66" s="223"/>
      <c r="D66" s="223"/>
      <c r="E66" s="223"/>
      <c r="F66" s="223"/>
      <c r="G66" s="1451"/>
      <c r="H66" s="197"/>
      <c r="I66" s="81"/>
      <c r="J66" s="249"/>
      <c r="Q66" s="924">
        <f t="shared" si="2"/>
        <v>0</v>
      </c>
    </row>
    <row r="67" spans="1:17" ht="14.25" customHeight="1" thickBot="1" x14ac:dyDescent="0.25">
      <c r="A67" s="242"/>
      <c r="B67" s="242"/>
      <c r="C67" s="36" t="s">
        <v>810</v>
      </c>
      <c r="D67" s="36"/>
      <c r="E67" s="36"/>
      <c r="F67" s="36"/>
      <c r="G67" s="1449">
        <v>9772800</v>
      </c>
      <c r="H67" s="66"/>
      <c r="I67" s="1449">
        <v>9772800</v>
      </c>
      <c r="J67" s="249"/>
      <c r="M67" s="251">
        <v>10221261</v>
      </c>
      <c r="O67" s="252">
        <v>10221261</v>
      </c>
      <c r="Q67" s="924">
        <f t="shared" si="2"/>
        <v>-448461</v>
      </c>
    </row>
    <row r="68" spans="1:17" ht="13.5" thickTop="1" x14ac:dyDescent="0.2">
      <c r="A68" s="242"/>
      <c r="B68" s="242"/>
      <c r="C68" s="249"/>
      <c r="D68" s="249"/>
      <c r="E68" s="249"/>
      <c r="F68" s="249"/>
      <c r="G68" s="81"/>
      <c r="H68" s="197"/>
      <c r="I68" s="81"/>
      <c r="J68" s="249"/>
      <c r="Q68" s="924">
        <f t="shared" si="2"/>
        <v>0</v>
      </c>
    </row>
    <row r="69" spans="1:17" hidden="1" x14ac:dyDescent="0.2">
      <c r="A69" s="242"/>
      <c r="B69" s="242"/>
      <c r="C69" s="249"/>
      <c r="D69" s="249"/>
      <c r="E69" s="249"/>
      <c r="F69" s="249"/>
      <c r="G69" s="81"/>
      <c r="H69" s="197"/>
      <c r="I69" s="81"/>
      <c r="J69" s="249"/>
      <c r="Q69" s="924">
        <f t="shared" si="2"/>
        <v>0</v>
      </c>
    </row>
    <row r="70" spans="1:17" x14ac:dyDescent="0.2">
      <c r="A70" s="466" t="s">
        <v>35</v>
      </c>
      <c r="B70" s="243"/>
      <c r="C70" s="223" t="s">
        <v>2913</v>
      </c>
      <c r="D70" s="249"/>
      <c r="E70" s="249"/>
      <c r="F70" s="249"/>
      <c r="G70" s="81"/>
      <c r="H70" s="197"/>
      <c r="I70" s="81"/>
      <c r="J70" s="249"/>
      <c r="Q70" s="924">
        <f t="shared" si="2"/>
        <v>0</v>
      </c>
    </row>
    <row r="71" spans="1:17" x14ac:dyDescent="0.2">
      <c r="A71" s="243"/>
      <c r="B71" s="243"/>
      <c r="C71" s="223"/>
      <c r="D71" s="249"/>
      <c r="E71" s="249"/>
      <c r="F71" s="249"/>
      <c r="G71" s="81"/>
      <c r="H71" s="197"/>
      <c r="I71" s="81"/>
      <c r="J71" s="249"/>
      <c r="Q71" s="924">
        <f t="shared" si="2"/>
        <v>0</v>
      </c>
    </row>
    <row r="72" spans="1:17" x14ac:dyDescent="0.2">
      <c r="A72" s="242"/>
      <c r="B72" s="242"/>
      <c r="C72" s="36" t="s">
        <v>812</v>
      </c>
      <c r="D72" s="249"/>
      <c r="E72" s="249"/>
      <c r="F72" s="249"/>
      <c r="G72" s="1185">
        <f>-'TB4'!X38</f>
        <v>151334191.96000001</v>
      </c>
      <c r="H72" s="197"/>
      <c r="I72" s="1185">
        <f>-'TB4'!U38</f>
        <v>156237215.31</v>
      </c>
      <c r="J72" s="249"/>
      <c r="M72" s="251">
        <v>134172563.7</v>
      </c>
      <c r="O72" s="252">
        <v>117642826.56</v>
      </c>
      <c r="Q72" s="924">
        <f t="shared" si="2"/>
        <v>17161628.260000005</v>
      </c>
    </row>
    <row r="73" spans="1:17" x14ac:dyDescent="0.2">
      <c r="A73" s="242"/>
      <c r="B73" s="242"/>
      <c r="C73" s="36" t="s">
        <v>328</v>
      </c>
      <c r="D73" s="249"/>
      <c r="E73" s="249"/>
      <c r="F73" s="249"/>
      <c r="G73" s="1185">
        <f>-'TB4'!X40</f>
        <v>49068298.380000003</v>
      </c>
      <c r="H73" s="197"/>
      <c r="I73" s="1185">
        <f>-'TB4'!U40</f>
        <v>40815699.579999998</v>
      </c>
      <c r="J73" s="249"/>
      <c r="M73" s="247">
        <v>35221307.370000005</v>
      </c>
      <c r="O73" s="252">
        <v>32079137.859999999</v>
      </c>
      <c r="Q73" s="924">
        <f t="shared" si="2"/>
        <v>13846991.009999998</v>
      </c>
    </row>
    <row r="74" spans="1:17" hidden="1" x14ac:dyDescent="0.2">
      <c r="A74" s="242"/>
      <c r="B74" s="242"/>
      <c r="C74" s="36" t="s">
        <v>3205</v>
      </c>
      <c r="D74" s="249"/>
      <c r="E74" s="249"/>
      <c r="F74" s="249"/>
      <c r="G74" s="1185">
        <f>-'TB4'!V79</f>
        <v>0</v>
      </c>
      <c r="H74" s="197"/>
      <c r="I74" s="1185">
        <f>-'TB4'!U83</f>
        <v>0</v>
      </c>
      <c r="J74" s="249"/>
      <c r="M74" s="251">
        <v>0</v>
      </c>
      <c r="O74" s="252">
        <v>0</v>
      </c>
      <c r="Q74" s="924">
        <f t="shared" si="2"/>
        <v>0</v>
      </c>
    </row>
    <row r="75" spans="1:17" x14ac:dyDescent="0.2">
      <c r="A75" s="242"/>
      <c r="B75" s="242"/>
      <c r="C75" s="436" t="s">
        <v>1080</v>
      </c>
      <c r="D75" s="249"/>
      <c r="E75" s="249"/>
      <c r="F75" s="249"/>
      <c r="G75" s="1185">
        <f>-'TB4'!X51</f>
        <v>4020914</v>
      </c>
      <c r="H75" s="197"/>
      <c r="I75" s="1185">
        <f>-'TB4'!U51</f>
        <v>4060115</v>
      </c>
      <c r="J75" s="249"/>
      <c r="Q75" s="924"/>
    </row>
    <row r="76" spans="1:17" ht="15" customHeight="1" x14ac:dyDescent="0.2">
      <c r="A76" s="242"/>
      <c r="B76" s="242"/>
      <c r="C76" s="36" t="s">
        <v>1079</v>
      </c>
      <c r="D76" s="249"/>
      <c r="E76" s="249"/>
      <c r="F76" s="249"/>
      <c r="G76" s="1185">
        <f>-'TB4'!X84</f>
        <v>12544832</v>
      </c>
      <c r="H76" s="197"/>
      <c r="I76" s="1185">
        <f>-'TB4'!U84</f>
        <v>10145041</v>
      </c>
      <c r="J76" s="249"/>
      <c r="M76" s="251">
        <v>9224415</v>
      </c>
      <c r="O76" s="252">
        <v>10357827</v>
      </c>
      <c r="Q76" s="924">
        <f t="shared" si="2"/>
        <v>3320417</v>
      </c>
    </row>
    <row r="77" spans="1:17" x14ac:dyDescent="0.2">
      <c r="A77" s="242"/>
      <c r="B77" s="242"/>
      <c r="C77" s="36" t="s">
        <v>814</v>
      </c>
      <c r="D77" s="249"/>
      <c r="E77" s="249"/>
      <c r="F77" s="249"/>
      <c r="G77" s="1185">
        <f>-'TB4'!X85</f>
        <v>82607480</v>
      </c>
      <c r="H77" s="197"/>
      <c r="I77" s="1185">
        <f>-'TB4'!U85</f>
        <v>66759454</v>
      </c>
      <c r="J77" s="249"/>
      <c r="M77" s="251">
        <v>52351415</v>
      </c>
      <c r="O77" s="252">
        <v>44166793</v>
      </c>
      <c r="Q77" s="924">
        <f t="shared" si="2"/>
        <v>30256065</v>
      </c>
    </row>
    <row r="78" spans="1:17" x14ac:dyDescent="0.2">
      <c r="A78" s="242"/>
      <c r="B78" s="242"/>
      <c r="C78" s="36" t="s">
        <v>1041</v>
      </c>
      <c r="D78" s="249"/>
      <c r="E78" s="249"/>
      <c r="F78" s="249"/>
      <c r="G78" s="1185">
        <f>-'TB4'!X86</f>
        <v>49257064.350000001</v>
      </c>
      <c r="H78" s="197"/>
      <c r="I78" s="1185">
        <f>-'TB4'!U86</f>
        <v>48026977.710000001</v>
      </c>
      <c r="J78" s="249"/>
      <c r="M78" s="251">
        <v>29648336.16</v>
      </c>
      <c r="O78" s="252">
        <v>34326540.369999997</v>
      </c>
      <c r="Q78" s="924">
        <f t="shared" si="2"/>
        <v>19608728.190000001</v>
      </c>
    </row>
    <row r="79" spans="1:17" x14ac:dyDescent="0.2">
      <c r="A79" s="242"/>
      <c r="B79" s="242"/>
      <c r="C79" s="436" t="s">
        <v>1504</v>
      </c>
      <c r="D79" s="249"/>
      <c r="E79" s="249"/>
      <c r="F79" s="249"/>
      <c r="G79" s="1185">
        <f>-'TB4'!X87</f>
        <v>19487590.370000001</v>
      </c>
      <c r="H79" s="197"/>
      <c r="I79" s="1185">
        <f>-'TB4'!U87</f>
        <v>25191391.690000001</v>
      </c>
      <c r="J79" s="249"/>
      <c r="M79" s="251">
        <v>12863556.9</v>
      </c>
      <c r="O79" s="252">
        <v>14536662.18</v>
      </c>
      <c r="Q79" s="924">
        <f t="shared" si="2"/>
        <v>6624033.4700000007</v>
      </c>
    </row>
    <row r="80" spans="1:17" x14ac:dyDescent="0.2">
      <c r="A80" s="242"/>
      <c r="B80" s="242"/>
      <c r="C80" s="232" t="s">
        <v>809</v>
      </c>
      <c r="D80" s="249"/>
      <c r="E80" s="249"/>
      <c r="F80" s="249"/>
      <c r="G80" s="1185">
        <f>-'TB4'!X54-'TB4'!X53-'TB4'!X48-'TB4'!X52-0.9</f>
        <v>1844541.1400000001</v>
      </c>
      <c r="H80" s="197"/>
      <c r="I80" s="1185">
        <f>-'TB4'!U48-'TB4'!U50-'TB4'!U59-'TB4'!U61-'TB4'!U76-'TB4'!U77-'TB4'!U45-'TB4'!U42</f>
        <v>1544641.13</v>
      </c>
      <c r="J80" s="249"/>
      <c r="Q80" s="924"/>
    </row>
    <row r="81" spans="1:19" ht="13.5" thickBot="1" x14ac:dyDescent="0.25">
      <c r="A81" s="242"/>
      <c r="B81" s="242"/>
      <c r="C81" s="223" t="s">
        <v>296</v>
      </c>
      <c r="D81" s="249"/>
      <c r="E81" s="249"/>
      <c r="F81" s="249"/>
      <c r="G81" s="1447">
        <f>SUM(G72:G80)</f>
        <v>370164912.20000005</v>
      </c>
      <c r="H81" s="94">
        <f>SUM(H72:H79)</f>
        <v>0</v>
      </c>
      <c r="I81" s="1447">
        <f>SUM(I72:I80)</f>
        <v>352780535.41999996</v>
      </c>
      <c r="J81" s="249"/>
      <c r="M81" s="251">
        <v>314180568.59999996</v>
      </c>
      <c r="N81" s="251">
        <v>0</v>
      </c>
      <c r="O81" s="252">
        <v>288469460.67000002</v>
      </c>
      <c r="Q81" s="924">
        <f t="shared" si="2"/>
        <v>55984343.600000083</v>
      </c>
      <c r="S81" s="410"/>
    </row>
    <row r="82" spans="1:19" s="249" customFormat="1" ht="13.5" thickTop="1" x14ac:dyDescent="0.2">
      <c r="A82" s="242"/>
      <c r="B82" s="242"/>
      <c r="G82" s="81"/>
      <c r="H82" s="197"/>
      <c r="I82" s="81"/>
      <c r="L82" s="251"/>
      <c r="M82" s="251"/>
      <c r="N82" s="251"/>
      <c r="O82" s="252"/>
      <c r="P82" s="252"/>
      <c r="Q82" s="924">
        <f t="shared" si="2"/>
        <v>0</v>
      </c>
    </row>
    <row r="83" spans="1:19" x14ac:dyDescent="0.2">
      <c r="A83" s="242"/>
      <c r="B83" s="242"/>
      <c r="C83" s="249"/>
      <c r="D83" s="249"/>
      <c r="E83" s="249"/>
      <c r="F83" s="249"/>
      <c r="G83" s="81"/>
      <c r="H83" s="197"/>
      <c r="I83" s="81"/>
      <c r="J83" s="249"/>
      <c r="Q83" s="924">
        <f t="shared" si="2"/>
        <v>0</v>
      </c>
    </row>
    <row r="84" spans="1:19" ht="25.5" x14ac:dyDescent="0.2">
      <c r="A84" s="466" t="s">
        <v>36</v>
      </c>
      <c r="B84" s="243"/>
      <c r="C84" s="223" t="s">
        <v>2914</v>
      </c>
      <c r="D84" s="249"/>
      <c r="E84" s="249"/>
      <c r="F84" s="249"/>
      <c r="G84" s="81"/>
      <c r="H84" s="197"/>
      <c r="I84" s="81"/>
      <c r="J84" s="249"/>
      <c r="Q84" s="924">
        <f t="shared" si="2"/>
        <v>0</v>
      </c>
      <c r="S84" s="1304"/>
    </row>
    <row r="85" spans="1:19" x14ac:dyDescent="0.2">
      <c r="A85" s="243"/>
      <c r="B85" s="243"/>
      <c r="C85" s="223"/>
      <c r="D85" s="249"/>
      <c r="E85" s="249"/>
      <c r="F85" s="249"/>
      <c r="G85" s="81"/>
      <c r="H85" s="197"/>
      <c r="I85" s="81"/>
      <c r="J85" s="249"/>
      <c r="Q85" s="924">
        <f t="shared" si="2"/>
        <v>0</v>
      </c>
    </row>
    <row r="86" spans="1:19" hidden="1" x14ac:dyDescent="0.2">
      <c r="A86" s="242"/>
      <c r="B86" s="242"/>
      <c r="C86" s="1430" t="s">
        <v>1502</v>
      </c>
      <c r="D86" s="249"/>
      <c r="E86" s="249"/>
      <c r="F86" s="249"/>
      <c r="G86" s="81">
        <f>-'TB4'!U101</f>
        <v>0</v>
      </c>
      <c r="H86" s="197"/>
      <c r="I86" s="81">
        <f>-'TB4'!R101</f>
        <v>0</v>
      </c>
      <c r="J86" s="249"/>
      <c r="M86" s="251">
        <v>0</v>
      </c>
      <c r="O86" s="252">
        <v>953926.67</v>
      </c>
      <c r="Q86" s="924">
        <f t="shared" si="2"/>
        <v>0</v>
      </c>
    </row>
    <row r="87" spans="1:19" ht="12" customHeight="1" x14ac:dyDescent="0.2">
      <c r="A87" s="242"/>
      <c r="B87" s="242"/>
      <c r="C87" s="1430" t="s">
        <v>198</v>
      </c>
      <c r="D87" s="249"/>
      <c r="E87" s="249"/>
      <c r="F87" s="249"/>
      <c r="G87" s="1185">
        <f>-'TB4'!X109</f>
        <v>0</v>
      </c>
      <c r="H87" s="197"/>
      <c r="I87" s="1185">
        <f>-'TB4'!U109</f>
        <v>28167868.030000001</v>
      </c>
      <c r="J87" s="249"/>
      <c r="M87" s="251">
        <v>111917691.28</v>
      </c>
      <c r="N87" s="207"/>
      <c r="O87" s="249">
        <v>42338276.600000001</v>
      </c>
      <c r="P87" s="249"/>
      <c r="Q87" s="924">
        <f t="shared" si="2"/>
        <v>-111917691.28</v>
      </c>
    </row>
    <row r="88" spans="1:19" x14ac:dyDescent="0.2">
      <c r="A88" s="243"/>
      <c r="B88" s="243"/>
      <c r="C88" s="1430" t="s">
        <v>2877</v>
      </c>
      <c r="D88" s="249"/>
      <c r="E88" s="249"/>
      <c r="F88" s="249"/>
      <c r="G88" s="1185">
        <f>-'TB4'!X111</f>
        <v>0</v>
      </c>
      <c r="H88" s="197"/>
      <c r="I88" s="1185">
        <f>-'TB4'!U111</f>
        <v>133711393.54000001</v>
      </c>
      <c r="J88" s="249"/>
      <c r="M88" s="251">
        <v>136106614.19999999</v>
      </c>
      <c r="O88" s="252">
        <v>137656169.13</v>
      </c>
      <c r="Q88" s="924">
        <f t="shared" si="2"/>
        <v>-136106614.19999999</v>
      </c>
    </row>
    <row r="89" spans="1:19" x14ac:dyDescent="0.2">
      <c r="A89" s="242"/>
      <c r="B89" s="242"/>
      <c r="C89" s="1430" t="s">
        <v>334</v>
      </c>
      <c r="D89" s="249"/>
      <c r="E89" s="249"/>
      <c r="F89" s="249"/>
      <c r="G89" s="1185">
        <f>-'TB4'!X108</f>
        <v>2949709.53</v>
      </c>
      <c r="H89" s="197"/>
      <c r="I89" s="1185">
        <f>-'TB4'!U108</f>
        <v>2949709.53</v>
      </c>
      <c r="J89" s="249"/>
      <c r="M89" s="251">
        <v>2949709.53</v>
      </c>
      <c r="O89" s="252">
        <v>2949709.53</v>
      </c>
      <c r="Q89" s="924">
        <f t="shared" si="2"/>
        <v>0</v>
      </c>
      <c r="S89" s="1304"/>
    </row>
    <row r="90" spans="1:19" x14ac:dyDescent="0.2">
      <c r="A90" s="242"/>
      <c r="B90" s="242"/>
      <c r="C90" s="255" t="s">
        <v>200</v>
      </c>
      <c r="D90" s="249"/>
      <c r="E90" s="249"/>
      <c r="F90" s="249"/>
      <c r="G90" s="1185">
        <f>-'TB4'!X106</f>
        <v>0</v>
      </c>
      <c r="H90" s="197"/>
      <c r="I90" s="1185">
        <f>-'TB4'!U106</f>
        <v>20840183.75</v>
      </c>
      <c r="J90" s="249"/>
      <c r="M90" s="251">
        <v>7731052.3700000001</v>
      </c>
      <c r="O90" s="252">
        <v>2057677.42</v>
      </c>
      <c r="Q90" s="924">
        <f t="shared" si="2"/>
        <v>-7731052.3700000001</v>
      </c>
    </row>
    <row r="91" spans="1:19" ht="13.5" hidden="1" customHeight="1" x14ac:dyDescent="0.2">
      <c r="A91" s="242"/>
      <c r="B91" s="242"/>
      <c r="C91" s="256" t="s">
        <v>202</v>
      </c>
      <c r="D91" s="249"/>
      <c r="E91" s="249"/>
      <c r="F91" s="249"/>
      <c r="G91" s="1185">
        <f>-'TB4'!U107</f>
        <v>0</v>
      </c>
      <c r="H91" s="197"/>
      <c r="I91" s="1185">
        <f>-'TB4'!R107</f>
        <v>0</v>
      </c>
      <c r="J91" s="249"/>
      <c r="M91" s="251">
        <v>0</v>
      </c>
      <c r="O91" s="252">
        <v>1374328.2</v>
      </c>
      <c r="Q91" s="924">
        <f t="shared" si="2"/>
        <v>0</v>
      </c>
    </row>
    <row r="92" spans="1:19" hidden="1" x14ac:dyDescent="0.2">
      <c r="A92" s="242"/>
      <c r="B92" s="242"/>
      <c r="C92" s="256" t="s">
        <v>203</v>
      </c>
      <c r="D92" s="249"/>
      <c r="E92" s="249"/>
      <c r="F92" s="249"/>
      <c r="G92" s="1216">
        <f>-'TB4'!X112</f>
        <v>0</v>
      </c>
      <c r="H92" s="197"/>
      <c r="I92" s="1185">
        <f>-'TB4'!U112</f>
        <v>0</v>
      </c>
      <c r="J92" s="249"/>
      <c r="M92" s="251">
        <v>4057089.67</v>
      </c>
      <c r="O92" s="252">
        <v>0</v>
      </c>
      <c r="Q92" s="924">
        <f t="shared" si="2"/>
        <v>-4057089.67</v>
      </c>
    </row>
    <row r="93" spans="1:19" x14ac:dyDescent="0.2">
      <c r="A93" s="242"/>
      <c r="B93" s="242"/>
      <c r="C93" s="1430" t="s">
        <v>213</v>
      </c>
      <c r="D93" s="249"/>
      <c r="E93" s="249"/>
      <c r="F93" s="249"/>
      <c r="G93" s="1185">
        <f>-'TB4'!X110</f>
        <v>427591.02</v>
      </c>
      <c r="H93" s="197"/>
      <c r="I93" s="1185">
        <f>-'TB4'!U110</f>
        <v>404429.07</v>
      </c>
      <c r="J93" s="249"/>
      <c r="M93" s="251">
        <v>385777.15</v>
      </c>
      <c r="O93" s="252">
        <v>364781.03</v>
      </c>
      <c r="Q93" s="924">
        <f t="shared" si="2"/>
        <v>41813.869999999995</v>
      </c>
    </row>
    <row r="94" spans="1:19" hidden="1" x14ac:dyDescent="0.2">
      <c r="A94" s="242"/>
      <c r="B94" s="242"/>
      <c r="C94" s="1430" t="s">
        <v>561</v>
      </c>
      <c r="D94" s="249"/>
      <c r="E94" s="249"/>
      <c r="F94" s="249"/>
      <c r="G94" s="1185">
        <f>-'TB4'!U102</f>
        <v>0</v>
      </c>
      <c r="H94" s="197"/>
      <c r="I94" s="81">
        <f>-'TB4'!R102</f>
        <v>0</v>
      </c>
      <c r="J94" s="249"/>
      <c r="M94" s="251">
        <v>0</v>
      </c>
      <c r="O94" s="252">
        <v>649873.88</v>
      </c>
      <c r="Q94" s="924">
        <f t="shared" si="2"/>
        <v>0</v>
      </c>
    </row>
    <row r="95" spans="1:19" hidden="1" x14ac:dyDescent="0.2">
      <c r="A95" s="243"/>
      <c r="B95" s="243"/>
      <c r="C95" s="1430" t="s">
        <v>562</v>
      </c>
      <c r="D95" s="249"/>
      <c r="E95" s="249"/>
      <c r="F95" s="249"/>
      <c r="G95" s="1185">
        <f>-'TB4'!U105</f>
        <v>0</v>
      </c>
      <c r="H95" s="197"/>
      <c r="I95" s="81">
        <f>-'TB4'!R105</f>
        <v>0</v>
      </c>
      <c r="J95" s="249"/>
      <c r="M95" s="251">
        <v>0</v>
      </c>
      <c r="O95" s="252">
        <v>54714.19</v>
      </c>
      <c r="Q95" s="924">
        <f t="shared" si="2"/>
        <v>0</v>
      </c>
    </row>
    <row r="96" spans="1:19" x14ac:dyDescent="0.2">
      <c r="A96" s="242"/>
      <c r="B96" s="242"/>
      <c r="C96" s="233" t="s">
        <v>1048</v>
      </c>
      <c r="D96" s="249"/>
      <c r="E96" s="249"/>
      <c r="F96" s="249"/>
      <c r="G96" s="1185">
        <f>-'TB4'!X115</f>
        <v>8450451.3699999992</v>
      </c>
      <c r="H96" s="197"/>
      <c r="I96" s="1185">
        <f>-'TB4'!U115</f>
        <v>5705691.5700000003</v>
      </c>
      <c r="J96" s="249"/>
      <c r="M96" s="251">
        <v>0</v>
      </c>
      <c r="O96" s="252">
        <v>0</v>
      </c>
      <c r="Q96" s="924">
        <f t="shared" si="2"/>
        <v>8450451.3699999992</v>
      </c>
    </row>
    <row r="97" spans="1:17" ht="15" hidden="1" customHeight="1" x14ac:dyDescent="0.2">
      <c r="A97" s="242"/>
      <c r="B97" s="242"/>
      <c r="C97" s="1430" t="s">
        <v>210</v>
      </c>
      <c r="D97" s="249"/>
      <c r="E97" s="249"/>
      <c r="F97" s="249"/>
      <c r="G97" s="1185">
        <f>-'TB4'!U113</f>
        <v>0</v>
      </c>
      <c r="H97" s="197"/>
      <c r="I97" s="81">
        <f>-'TB4'!R113</f>
        <v>0</v>
      </c>
      <c r="J97" s="249"/>
      <c r="M97" s="251">
        <v>0</v>
      </c>
      <c r="O97" s="252">
        <v>0</v>
      </c>
      <c r="Q97" s="924">
        <f t="shared" si="2"/>
        <v>0</v>
      </c>
    </row>
    <row r="98" spans="1:17" hidden="1" x14ac:dyDescent="0.2">
      <c r="A98" s="243"/>
      <c r="B98" s="243"/>
      <c r="C98" s="1430" t="s">
        <v>3187</v>
      </c>
      <c r="D98" s="249"/>
      <c r="E98" s="249"/>
      <c r="F98" s="249"/>
      <c r="G98" s="1216">
        <f>-'TB4'!X104</f>
        <v>0</v>
      </c>
      <c r="H98" s="197"/>
      <c r="I98" s="1185">
        <f>-'TB4'!U104</f>
        <v>0</v>
      </c>
      <c r="J98" s="249"/>
      <c r="M98" s="251">
        <v>3270507.53</v>
      </c>
      <c r="O98" s="252">
        <v>0</v>
      </c>
      <c r="Q98" s="924">
        <f t="shared" si="2"/>
        <v>-3270507.53</v>
      </c>
    </row>
    <row r="99" spans="1:17" hidden="1" x14ac:dyDescent="0.2">
      <c r="A99" s="243"/>
      <c r="B99" s="243"/>
      <c r="C99" s="1430" t="s">
        <v>3186</v>
      </c>
      <c r="D99" s="249"/>
      <c r="E99" s="249"/>
      <c r="F99" s="249"/>
      <c r="G99" s="1216">
        <f>-'TB4'!X116</f>
        <v>0</v>
      </c>
      <c r="H99" s="197"/>
      <c r="I99" s="1185">
        <f>-'TB4'!U116</f>
        <v>0</v>
      </c>
      <c r="J99" s="249"/>
      <c r="M99" s="251">
        <v>2007735.35</v>
      </c>
      <c r="O99" s="252">
        <v>0</v>
      </c>
      <c r="Q99" s="924">
        <f t="shared" si="2"/>
        <v>-2007735.35</v>
      </c>
    </row>
    <row r="100" spans="1:17" x14ac:dyDescent="0.2">
      <c r="A100" s="243"/>
      <c r="B100" s="243"/>
      <c r="C100" s="1430" t="s">
        <v>1495</v>
      </c>
      <c r="D100" s="249"/>
      <c r="E100" s="249"/>
      <c r="F100" s="249"/>
      <c r="G100" s="1185">
        <f>-'TB4'!X103</f>
        <v>0</v>
      </c>
      <c r="H100" s="197"/>
      <c r="I100" s="1185">
        <f>-'TB4'!U103</f>
        <v>3355674.42</v>
      </c>
      <c r="J100" s="249"/>
      <c r="M100" s="251">
        <v>6153144.4800000004</v>
      </c>
      <c r="O100" s="252">
        <v>6153144.4800000004</v>
      </c>
      <c r="Q100" s="924">
        <f t="shared" si="2"/>
        <v>-6153144.4800000004</v>
      </c>
    </row>
    <row r="101" spans="1:17" ht="14.25" hidden="1" customHeight="1" x14ac:dyDescent="0.2">
      <c r="A101" s="243"/>
      <c r="B101" s="243"/>
      <c r="C101" s="256" t="s">
        <v>214</v>
      </c>
      <c r="D101" s="249"/>
      <c r="E101" s="249"/>
      <c r="F101" s="249"/>
      <c r="G101" s="81">
        <v>0</v>
      </c>
      <c r="H101" s="197"/>
      <c r="I101" s="81">
        <v>0</v>
      </c>
      <c r="J101" s="249"/>
      <c r="M101" s="251">
        <v>0</v>
      </c>
      <c r="O101" s="252">
        <v>0</v>
      </c>
      <c r="Q101" s="924">
        <f t="shared" si="2"/>
        <v>0</v>
      </c>
    </row>
    <row r="102" spans="1:17" s="248" customFormat="1" ht="13.5" thickBot="1" x14ac:dyDescent="0.25">
      <c r="A102" s="242"/>
      <c r="B102" s="242"/>
      <c r="C102" s="1430"/>
      <c r="D102" s="245"/>
      <c r="E102" s="245"/>
      <c r="F102" s="245"/>
      <c r="G102" s="1447">
        <f>SUM(G86:G101)</f>
        <v>11827751.919999998</v>
      </c>
      <c r="H102" s="66"/>
      <c r="I102" s="1447">
        <f>SUM(I86:I101)</f>
        <v>195134949.90999997</v>
      </c>
      <c r="J102" s="245"/>
      <c r="K102" s="245"/>
      <c r="L102" s="247"/>
      <c r="M102" s="251">
        <v>274579321.56</v>
      </c>
      <c r="N102" s="251"/>
      <c r="O102" s="252">
        <v>194552601.12999997</v>
      </c>
      <c r="P102" s="252"/>
      <c r="Q102" s="924">
        <f t="shared" si="2"/>
        <v>-262751569.64000002</v>
      </c>
    </row>
    <row r="103" spans="1:17" s="249" customFormat="1" ht="24.75" customHeight="1" thickTop="1" x14ac:dyDescent="0.2">
      <c r="A103" s="242"/>
      <c r="B103" s="242"/>
      <c r="C103" s="34" t="s">
        <v>3678</v>
      </c>
      <c r="G103" s="81"/>
      <c r="H103" s="197"/>
      <c r="I103" s="81"/>
      <c r="L103" s="207"/>
      <c r="M103" s="251"/>
      <c r="N103" s="251"/>
      <c r="O103" s="252"/>
      <c r="P103" s="252"/>
      <c r="Q103" s="924">
        <f t="shared" si="2"/>
        <v>0</v>
      </c>
    </row>
    <row r="104" spans="1:17" x14ac:dyDescent="0.2">
      <c r="G104" s="409"/>
      <c r="H104" s="410"/>
      <c r="I104" s="409"/>
      <c r="Q104" s="924">
        <f t="shared" si="2"/>
        <v>0</v>
      </c>
    </row>
    <row r="105" spans="1:17" x14ac:dyDescent="0.2">
      <c r="A105" s="243"/>
      <c r="B105" s="243"/>
      <c r="D105" s="249"/>
      <c r="E105" s="249"/>
      <c r="F105" s="249"/>
      <c r="G105" s="81"/>
      <c r="H105" s="197"/>
      <c r="I105" s="81"/>
      <c r="Q105" s="924">
        <f t="shared" ref="Q105:Q135" si="3">+G105-M105</f>
        <v>0</v>
      </c>
    </row>
    <row r="106" spans="1:17" x14ac:dyDescent="0.2">
      <c r="A106" s="243"/>
      <c r="B106" s="243"/>
      <c r="D106" s="249"/>
      <c r="E106" s="249"/>
      <c r="F106" s="249"/>
      <c r="G106" s="81"/>
      <c r="H106" s="197"/>
      <c r="I106" s="81"/>
      <c r="Q106" s="924">
        <f t="shared" si="3"/>
        <v>0</v>
      </c>
    </row>
    <row r="107" spans="1:17" x14ac:dyDescent="0.2">
      <c r="G107" s="409"/>
      <c r="H107" s="410"/>
      <c r="I107" s="409"/>
      <c r="N107" s="247"/>
      <c r="O107" s="248"/>
      <c r="P107" s="248"/>
      <c r="Q107" s="924">
        <f t="shared" si="3"/>
        <v>0</v>
      </c>
    </row>
    <row r="108" spans="1:17" x14ac:dyDescent="0.2">
      <c r="G108" s="409"/>
      <c r="H108" s="410"/>
      <c r="I108" s="409"/>
      <c r="N108" s="207"/>
      <c r="O108" s="249"/>
      <c r="P108" s="249"/>
      <c r="Q108" s="924">
        <f t="shared" si="3"/>
        <v>0</v>
      </c>
    </row>
    <row r="109" spans="1:17" x14ac:dyDescent="0.2">
      <c r="G109" s="409"/>
      <c r="H109" s="410"/>
      <c r="I109" s="409"/>
      <c r="Q109" s="924">
        <f t="shared" si="3"/>
        <v>0</v>
      </c>
    </row>
    <row r="110" spans="1:17" x14ac:dyDescent="0.2">
      <c r="G110" s="409"/>
      <c r="H110" s="410"/>
      <c r="I110" s="409"/>
      <c r="Q110" s="924">
        <f t="shared" si="3"/>
        <v>0</v>
      </c>
    </row>
    <row r="111" spans="1:17" x14ac:dyDescent="0.2">
      <c r="G111" s="94"/>
      <c r="H111" s="197"/>
      <c r="I111" s="94"/>
      <c r="Q111" s="924">
        <f t="shared" si="3"/>
        <v>0</v>
      </c>
    </row>
    <row r="112" spans="1:17" x14ac:dyDescent="0.2">
      <c r="G112" s="409"/>
      <c r="H112" s="410"/>
      <c r="I112" s="409"/>
      <c r="Q112" s="924">
        <f t="shared" si="3"/>
        <v>0</v>
      </c>
    </row>
    <row r="113" spans="7:17" x14ac:dyDescent="0.2">
      <c r="G113" s="409"/>
      <c r="H113" s="410"/>
      <c r="I113" s="409"/>
      <c r="Q113" s="924">
        <f t="shared" si="3"/>
        <v>0</v>
      </c>
    </row>
    <row r="114" spans="7:17" x14ac:dyDescent="0.2">
      <c r="Q114" s="924">
        <f t="shared" si="3"/>
        <v>0</v>
      </c>
    </row>
    <row r="115" spans="7:17" x14ac:dyDescent="0.2">
      <c r="Q115" s="924">
        <f t="shared" si="3"/>
        <v>0</v>
      </c>
    </row>
    <row r="116" spans="7:17" x14ac:dyDescent="0.2">
      <c r="Q116" s="924">
        <f t="shared" si="3"/>
        <v>0</v>
      </c>
    </row>
    <row r="117" spans="7:17" x14ac:dyDescent="0.2">
      <c r="Q117" s="924">
        <f t="shared" si="3"/>
        <v>0</v>
      </c>
    </row>
    <row r="118" spans="7:17" x14ac:dyDescent="0.2">
      <c r="G118" s="409"/>
      <c r="H118" s="410"/>
      <c r="I118" s="409"/>
      <c r="Q118" s="924">
        <f t="shared" si="3"/>
        <v>0</v>
      </c>
    </row>
    <row r="119" spans="7:17" x14ac:dyDescent="0.2">
      <c r="G119" s="409"/>
      <c r="H119" s="410"/>
      <c r="I119" s="409"/>
      <c r="Q119" s="924">
        <f t="shared" si="3"/>
        <v>0</v>
      </c>
    </row>
    <row r="120" spans="7:17" x14ac:dyDescent="0.2">
      <c r="G120" s="409"/>
      <c r="H120" s="410"/>
      <c r="I120" s="409"/>
      <c r="Q120" s="924">
        <f t="shared" si="3"/>
        <v>0</v>
      </c>
    </row>
    <row r="121" spans="7:17" x14ac:dyDescent="0.2">
      <c r="G121" s="409"/>
      <c r="H121" s="410"/>
      <c r="I121" s="409"/>
      <c r="Q121" s="924">
        <f t="shared" si="3"/>
        <v>0</v>
      </c>
    </row>
    <row r="122" spans="7:17" x14ac:dyDescent="0.2">
      <c r="G122" s="409"/>
      <c r="H122" s="410"/>
      <c r="I122" s="409"/>
      <c r="Q122" s="924">
        <f t="shared" si="3"/>
        <v>0</v>
      </c>
    </row>
    <row r="123" spans="7:17" x14ac:dyDescent="0.2">
      <c r="G123" s="409"/>
      <c r="H123" s="410"/>
      <c r="I123" s="409"/>
      <c r="Q123" s="924">
        <f t="shared" si="3"/>
        <v>0</v>
      </c>
    </row>
    <row r="124" spans="7:17" x14ac:dyDescent="0.2">
      <c r="G124" s="409"/>
      <c r="H124" s="410"/>
      <c r="I124" s="409"/>
      <c r="Q124" s="924">
        <f t="shared" si="3"/>
        <v>0</v>
      </c>
    </row>
    <row r="125" spans="7:17" x14ac:dyDescent="0.2">
      <c r="G125" s="409"/>
      <c r="H125" s="410"/>
      <c r="I125" s="409"/>
      <c r="Q125" s="924">
        <f t="shared" si="3"/>
        <v>0</v>
      </c>
    </row>
    <row r="126" spans="7:17" x14ac:dyDescent="0.2">
      <c r="G126" s="409"/>
      <c r="H126" s="410"/>
      <c r="I126" s="409"/>
      <c r="Q126" s="924">
        <f t="shared" si="3"/>
        <v>0</v>
      </c>
    </row>
    <row r="127" spans="7:17" x14ac:dyDescent="0.2">
      <c r="G127" s="409"/>
      <c r="H127" s="410"/>
      <c r="I127" s="409"/>
      <c r="Q127" s="924">
        <f t="shared" si="3"/>
        <v>0</v>
      </c>
    </row>
    <row r="128" spans="7:17" x14ac:dyDescent="0.2">
      <c r="G128" s="409"/>
      <c r="H128" s="410"/>
      <c r="I128" s="409"/>
      <c r="Q128" s="924">
        <f t="shared" si="3"/>
        <v>0</v>
      </c>
    </row>
    <row r="129" spans="7:17" x14ac:dyDescent="0.2">
      <c r="G129" s="409"/>
      <c r="H129" s="410"/>
      <c r="I129" s="409"/>
      <c r="Q129" s="924">
        <f t="shared" si="3"/>
        <v>0</v>
      </c>
    </row>
    <row r="130" spans="7:17" x14ac:dyDescent="0.2">
      <c r="G130" s="409"/>
      <c r="H130" s="410"/>
      <c r="I130" s="409"/>
      <c r="Q130" s="924">
        <f t="shared" si="3"/>
        <v>0</v>
      </c>
    </row>
    <row r="131" spans="7:17" x14ac:dyDescent="0.2">
      <c r="G131" s="409"/>
      <c r="H131" s="410"/>
      <c r="I131" s="409"/>
      <c r="Q131" s="924">
        <f t="shared" si="3"/>
        <v>0</v>
      </c>
    </row>
    <row r="132" spans="7:17" x14ac:dyDescent="0.2">
      <c r="G132" s="409"/>
      <c r="H132" s="410"/>
      <c r="I132" s="409"/>
      <c r="Q132" s="924">
        <f t="shared" si="3"/>
        <v>0</v>
      </c>
    </row>
    <row r="133" spans="7:17" x14ac:dyDescent="0.2">
      <c r="G133" s="409"/>
      <c r="H133" s="410"/>
      <c r="I133" s="409"/>
      <c r="Q133" s="924">
        <f t="shared" si="3"/>
        <v>0</v>
      </c>
    </row>
    <row r="134" spans="7:17" x14ac:dyDescent="0.2">
      <c r="G134" s="409"/>
      <c r="H134" s="410"/>
      <c r="I134" s="409"/>
      <c r="Q134" s="924">
        <f t="shared" si="3"/>
        <v>0</v>
      </c>
    </row>
    <row r="135" spans="7:17" x14ac:dyDescent="0.2">
      <c r="G135" s="409"/>
      <c r="H135" s="410"/>
      <c r="I135" s="409"/>
      <c r="Q135" s="924">
        <f t="shared" si="3"/>
        <v>0</v>
      </c>
    </row>
    <row r="136" spans="7:17" x14ac:dyDescent="0.2">
      <c r="G136" s="409"/>
      <c r="H136" s="410"/>
      <c r="I136" s="409"/>
    </row>
    <row r="137" spans="7:17" x14ac:dyDescent="0.2">
      <c r="G137" s="409"/>
      <c r="H137" s="410"/>
      <c r="I137" s="409"/>
    </row>
    <row r="138" spans="7:17" x14ac:dyDescent="0.2">
      <c r="G138" s="409"/>
      <c r="H138" s="410"/>
      <c r="I138" s="409"/>
    </row>
    <row r="139" spans="7:17" x14ac:dyDescent="0.2">
      <c r="G139" s="409"/>
      <c r="H139" s="410"/>
      <c r="I139" s="409"/>
    </row>
    <row r="140" spans="7:17" x14ac:dyDescent="0.2">
      <c r="G140" s="409"/>
      <c r="H140" s="410"/>
      <c r="I140" s="409"/>
    </row>
    <row r="141" spans="7:17" x14ac:dyDescent="0.2">
      <c r="G141" s="409"/>
      <c r="H141" s="410"/>
      <c r="I141" s="409"/>
    </row>
    <row r="142" spans="7:17" x14ac:dyDescent="0.2">
      <c r="G142" s="409"/>
      <c r="H142" s="410"/>
      <c r="I142" s="409"/>
    </row>
    <row r="143" spans="7:17" x14ac:dyDescent="0.2">
      <c r="G143" s="409"/>
      <c r="H143" s="410"/>
      <c r="I143" s="409"/>
    </row>
    <row r="144" spans="7:17" x14ac:dyDescent="0.2">
      <c r="G144" s="409"/>
      <c r="H144" s="410"/>
      <c r="I144" s="409"/>
    </row>
    <row r="145" spans="7:9" x14ac:dyDescent="0.2">
      <c r="G145" s="409"/>
      <c r="H145" s="410"/>
      <c r="I145" s="409"/>
    </row>
    <row r="146" spans="7:9" x14ac:dyDescent="0.2">
      <c r="G146" s="409"/>
      <c r="H146" s="410"/>
      <c r="I146" s="409"/>
    </row>
    <row r="147" spans="7:9" x14ac:dyDescent="0.2">
      <c r="G147" s="409"/>
      <c r="H147" s="410"/>
      <c r="I147" s="409"/>
    </row>
    <row r="148" spans="7:9" x14ac:dyDescent="0.2">
      <c r="G148" s="409"/>
      <c r="H148" s="410"/>
      <c r="I148" s="409"/>
    </row>
    <row r="149" spans="7:9" x14ac:dyDescent="0.2">
      <c r="G149" s="409"/>
      <c r="H149" s="410"/>
      <c r="I149" s="409"/>
    </row>
    <row r="150" spans="7:9" x14ac:dyDescent="0.2">
      <c r="G150" s="409"/>
      <c r="H150" s="410"/>
      <c r="I150" s="409"/>
    </row>
    <row r="151" spans="7:9" x14ac:dyDescent="0.2">
      <c r="G151" s="409"/>
      <c r="H151" s="410"/>
      <c r="I151" s="409"/>
    </row>
    <row r="152" spans="7:9" x14ac:dyDescent="0.2">
      <c r="G152" s="409"/>
      <c r="H152" s="410"/>
      <c r="I152" s="409"/>
    </row>
    <row r="153" spans="7:9" x14ac:dyDescent="0.2">
      <c r="G153" s="409"/>
      <c r="H153" s="410"/>
      <c r="I153" s="409"/>
    </row>
    <row r="154" spans="7:9" x14ac:dyDescent="0.2">
      <c r="G154" s="409"/>
      <c r="H154" s="410"/>
      <c r="I154" s="409"/>
    </row>
    <row r="155" spans="7:9" x14ac:dyDescent="0.2">
      <c r="G155" s="409"/>
      <c r="H155" s="410"/>
      <c r="I155" s="409"/>
    </row>
    <row r="156" spans="7:9" x14ac:dyDescent="0.2">
      <c r="G156" s="409"/>
      <c r="H156" s="410"/>
      <c r="I156" s="409"/>
    </row>
    <row r="157" spans="7:9" x14ac:dyDescent="0.2">
      <c r="G157" s="409"/>
      <c r="H157" s="410"/>
      <c r="I157" s="409"/>
    </row>
    <row r="158" spans="7:9" x14ac:dyDescent="0.2">
      <c r="G158" s="409"/>
      <c r="H158" s="410"/>
      <c r="I158" s="409"/>
    </row>
    <row r="159" spans="7:9" x14ac:dyDescent="0.2">
      <c r="G159" s="409"/>
      <c r="H159" s="410"/>
      <c r="I159" s="409"/>
    </row>
    <row r="160" spans="7:9" x14ac:dyDescent="0.2">
      <c r="G160" s="409"/>
      <c r="H160" s="410"/>
      <c r="I160" s="409"/>
    </row>
    <row r="161" spans="7:9" x14ac:dyDescent="0.2">
      <c r="G161" s="409"/>
      <c r="H161" s="410"/>
      <c r="I161" s="409"/>
    </row>
    <row r="162" spans="7:9" x14ac:dyDescent="0.2">
      <c r="G162" s="409"/>
      <c r="H162" s="410"/>
      <c r="I162" s="409"/>
    </row>
    <row r="163" spans="7:9" x14ac:dyDescent="0.2">
      <c r="G163" s="409"/>
      <c r="H163" s="410"/>
      <c r="I163" s="409"/>
    </row>
    <row r="164" spans="7:9" x14ac:dyDescent="0.2">
      <c r="G164" s="409"/>
      <c r="H164" s="410"/>
      <c r="I164" s="409"/>
    </row>
    <row r="165" spans="7:9" x14ac:dyDescent="0.2">
      <c r="G165" s="409"/>
      <c r="H165" s="410"/>
      <c r="I165" s="409"/>
    </row>
    <row r="166" spans="7:9" x14ac:dyDescent="0.2">
      <c r="G166" s="409"/>
      <c r="H166" s="410"/>
      <c r="I166" s="409"/>
    </row>
    <row r="167" spans="7:9" x14ac:dyDescent="0.2">
      <c r="G167" s="409"/>
      <c r="H167" s="410"/>
      <c r="I167" s="409"/>
    </row>
    <row r="168" spans="7:9" x14ac:dyDescent="0.2">
      <c r="G168" s="409"/>
      <c r="H168" s="410"/>
      <c r="I168" s="409"/>
    </row>
  </sheetData>
  <phoneticPr fontId="0" type="noConversion"/>
  <printOptions horizontalCentered="1"/>
  <pageMargins left="0.35433070866141736" right="0.55118110236220474" top="1.1811023622047245" bottom="0.39370078740157483" header="0.31496062992125984" footer="0.31496062992125984"/>
  <pageSetup paperSize="9" scale="71" firstPageNumber="41" orientation="portrait" useFirstPageNumber="1" horizontalDpi="300" verticalDpi="300" r:id="rId1"/>
  <headerFooter>
    <oddHeader>&amp;C&amp;"-,Bold"POLOKWANE MUNICIPALITY
NOTES TO THE FINANCIAL STATEMENTS FOR THE YEAR ENDED 30 JUNE 2016</oddHeader>
    <oddFooter>&amp;C&amp;P</oddFooter>
  </headerFooter>
  <rowBreaks count="1" manualBreakCount="1">
    <brk id="67"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0"/>
  <sheetViews>
    <sheetView showGridLines="0" topLeftCell="A102" workbookViewId="0">
      <selection activeCell="D81" sqref="D81"/>
    </sheetView>
  </sheetViews>
  <sheetFormatPr defaultRowHeight="12.75" x14ac:dyDescent="0.2"/>
  <cols>
    <col min="1" max="1" width="6" style="622" customWidth="1"/>
    <col min="2" max="2" width="41" style="140" customWidth="1"/>
    <col min="3" max="3" width="23.7109375" style="141" bestFit="1" customWidth="1"/>
    <col min="4" max="5" width="18.85546875" style="141" customWidth="1"/>
    <col min="6" max="6" width="18.85546875" style="141" hidden="1" customWidth="1"/>
    <col min="7" max="7" width="18" style="141" customWidth="1"/>
    <col min="8" max="8" width="16.28515625" style="141" customWidth="1"/>
    <col min="9" max="9" width="19" style="141" customWidth="1"/>
    <col min="10" max="10" width="19.5703125" style="140" hidden="1" customWidth="1"/>
    <col min="11" max="11" width="19.42578125" style="140" hidden="1" customWidth="1"/>
    <col min="12" max="12" width="23" style="140" customWidth="1"/>
    <col min="13" max="14" width="15" style="140" bestFit="1" customWidth="1"/>
    <col min="15" max="15" width="11.28515625" style="140" bestFit="1" customWidth="1"/>
    <col min="16" max="16384" width="9.140625" style="140"/>
  </cols>
  <sheetData>
    <row r="1" spans="1:14" x14ac:dyDescent="0.2">
      <c r="A1" s="40"/>
      <c r="B1" s="233"/>
      <c r="C1" s="314"/>
      <c r="D1" s="314"/>
      <c r="E1" s="314"/>
      <c r="F1" s="314"/>
      <c r="G1" s="314"/>
      <c r="H1" s="314"/>
      <c r="I1" s="314"/>
    </row>
    <row r="2" spans="1:14" x14ac:dyDescent="0.2">
      <c r="A2" s="40"/>
      <c r="B2" s="233"/>
      <c r="C2" s="314"/>
      <c r="D2" s="314"/>
      <c r="E2" s="314"/>
      <c r="F2" s="314"/>
      <c r="G2" s="314"/>
      <c r="H2" s="314"/>
      <c r="I2" s="314"/>
    </row>
    <row r="3" spans="1:14" s="26" customFormat="1" ht="15" x14ac:dyDescent="0.2">
      <c r="A3" s="39" t="s">
        <v>546</v>
      </c>
      <c r="B3" s="37" t="s">
        <v>819</v>
      </c>
      <c r="C3" s="35"/>
      <c r="D3" s="35"/>
      <c r="E3" s="35"/>
      <c r="F3" s="35"/>
      <c r="G3" s="35"/>
      <c r="H3" s="35"/>
      <c r="I3" s="35"/>
    </row>
    <row r="4" spans="1:14" ht="13.5" thickBot="1" x14ac:dyDescent="0.25">
      <c r="A4" s="40"/>
      <c r="B4" s="233"/>
      <c r="C4" s="314"/>
      <c r="D4" s="314"/>
      <c r="E4" s="314"/>
      <c r="F4" s="314"/>
      <c r="G4" s="314"/>
      <c r="H4" s="314"/>
      <c r="I4" s="314"/>
    </row>
    <row r="5" spans="1:14" s="40" customFormat="1" ht="25.5" x14ac:dyDescent="0.2">
      <c r="B5" s="1019"/>
      <c r="C5" s="661" t="s">
        <v>879</v>
      </c>
      <c r="D5" s="661" t="s">
        <v>3488</v>
      </c>
      <c r="E5" s="661" t="s">
        <v>916</v>
      </c>
      <c r="F5" s="661"/>
      <c r="G5" s="661" t="s">
        <v>646</v>
      </c>
      <c r="H5" s="661" t="s">
        <v>2869</v>
      </c>
      <c r="I5" s="1020" t="s">
        <v>374</v>
      </c>
      <c r="K5" s="40" t="s">
        <v>3526</v>
      </c>
    </row>
    <row r="6" spans="1:14" s="40" customFormat="1" x14ac:dyDescent="0.2">
      <c r="B6" s="707"/>
      <c r="C6" s="1021" t="s">
        <v>59</v>
      </c>
      <c r="D6" s="1021"/>
      <c r="E6" s="1021" t="s">
        <v>59</v>
      </c>
      <c r="F6" s="1021"/>
      <c r="G6" s="1021" t="s">
        <v>59</v>
      </c>
      <c r="H6" s="1021" t="s">
        <v>59</v>
      </c>
      <c r="I6" s="1022" t="s">
        <v>59</v>
      </c>
      <c r="J6" s="918">
        <v>94420766.704836443</v>
      </c>
      <c r="K6" s="918">
        <v>231879432.48601958</v>
      </c>
      <c r="M6" s="918"/>
      <c r="N6" s="918"/>
    </row>
    <row r="7" spans="1:14" s="233" customFormat="1" x14ac:dyDescent="0.2">
      <c r="A7" s="40"/>
      <c r="B7" s="708" t="s">
        <v>296</v>
      </c>
      <c r="C7" s="315"/>
      <c r="D7" s="315"/>
      <c r="E7" s="315"/>
      <c r="F7" s="315"/>
      <c r="G7" s="315"/>
      <c r="H7" s="315"/>
      <c r="I7" s="1023"/>
      <c r="J7" s="529">
        <v>11165128.266110543</v>
      </c>
      <c r="K7" s="529">
        <v>20103126.270002332</v>
      </c>
      <c r="M7" s="529"/>
      <c r="N7" s="529"/>
    </row>
    <row r="8" spans="1:14" s="37" customFormat="1" hidden="1" x14ac:dyDescent="0.2">
      <c r="A8" s="40"/>
      <c r="B8" s="708" t="s">
        <v>222</v>
      </c>
      <c r="C8" s="942">
        <v>2484857930.3800001</v>
      </c>
      <c r="D8" s="942"/>
      <c r="E8" s="942">
        <v>2784037845.9400001</v>
      </c>
      <c r="F8" s="942"/>
      <c r="G8" s="942">
        <v>185006896.54000002</v>
      </c>
      <c r="H8" s="942">
        <v>6167336.4199999999</v>
      </c>
      <c r="I8" s="1024">
        <v>5460070009.2799997</v>
      </c>
    </row>
    <row r="9" spans="1:14" s="233" customFormat="1" hidden="1" x14ac:dyDescent="0.2">
      <c r="A9" s="40"/>
      <c r="B9" s="709" t="s">
        <v>816</v>
      </c>
      <c r="C9" s="526">
        <v>2474439211.8200002</v>
      </c>
      <c r="D9" s="526"/>
      <c r="E9" s="526">
        <v>3022014983.1599998</v>
      </c>
      <c r="F9" s="526"/>
      <c r="G9" s="526">
        <v>244915287.77000001</v>
      </c>
      <c r="H9" s="1025">
        <v>11594361.84</v>
      </c>
      <c r="I9" s="1026">
        <v>5752963844.5900002</v>
      </c>
    </row>
    <row r="10" spans="1:14" s="233" customFormat="1" hidden="1" x14ac:dyDescent="0.2">
      <c r="A10" s="40"/>
      <c r="B10" s="709" t="s">
        <v>817</v>
      </c>
      <c r="C10" s="315">
        <v>10418718.560000002</v>
      </c>
      <c r="D10" s="315"/>
      <c r="E10" s="315">
        <v>-237977137.22</v>
      </c>
      <c r="F10" s="315"/>
      <c r="G10" s="315">
        <v>-59908391.229999997</v>
      </c>
      <c r="H10" s="315">
        <v>-5427025.4199999999</v>
      </c>
      <c r="I10" s="1023">
        <v>-292893835.31</v>
      </c>
    </row>
    <row r="11" spans="1:14" s="233" customFormat="1" hidden="1" x14ac:dyDescent="0.2">
      <c r="A11" s="40"/>
      <c r="B11" s="709" t="s">
        <v>818</v>
      </c>
      <c r="C11" s="526">
        <v>15088087</v>
      </c>
      <c r="D11" s="526"/>
      <c r="E11" s="526">
        <v>106144642.55</v>
      </c>
      <c r="F11" s="526"/>
      <c r="G11" s="526">
        <v>15097926.74</v>
      </c>
      <c r="H11" s="1025"/>
      <c r="I11" s="1027">
        <v>136330656.28999999</v>
      </c>
    </row>
    <row r="12" spans="1:14" s="233" customFormat="1" hidden="1" x14ac:dyDescent="0.2">
      <c r="A12" s="40"/>
      <c r="B12" s="709" t="s">
        <v>3146</v>
      </c>
      <c r="C12" s="526">
        <v>0</v>
      </c>
      <c r="D12" s="526"/>
      <c r="E12" s="526">
        <v>416715.97</v>
      </c>
      <c r="F12" s="526"/>
      <c r="G12" s="526">
        <v>0</v>
      </c>
      <c r="H12" s="1025">
        <v>0</v>
      </c>
      <c r="I12" s="1027">
        <v>416715.97</v>
      </c>
    </row>
    <row r="13" spans="1:14" s="233" customFormat="1" hidden="1" x14ac:dyDescent="0.2">
      <c r="A13" s="40"/>
      <c r="B13" s="710" t="s">
        <v>3067</v>
      </c>
      <c r="C13" s="526">
        <v>37736300.25</v>
      </c>
      <c r="D13" s="526"/>
      <c r="E13" s="526">
        <v>172037109.16999999</v>
      </c>
      <c r="F13" s="526"/>
      <c r="G13" s="526">
        <v>0</v>
      </c>
      <c r="H13" s="1025">
        <v>0</v>
      </c>
      <c r="I13" s="1027">
        <v>209773409.41999999</v>
      </c>
    </row>
    <row r="14" spans="1:14" s="233" customFormat="1" hidden="1" x14ac:dyDescent="0.2">
      <c r="A14" s="40"/>
      <c r="B14" s="709" t="s">
        <v>820</v>
      </c>
      <c r="C14" s="526">
        <v>-62046162.549999997</v>
      </c>
      <c r="D14" s="526"/>
      <c r="E14" s="526">
        <v>-109712325.34999999</v>
      </c>
      <c r="F14" s="526"/>
      <c r="G14" s="526">
        <v>-26025092.120000001</v>
      </c>
      <c r="H14" s="526">
        <v>-3834345.54</v>
      </c>
      <c r="I14" s="1027">
        <v>-201617925.55999997</v>
      </c>
    </row>
    <row r="15" spans="1:14" s="233" customFormat="1" hidden="1" x14ac:dyDescent="0.2">
      <c r="A15" s="40"/>
      <c r="B15" s="709" t="s">
        <v>3146</v>
      </c>
      <c r="C15" s="526"/>
      <c r="D15" s="526"/>
      <c r="E15" s="526"/>
      <c r="F15" s="526"/>
      <c r="G15" s="526"/>
      <c r="H15" s="1025"/>
      <c r="I15" s="1027">
        <v>0</v>
      </c>
    </row>
    <row r="16" spans="1:14" s="233" customFormat="1" hidden="1" x14ac:dyDescent="0.2">
      <c r="A16" s="40"/>
      <c r="B16" s="709" t="s">
        <v>1043</v>
      </c>
      <c r="C16" s="526">
        <v>0</v>
      </c>
      <c r="D16" s="526"/>
      <c r="E16" s="526">
        <v>0</v>
      </c>
      <c r="F16" s="526"/>
      <c r="G16" s="526">
        <v>-1202193.9199999999</v>
      </c>
      <c r="H16" s="1025">
        <v>0</v>
      </c>
      <c r="I16" s="1027">
        <v>-1202193.9199999999</v>
      </c>
    </row>
    <row r="17" spans="1:14" s="233" customFormat="1" hidden="1" x14ac:dyDescent="0.2">
      <c r="A17" s="40"/>
      <c r="B17" s="709" t="s">
        <v>1045</v>
      </c>
      <c r="C17" s="526">
        <v>0</v>
      </c>
      <c r="D17" s="526"/>
      <c r="E17" s="526">
        <v>-41</v>
      </c>
      <c r="F17" s="526"/>
      <c r="G17" s="526">
        <v>0</v>
      </c>
      <c r="H17" s="1025">
        <v>0</v>
      </c>
      <c r="I17" s="1027">
        <v>-41</v>
      </c>
    </row>
    <row r="18" spans="1:14" s="233" customFormat="1" hidden="1" x14ac:dyDescent="0.2">
      <c r="A18" s="40"/>
      <c r="B18" s="709" t="s">
        <v>1046</v>
      </c>
      <c r="C18" s="315">
        <v>0</v>
      </c>
      <c r="D18" s="315"/>
      <c r="E18" s="315">
        <v>0</v>
      </c>
      <c r="F18" s="315"/>
      <c r="G18" s="315">
        <v>-3834345.540000001</v>
      </c>
      <c r="H18" s="1028">
        <v>0</v>
      </c>
      <c r="I18" s="1023">
        <v>-3834345.540000001</v>
      </c>
    </row>
    <row r="19" spans="1:14" s="37" customFormat="1" hidden="1" x14ac:dyDescent="0.2">
      <c r="A19" s="40"/>
      <c r="B19" s="708" t="s">
        <v>1087</v>
      </c>
      <c r="C19" s="942">
        <f t="shared" ref="C19:I19" si="0">C20+C21</f>
        <v>161363255.26714313</v>
      </c>
      <c r="D19" s="942">
        <f t="shared" si="0"/>
        <v>1897811479.9999998</v>
      </c>
      <c r="E19" s="942">
        <f t="shared" si="0"/>
        <v>5346523087.1499987</v>
      </c>
      <c r="F19" s="942"/>
      <c r="G19" s="942">
        <f t="shared" si="0"/>
        <v>139742347.08959013</v>
      </c>
      <c r="H19" s="942">
        <f t="shared" si="0"/>
        <v>0</v>
      </c>
      <c r="I19" s="1224">
        <f t="shared" si="0"/>
        <v>7545440169.506731</v>
      </c>
      <c r="J19" s="919">
        <f>SUM(J6:J18)</f>
        <v>105585894.97094698</v>
      </c>
      <c r="K19" s="919">
        <f>SUM(K6:K18)</f>
        <v>251982558.75602192</v>
      </c>
      <c r="M19" s="919"/>
      <c r="N19" s="919"/>
    </row>
    <row r="20" spans="1:14" s="233" customFormat="1" hidden="1" x14ac:dyDescent="0.2">
      <c r="A20" s="40"/>
      <c r="B20" s="709" t="s">
        <v>816</v>
      </c>
      <c r="C20" s="526">
        <v>161363255.26714313</v>
      </c>
      <c r="D20" s="526">
        <v>3155679823.9699998</v>
      </c>
      <c r="E20" s="526">
        <v>10626152965.009998</v>
      </c>
      <c r="F20" s="526"/>
      <c r="G20" s="526">
        <v>218310783.06715015</v>
      </c>
      <c r="H20" s="526">
        <v>0</v>
      </c>
      <c r="I20" s="1027">
        <f>SUM(C20:H20)</f>
        <v>14161506827.314291</v>
      </c>
      <c r="K20" s="828"/>
      <c r="N20" s="920"/>
    </row>
    <row r="21" spans="1:14" s="233" customFormat="1" hidden="1" x14ac:dyDescent="0.2">
      <c r="A21" s="40"/>
      <c r="B21" s="709" t="s">
        <v>817</v>
      </c>
      <c r="C21" s="315">
        <v>0</v>
      </c>
      <c r="D21" s="315">
        <v>-1257868343.97</v>
      </c>
      <c r="E21" s="315">
        <v>-5279629877.8599997</v>
      </c>
      <c r="F21" s="315"/>
      <c r="G21" s="315">
        <v>-78568435.977559999</v>
      </c>
      <c r="H21" s="315">
        <v>0</v>
      </c>
      <c r="I21" s="1023">
        <f>SUM(C21:H21)</f>
        <v>-6616066657.80756</v>
      </c>
      <c r="K21" s="828"/>
    </row>
    <row r="22" spans="1:14" s="233" customFormat="1" hidden="1" x14ac:dyDescent="0.2">
      <c r="A22" s="40"/>
      <c r="B22" s="709" t="s">
        <v>818</v>
      </c>
      <c r="C22" s="526">
        <v>0</v>
      </c>
      <c r="D22" s="526">
        <v>2799252.04</v>
      </c>
      <c r="E22" s="526">
        <v>196806615.66</v>
      </c>
      <c r="F22" s="526"/>
      <c r="G22" s="526">
        <v>2694179.8766051168</v>
      </c>
      <c r="H22" s="1025">
        <v>28515333.77</v>
      </c>
      <c r="I22" s="1027">
        <f>SUM(C22:H22)</f>
        <v>230815381.34660512</v>
      </c>
      <c r="K22" s="828"/>
      <c r="L22" s="920"/>
    </row>
    <row r="23" spans="1:14" s="233" customFormat="1" hidden="1" x14ac:dyDescent="0.2">
      <c r="A23" s="40"/>
      <c r="B23" s="709" t="s">
        <v>3489</v>
      </c>
      <c r="C23" s="526">
        <v>0</v>
      </c>
      <c r="D23" s="526">
        <v>0</v>
      </c>
      <c r="E23" s="526">
        <v>0</v>
      </c>
      <c r="F23" s="526"/>
      <c r="G23" s="526">
        <v>-8319035.5600000052</v>
      </c>
      <c r="H23" s="1025"/>
      <c r="I23" s="1027">
        <f t="shared" ref="I23:I28" si="1">SUM(C23:H23)</f>
        <v>-8319035.5600000052</v>
      </c>
      <c r="K23" s="828"/>
      <c r="L23" s="920"/>
    </row>
    <row r="24" spans="1:14" s="233" customFormat="1" hidden="1" x14ac:dyDescent="0.2">
      <c r="A24" s="40"/>
      <c r="B24" s="710" t="s">
        <v>3067</v>
      </c>
      <c r="C24" s="526">
        <v>0</v>
      </c>
      <c r="D24" s="526">
        <v>41014505.090000004</v>
      </c>
      <c r="E24" s="526">
        <v>45153284.549999967</v>
      </c>
      <c r="F24" s="526"/>
      <c r="G24" s="526">
        <v>0</v>
      </c>
      <c r="H24" s="1025"/>
      <c r="I24" s="1027">
        <f t="shared" si="1"/>
        <v>86167789.639999971</v>
      </c>
      <c r="K24" s="828"/>
      <c r="L24" s="920"/>
    </row>
    <row r="25" spans="1:14" s="233" customFormat="1" hidden="1" x14ac:dyDescent="0.2">
      <c r="A25" s="40"/>
      <c r="B25" s="709" t="s">
        <v>820</v>
      </c>
      <c r="C25" s="526">
        <v>0</v>
      </c>
      <c r="D25" s="526">
        <v>-84347803.709999993</v>
      </c>
      <c r="E25" s="526">
        <v>-314348603.67000002</v>
      </c>
      <c r="F25" s="526"/>
      <c r="G25" s="526">
        <v>-22857803.476330191</v>
      </c>
      <c r="H25" s="526">
        <v>-780257.46</v>
      </c>
      <c r="I25" s="1027">
        <f t="shared" si="1"/>
        <v>-422334468.31633013</v>
      </c>
      <c r="K25" s="828"/>
      <c r="L25" s="920"/>
    </row>
    <row r="26" spans="1:14" s="233" customFormat="1" hidden="1" x14ac:dyDescent="0.2">
      <c r="A26" s="40"/>
      <c r="B26" s="709" t="s">
        <v>1043</v>
      </c>
      <c r="C26" s="526">
        <v>0</v>
      </c>
      <c r="D26" s="526"/>
      <c r="E26" s="526">
        <v>0</v>
      </c>
      <c r="F26" s="526"/>
      <c r="G26" s="526">
        <v>0</v>
      </c>
      <c r="H26" s="1025">
        <v>0</v>
      </c>
      <c r="I26" s="1027">
        <f t="shared" si="1"/>
        <v>0</v>
      </c>
      <c r="K26" s="828"/>
      <c r="L26" s="920"/>
    </row>
    <row r="27" spans="1:14" s="233" customFormat="1" hidden="1" x14ac:dyDescent="0.2">
      <c r="A27" s="40"/>
      <c r="B27" s="709" t="s">
        <v>1045</v>
      </c>
      <c r="C27" s="526">
        <v>0</v>
      </c>
      <c r="D27" s="526"/>
      <c r="E27" s="526">
        <v>0</v>
      </c>
      <c r="F27" s="526"/>
      <c r="G27" s="526">
        <v>0</v>
      </c>
      <c r="H27" s="1025">
        <v>0</v>
      </c>
      <c r="I27" s="1027">
        <f t="shared" si="1"/>
        <v>0</v>
      </c>
      <c r="K27" s="828"/>
      <c r="L27" s="920"/>
    </row>
    <row r="28" spans="1:14" s="233" customFormat="1" hidden="1" x14ac:dyDescent="0.2">
      <c r="A28" s="40"/>
      <c r="B28" s="709" t="s">
        <v>1074</v>
      </c>
      <c r="C28" s="315">
        <v>0</v>
      </c>
      <c r="D28" s="315">
        <v>-237100.57000000004</v>
      </c>
      <c r="E28" s="315">
        <v>-22911993.870000005</v>
      </c>
      <c r="F28" s="315"/>
      <c r="G28" s="315">
        <v>-13995824.655943107</v>
      </c>
      <c r="H28" s="315">
        <v>0</v>
      </c>
      <c r="I28" s="1023">
        <f t="shared" si="1"/>
        <v>-37144919.095943108</v>
      </c>
      <c r="K28" s="828"/>
      <c r="L28" s="920"/>
    </row>
    <row r="29" spans="1:14" s="233" customFormat="1" hidden="1" x14ac:dyDescent="0.2">
      <c r="A29" s="40"/>
      <c r="B29" s="709" t="s">
        <v>816</v>
      </c>
      <c r="C29" s="526">
        <v>0</v>
      </c>
      <c r="D29" s="526">
        <v>-441665.4</v>
      </c>
      <c r="E29" s="526">
        <v>-42059079.590000004</v>
      </c>
      <c r="F29" s="526"/>
      <c r="G29" s="526">
        <v>-33199550.338000108</v>
      </c>
      <c r="H29" s="1025"/>
      <c r="I29" s="1027">
        <f>SUM(C29:H29)</f>
        <v>-75700295.328000113</v>
      </c>
      <c r="K29" s="828"/>
      <c r="L29" s="920"/>
    </row>
    <row r="30" spans="1:14" s="233" customFormat="1" hidden="1" x14ac:dyDescent="0.2">
      <c r="A30" s="40"/>
      <c r="B30" s="709" t="s">
        <v>419</v>
      </c>
      <c r="C30" s="315">
        <v>0</v>
      </c>
      <c r="D30" s="315">
        <v>204564.83</v>
      </c>
      <c r="E30" s="315">
        <v>19147085.719999999</v>
      </c>
      <c r="F30" s="315"/>
      <c r="G30" s="315">
        <v>19203725.682057001</v>
      </c>
      <c r="H30" s="1028"/>
      <c r="I30" s="1027">
        <f>SUM(C30:H30)</f>
        <v>38555376.232056998</v>
      </c>
      <c r="K30" s="828"/>
      <c r="L30" s="920"/>
    </row>
    <row r="31" spans="1:14" s="37" customFormat="1" hidden="1" x14ac:dyDescent="0.2">
      <c r="A31" s="40"/>
      <c r="B31" s="708" t="s">
        <v>2981</v>
      </c>
      <c r="C31" s="1527">
        <v>163489793.09689203</v>
      </c>
      <c r="D31" s="1527">
        <v>1718932289.4239755</v>
      </c>
      <c r="E31" s="1527">
        <v>6813715527.9810925</v>
      </c>
      <c r="F31" s="1527"/>
      <c r="G31" s="1527">
        <v>98582816.821556509</v>
      </c>
      <c r="H31" s="1527">
        <v>27645050.648135997</v>
      </c>
      <c r="I31" s="1528">
        <v>8822365477.971653</v>
      </c>
      <c r="L31" s="1529"/>
    </row>
    <row r="32" spans="1:14" s="233" customFormat="1" hidden="1" x14ac:dyDescent="0.2">
      <c r="A32" s="40"/>
      <c r="B32" s="709" t="s">
        <v>816</v>
      </c>
      <c r="C32" s="1530">
        <v>163489793.09689203</v>
      </c>
      <c r="D32" s="1530">
        <v>3102075009.8294039</v>
      </c>
      <c r="E32" s="1530">
        <v>13415272576.394297</v>
      </c>
      <c r="F32" s="1530"/>
      <c r="G32" s="1392">
        <v>180915351.20318431</v>
      </c>
      <c r="H32" s="1530">
        <v>28422929.926095285</v>
      </c>
      <c r="I32" s="1531">
        <v>16888267959.464029</v>
      </c>
    </row>
    <row r="33" spans="1:13" s="233" customFormat="1" hidden="1" x14ac:dyDescent="0.2">
      <c r="A33" s="40"/>
      <c r="B33" s="709" t="s">
        <v>3496</v>
      </c>
      <c r="C33" s="1392">
        <v>0</v>
      </c>
      <c r="D33" s="1392">
        <v>0</v>
      </c>
      <c r="E33" s="1392">
        <v>0</v>
      </c>
      <c r="F33" s="1392"/>
      <c r="G33" s="1392">
        <v>0</v>
      </c>
      <c r="H33" s="1392">
        <v>0</v>
      </c>
      <c r="I33" s="1531">
        <v>0</v>
      </c>
    </row>
    <row r="34" spans="1:13" s="233" customFormat="1" hidden="1" x14ac:dyDescent="0.2">
      <c r="A34" s="40"/>
      <c r="B34" s="709" t="s">
        <v>817</v>
      </c>
      <c r="C34" s="1532">
        <v>0</v>
      </c>
      <c r="D34" s="1532">
        <v>-1383142720.4054284</v>
      </c>
      <c r="E34" s="1532">
        <v>-6601557048.4132042</v>
      </c>
      <c r="F34" s="1532"/>
      <c r="G34" s="1532">
        <v>-82332534.381627798</v>
      </c>
      <c r="H34" s="1532">
        <v>-777879.27795928903</v>
      </c>
      <c r="I34" s="1531">
        <v>-8067854442.8541088</v>
      </c>
    </row>
    <row r="35" spans="1:13" s="233" customFormat="1" hidden="1" x14ac:dyDescent="0.2">
      <c r="A35" s="40"/>
      <c r="B35" s="709" t="s">
        <v>818</v>
      </c>
      <c r="C35" s="1533">
        <v>0</v>
      </c>
      <c r="D35" s="1530">
        <v>15703357.020000005</v>
      </c>
      <c r="E35" s="1530">
        <v>243296221.14000019</v>
      </c>
      <c r="F35" s="1530"/>
      <c r="G35" s="1392">
        <v>5144923.7899999898</v>
      </c>
      <c r="H35" s="1530">
        <v>101330508.16156381</v>
      </c>
      <c r="I35" s="1534">
        <v>365475010.11156404</v>
      </c>
    </row>
    <row r="36" spans="1:13" s="233" customFormat="1" ht="15" hidden="1" x14ac:dyDescent="0.25">
      <c r="A36" s="40"/>
      <c r="B36" s="710" t="s">
        <v>3067</v>
      </c>
      <c r="C36" s="1392">
        <v>0</v>
      </c>
      <c r="D36" s="1392">
        <v>-6648421.9599999934</v>
      </c>
      <c r="E36" s="1392">
        <v>81851969.803157911</v>
      </c>
      <c r="F36" s="1392"/>
      <c r="G36" s="1392">
        <v>0</v>
      </c>
      <c r="H36" s="1392">
        <v>0</v>
      </c>
      <c r="I36" s="1220">
        <v>75203547.843157917</v>
      </c>
      <c r="K36" s="424"/>
      <c r="M36" s="211"/>
    </row>
    <row r="37" spans="1:13" s="233" customFormat="1" ht="15" hidden="1" x14ac:dyDescent="0.25">
      <c r="A37" s="40"/>
      <c r="B37" s="709" t="s">
        <v>820</v>
      </c>
      <c r="C37" s="1392">
        <v>0</v>
      </c>
      <c r="D37" s="1392">
        <v>-99178769.731769249</v>
      </c>
      <c r="E37" s="1392">
        <v>-393522817.37050176</v>
      </c>
      <c r="F37" s="1392"/>
      <c r="G37" s="1392">
        <v>-21413461.830910735</v>
      </c>
      <c r="H37" s="1392">
        <v>-22843255.718454301</v>
      </c>
      <c r="I37" s="1535">
        <v>-536958304.65163612</v>
      </c>
      <c r="K37" s="424"/>
      <c r="M37" s="456"/>
    </row>
    <row r="38" spans="1:13" s="233" customFormat="1" hidden="1" x14ac:dyDescent="0.2">
      <c r="A38" s="40"/>
      <c r="B38" s="709" t="s">
        <v>3491</v>
      </c>
      <c r="C38" s="1392"/>
      <c r="D38" s="1392">
        <v>-8401.9464365077383</v>
      </c>
      <c r="E38" s="1392">
        <v>-19021.030679856547</v>
      </c>
      <c r="F38" s="1392"/>
      <c r="G38" s="1392">
        <v>0</v>
      </c>
      <c r="H38" s="1392">
        <v>0</v>
      </c>
      <c r="I38" s="1220">
        <v>-27422.977116364287</v>
      </c>
    </row>
    <row r="39" spans="1:13" s="233" customFormat="1" hidden="1" x14ac:dyDescent="0.2">
      <c r="A39" s="40"/>
      <c r="B39" s="709" t="s">
        <v>3393</v>
      </c>
      <c r="C39" s="1530">
        <v>6714030.0647839783</v>
      </c>
      <c r="D39" s="1392">
        <v>0</v>
      </c>
      <c r="E39" s="1392">
        <v>0</v>
      </c>
      <c r="F39" s="1392"/>
      <c r="G39" s="1392">
        <v>0</v>
      </c>
      <c r="H39" s="1392">
        <v>0</v>
      </c>
      <c r="I39" s="1537">
        <v>6714030.0647839783</v>
      </c>
    </row>
    <row r="40" spans="1:13" s="233" customFormat="1" hidden="1" x14ac:dyDescent="0.2">
      <c r="A40" s="40"/>
      <c r="B40" s="709" t="s">
        <v>1074</v>
      </c>
      <c r="C40" s="1536">
        <v>0</v>
      </c>
      <c r="D40" s="1392">
        <v>-12664263.168399656</v>
      </c>
      <c r="E40" s="1532">
        <v>-39748518.432767771</v>
      </c>
      <c r="F40" s="1532"/>
      <c r="G40" s="1532">
        <v>-13596831.452480899</v>
      </c>
      <c r="H40" s="1536">
        <v>0</v>
      </c>
      <c r="I40" s="1396">
        <v>-66009613.053648323</v>
      </c>
    </row>
    <row r="41" spans="1:13" s="37" customFormat="1" hidden="1" x14ac:dyDescent="0.2">
      <c r="A41" s="40"/>
      <c r="B41" s="709" t="s">
        <v>816</v>
      </c>
      <c r="C41" s="1538"/>
      <c r="D41" s="1539">
        <v>-22450238.029999997</v>
      </c>
      <c r="E41" s="1539">
        <v>-71522561.540000081</v>
      </c>
      <c r="F41" s="1539"/>
      <c r="G41" s="1539">
        <v>-26073459.857283</v>
      </c>
      <c r="H41" s="1539"/>
      <c r="I41" s="1540">
        <v>-120046259.42728308</v>
      </c>
      <c r="L41" s="233"/>
    </row>
    <row r="42" spans="1:13" s="233" customFormat="1" hidden="1" x14ac:dyDescent="0.2">
      <c r="A42" s="40"/>
      <c r="B42" s="709" t="s">
        <v>419</v>
      </c>
      <c r="C42" s="1541"/>
      <c r="D42" s="1542">
        <v>9785974.8616003413</v>
      </c>
      <c r="E42" s="1543">
        <v>31774043.10723231</v>
      </c>
      <c r="F42" s="1543"/>
      <c r="G42" s="1532">
        <v>12476628.404802101</v>
      </c>
      <c r="H42" s="1536">
        <v>0</v>
      </c>
      <c r="I42" s="1544">
        <v>54036646.373634748</v>
      </c>
    </row>
    <row r="43" spans="1:13" s="233" customFormat="1" x14ac:dyDescent="0.2">
      <c r="A43" s="40"/>
      <c r="B43" s="708" t="s">
        <v>3159</v>
      </c>
      <c r="C43" s="460">
        <v>170302341.09999999</v>
      </c>
      <c r="D43" s="460">
        <f>D44+D45+D46</f>
        <v>1616048471.0435638</v>
      </c>
      <c r="E43" s="460">
        <f>E44+E45+E46</f>
        <v>6745418185.7089252</v>
      </c>
      <c r="F43" s="460">
        <f t="shared" ref="F43:K43" si="2">F44+F45+F46</f>
        <v>0</v>
      </c>
      <c r="G43" s="460">
        <f t="shared" si="2"/>
        <v>68717437.328163162</v>
      </c>
      <c r="H43" s="460">
        <f t="shared" si="2"/>
        <v>106132303.0912455</v>
      </c>
      <c r="I43" s="460">
        <f t="shared" si="2"/>
        <v>8706618738.2718964</v>
      </c>
      <c r="J43" s="1527">
        <f t="shared" si="2"/>
        <v>74383105.968911394</v>
      </c>
      <c r="K43" s="1527">
        <f t="shared" si="2"/>
        <v>66968277.129473895</v>
      </c>
      <c r="L43" s="920"/>
    </row>
    <row r="44" spans="1:13" s="233" customFormat="1" x14ac:dyDescent="0.2">
      <c r="A44" s="40"/>
      <c r="B44" s="709" t="s">
        <v>816</v>
      </c>
      <c r="C44" s="1205">
        <v>170302341.09999999</v>
      </c>
      <c r="D44" s="1206">
        <v>3088417755.5700002</v>
      </c>
      <c r="E44" s="1206">
        <v>13775214249.389605</v>
      </c>
      <c r="F44" s="1206"/>
      <c r="G44" s="1206">
        <v>159986815.13590169</v>
      </c>
      <c r="H44" s="1206">
        <f>+H32+H35</f>
        <v>129753438.08765909</v>
      </c>
      <c r="I44" s="1207">
        <f t="shared" ref="I44:I51" si="3">SUM(C44:H44)</f>
        <v>17323674599.283165</v>
      </c>
      <c r="J44" s="921">
        <v>69959970.45986557</v>
      </c>
      <c r="K44" s="920">
        <f>+C44+D44+E44</f>
        <v>17033934346.059605</v>
      </c>
      <c r="L44" s="920"/>
    </row>
    <row r="45" spans="1:13" s="233" customFormat="1" x14ac:dyDescent="0.2">
      <c r="A45" s="40"/>
      <c r="B45" s="709" t="s">
        <v>3490</v>
      </c>
      <c r="C45" s="234">
        <v>0</v>
      </c>
      <c r="D45" s="1206">
        <f>+D38</f>
        <v>-8401.9464365077383</v>
      </c>
      <c r="E45" s="1206">
        <v>-19021.030679856547</v>
      </c>
      <c r="F45" s="1206"/>
      <c r="G45" s="1206">
        <v>0</v>
      </c>
      <c r="H45" s="1206">
        <v>0</v>
      </c>
      <c r="I45" s="1393">
        <f t="shared" si="3"/>
        <v>-27422.977116364287</v>
      </c>
      <c r="J45" s="920">
        <f>+I45</f>
        <v>-27422.977116364287</v>
      </c>
      <c r="K45" s="920">
        <f>+J44-K44</f>
        <v>-16963974375.599739</v>
      </c>
      <c r="L45" s="920"/>
    </row>
    <row r="46" spans="1:13" s="233" customFormat="1" x14ac:dyDescent="0.2">
      <c r="A46" s="40"/>
      <c r="B46" s="709" t="s">
        <v>817</v>
      </c>
      <c r="C46" s="235">
        <v>0</v>
      </c>
      <c r="D46" s="1208">
        <v>-1472360882.5799999</v>
      </c>
      <c r="E46" s="1208">
        <v>-7029777042.6499996</v>
      </c>
      <c r="F46" s="1208"/>
      <c r="G46" s="1208">
        <v>-91269377.807738528</v>
      </c>
      <c r="H46" s="1208">
        <f>+H34+H37</f>
        <v>-23621134.996413589</v>
      </c>
      <c r="I46" s="1396">
        <f t="shared" si="3"/>
        <v>-8617028438.034153</v>
      </c>
      <c r="J46" s="920">
        <v>4450558.4861621857</v>
      </c>
      <c r="K46" s="920">
        <v>-2991693.3303916752</v>
      </c>
      <c r="L46" s="920"/>
    </row>
    <row r="47" spans="1:13" s="233" customFormat="1" x14ac:dyDescent="0.2">
      <c r="A47" s="40"/>
      <c r="B47" s="986" t="s">
        <v>818</v>
      </c>
      <c r="C47" s="234">
        <v>610000</v>
      </c>
      <c r="D47" s="1206">
        <v>2960190.7199999993</v>
      </c>
      <c r="E47" s="1206">
        <v>232815204.859029</v>
      </c>
      <c r="F47" s="1206"/>
      <c r="G47" s="1206">
        <v>16134079.169999998</v>
      </c>
      <c r="H47" s="1206">
        <v>677229.02224005386</v>
      </c>
      <c r="I47" s="1207">
        <f t="shared" si="3"/>
        <v>253196703.77126902</v>
      </c>
      <c r="L47" s="920"/>
    </row>
    <row r="48" spans="1:13" s="233" customFormat="1" hidden="1" x14ac:dyDescent="0.2">
      <c r="A48" s="40"/>
      <c r="B48" s="986" t="s">
        <v>3647</v>
      </c>
      <c r="C48" s="234"/>
      <c r="D48" s="1210"/>
      <c r="E48" s="1210"/>
      <c r="F48" s="1210"/>
      <c r="G48" s="1206"/>
      <c r="H48" s="1206"/>
      <c r="I48" s="1207">
        <f t="shared" si="3"/>
        <v>0</v>
      </c>
      <c r="L48" s="920"/>
    </row>
    <row r="49" spans="1:16" s="233" customFormat="1" hidden="1" x14ac:dyDescent="0.2">
      <c r="A49" s="40"/>
      <c r="B49" s="986" t="s">
        <v>3307</v>
      </c>
      <c r="C49" s="234"/>
      <c r="D49" s="1210"/>
      <c r="E49" s="1210"/>
      <c r="F49" s="1210"/>
      <c r="G49" s="1206"/>
      <c r="H49" s="1206">
        <v>0</v>
      </c>
      <c r="I49" s="1207">
        <f t="shared" si="3"/>
        <v>0</v>
      </c>
      <c r="L49" s="920"/>
    </row>
    <row r="50" spans="1:16" s="233" customFormat="1" ht="15" x14ac:dyDescent="0.25">
      <c r="A50" s="40"/>
      <c r="B50" s="1029" t="s">
        <v>3067</v>
      </c>
      <c r="C50" s="234">
        <v>0</v>
      </c>
      <c r="D50" s="1206">
        <v>27547383.789999999</v>
      </c>
      <c r="E50" s="1206">
        <v>233256939.28097141</v>
      </c>
      <c r="F50" s="1206"/>
      <c r="G50" s="234"/>
      <c r="H50" s="1206"/>
      <c r="I50" s="1207">
        <f t="shared" si="3"/>
        <v>260804323.0709714</v>
      </c>
      <c r="K50" s="827"/>
      <c r="L50" s="920"/>
      <c r="M50" s="211"/>
    </row>
    <row r="51" spans="1:16" s="233" customFormat="1" ht="15" x14ac:dyDescent="0.25">
      <c r="A51" s="40"/>
      <c r="B51" s="986" t="s">
        <v>820</v>
      </c>
      <c r="C51" s="234">
        <v>0</v>
      </c>
      <c r="D51" s="1206">
        <f>-94245363.2191944</f>
        <v>-94245363.219194397</v>
      </c>
      <c r="E51" s="1206">
        <f>-399651478.116546</f>
        <v>-399651478.11654598</v>
      </c>
      <c r="F51" s="1206"/>
      <c r="G51" s="1206">
        <f>-25112105.1839782</f>
        <v>-25112105.1839782</v>
      </c>
      <c r="H51" s="1206">
        <f>-26085762.3375841</f>
        <v>-26085762.337584101</v>
      </c>
      <c r="I51" s="1393">
        <f t="shared" si="3"/>
        <v>-545094708.85730267</v>
      </c>
      <c r="K51" s="827"/>
      <c r="L51" s="920"/>
      <c r="M51" s="211"/>
    </row>
    <row r="52" spans="1:16" s="233" customFormat="1" ht="15" hidden="1" x14ac:dyDescent="0.25">
      <c r="A52" s="40"/>
      <c r="B52" s="986" t="s">
        <v>3307</v>
      </c>
      <c r="C52" s="1205"/>
      <c r="D52" s="1206">
        <v>-94245363.219194397</v>
      </c>
      <c r="E52" s="1206"/>
      <c r="F52" s="1206"/>
      <c r="G52" s="1206"/>
      <c r="H52" s="1206"/>
      <c r="I52" s="1393">
        <v>0</v>
      </c>
      <c r="K52" s="827" t="e">
        <f>+#REF!+D140</f>
        <v>#REF!</v>
      </c>
      <c r="L52" s="920"/>
      <c r="M52" s="211"/>
    </row>
    <row r="53" spans="1:16" s="233" customFormat="1" x14ac:dyDescent="0.2">
      <c r="A53" s="40"/>
      <c r="B53" s="986" t="s">
        <v>3491</v>
      </c>
      <c r="C53" s="234">
        <v>0</v>
      </c>
      <c r="D53" s="1206">
        <v>-122882.87274648959</v>
      </c>
      <c r="E53" s="1206">
        <v>0</v>
      </c>
      <c r="F53" s="1206"/>
      <c r="G53" s="234"/>
      <c r="H53" s="1206"/>
      <c r="I53" s="1393">
        <f t="shared" ref="I53:I58" si="4">SUM(C53:H53)</f>
        <v>-122882.87274648959</v>
      </c>
      <c r="L53" s="920"/>
    </row>
    <row r="54" spans="1:16" s="233" customFormat="1" hidden="1" x14ac:dyDescent="0.2">
      <c r="A54" s="40"/>
      <c r="B54" s="986" t="s">
        <v>4128</v>
      </c>
      <c r="C54" s="234">
        <v>0</v>
      </c>
      <c r="D54" s="1550"/>
      <c r="E54" s="1550"/>
      <c r="F54" s="1550"/>
      <c r="G54" s="1550"/>
      <c r="H54" s="1551"/>
      <c r="I54" s="1393">
        <f t="shared" si="4"/>
        <v>0</v>
      </c>
      <c r="K54" s="233">
        <f>+'Statement of Financial Performa'!G46</f>
        <v>0</v>
      </c>
      <c r="L54" s="920"/>
    </row>
    <row r="55" spans="1:16" s="233" customFormat="1" hidden="1" x14ac:dyDescent="0.2">
      <c r="A55" s="40"/>
      <c r="B55" s="986" t="s">
        <v>1074</v>
      </c>
      <c r="C55" s="234"/>
      <c r="D55" s="1550"/>
      <c r="E55" s="1550"/>
      <c r="F55" s="1550"/>
      <c r="G55" s="1550"/>
      <c r="H55" s="1551"/>
      <c r="I55" s="1393">
        <f t="shared" si="4"/>
        <v>0</v>
      </c>
      <c r="L55" s="920"/>
    </row>
    <row r="56" spans="1:16" s="233" customFormat="1" x14ac:dyDescent="0.2">
      <c r="A56" s="40"/>
      <c r="B56" s="986" t="s">
        <v>1074</v>
      </c>
      <c r="C56" s="1208">
        <v>0</v>
      </c>
      <c r="D56" s="1208">
        <f>D57+D58</f>
        <v>0</v>
      </c>
      <c r="E56" s="1208">
        <f>-17128751.9357426</f>
        <v>-17128751.935742602</v>
      </c>
      <c r="F56" s="1208"/>
      <c r="G56" s="1208">
        <v>-8719968.3043457344</v>
      </c>
      <c r="H56" s="1208">
        <v>0</v>
      </c>
      <c r="I56" s="1396">
        <f t="shared" si="4"/>
        <v>-25848720.240088336</v>
      </c>
      <c r="L56" s="920"/>
    </row>
    <row r="57" spans="1:16" s="37" customFormat="1" x14ac:dyDescent="0.2">
      <c r="A57" s="40"/>
      <c r="B57" s="986" t="s">
        <v>816</v>
      </c>
      <c r="C57" s="234">
        <v>0</v>
      </c>
      <c r="D57" s="1397">
        <v>0</v>
      </c>
      <c r="E57" s="1397">
        <v>-28092157.380111903</v>
      </c>
      <c r="F57" s="1397"/>
      <c r="G57" s="1397">
        <v>-41453867.738796808</v>
      </c>
      <c r="H57" s="1206"/>
      <c r="I57" s="1398">
        <f t="shared" si="4"/>
        <v>-69546025.118908703</v>
      </c>
      <c r="L57" s="920"/>
      <c r="M57" s="314"/>
      <c r="N57" s="314"/>
      <c r="O57" s="1327"/>
      <c r="P57" s="1328"/>
    </row>
    <row r="58" spans="1:16" s="233" customFormat="1" x14ac:dyDescent="0.2">
      <c r="A58" s="40"/>
      <c r="B58" s="986" t="s">
        <v>419</v>
      </c>
      <c r="C58" s="235">
        <v>0</v>
      </c>
      <c r="D58" s="235">
        <v>0</v>
      </c>
      <c r="E58" s="1214">
        <v>10963405.444369275</v>
      </c>
      <c r="F58" s="1214"/>
      <c r="G58" s="1208">
        <v>32733899.434451073</v>
      </c>
      <c r="H58" s="1208">
        <v>0</v>
      </c>
      <c r="I58" s="1209">
        <f t="shared" si="4"/>
        <v>43697304.878820345</v>
      </c>
      <c r="K58" s="529"/>
      <c r="L58" s="920"/>
      <c r="M58" s="314"/>
      <c r="N58" s="314"/>
      <c r="O58" s="1327"/>
      <c r="P58" s="1328"/>
    </row>
    <row r="59" spans="1:16" s="233" customFormat="1" x14ac:dyDescent="0.2">
      <c r="A59" s="40"/>
      <c r="B59" s="708" t="s">
        <v>3576</v>
      </c>
      <c r="C59" s="460">
        <f>+C60+C61+C62</f>
        <v>170912341.09999999</v>
      </c>
      <c r="D59" s="460">
        <f>+D60+D61+D62+0.02</f>
        <v>1552187799.4716227</v>
      </c>
      <c r="E59" s="460">
        <f>+E60+E61+E62</f>
        <v>6794710099.7966385</v>
      </c>
      <c r="F59" s="460"/>
      <c r="G59" s="460">
        <f>+G60+G61+G62</f>
        <v>51019443.009839222</v>
      </c>
      <c r="H59" s="460">
        <f>+H60+H61+H62</f>
        <v>80723769.775901467</v>
      </c>
      <c r="I59" s="1225">
        <f>+I60+I61+I62-0.28</f>
        <v>8649553452.8540001</v>
      </c>
      <c r="L59" s="920"/>
    </row>
    <row r="60" spans="1:16" s="233" customFormat="1" x14ac:dyDescent="0.2">
      <c r="A60" s="40"/>
      <c r="B60" s="709" t="s">
        <v>816</v>
      </c>
      <c r="C60" s="234">
        <f>+C44+C47</f>
        <v>170912341.09999999</v>
      </c>
      <c r="D60" s="1206">
        <f>+D44+D47+D50+D54+D57</f>
        <v>3118925330.0799999</v>
      </c>
      <c r="E60" s="1206">
        <f>+E44+E47+E50+E54+E57</f>
        <v>14213194236.149494</v>
      </c>
      <c r="F60" s="1206"/>
      <c r="G60" s="1206">
        <f>+G44+G47+G57+1</f>
        <v>134667027.56710488</v>
      </c>
      <c r="H60" s="1206">
        <f>+H44+H47-0.07</f>
        <v>130430667.03989916</v>
      </c>
      <c r="I60" s="1207">
        <f t="shared" ref="I60:I69" si="5">SUM(C60:H60)</f>
        <v>17768129601.936497</v>
      </c>
      <c r="J60" s="921">
        <v>69959970.45986557</v>
      </c>
      <c r="K60" s="920">
        <f>+C60+D60+E60</f>
        <v>17503031907.329494</v>
      </c>
    </row>
    <row r="61" spans="1:16" s="233" customFormat="1" x14ac:dyDescent="0.2">
      <c r="A61" s="40"/>
      <c r="B61" s="709" t="s">
        <v>3496</v>
      </c>
      <c r="C61" s="1206">
        <v>0</v>
      </c>
      <c r="D61" s="1206">
        <f>+D45+D53</f>
        <v>-131284.81918299734</v>
      </c>
      <c r="E61" s="1206">
        <f>+E45+E53</f>
        <v>-19021.030679856547</v>
      </c>
      <c r="F61" s="1206"/>
      <c r="G61" s="1206">
        <v>0</v>
      </c>
      <c r="H61" s="1206">
        <v>0</v>
      </c>
      <c r="I61" s="1393">
        <f t="shared" si="5"/>
        <v>-150305.84986285388</v>
      </c>
      <c r="J61" s="920">
        <f>+I61</f>
        <v>-150305.84986285388</v>
      </c>
      <c r="K61" s="920">
        <f>+J60-K60</f>
        <v>-17433071936.869629</v>
      </c>
      <c r="L61" s="920"/>
    </row>
    <row r="62" spans="1:16" s="233" customFormat="1" ht="13.5" thickBot="1" x14ac:dyDescent="0.25">
      <c r="A62" s="40"/>
      <c r="B62" s="711" t="s">
        <v>817</v>
      </c>
      <c r="C62" s="1394">
        <v>0</v>
      </c>
      <c r="D62" s="1394">
        <f>+D46+D51+D58-0.01</f>
        <v>-1566606245.8091943</v>
      </c>
      <c r="E62" s="1394">
        <f>+E46+E51+E58</f>
        <v>-7418465115.322176</v>
      </c>
      <c r="F62" s="1394"/>
      <c r="G62" s="1394">
        <f>+G46+G51+G58-1</f>
        <v>-83647584.557265654</v>
      </c>
      <c r="H62" s="1394">
        <f>+H46+H51+0.07</f>
        <v>-49706897.263997689</v>
      </c>
      <c r="I62" s="1395">
        <f t="shared" si="5"/>
        <v>-9118425842.9526348</v>
      </c>
      <c r="J62" s="920">
        <v>4450558.4861621857</v>
      </c>
      <c r="K62" s="920">
        <v>-2991693.3303916752</v>
      </c>
      <c r="L62" s="920"/>
    </row>
    <row r="63" spans="1:16" s="233" customFormat="1" x14ac:dyDescent="0.2">
      <c r="A63" s="40"/>
      <c r="B63" s="986" t="s">
        <v>818</v>
      </c>
      <c r="C63" s="234">
        <v>67421000</v>
      </c>
      <c r="D63" s="1206">
        <v>3812586.36</v>
      </c>
      <c r="E63" s="1452">
        <v>579347724</v>
      </c>
      <c r="F63" s="1206"/>
      <c r="G63" s="1206">
        <v>20352920.75</v>
      </c>
      <c r="H63" s="234"/>
      <c r="I63" s="1207">
        <f t="shared" si="5"/>
        <v>670934231.11000001</v>
      </c>
      <c r="L63" s="920"/>
    </row>
    <row r="64" spans="1:16" s="233" customFormat="1" x14ac:dyDescent="0.2">
      <c r="A64" s="40"/>
      <c r="B64" s="986" t="s">
        <v>3646</v>
      </c>
      <c r="C64" s="234">
        <v>-1000</v>
      </c>
      <c r="D64" s="1206">
        <v>0</v>
      </c>
      <c r="E64" s="1452"/>
      <c r="F64" s="1206"/>
      <c r="G64" s="1206">
        <v>0</v>
      </c>
      <c r="H64" s="234"/>
      <c r="I64" s="1207">
        <f t="shared" si="5"/>
        <v>-1000</v>
      </c>
      <c r="L64" s="920"/>
    </row>
    <row r="65" spans="1:16" s="233" customFormat="1" hidden="1" x14ac:dyDescent="0.2">
      <c r="A65" s="40"/>
      <c r="B65" s="986" t="s">
        <v>3647</v>
      </c>
      <c r="C65" s="234"/>
      <c r="D65" s="1210"/>
      <c r="E65" s="1210"/>
      <c r="F65" s="1210"/>
      <c r="G65" s="1206"/>
      <c r="H65" s="1206"/>
      <c r="I65" s="1207">
        <f t="shared" si="5"/>
        <v>0</v>
      </c>
      <c r="L65" s="920"/>
    </row>
    <row r="66" spans="1:16" s="233" customFormat="1" hidden="1" x14ac:dyDescent="0.2">
      <c r="A66" s="40"/>
      <c r="B66" s="1029" t="s">
        <v>4094</v>
      </c>
      <c r="C66" s="234"/>
      <c r="D66" s="1210"/>
      <c r="E66" s="1525"/>
      <c r="F66" s="1210"/>
      <c r="G66" s="1206"/>
      <c r="H66" s="1206"/>
      <c r="I66" s="1207">
        <f t="shared" si="5"/>
        <v>0</v>
      </c>
      <c r="L66" s="920"/>
    </row>
    <row r="67" spans="1:16" s="233" customFormat="1" ht="15" x14ac:dyDescent="0.25">
      <c r="A67" s="40"/>
      <c r="B67" s="1029" t="s">
        <v>3067</v>
      </c>
      <c r="C67" s="234"/>
      <c r="D67" s="1206">
        <v>48348632.369999997</v>
      </c>
      <c r="E67" s="1206">
        <v>-168921257.97999999</v>
      </c>
      <c r="F67" s="1206"/>
      <c r="G67" s="234">
        <v>0</v>
      </c>
      <c r="H67" s="234"/>
      <c r="I67" s="1207">
        <f t="shared" si="5"/>
        <v>-120572625.60999998</v>
      </c>
      <c r="K67" s="827"/>
      <c r="L67" s="920"/>
      <c r="M67" s="211"/>
    </row>
    <row r="68" spans="1:16" s="233" customFormat="1" ht="15" x14ac:dyDescent="0.25">
      <c r="A68" s="40"/>
      <c r="B68" s="986" t="s">
        <v>820</v>
      </c>
      <c r="C68" s="234"/>
      <c r="D68" s="1206">
        <v>-91203059.189999998</v>
      </c>
      <c r="E68" s="1206">
        <v>-336357117.81</v>
      </c>
      <c r="F68" s="1206"/>
      <c r="G68" s="1206">
        <v>-20501017.850000001</v>
      </c>
      <c r="H68" s="1206">
        <v>-26157602.23</v>
      </c>
      <c r="I68" s="1393">
        <f>SUM(C68:H68)</f>
        <v>-474218797.08000004</v>
      </c>
      <c r="K68" s="827"/>
      <c r="L68" s="920"/>
      <c r="M68" s="211"/>
    </row>
    <row r="69" spans="1:16" s="233" customFormat="1" ht="15" hidden="1" x14ac:dyDescent="0.25">
      <c r="A69" s="40"/>
      <c r="B69" s="986" t="s">
        <v>3979</v>
      </c>
      <c r="C69" s="1205"/>
      <c r="D69" s="1206"/>
      <c r="E69" s="1206"/>
      <c r="F69" s="1206"/>
      <c r="G69" s="1206"/>
      <c r="H69" s="1206"/>
      <c r="I69" s="1393">
        <f t="shared" si="5"/>
        <v>0</v>
      </c>
      <c r="K69" s="827">
        <f>+I52+D155</f>
        <v>0</v>
      </c>
      <c r="L69" s="920"/>
      <c r="M69" s="211"/>
    </row>
    <row r="70" spans="1:16" s="233" customFormat="1" hidden="1" x14ac:dyDescent="0.2">
      <c r="A70" s="40"/>
      <c r="B70" s="986" t="s">
        <v>4100</v>
      </c>
      <c r="C70" s="234"/>
      <c r="D70" s="1206"/>
      <c r="E70" s="1206"/>
      <c r="F70" s="1206"/>
      <c r="G70" s="234"/>
      <c r="H70" s="234"/>
      <c r="I70" s="1393">
        <f>SUM(C70:H70)</f>
        <v>0</v>
      </c>
      <c r="L70" s="920"/>
    </row>
    <row r="71" spans="1:16" s="233" customFormat="1" hidden="1" x14ac:dyDescent="0.2">
      <c r="A71" s="40"/>
      <c r="B71" s="986" t="s">
        <v>3393</v>
      </c>
      <c r="C71" s="234"/>
      <c r="D71" s="234"/>
      <c r="E71" s="234"/>
      <c r="F71" s="234"/>
      <c r="G71" s="234"/>
      <c r="H71" s="234"/>
      <c r="I71" s="1393">
        <f>SUM(C71:H71)</f>
        <v>0</v>
      </c>
      <c r="K71" s="233">
        <f>+'Statement of Financial Performa'!G61</f>
        <v>0</v>
      </c>
      <c r="L71" s="920"/>
    </row>
    <row r="72" spans="1:16" s="233" customFormat="1" x14ac:dyDescent="0.2">
      <c r="A72" s="40"/>
      <c r="B72" s="986" t="s">
        <v>1074</v>
      </c>
      <c r="C72" s="1208"/>
      <c r="D72" s="1208"/>
      <c r="E72" s="1208">
        <v>-49097151.369999997</v>
      </c>
      <c r="F72" s="1208"/>
      <c r="G72" s="1208">
        <v>-487179.85</v>
      </c>
      <c r="H72" s="1208"/>
      <c r="I72" s="1396">
        <f>SUM(C72:H72)</f>
        <v>-49584331.219999999</v>
      </c>
      <c r="L72" s="920"/>
    </row>
    <row r="73" spans="1:16" s="37" customFormat="1" x14ac:dyDescent="0.2">
      <c r="A73" s="40"/>
      <c r="B73" s="986" t="s">
        <v>816</v>
      </c>
      <c r="C73" s="234"/>
      <c r="D73" s="1397"/>
      <c r="E73" s="1397">
        <v>-86944186.719999999</v>
      </c>
      <c r="F73" s="1397"/>
      <c r="G73" s="1397">
        <v>-4733958.18</v>
      </c>
      <c r="H73" s="234"/>
      <c r="I73" s="1398">
        <f>SUM(C73:H73)</f>
        <v>-91678144.900000006</v>
      </c>
      <c r="L73" s="920"/>
      <c r="M73" s="314"/>
      <c r="N73" s="314"/>
      <c r="O73" s="1327"/>
      <c r="P73" s="1328"/>
    </row>
    <row r="74" spans="1:16" s="233" customFormat="1" x14ac:dyDescent="0.2">
      <c r="A74" s="40"/>
      <c r="B74" s="986" t="s">
        <v>419</v>
      </c>
      <c r="C74" s="235"/>
      <c r="D74" s="235"/>
      <c r="E74" s="1214">
        <v>37847035.359999999</v>
      </c>
      <c r="F74" s="1214"/>
      <c r="G74" s="1208">
        <v>4246778.33</v>
      </c>
      <c r="H74" s="235"/>
      <c r="I74" s="1209">
        <f>SUM(C74:H74)</f>
        <v>42093813.689999998</v>
      </c>
      <c r="K74" s="529"/>
      <c r="L74" s="920"/>
      <c r="M74" s="314"/>
      <c r="N74" s="314"/>
      <c r="O74" s="1327"/>
      <c r="P74" s="1328"/>
    </row>
    <row r="75" spans="1:16" s="233" customFormat="1" x14ac:dyDescent="0.2">
      <c r="A75" s="40"/>
      <c r="B75" s="708" t="s">
        <v>3909</v>
      </c>
      <c r="C75" s="460">
        <f>+C76+C77+C78</f>
        <v>238332341.09999999</v>
      </c>
      <c r="D75" s="460">
        <f>+D76+D77+D78</f>
        <v>1513145958.9916227</v>
      </c>
      <c r="E75" s="460">
        <f>+E76+E77+E78</f>
        <v>6819682296.6466389</v>
      </c>
      <c r="F75" s="460"/>
      <c r="G75" s="460">
        <f>+G76+G77+G78</f>
        <v>50384166.059839204</v>
      </c>
      <c r="H75" s="460">
        <f>+H76+H77+H78</f>
        <v>54566167.545901462</v>
      </c>
      <c r="I75" s="1225">
        <f>+I76+I77+I78</f>
        <v>8676110930.3440018</v>
      </c>
      <c r="L75" s="920"/>
    </row>
    <row r="76" spans="1:16" s="233" customFormat="1" x14ac:dyDescent="0.2">
      <c r="A76" s="40"/>
      <c r="B76" s="709" t="s">
        <v>816</v>
      </c>
      <c r="C76" s="234">
        <f>+C60+C63+C64+C65+C71</f>
        <v>238332341.09999999</v>
      </c>
      <c r="D76" s="1206">
        <f>+D60+D63+D66+D67+D71+D73</f>
        <v>3171086548.8099999</v>
      </c>
      <c r="E76" s="1206">
        <f>+E60+E63+E66+E67+E71+E73</f>
        <v>14536676515.449495</v>
      </c>
      <c r="F76" s="1206">
        <f>+F60+F63+F66+F67+F71+F73</f>
        <v>0</v>
      </c>
      <c r="G76" s="1206">
        <f>+G60+G63+G66+G67+G71+G73</f>
        <v>150285990.13710487</v>
      </c>
      <c r="H76" s="1206">
        <f>+H60+H63+H66+H67+H71+H73</f>
        <v>130430667.03989916</v>
      </c>
      <c r="I76" s="1206">
        <f>+I60+I63+I64+I66+I67+I71+I73-0.94</f>
        <v>18226812061.596497</v>
      </c>
      <c r="J76" s="921">
        <v>69959970.45986557</v>
      </c>
      <c r="K76" s="920">
        <f>+C76+D76+E76</f>
        <v>17946095405.359497</v>
      </c>
    </row>
    <row r="77" spans="1:16" s="233" customFormat="1" x14ac:dyDescent="0.2">
      <c r="A77" s="40"/>
      <c r="B77" s="709" t="s">
        <v>3496</v>
      </c>
      <c r="C77" s="1206">
        <v>0</v>
      </c>
      <c r="D77" s="1206">
        <f t="shared" ref="D77:I77" si="6">+D61+D70</f>
        <v>-131284.81918299734</v>
      </c>
      <c r="E77" s="1206">
        <f t="shared" si="6"/>
        <v>-19021.030679856547</v>
      </c>
      <c r="F77" s="1206">
        <f t="shared" si="6"/>
        <v>0</v>
      </c>
      <c r="G77" s="1206">
        <f t="shared" si="6"/>
        <v>0</v>
      </c>
      <c r="H77" s="1206">
        <f t="shared" si="6"/>
        <v>0</v>
      </c>
      <c r="I77" s="1206">
        <f t="shared" si="6"/>
        <v>-150305.84986285388</v>
      </c>
      <c r="J77" s="920">
        <f>+I77</f>
        <v>-150305.84986285388</v>
      </c>
      <c r="K77" s="920">
        <f>+J76-K76</f>
        <v>-17876135434.899632</v>
      </c>
      <c r="L77" s="920"/>
    </row>
    <row r="78" spans="1:16" s="233" customFormat="1" ht="13.5" thickBot="1" x14ac:dyDescent="0.25">
      <c r="A78" s="40"/>
      <c r="B78" s="711" t="s">
        <v>817</v>
      </c>
      <c r="C78" s="1394">
        <v>0</v>
      </c>
      <c r="D78" s="1394">
        <f>+D62+D68+D69+D74</f>
        <v>-1657809304.9991944</v>
      </c>
      <c r="E78" s="1394">
        <f>+E62+E68+E69+E74+0</f>
        <v>-7716975197.7721767</v>
      </c>
      <c r="F78" s="1394"/>
      <c r="G78" s="1394">
        <f>+G62+G68+G69+G74</f>
        <v>-99901824.077265665</v>
      </c>
      <c r="H78" s="1394">
        <f>+H62+H68+H69</f>
        <v>-75864499.493997693</v>
      </c>
      <c r="I78" s="1395">
        <f>SUM(C78:H78)+0.94</f>
        <v>-9550550825.4026337</v>
      </c>
      <c r="J78" s="920">
        <v>4450558.4861621857</v>
      </c>
      <c r="K78" s="920">
        <v>-2991693.3303916752</v>
      </c>
      <c r="L78" s="920"/>
    </row>
    <row r="79" spans="1:16" s="233" customFormat="1" x14ac:dyDescent="0.2">
      <c r="A79" s="40"/>
      <c r="B79" s="36"/>
      <c r="C79" s="314"/>
      <c r="D79" s="314"/>
      <c r="E79" s="314"/>
      <c r="F79" s="314"/>
      <c r="G79" s="314"/>
      <c r="H79" s="314"/>
      <c r="I79" s="314"/>
      <c r="J79" s="920"/>
      <c r="K79" s="920"/>
      <c r="L79" s="920"/>
    </row>
    <row r="80" spans="1:16" s="233" customFormat="1" x14ac:dyDescent="0.2">
      <c r="A80" s="40"/>
      <c r="B80" s="233" t="s">
        <v>3050</v>
      </c>
      <c r="C80" s="314"/>
      <c r="D80" s="314"/>
      <c r="E80" s="314"/>
      <c r="F80" s="314"/>
      <c r="G80" s="314"/>
      <c r="H80" s="314"/>
      <c r="I80" s="314"/>
      <c r="J80" s="920"/>
      <c r="K80" s="828" t="e">
        <f>+#REF!-H44</f>
        <v>#REF!</v>
      </c>
    </row>
    <row r="81" spans="2:8" s="233" customFormat="1" x14ac:dyDescent="0.2"/>
    <row r="82" spans="2:8" s="233" customFormat="1" ht="52.5" customHeight="1" x14ac:dyDescent="0.2">
      <c r="B82" s="1832" t="s">
        <v>4278</v>
      </c>
      <c r="C82" s="1832"/>
      <c r="D82" s="1832"/>
      <c r="E82" s="1832"/>
      <c r="F82" s="1832"/>
      <c r="G82" s="1832"/>
      <c r="H82" s="1832"/>
    </row>
    <row r="83" spans="2:8" s="233" customFormat="1" ht="13.5" customHeight="1" x14ac:dyDescent="0.2">
      <c r="B83" s="1549"/>
      <c r="C83" s="1549"/>
      <c r="D83" s="1549"/>
      <c r="E83" s="1549"/>
      <c r="F83" s="1549"/>
      <c r="G83" s="1549"/>
      <c r="H83" s="1549"/>
    </row>
    <row r="84" spans="2:8" s="233" customFormat="1" ht="12.75" customHeight="1" x14ac:dyDescent="0.2">
      <c r="B84" s="1831" t="s">
        <v>3759</v>
      </c>
      <c r="C84" s="1831"/>
      <c r="D84" s="1831"/>
      <c r="E84" s="1831"/>
      <c r="F84" s="1831"/>
      <c r="G84" s="1831"/>
      <c r="H84" s="232"/>
    </row>
    <row r="85" spans="2:8" s="233" customFormat="1" ht="12.75" customHeight="1" x14ac:dyDescent="0.2">
      <c r="B85" s="1287"/>
      <c r="C85" s="1771" t="s">
        <v>3760</v>
      </c>
      <c r="D85" s="1771" t="s">
        <v>3401</v>
      </c>
      <c r="E85" s="1771" t="s">
        <v>374</v>
      </c>
      <c r="F85" s="1287"/>
      <c r="G85" s="1287"/>
      <c r="H85" s="232"/>
    </row>
    <row r="86" spans="2:8" s="233" customFormat="1" ht="12.75" hidden="1" customHeight="1" x14ac:dyDescent="0.2">
      <c r="B86" s="1287"/>
      <c r="C86" s="1289" t="s">
        <v>3760</v>
      </c>
      <c r="D86" s="1289" t="s">
        <v>3401</v>
      </c>
      <c r="E86" s="1289" t="s">
        <v>942</v>
      </c>
      <c r="F86" s="1325"/>
      <c r="G86" s="1287"/>
      <c r="H86" s="232"/>
    </row>
    <row r="87" spans="2:8" s="233" customFormat="1" ht="12.75" hidden="1" customHeight="1" x14ac:dyDescent="0.2">
      <c r="B87" s="186" t="s">
        <v>3761</v>
      </c>
      <c r="C87" s="1291">
        <v>30803641.159999989</v>
      </c>
      <c r="D87" s="738">
        <v>253728557.39684212</v>
      </c>
      <c r="E87" s="1291">
        <f>+C87+D87</f>
        <v>284532198.55684209</v>
      </c>
      <c r="F87" s="738"/>
      <c r="G87" s="738"/>
      <c r="H87" s="232"/>
    </row>
    <row r="88" spans="2:8" s="233" customFormat="1" ht="12.75" hidden="1" customHeight="1" x14ac:dyDescent="0.2">
      <c r="B88" s="232" t="s">
        <v>3762</v>
      </c>
      <c r="C88" s="479">
        <v>9054935.0600000005</v>
      </c>
      <c r="D88" s="738">
        <v>325148190.94</v>
      </c>
      <c r="E88" s="479">
        <f>+C88+D88</f>
        <v>334203126</v>
      </c>
      <c r="F88" s="738"/>
      <c r="G88" s="738"/>
      <c r="H88" s="232"/>
    </row>
    <row r="89" spans="2:8" s="233" customFormat="1" ht="12.75" hidden="1" customHeight="1" x14ac:dyDescent="0.2">
      <c r="B89" s="232" t="s">
        <v>3763</v>
      </c>
      <c r="C89" s="1292">
        <v>-15703357.020000001</v>
      </c>
      <c r="D89" s="738">
        <v>-243296221.1368421</v>
      </c>
      <c r="E89" s="1292">
        <f>+C89+D89</f>
        <v>-258999578.15684211</v>
      </c>
      <c r="F89" s="738"/>
      <c r="G89" s="738"/>
      <c r="H89" s="232"/>
    </row>
    <row r="90" spans="2:8" s="233" customFormat="1" ht="12.75" customHeight="1" x14ac:dyDescent="0.2">
      <c r="B90" s="186" t="s">
        <v>4107</v>
      </c>
      <c r="C90" s="1290">
        <v>24155219.199999999</v>
      </c>
      <c r="D90" s="1290">
        <v>281977517.89999998</v>
      </c>
      <c r="E90" s="1290">
        <v>306132737.10000002</v>
      </c>
      <c r="F90" s="1326"/>
      <c r="G90" s="738"/>
      <c r="H90" s="232"/>
    </row>
    <row r="91" spans="2:8" s="233" customFormat="1" ht="12.75" customHeight="1" x14ac:dyDescent="0.2">
      <c r="B91" s="232" t="s">
        <v>3762</v>
      </c>
      <c r="C91" s="1291">
        <v>30073470</v>
      </c>
      <c r="D91" s="738">
        <v>466406544.16000003</v>
      </c>
      <c r="E91" s="1291">
        <f>+C91+D91</f>
        <v>496480014.16000003</v>
      </c>
      <c r="F91" s="738"/>
      <c r="G91" s="738"/>
      <c r="H91" s="232"/>
    </row>
    <row r="92" spans="2:8" s="233" customFormat="1" ht="12.75" customHeight="1" x14ac:dyDescent="0.2">
      <c r="B92" s="232" t="s">
        <v>3763</v>
      </c>
      <c r="C92" s="1292">
        <v>-2526086.21</v>
      </c>
      <c r="D92" s="738">
        <v>-233149604.88</v>
      </c>
      <c r="E92" s="1292">
        <f>+C92+D92</f>
        <v>-235675691.09</v>
      </c>
      <c r="F92" s="738"/>
      <c r="G92" s="738"/>
      <c r="H92" s="232"/>
    </row>
    <row r="93" spans="2:8" s="233" customFormat="1" ht="12.75" customHeight="1" x14ac:dyDescent="0.2">
      <c r="B93" s="186" t="s">
        <v>3764</v>
      </c>
      <c r="C93" s="1290">
        <f>+C90+C91+C92</f>
        <v>51702602.990000002</v>
      </c>
      <c r="D93" s="1290">
        <f>+D90+D91+D92</f>
        <v>515234457.17999995</v>
      </c>
      <c r="E93" s="1290">
        <f>+E90+E91+E92</f>
        <v>566937060.16999996</v>
      </c>
      <c r="F93" s="1326"/>
      <c r="G93" s="738"/>
      <c r="H93" s="232"/>
    </row>
    <row r="94" spans="2:8" s="233" customFormat="1" ht="12.75" customHeight="1" x14ac:dyDescent="0.2">
      <c r="B94" s="232" t="s">
        <v>3762</v>
      </c>
      <c r="C94" s="1291">
        <v>48842115.439999998</v>
      </c>
      <c r="D94" s="738">
        <v>411045851.38</v>
      </c>
      <c r="E94" s="1291">
        <f>+C94+D94</f>
        <v>459887966.81999999</v>
      </c>
      <c r="F94" s="738"/>
      <c r="G94" s="738"/>
      <c r="H94" s="232"/>
    </row>
    <row r="95" spans="2:8" s="233" customFormat="1" ht="12.75" customHeight="1" x14ac:dyDescent="0.2">
      <c r="B95" s="232" t="s">
        <v>3763</v>
      </c>
      <c r="C95" s="1292">
        <v>-493483.07</v>
      </c>
      <c r="D95" s="738">
        <v>-579967109.36000001</v>
      </c>
      <c r="E95" s="1292">
        <f>+C95+D95</f>
        <v>-580460592.43000007</v>
      </c>
      <c r="F95" s="738"/>
      <c r="G95" s="738"/>
      <c r="H95" s="232"/>
    </row>
    <row r="96" spans="2:8" s="233" customFormat="1" ht="12.75" customHeight="1" x14ac:dyDescent="0.2">
      <c r="B96" s="186" t="s">
        <v>3929</v>
      </c>
      <c r="C96" s="1290">
        <f>+C93+C94+C95</f>
        <v>100051235.36000001</v>
      </c>
      <c r="D96" s="1290">
        <f>+D93+D94+D95</f>
        <v>346313199.19999993</v>
      </c>
      <c r="E96" s="1290">
        <f>+E93+E94+E95</f>
        <v>446364434.55999994</v>
      </c>
      <c r="F96" s="1326"/>
      <c r="G96" s="738"/>
      <c r="H96" s="232"/>
    </row>
    <row r="97" spans="2:9" s="233" customFormat="1" ht="12.75" customHeight="1" x14ac:dyDescent="0.2">
      <c r="B97" s="1287"/>
      <c r="C97" s="1287"/>
      <c r="D97" s="1287"/>
      <c r="E97" s="1287"/>
      <c r="F97" s="1287"/>
      <c r="G97" s="1287"/>
      <c r="H97" s="232"/>
    </row>
    <row r="98" spans="2:9" s="233" customFormat="1" ht="12.75" customHeight="1" x14ac:dyDescent="0.2">
      <c r="B98" s="1287"/>
      <c r="C98" s="1287"/>
      <c r="D98" s="1287"/>
      <c r="E98" s="1287"/>
      <c r="F98" s="1287"/>
      <c r="G98" s="1287"/>
      <c r="H98" s="232"/>
    </row>
    <row r="99" spans="2:9" s="233" customFormat="1" ht="12.75" customHeight="1" x14ac:dyDescent="0.2">
      <c r="B99" s="1287"/>
      <c r="C99" s="1287"/>
      <c r="D99" s="1287"/>
      <c r="E99" s="1287"/>
      <c r="F99" s="1287"/>
      <c r="G99" s="1287"/>
      <c r="H99" s="232"/>
    </row>
    <row r="100" spans="2:9" s="941" customFormat="1" ht="15" customHeight="1" x14ac:dyDescent="0.2">
      <c r="B100" s="1831" t="s">
        <v>3766</v>
      </c>
      <c r="C100" s="1831"/>
      <c r="D100" s="1831"/>
      <c r="E100" s="1831"/>
      <c r="F100" s="1831"/>
      <c r="G100" s="1831"/>
      <c r="H100" s="1831"/>
      <c r="I100" s="1226"/>
    </row>
    <row r="101" spans="2:9" s="941" customFormat="1" ht="15" customHeight="1" x14ac:dyDescent="0.2">
      <c r="B101" s="1831"/>
      <c r="C101" s="1831"/>
      <c r="D101" s="1831"/>
      <c r="E101" s="1831"/>
      <c r="F101" s="1831"/>
      <c r="G101" s="1831"/>
      <c r="H101" s="1831"/>
      <c r="I101" s="1226"/>
    </row>
    <row r="102" spans="2:9" s="941" customFormat="1" ht="15" customHeight="1" x14ac:dyDescent="0.2">
      <c r="B102" s="1831"/>
      <c r="C102" s="1831"/>
      <c r="D102" s="1831"/>
      <c r="E102" s="1831"/>
      <c r="F102" s="1831"/>
      <c r="G102" s="1831"/>
      <c r="H102" s="1831"/>
      <c r="I102" s="1226"/>
    </row>
    <row r="103" spans="2:9" s="941" customFormat="1" ht="15" customHeight="1" x14ac:dyDescent="0.2">
      <c r="B103" s="1288" t="s">
        <v>3765</v>
      </c>
      <c r="C103" s="1287"/>
      <c r="D103" s="1287"/>
      <c r="E103" s="1287"/>
      <c r="F103" s="1287"/>
      <c r="G103" s="1287"/>
      <c r="H103" s="1287"/>
      <c r="I103" s="1226"/>
    </row>
    <row r="104" spans="2:9" s="941" customFormat="1" ht="15" customHeight="1" x14ac:dyDescent="0.2">
      <c r="B104" s="1287"/>
      <c r="C104" s="1287"/>
      <c r="D104" s="1287"/>
      <c r="E104" s="1287"/>
      <c r="F104" s="1287"/>
      <c r="G104" s="1287"/>
      <c r="H104" s="1287"/>
      <c r="I104" s="1226"/>
    </row>
    <row r="105" spans="2:9" s="941" customFormat="1" ht="30" customHeight="1" x14ac:dyDescent="0.2">
      <c r="B105" s="1831" t="s">
        <v>4279</v>
      </c>
      <c r="C105" s="1831"/>
      <c r="D105" s="1831"/>
      <c r="E105" s="1831"/>
      <c r="F105" s="1831"/>
      <c r="G105" s="1831"/>
      <c r="H105" s="1287"/>
      <c r="I105" s="1226"/>
    </row>
    <row r="106" spans="2:9" s="941" customFormat="1" ht="15" customHeight="1" x14ac:dyDescent="0.2">
      <c r="I106" s="1226"/>
    </row>
    <row r="107" spans="2:9" s="941" customFormat="1" ht="15" customHeight="1" x14ac:dyDescent="0.2">
      <c r="B107" s="941" t="s">
        <v>4108</v>
      </c>
      <c r="I107" s="1226"/>
    </row>
    <row r="108" spans="2:9" s="941" customFormat="1" ht="15" customHeight="1" x14ac:dyDescent="0.2">
      <c r="B108" s="941" t="s">
        <v>3423</v>
      </c>
      <c r="I108" s="1226"/>
    </row>
    <row r="109" spans="2:9" s="941" customFormat="1" ht="15" customHeight="1" x14ac:dyDescent="0.2">
      <c r="B109" s="941" t="s">
        <v>3422</v>
      </c>
      <c r="I109" s="1226"/>
    </row>
    <row r="110" spans="2:9" s="941" customFormat="1" ht="15" customHeight="1" x14ac:dyDescent="0.2">
      <c r="I110" s="1226"/>
    </row>
    <row r="111" spans="2:9" s="941" customFormat="1" ht="15" customHeight="1" x14ac:dyDescent="0.2">
      <c r="B111" s="1606" t="s">
        <v>4184</v>
      </c>
      <c r="I111" s="1226"/>
    </row>
    <row r="112" spans="2:9" s="941" customFormat="1" ht="15" customHeight="1" x14ac:dyDescent="0.2">
      <c r="B112" s="941" t="s">
        <v>3421</v>
      </c>
      <c r="I112" s="1226"/>
    </row>
    <row r="113" spans="1:12" s="233" customFormat="1" x14ac:dyDescent="0.2"/>
    <row r="114" spans="1:12" s="233" customFormat="1" ht="14.25" customHeight="1" x14ac:dyDescent="0.2">
      <c r="A114" s="1227">
        <v>8.1</v>
      </c>
      <c r="B114" s="37" t="s">
        <v>327</v>
      </c>
      <c r="C114" s="243">
        <v>2016</v>
      </c>
      <c r="D114" s="243">
        <v>2015</v>
      </c>
    </row>
    <row r="115" spans="1:12" s="233" customFormat="1" x14ac:dyDescent="0.2">
      <c r="B115" s="37"/>
      <c r="C115" s="242" t="s">
        <v>59</v>
      </c>
      <c r="D115" s="242" t="s">
        <v>59</v>
      </c>
    </row>
    <row r="116" spans="1:12" s="233" customFormat="1" x14ac:dyDescent="0.2">
      <c r="B116" s="1228"/>
      <c r="C116" s="242"/>
      <c r="D116" s="242"/>
    </row>
    <row r="117" spans="1:12" x14ac:dyDescent="0.2">
      <c r="A117" s="233"/>
      <c r="B117" s="532" t="s">
        <v>3068</v>
      </c>
      <c r="C117" s="530">
        <f>C118+C119</f>
        <v>2315361.3200000003</v>
      </c>
      <c r="D117" s="530">
        <f>+D118+D119</f>
        <v>3117657</v>
      </c>
      <c r="E117" s="1643"/>
      <c r="F117" s="1643"/>
      <c r="G117" s="1643"/>
      <c r="H117" s="1643"/>
      <c r="I117" s="233"/>
      <c r="J117" s="233"/>
      <c r="K117" s="233"/>
      <c r="L117" s="233"/>
    </row>
    <row r="118" spans="1:12" x14ac:dyDescent="0.2">
      <c r="A118" s="233"/>
      <c r="B118" s="996" t="s">
        <v>816</v>
      </c>
      <c r="C118" s="461">
        <v>11574990.33</v>
      </c>
      <c r="D118" s="234">
        <v>10647623</v>
      </c>
      <c r="E118" s="1643"/>
      <c r="F118" s="1643"/>
      <c r="G118" s="1643"/>
      <c r="H118" s="1643"/>
      <c r="I118" s="233"/>
      <c r="J118" s="233"/>
      <c r="K118" s="233"/>
      <c r="L118" s="233"/>
    </row>
    <row r="119" spans="1:12" ht="15.75" customHeight="1" x14ac:dyDescent="0.2">
      <c r="A119" s="233"/>
      <c r="B119" s="996" t="s">
        <v>3071</v>
      </c>
      <c r="C119" s="235">
        <v>-9259629.0099999998</v>
      </c>
      <c r="D119" s="235">
        <v>-7529966</v>
      </c>
      <c r="E119" s="795"/>
      <c r="F119" s="795"/>
      <c r="G119" s="795"/>
      <c r="H119" s="1643"/>
      <c r="I119" s="233"/>
      <c r="J119" s="233"/>
      <c r="K119" s="233"/>
      <c r="L119" s="233"/>
    </row>
    <row r="120" spans="1:12" x14ac:dyDescent="0.2">
      <c r="A120" s="233"/>
      <c r="B120" s="996" t="s">
        <v>818</v>
      </c>
      <c r="C120" s="234">
        <v>750000</v>
      </c>
      <c r="D120" s="234">
        <v>927367</v>
      </c>
      <c r="E120" s="1643"/>
      <c r="F120" s="1643"/>
      <c r="G120" s="1643"/>
      <c r="H120" s="1643"/>
      <c r="I120" s="233"/>
      <c r="J120" s="233"/>
      <c r="K120" s="233"/>
      <c r="L120" s="233"/>
    </row>
    <row r="121" spans="1:12" hidden="1" x14ac:dyDescent="0.2">
      <c r="A121" s="233"/>
      <c r="B121" s="1526" t="s">
        <v>4106</v>
      </c>
      <c r="C121" s="234"/>
      <c r="D121" s="234"/>
      <c r="E121" s="1643"/>
      <c r="F121" s="1643"/>
      <c r="G121" s="1643"/>
      <c r="H121" s="1643"/>
      <c r="I121" s="233"/>
      <c r="J121" s="233"/>
      <c r="K121" s="233"/>
      <c r="L121" s="233"/>
    </row>
    <row r="122" spans="1:12" x14ac:dyDescent="0.2">
      <c r="A122" s="233"/>
      <c r="B122" s="996" t="s">
        <v>3491</v>
      </c>
      <c r="C122" s="234"/>
      <c r="D122" s="234">
        <v>-192299</v>
      </c>
      <c r="E122" s="1644"/>
      <c r="F122" s="1643"/>
      <c r="G122" s="1643"/>
      <c r="H122" s="1643"/>
      <c r="I122" s="233"/>
      <c r="J122" s="233"/>
      <c r="K122" s="233"/>
      <c r="L122" s="233"/>
    </row>
    <row r="123" spans="1:12" x14ac:dyDescent="0.2">
      <c r="A123" s="233"/>
      <c r="B123" s="996" t="s">
        <v>3863</v>
      </c>
      <c r="C123" s="564">
        <v>-991392.9</v>
      </c>
      <c r="D123" s="234">
        <v>-1537363</v>
      </c>
      <c r="E123" s="795"/>
      <c r="F123" s="1644"/>
      <c r="G123" s="795"/>
      <c r="H123" s="1643"/>
      <c r="J123" s="233"/>
      <c r="K123" s="233"/>
      <c r="L123" s="233"/>
    </row>
    <row r="124" spans="1:12" x14ac:dyDescent="0.2">
      <c r="A124" s="233"/>
      <c r="B124" s="1526" t="s">
        <v>816</v>
      </c>
      <c r="C124" s="1555">
        <v>-1771295.03</v>
      </c>
      <c r="D124" s="461">
        <v>0</v>
      </c>
      <c r="E124" s="795"/>
      <c r="F124" s="1644"/>
      <c r="G124" s="795"/>
      <c r="H124" s="1643"/>
      <c r="J124" s="233"/>
      <c r="K124" s="233"/>
      <c r="L124" s="233"/>
    </row>
    <row r="125" spans="1:12" x14ac:dyDescent="0.2">
      <c r="A125" s="233"/>
      <c r="B125" s="1526" t="s">
        <v>3071</v>
      </c>
      <c r="C125" s="978">
        <v>1771295.03</v>
      </c>
      <c r="D125" s="235">
        <v>0</v>
      </c>
      <c r="E125" s="795"/>
      <c r="F125" s="1644"/>
      <c r="G125" s="795"/>
      <c r="H125" s="1643"/>
      <c r="J125" s="233"/>
      <c r="K125" s="233"/>
      <c r="L125" s="233"/>
    </row>
    <row r="126" spans="1:12" x14ac:dyDescent="0.2">
      <c r="A126" s="233"/>
      <c r="B126" s="532" t="s">
        <v>3069</v>
      </c>
      <c r="C126" s="460">
        <f>C127+C128</f>
        <v>2073968.42</v>
      </c>
      <c r="D126" s="460">
        <f>D127+D128</f>
        <v>2315361.33</v>
      </c>
      <c r="E126" s="1643"/>
      <c r="F126" s="1643"/>
      <c r="G126" s="1643"/>
      <c r="H126" s="1643"/>
      <c r="I126" s="233"/>
      <c r="J126" s="233"/>
      <c r="K126" s="233"/>
      <c r="L126" s="233"/>
    </row>
    <row r="127" spans="1:12" x14ac:dyDescent="0.2">
      <c r="A127" s="233"/>
      <c r="B127" s="996" t="s">
        <v>816</v>
      </c>
      <c r="C127" s="234">
        <f>C118+C120+C122+C124</f>
        <v>10553695.300000001</v>
      </c>
      <c r="D127" s="234">
        <f>D118+D120+0.33</f>
        <v>11574990.33</v>
      </c>
      <c r="E127" s="1643"/>
      <c r="F127" s="1643"/>
      <c r="G127" s="1643"/>
      <c r="H127" s="1643"/>
      <c r="I127" s="233"/>
      <c r="J127" s="233"/>
      <c r="K127" s="233"/>
      <c r="L127" s="233"/>
    </row>
    <row r="128" spans="1:12" x14ac:dyDescent="0.2">
      <c r="A128" s="233"/>
      <c r="B128" s="996" t="s">
        <v>3071</v>
      </c>
      <c r="C128" s="235">
        <f>C119+C123+C125</f>
        <v>-8479726.8800000008</v>
      </c>
      <c r="D128" s="235">
        <v>-9259629</v>
      </c>
      <c r="E128" s="1643"/>
      <c r="F128" s="1643"/>
      <c r="G128" s="1643"/>
      <c r="H128" s="1643"/>
      <c r="I128" s="233"/>
      <c r="J128" s="233"/>
      <c r="K128" s="233"/>
      <c r="L128" s="233"/>
    </row>
    <row r="129" spans="1:12" x14ac:dyDescent="0.2">
      <c r="A129" s="233"/>
      <c r="B129" s="232"/>
      <c r="C129" s="1643"/>
      <c r="D129" s="1643"/>
      <c r="E129" s="1643"/>
      <c r="F129" s="1643"/>
      <c r="G129" s="1643"/>
      <c r="H129" s="1643"/>
      <c r="I129" s="233"/>
      <c r="J129" s="233"/>
      <c r="K129" s="233"/>
      <c r="L129" s="233"/>
    </row>
    <row r="130" spans="1:12" x14ac:dyDescent="0.2">
      <c r="A130" s="233"/>
      <c r="B130" s="186" t="s">
        <v>3910</v>
      </c>
      <c r="C130" s="1643"/>
      <c r="D130" s="1643"/>
      <c r="E130" s="1643"/>
      <c r="F130" s="1643"/>
      <c r="G130" s="1643"/>
      <c r="H130" s="1643"/>
      <c r="I130" s="233"/>
      <c r="J130" s="233"/>
      <c r="K130" s="233"/>
      <c r="L130" s="233"/>
    </row>
    <row r="131" spans="1:12" x14ac:dyDescent="0.2">
      <c r="A131" s="233"/>
      <c r="B131" s="233"/>
      <c r="C131" s="1643"/>
      <c r="D131" s="1643"/>
      <c r="E131" s="1643"/>
      <c r="F131" s="1643"/>
      <c r="G131" s="1643"/>
      <c r="H131" s="1643"/>
      <c r="I131" s="233"/>
      <c r="J131" s="233"/>
      <c r="K131" s="233"/>
      <c r="L131" s="233"/>
    </row>
    <row r="132" spans="1:12" ht="25.5" x14ac:dyDescent="0.2">
      <c r="A132" s="233"/>
      <c r="B132" s="40"/>
      <c r="C132" s="1645" t="s">
        <v>3083</v>
      </c>
      <c r="D132" s="1645" t="s">
        <v>548</v>
      </c>
      <c r="E132" s="1645" t="s">
        <v>3067</v>
      </c>
      <c r="F132" s="1646" t="s">
        <v>3491</v>
      </c>
      <c r="G132" s="1645" t="s">
        <v>3320</v>
      </c>
      <c r="H132" s="1645" t="s">
        <v>3084</v>
      </c>
      <c r="I132" s="233"/>
      <c r="J132" s="233"/>
      <c r="K132" s="233"/>
      <c r="L132" s="233"/>
    </row>
    <row r="133" spans="1:12" x14ac:dyDescent="0.2">
      <c r="A133" s="233"/>
      <c r="B133" s="223" t="s">
        <v>296</v>
      </c>
      <c r="C133" s="1647" t="s">
        <v>59</v>
      </c>
      <c r="D133" s="1647" t="s">
        <v>59</v>
      </c>
      <c r="E133" s="1647" t="s">
        <v>59</v>
      </c>
      <c r="F133" s="1647"/>
      <c r="G133" s="1647" t="s">
        <v>59</v>
      </c>
      <c r="H133" s="1647" t="s">
        <v>59</v>
      </c>
      <c r="I133" s="233"/>
      <c r="J133" s="233"/>
      <c r="K133" s="233"/>
      <c r="L133" s="233"/>
    </row>
    <row r="134" spans="1:12" x14ac:dyDescent="0.2">
      <c r="A134" s="233"/>
      <c r="B134" s="36" t="s">
        <v>3578</v>
      </c>
      <c r="C134" s="1648">
        <f>H142</f>
        <v>2166626</v>
      </c>
      <c r="D134" s="461">
        <v>750000</v>
      </c>
      <c r="E134" s="1649">
        <v>0</v>
      </c>
      <c r="F134" s="1649"/>
      <c r="G134" s="1205">
        <v>-805361.92</v>
      </c>
      <c r="H134" s="234">
        <f>SUM(C134:G134)</f>
        <v>2111264.08</v>
      </c>
      <c r="I134" s="233"/>
      <c r="J134" s="233"/>
      <c r="K134" s="233"/>
      <c r="L134" s="233"/>
    </row>
    <row r="135" spans="1:12" x14ac:dyDescent="0.2">
      <c r="A135" s="233"/>
      <c r="B135" s="36" t="s">
        <v>3319</v>
      </c>
      <c r="C135" s="1648">
        <f>H143</f>
        <v>148735.48000000001</v>
      </c>
      <c r="D135" s="234">
        <v>0</v>
      </c>
      <c r="E135" s="1649">
        <v>0</v>
      </c>
      <c r="F135" s="1649"/>
      <c r="G135" s="1650">
        <v>-148735.9</v>
      </c>
      <c r="H135" s="234">
        <f>SUM(C135:G135)</f>
        <v>-0.41999999998370185</v>
      </c>
      <c r="I135" s="233"/>
      <c r="J135" s="233"/>
      <c r="K135" s="233"/>
      <c r="L135" s="233"/>
    </row>
    <row r="136" spans="1:12" ht="13.5" thickBot="1" x14ac:dyDescent="0.25">
      <c r="A136" s="233"/>
      <c r="B136" s="36" t="s">
        <v>296</v>
      </c>
      <c r="C136" s="545">
        <f>SUM(C134:C135)</f>
        <v>2315361.48</v>
      </c>
      <c r="D136" s="545">
        <f>SUM(D134:D135)</f>
        <v>750000</v>
      </c>
      <c r="E136" s="545">
        <f>SUM(E134:E135)</f>
        <v>0</v>
      </c>
      <c r="F136" s="927">
        <f>F134</f>
        <v>0</v>
      </c>
      <c r="G136" s="1651">
        <f>SUM(G134:G135)</f>
        <v>-954097.82000000007</v>
      </c>
      <c r="H136" s="545">
        <f>SUM(H134:H135)</f>
        <v>2111263.66</v>
      </c>
      <c r="I136" s="233"/>
      <c r="J136" s="233"/>
      <c r="K136" s="233"/>
      <c r="L136" s="233"/>
    </row>
    <row r="137" spans="1:12" ht="13.5" thickTop="1" x14ac:dyDescent="0.2">
      <c r="A137" s="233"/>
      <c r="B137" s="232"/>
      <c r="C137" s="1643"/>
      <c r="D137" s="1643"/>
      <c r="E137" s="1643"/>
      <c r="F137" s="1643"/>
      <c r="G137" s="1643"/>
      <c r="H137" s="1643"/>
      <c r="I137" s="233"/>
      <c r="J137" s="233"/>
      <c r="K137" s="233"/>
      <c r="L137" s="233"/>
    </row>
    <row r="138" spans="1:12" x14ac:dyDescent="0.2">
      <c r="A138" s="233"/>
      <c r="B138" s="186" t="s">
        <v>3577</v>
      </c>
      <c r="C138" s="1643"/>
      <c r="D138" s="1643"/>
      <c r="E138" s="1643"/>
      <c r="F138" s="1643"/>
      <c r="G138" s="1643"/>
      <c r="H138" s="1643"/>
      <c r="I138" s="233"/>
      <c r="J138" s="233"/>
      <c r="K138" s="233"/>
      <c r="L138" s="233"/>
    </row>
    <row r="139" spans="1:12" x14ac:dyDescent="0.2">
      <c r="A139" s="233"/>
      <c r="B139" s="233"/>
      <c r="C139" s="1643"/>
      <c r="D139" s="1643"/>
      <c r="E139" s="1643"/>
      <c r="F139" s="1643"/>
      <c r="G139" s="1643"/>
      <c r="H139" s="1643"/>
      <c r="I139" s="233"/>
      <c r="J139" s="233"/>
      <c r="K139" s="233"/>
      <c r="L139" s="233"/>
    </row>
    <row r="140" spans="1:12" ht="25.5" x14ac:dyDescent="0.2">
      <c r="A140" s="233"/>
      <c r="B140" s="40"/>
      <c r="C140" s="1645" t="s">
        <v>3083</v>
      </c>
      <c r="D140" s="1645" t="s">
        <v>548</v>
      </c>
      <c r="E140" s="1645" t="s">
        <v>3067</v>
      </c>
      <c r="F140" s="1646" t="s">
        <v>3491</v>
      </c>
      <c r="G140" s="1645" t="s">
        <v>3086</v>
      </c>
      <c r="H140" s="1645" t="s">
        <v>3084</v>
      </c>
      <c r="I140" s="233"/>
      <c r="J140" s="233"/>
      <c r="K140" s="233"/>
      <c r="L140" s="233"/>
    </row>
    <row r="141" spans="1:12" x14ac:dyDescent="0.2">
      <c r="A141" s="233"/>
      <c r="B141" s="223" t="s">
        <v>296</v>
      </c>
      <c r="C141" s="1647" t="s">
        <v>59</v>
      </c>
      <c r="D141" s="1647" t="s">
        <v>59</v>
      </c>
      <c r="E141" s="1647" t="s">
        <v>59</v>
      </c>
      <c r="F141" s="1647"/>
      <c r="G141" s="1647" t="s">
        <v>59</v>
      </c>
      <c r="H141" s="1647" t="s">
        <v>59</v>
      </c>
      <c r="I141" s="233"/>
      <c r="J141" s="233"/>
      <c r="K141" s="233"/>
      <c r="L141" s="233"/>
    </row>
    <row r="142" spans="1:12" x14ac:dyDescent="0.2">
      <c r="A142" s="233"/>
      <c r="B142" s="36" t="s">
        <v>3578</v>
      </c>
      <c r="C142" s="234">
        <v>2820592</v>
      </c>
      <c r="D142" s="234">
        <v>927367</v>
      </c>
      <c r="E142" s="234">
        <v>0</v>
      </c>
      <c r="F142" s="234">
        <v>-192299</v>
      </c>
      <c r="G142" s="1205">
        <v>-1389034</v>
      </c>
      <c r="H142" s="234">
        <f>SUM(C142:G142)</f>
        <v>2166626</v>
      </c>
      <c r="I142" s="233"/>
      <c r="J142" s="233"/>
      <c r="K142" s="233"/>
      <c r="L142" s="233"/>
    </row>
    <row r="143" spans="1:12" x14ac:dyDescent="0.2">
      <c r="A143" s="233"/>
      <c r="B143" s="36" t="s">
        <v>3085</v>
      </c>
      <c r="C143" s="234">
        <v>297065</v>
      </c>
      <c r="D143" s="234">
        <v>0</v>
      </c>
      <c r="E143" s="234">
        <v>0</v>
      </c>
      <c r="F143" s="235"/>
      <c r="G143" s="1650">
        <v>-148329.51999999999</v>
      </c>
      <c r="H143" s="234">
        <f>SUM(C143:G143)</f>
        <v>148735.48000000001</v>
      </c>
      <c r="I143" s="233"/>
      <c r="J143" s="233"/>
      <c r="K143" s="233"/>
      <c r="L143" s="233"/>
    </row>
    <row r="144" spans="1:12" hidden="1" x14ac:dyDescent="0.2">
      <c r="A144" s="233"/>
      <c r="B144" s="36"/>
      <c r="C144" s="234"/>
      <c r="D144" s="234"/>
      <c r="E144" s="234"/>
      <c r="F144" s="234"/>
      <c r="G144" s="234"/>
      <c r="H144" s="234"/>
      <c r="I144" s="233"/>
      <c r="J144" s="233"/>
      <c r="K144" s="233"/>
      <c r="L144" s="233"/>
    </row>
    <row r="145" spans="1:12" hidden="1" x14ac:dyDescent="0.2">
      <c r="A145" s="233"/>
      <c r="B145" s="36" t="s">
        <v>296</v>
      </c>
      <c r="C145" s="234"/>
      <c r="D145" s="234"/>
      <c r="E145" s="1649"/>
      <c r="F145" s="1649"/>
      <c r="G145" s="234"/>
      <c r="H145" s="234"/>
      <c r="I145" s="233"/>
      <c r="J145" s="233"/>
      <c r="K145" s="233"/>
      <c r="L145" s="233"/>
    </row>
    <row r="146" spans="1:12" ht="13.5" thickBot="1" x14ac:dyDescent="0.25">
      <c r="A146" s="233"/>
      <c r="B146" s="36" t="s">
        <v>296</v>
      </c>
      <c r="C146" s="545">
        <f>SUM(C142:C145)</f>
        <v>3117657</v>
      </c>
      <c r="D146" s="545">
        <f>SUM(D142:D145)</f>
        <v>927367</v>
      </c>
      <c r="E146" s="545">
        <f>SUM(E142:E145)</f>
        <v>0</v>
      </c>
      <c r="F146" s="1651"/>
      <c r="G146" s="1651">
        <f>SUM(G142:G145)</f>
        <v>-1537363.52</v>
      </c>
      <c r="H146" s="545">
        <f>SUM(H142:H145)</f>
        <v>2315361.48</v>
      </c>
      <c r="I146" s="233"/>
      <c r="J146" s="233"/>
      <c r="K146" s="233"/>
      <c r="L146" s="233"/>
    </row>
    <row r="147" spans="1:12" ht="13.5" thickTop="1" x14ac:dyDescent="0.2">
      <c r="A147" s="233"/>
      <c r="C147" s="140"/>
      <c r="D147" s="140"/>
      <c r="E147" s="140"/>
      <c r="F147" s="140"/>
      <c r="G147" s="140"/>
      <c r="H147" s="140"/>
      <c r="I147" s="140"/>
      <c r="L147" s="233"/>
    </row>
    <row r="148" spans="1:12" x14ac:dyDescent="0.2">
      <c r="A148" s="233"/>
      <c r="B148" s="140" t="s">
        <v>3424</v>
      </c>
      <c r="C148" s="140"/>
      <c r="D148" s="140"/>
      <c r="E148" s="140"/>
      <c r="F148" s="140"/>
      <c r="G148" s="140"/>
      <c r="H148" s="140"/>
      <c r="I148" s="140"/>
    </row>
    <row r="149" spans="1:12" x14ac:dyDescent="0.2">
      <c r="A149" s="140"/>
      <c r="C149" s="140"/>
      <c r="D149" s="140"/>
      <c r="E149" s="140"/>
      <c r="F149" s="140"/>
      <c r="G149" s="140"/>
      <c r="H149" s="140"/>
      <c r="I149" s="140"/>
    </row>
    <row r="150" spans="1:12" ht="15" customHeight="1" x14ac:dyDescent="0.2">
      <c r="A150" s="140"/>
      <c r="C150" s="233"/>
      <c r="D150" s="233"/>
      <c r="E150" s="233"/>
      <c r="F150" s="233"/>
      <c r="G150" s="233"/>
      <c r="H150" s="983"/>
      <c r="I150" s="140"/>
    </row>
    <row r="151" spans="1:12" ht="15" customHeight="1" x14ac:dyDescent="0.2">
      <c r="A151" s="140"/>
      <c r="C151" s="233"/>
      <c r="D151" s="233"/>
      <c r="E151" s="233"/>
      <c r="F151" s="233"/>
      <c r="G151" s="233"/>
      <c r="H151" s="233"/>
      <c r="I151" s="140"/>
    </row>
    <row r="152" spans="1:12" x14ac:dyDescent="0.2">
      <c r="A152" s="140"/>
      <c r="C152" s="140"/>
      <c r="D152" s="140"/>
      <c r="E152" s="140"/>
      <c r="F152" s="140"/>
      <c r="G152" s="140"/>
      <c r="H152" s="140"/>
      <c r="I152" s="140"/>
    </row>
    <row r="153" spans="1:12" ht="15" customHeight="1" x14ac:dyDescent="0.2">
      <c r="A153" s="140"/>
      <c r="C153" s="140"/>
      <c r="D153" s="140"/>
      <c r="E153" s="140"/>
      <c r="F153" s="140"/>
      <c r="G153" s="140"/>
      <c r="H153" s="140"/>
      <c r="I153" s="140"/>
    </row>
    <row r="154" spans="1:12" x14ac:dyDescent="0.2">
      <c r="A154" s="140"/>
      <c r="C154" s="140"/>
      <c r="D154" s="140"/>
      <c r="E154" s="140"/>
      <c r="F154" s="140"/>
      <c r="G154" s="140"/>
      <c r="H154" s="140"/>
      <c r="I154" s="140"/>
    </row>
    <row r="155" spans="1:12" x14ac:dyDescent="0.2">
      <c r="A155" s="140"/>
      <c r="C155" s="140"/>
      <c r="D155" s="140"/>
      <c r="E155" s="140"/>
      <c r="F155" s="140"/>
      <c r="G155" s="140"/>
      <c r="H155" s="140"/>
      <c r="I155" s="140"/>
    </row>
    <row r="156" spans="1:12" x14ac:dyDescent="0.2">
      <c r="A156" s="140"/>
      <c r="C156" s="140"/>
      <c r="D156" s="140"/>
      <c r="E156" s="140"/>
      <c r="F156" s="140"/>
      <c r="G156" s="140"/>
      <c r="H156" s="140"/>
      <c r="I156" s="140"/>
    </row>
    <row r="157" spans="1:12" ht="15" customHeight="1" x14ac:dyDescent="0.2">
      <c r="A157" s="140"/>
      <c r="C157" s="140"/>
      <c r="D157" s="140"/>
      <c r="E157" s="140"/>
      <c r="F157" s="140"/>
      <c r="G157" s="140"/>
      <c r="H157" s="140"/>
      <c r="I157" s="140"/>
    </row>
    <row r="158" spans="1:12" x14ac:dyDescent="0.2">
      <c r="A158" s="140"/>
      <c r="C158" s="140"/>
      <c r="D158" s="140"/>
      <c r="E158" s="140"/>
      <c r="F158" s="140"/>
      <c r="G158" s="140"/>
      <c r="H158" s="140"/>
      <c r="I158" s="140"/>
    </row>
    <row r="159" spans="1:12" x14ac:dyDescent="0.2">
      <c r="A159" s="140"/>
      <c r="C159" s="140"/>
      <c r="D159" s="140"/>
      <c r="E159" s="140"/>
      <c r="F159" s="140"/>
      <c r="G159" s="140"/>
      <c r="H159" s="140"/>
      <c r="I159" s="140"/>
    </row>
    <row r="160" spans="1:12" x14ac:dyDescent="0.2">
      <c r="A160" s="140"/>
      <c r="C160" s="140"/>
      <c r="D160" s="140"/>
      <c r="E160" s="140"/>
      <c r="F160" s="140"/>
      <c r="G160" s="140"/>
      <c r="H160" s="140"/>
      <c r="I160" s="140"/>
    </row>
    <row r="161" spans="1:9" ht="15" customHeight="1" x14ac:dyDescent="0.2">
      <c r="A161" s="140"/>
      <c r="C161" s="140"/>
      <c r="D161" s="140"/>
      <c r="E161" s="140"/>
      <c r="F161" s="140"/>
      <c r="G161" s="140"/>
      <c r="H161" s="140"/>
      <c r="I161" s="140"/>
    </row>
    <row r="162" spans="1:9" x14ac:dyDescent="0.2">
      <c r="A162" s="140"/>
      <c r="C162" s="140"/>
      <c r="D162" s="140"/>
      <c r="E162" s="140"/>
      <c r="F162" s="140"/>
      <c r="G162" s="140"/>
      <c r="H162" s="140"/>
      <c r="I162" s="140"/>
    </row>
    <row r="163" spans="1:9" x14ac:dyDescent="0.2">
      <c r="A163" s="140"/>
      <c r="C163" s="140"/>
      <c r="D163" s="140"/>
      <c r="E163" s="140"/>
      <c r="F163" s="140"/>
      <c r="G163" s="140"/>
      <c r="H163" s="140"/>
      <c r="I163" s="140"/>
    </row>
    <row r="164" spans="1:9" x14ac:dyDescent="0.2">
      <c r="A164" s="140"/>
      <c r="C164" s="140"/>
      <c r="D164" s="140"/>
      <c r="E164" s="140"/>
      <c r="F164" s="140"/>
      <c r="G164" s="140"/>
      <c r="H164" s="140"/>
      <c r="I164" s="140"/>
    </row>
    <row r="165" spans="1:9" x14ac:dyDescent="0.2">
      <c r="A165" s="140"/>
      <c r="C165" s="140"/>
      <c r="D165" s="140"/>
      <c r="E165" s="140"/>
      <c r="F165" s="140"/>
      <c r="G165" s="140"/>
      <c r="H165" s="140"/>
      <c r="I165" s="140"/>
    </row>
    <row r="166" spans="1:9" x14ac:dyDescent="0.2">
      <c r="A166" s="140"/>
      <c r="C166" s="140"/>
      <c r="D166" s="140"/>
      <c r="E166" s="140"/>
      <c r="F166" s="140"/>
      <c r="G166" s="140"/>
      <c r="H166" s="140"/>
      <c r="I166" s="140"/>
    </row>
    <row r="167" spans="1:9" x14ac:dyDescent="0.2">
      <c r="A167" s="140"/>
      <c r="C167" s="140"/>
      <c r="D167" s="140"/>
      <c r="E167" s="140"/>
      <c r="F167" s="140"/>
      <c r="G167" s="140"/>
      <c r="H167" s="140"/>
      <c r="I167" s="140"/>
    </row>
    <row r="168" spans="1:9" x14ac:dyDescent="0.2">
      <c r="A168" s="140"/>
      <c r="C168" s="140"/>
      <c r="D168" s="140"/>
      <c r="E168" s="140"/>
      <c r="F168" s="140"/>
      <c r="G168" s="140"/>
      <c r="H168" s="140"/>
      <c r="I168" s="140"/>
    </row>
    <row r="169" spans="1:9" x14ac:dyDescent="0.2">
      <c r="A169" s="140"/>
      <c r="C169" s="140"/>
      <c r="D169" s="140"/>
      <c r="E169" s="140"/>
      <c r="F169" s="140"/>
      <c r="G169" s="140"/>
      <c r="H169" s="140"/>
      <c r="I169" s="140"/>
    </row>
    <row r="170" spans="1:9" ht="12.75" customHeight="1" x14ac:dyDescent="0.2">
      <c r="A170" s="140"/>
      <c r="C170" s="140"/>
      <c r="D170" s="140"/>
      <c r="E170" s="140"/>
      <c r="F170" s="140"/>
      <c r="G170" s="140"/>
      <c r="H170" s="140"/>
      <c r="I170" s="140"/>
    </row>
    <row r="171" spans="1:9" x14ac:dyDescent="0.2">
      <c r="A171" s="140"/>
      <c r="C171" s="140"/>
      <c r="D171" s="140"/>
      <c r="E171" s="140"/>
      <c r="F171" s="140"/>
      <c r="G171" s="140"/>
      <c r="H171" s="140"/>
      <c r="I171" s="140"/>
    </row>
    <row r="172" spans="1:9" x14ac:dyDescent="0.2">
      <c r="A172" s="140"/>
      <c r="C172" s="140"/>
      <c r="D172" s="140"/>
      <c r="E172" s="140"/>
      <c r="F172" s="140"/>
      <c r="G172" s="140"/>
      <c r="H172" s="140"/>
      <c r="I172" s="140"/>
    </row>
    <row r="173" spans="1:9" x14ac:dyDescent="0.2">
      <c r="A173" s="140"/>
      <c r="C173" s="140"/>
      <c r="D173" s="140"/>
      <c r="E173" s="140"/>
      <c r="F173" s="140"/>
      <c r="G173" s="140"/>
      <c r="H173" s="140"/>
      <c r="I173" s="140"/>
    </row>
    <row r="174" spans="1:9" x14ac:dyDescent="0.2">
      <c r="A174" s="140"/>
      <c r="C174" s="140"/>
      <c r="D174" s="140"/>
      <c r="E174" s="140"/>
      <c r="F174" s="140"/>
      <c r="G174" s="140"/>
      <c r="H174" s="140"/>
      <c r="I174" s="140"/>
    </row>
    <row r="175" spans="1:9" x14ac:dyDescent="0.2">
      <c r="A175" s="140"/>
      <c r="C175" s="140"/>
      <c r="D175" s="140"/>
      <c r="E175" s="140"/>
      <c r="F175" s="140"/>
      <c r="G175" s="140"/>
      <c r="H175" s="140"/>
      <c r="I175" s="140"/>
    </row>
    <row r="176" spans="1:9" x14ac:dyDescent="0.2">
      <c r="A176" s="140"/>
      <c r="C176" s="140"/>
      <c r="D176" s="140"/>
      <c r="E176" s="140"/>
      <c r="F176" s="140"/>
      <c r="G176" s="140"/>
      <c r="H176" s="140"/>
      <c r="I176" s="140"/>
    </row>
    <row r="177" spans="1:9" x14ac:dyDescent="0.2">
      <c r="A177" s="140"/>
      <c r="C177" s="140"/>
      <c r="D177" s="140"/>
      <c r="E177" s="140"/>
      <c r="F177" s="140"/>
      <c r="G177" s="140"/>
      <c r="H177" s="140"/>
      <c r="I177" s="140"/>
    </row>
    <row r="178" spans="1:9" x14ac:dyDescent="0.2">
      <c r="A178" s="140"/>
      <c r="C178" s="140"/>
      <c r="D178" s="140"/>
      <c r="E178" s="140"/>
      <c r="F178" s="140"/>
      <c r="G178" s="140"/>
      <c r="H178" s="140"/>
      <c r="I178" s="140"/>
    </row>
    <row r="179" spans="1:9" x14ac:dyDescent="0.2">
      <c r="A179" s="140"/>
      <c r="C179" s="140"/>
      <c r="D179" s="140"/>
      <c r="E179" s="140"/>
      <c r="F179" s="140"/>
      <c r="G179" s="140"/>
      <c r="H179" s="140"/>
      <c r="I179" s="140"/>
    </row>
    <row r="180" spans="1:9" x14ac:dyDescent="0.2">
      <c r="A180" s="140"/>
      <c r="C180" s="140"/>
      <c r="D180" s="140"/>
      <c r="E180" s="140"/>
      <c r="F180" s="140"/>
      <c r="G180" s="140"/>
      <c r="H180" s="140"/>
      <c r="I180" s="140"/>
    </row>
    <row r="181" spans="1:9" x14ac:dyDescent="0.2">
      <c r="A181" s="140"/>
      <c r="C181" s="140"/>
      <c r="D181" s="140"/>
      <c r="E181" s="140"/>
      <c r="F181" s="140"/>
      <c r="G181" s="140"/>
      <c r="H181" s="140"/>
      <c r="I181" s="140"/>
    </row>
    <row r="182" spans="1:9" x14ac:dyDescent="0.2">
      <c r="A182" s="140"/>
      <c r="C182" s="140"/>
      <c r="D182" s="140"/>
      <c r="E182" s="140"/>
      <c r="F182" s="140"/>
      <c r="G182" s="140"/>
      <c r="H182" s="140"/>
      <c r="I182" s="140"/>
    </row>
    <row r="183" spans="1:9" x14ac:dyDescent="0.2">
      <c r="A183" s="140"/>
      <c r="C183" s="140"/>
      <c r="D183" s="140"/>
      <c r="E183" s="140"/>
      <c r="F183" s="140"/>
      <c r="G183" s="140"/>
      <c r="H183" s="140"/>
      <c r="I183" s="140"/>
    </row>
    <row r="184" spans="1:9" x14ac:dyDescent="0.2">
      <c r="A184" s="140"/>
      <c r="C184" s="140"/>
      <c r="D184" s="140"/>
      <c r="E184" s="140"/>
      <c r="F184" s="140"/>
      <c r="G184" s="140"/>
      <c r="H184" s="140"/>
      <c r="I184" s="140"/>
    </row>
    <row r="185" spans="1:9" x14ac:dyDescent="0.2">
      <c r="A185" s="140"/>
      <c r="C185" s="140"/>
      <c r="D185" s="140"/>
      <c r="E185" s="140"/>
      <c r="F185" s="140"/>
      <c r="G185" s="140"/>
      <c r="H185" s="140"/>
      <c r="I185" s="140"/>
    </row>
    <row r="186" spans="1:9" x14ac:dyDescent="0.2">
      <c r="A186" s="140"/>
      <c r="C186" s="140"/>
      <c r="D186" s="140"/>
      <c r="E186" s="140"/>
      <c r="F186" s="140"/>
      <c r="G186" s="140"/>
      <c r="H186" s="140"/>
      <c r="I186" s="140"/>
    </row>
    <row r="187" spans="1:9" x14ac:dyDescent="0.2">
      <c r="A187" s="140"/>
      <c r="C187" s="140"/>
      <c r="D187" s="140"/>
      <c r="E187" s="140"/>
      <c r="F187" s="140"/>
      <c r="G187" s="140"/>
      <c r="H187" s="140"/>
      <c r="I187" s="140"/>
    </row>
    <row r="188" spans="1:9" x14ac:dyDescent="0.2">
      <c r="A188" s="140"/>
      <c r="C188" s="140"/>
      <c r="D188" s="140"/>
      <c r="E188" s="140"/>
      <c r="F188" s="140"/>
      <c r="G188" s="140"/>
      <c r="H188" s="140"/>
      <c r="I188" s="140"/>
    </row>
    <row r="189" spans="1:9" x14ac:dyDescent="0.2">
      <c r="A189" s="140"/>
      <c r="C189" s="140"/>
      <c r="D189" s="140"/>
      <c r="E189" s="140"/>
      <c r="F189" s="140"/>
      <c r="G189" s="140"/>
      <c r="H189" s="140"/>
      <c r="I189" s="140"/>
    </row>
    <row r="190" spans="1:9" x14ac:dyDescent="0.2">
      <c r="A190" s="140"/>
      <c r="C190" s="140"/>
      <c r="D190" s="140"/>
      <c r="E190" s="140"/>
      <c r="F190" s="140"/>
      <c r="G190" s="140"/>
      <c r="H190" s="140"/>
      <c r="I190" s="140"/>
    </row>
    <row r="191" spans="1:9" x14ac:dyDescent="0.2">
      <c r="A191" s="140"/>
      <c r="C191" s="140"/>
      <c r="D191" s="140"/>
      <c r="E191" s="140"/>
      <c r="F191" s="140"/>
      <c r="G191" s="140"/>
      <c r="H191" s="140"/>
      <c r="I191" s="140"/>
    </row>
    <row r="192" spans="1:9" x14ac:dyDescent="0.2">
      <c r="A192" s="140"/>
      <c r="C192" s="140"/>
      <c r="D192" s="140"/>
      <c r="E192" s="140"/>
      <c r="F192" s="140"/>
      <c r="G192" s="140"/>
      <c r="H192" s="140"/>
      <c r="I192" s="140"/>
    </row>
    <row r="193" spans="1:9" x14ac:dyDescent="0.2">
      <c r="A193" s="140"/>
      <c r="C193" s="140"/>
      <c r="D193" s="140"/>
      <c r="E193" s="140"/>
      <c r="F193" s="140"/>
      <c r="G193" s="140"/>
      <c r="H193" s="140"/>
      <c r="I193" s="140"/>
    </row>
    <row r="194" spans="1:9" x14ac:dyDescent="0.2">
      <c r="A194" s="140"/>
      <c r="C194" s="140"/>
      <c r="D194" s="140"/>
      <c r="E194" s="140"/>
      <c r="F194" s="140"/>
      <c r="G194" s="140"/>
      <c r="H194" s="140"/>
      <c r="I194" s="140"/>
    </row>
    <row r="195" spans="1:9" x14ac:dyDescent="0.2">
      <c r="A195" s="140"/>
      <c r="C195" s="140"/>
      <c r="D195" s="140"/>
      <c r="E195" s="140"/>
      <c r="F195" s="140"/>
      <c r="G195" s="140"/>
      <c r="H195" s="140"/>
      <c r="I195" s="140"/>
    </row>
    <row r="196" spans="1:9" x14ac:dyDescent="0.2">
      <c r="A196" s="140"/>
      <c r="C196" s="140"/>
      <c r="D196" s="140"/>
      <c r="E196" s="140"/>
      <c r="F196" s="140"/>
      <c r="G196" s="140"/>
      <c r="H196" s="140"/>
      <c r="I196" s="140"/>
    </row>
    <row r="197" spans="1:9" x14ac:dyDescent="0.2">
      <c r="A197" s="140"/>
      <c r="C197" s="140"/>
      <c r="D197" s="140"/>
      <c r="E197" s="140"/>
      <c r="F197" s="140"/>
      <c r="G197" s="140"/>
      <c r="H197" s="140"/>
      <c r="I197" s="140"/>
    </row>
    <row r="198" spans="1:9" x14ac:dyDescent="0.2">
      <c r="A198" s="140"/>
      <c r="C198" s="140"/>
      <c r="D198" s="140"/>
      <c r="E198" s="140"/>
      <c r="F198" s="140"/>
      <c r="G198" s="140"/>
      <c r="H198" s="140"/>
      <c r="I198" s="140"/>
    </row>
    <row r="199" spans="1:9" x14ac:dyDescent="0.2">
      <c r="A199" s="140"/>
      <c r="C199" s="140"/>
      <c r="D199" s="140"/>
      <c r="E199" s="140"/>
      <c r="F199" s="140"/>
      <c r="G199" s="140"/>
      <c r="H199" s="140"/>
      <c r="I199" s="140"/>
    </row>
    <row r="200" spans="1:9" x14ac:dyDescent="0.2">
      <c r="A200" s="140"/>
      <c r="C200" s="140"/>
      <c r="D200" s="140"/>
      <c r="E200" s="140"/>
      <c r="F200" s="140"/>
      <c r="G200" s="140"/>
      <c r="H200" s="140"/>
      <c r="I200" s="140"/>
    </row>
  </sheetData>
  <mergeCells count="4">
    <mergeCell ref="B84:G84"/>
    <mergeCell ref="B100:H102"/>
    <mergeCell ref="B105:G105"/>
    <mergeCell ref="B82:H82"/>
  </mergeCells>
  <phoneticPr fontId="0" type="noConversion"/>
  <printOptions horizontalCentered="1"/>
  <pageMargins left="0.47244094488188981" right="0.47244094488188981" top="0.74803149606299213" bottom="0.74803149606299213" header="0.31496062992125984" footer="0.31496062992125984"/>
  <pageSetup paperSize="9" scale="57" firstPageNumber="43" orientation="portrait" useFirstPageNumber="1" horizontalDpi="300" verticalDpi="300" r:id="rId1"/>
  <headerFooter>
    <oddHeader>&amp;C&amp;"Calibri,Bold"&amp;12POLOKWANE MUNICIPALITY
NOTES TO THE FINANCIAL STATEMENTS FOR THE YEAR ENDED 30 JUNE 2016</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6"/>
  <sheetViews>
    <sheetView topLeftCell="A50" workbookViewId="0">
      <selection activeCell="C80" sqref="C80"/>
    </sheetView>
  </sheetViews>
  <sheetFormatPr defaultRowHeight="12.75" x14ac:dyDescent="0.2"/>
  <cols>
    <col min="1" max="1" width="9.140625" style="318"/>
    <col min="2" max="2" width="47.7109375" style="318" customWidth="1"/>
    <col min="3" max="3" width="16" style="318" customWidth="1"/>
    <col min="4" max="4" width="16.28515625" style="318" customWidth="1"/>
    <col min="5" max="5" width="5.28515625" style="318" customWidth="1"/>
    <col min="6" max="6" width="9.140625" style="318"/>
    <col min="7" max="7" width="13.85546875" style="318" bestFit="1" customWidth="1"/>
    <col min="8" max="16384" width="9.140625" style="318"/>
  </cols>
  <sheetData>
    <row r="2" spans="1:7" x14ac:dyDescent="0.2">
      <c r="B2" s="233"/>
    </row>
    <row r="3" spans="1:7" x14ac:dyDescent="0.2">
      <c r="B3" s="140"/>
    </row>
    <row r="4" spans="1:7" x14ac:dyDescent="0.2">
      <c r="A4" s="536" t="s">
        <v>3079</v>
      </c>
      <c r="B4" s="310" t="s">
        <v>18</v>
      </c>
      <c r="C4" s="243" t="s">
        <v>3900</v>
      </c>
      <c r="D4" s="243" t="s">
        <v>3575</v>
      </c>
    </row>
    <row r="5" spans="1:7" x14ac:dyDescent="0.2">
      <c r="B5" s="310"/>
      <c r="C5" s="242" t="s">
        <v>59</v>
      </c>
      <c r="D5" s="242" t="s">
        <v>59</v>
      </c>
    </row>
    <row r="6" spans="1:7" x14ac:dyDescent="0.2">
      <c r="B6" s="310"/>
      <c r="C6" s="242"/>
      <c r="D6" s="242"/>
    </row>
    <row r="7" spans="1:7" ht="12.75" customHeight="1" x14ac:dyDescent="0.2">
      <c r="B7" s="223" t="s">
        <v>3068</v>
      </c>
      <c r="C7" s="1239">
        <f>C8</f>
        <v>617158459.26999998</v>
      </c>
      <c r="D7" s="1239">
        <f>+D8</f>
        <v>624423999.02999997</v>
      </c>
      <c r="G7" s="463"/>
    </row>
    <row r="8" spans="1:7" ht="12.75" customHeight="1" x14ac:dyDescent="0.2">
      <c r="B8" s="36" t="s">
        <v>3485</v>
      </c>
      <c r="C8" s="1212">
        <v>617158459.26999998</v>
      </c>
      <c r="D8" s="1212">
        <v>624423999.02999997</v>
      </c>
    </row>
    <row r="9" spans="1:7" ht="12.75" hidden="1" customHeight="1" x14ac:dyDescent="0.2">
      <c r="B9" s="36"/>
      <c r="C9" s="234"/>
      <c r="D9" s="234"/>
    </row>
    <row r="10" spans="1:7" ht="12.75" hidden="1" customHeight="1" x14ac:dyDescent="0.2">
      <c r="B10" s="36"/>
      <c r="C10" s="234"/>
      <c r="D10" s="234"/>
    </row>
    <row r="11" spans="1:7" ht="12.75" hidden="1" customHeight="1" x14ac:dyDescent="0.2">
      <c r="B11" s="36"/>
      <c r="C11" s="234"/>
      <c r="D11" s="234"/>
    </row>
    <row r="12" spans="1:7" ht="12.75" customHeight="1" x14ac:dyDescent="0.2">
      <c r="B12" s="36"/>
      <c r="C12" s="235"/>
      <c r="D12" s="315"/>
    </row>
    <row r="13" spans="1:7" ht="12.75" customHeight="1" x14ac:dyDescent="0.2">
      <c r="B13" s="36" t="s">
        <v>818</v>
      </c>
      <c r="C13" s="234">
        <v>17025245.289999999</v>
      </c>
      <c r="D13" s="234"/>
    </row>
    <row r="14" spans="1:7" ht="12.75" customHeight="1" x14ac:dyDescent="0.2">
      <c r="B14" s="36" t="s">
        <v>3383</v>
      </c>
      <c r="C14" s="1212">
        <v>24304533.010000002</v>
      </c>
      <c r="D14" s="1212">
        <v>23822460.239999998</v>
      </c>
      <c r="G14" s="463"/>
    </row>
    <row r="15" spans="1:7" ht="12.75" customHeight="1" x14ac:dyDescent="0.2">
      <c r="B15" s="36" t="s">
        <v>3646</v>
      </c>
      <c r="C15" s="1212">
        <v>1000</v>
      </c>
      <c r="D15" s="1217">
        <v>-31088000</v>
      </c>
      <c r="G15" s="463"/>
    </row>
    <row r="16" spans="1:7" ht="12.75" hidden="1" customHeight="1" x14ac:dyDescent="0.2">
      <c r="B16" s="36" t="s">
        <v>3067</v>
      </c>
      <c r="C16" s="234"/>
      <c r="D16" s="234"/>
    </row>
    <row r="17" spans="2:7" ht="12.75" hidden="1" customHeight="1" x14ac:dyDescent="0.2">
      <c r="B17" s="996" t="s">
        <v>820</v>
      </c>
      <c r="C17" s="234"/>
      <c r="D17" s="526"/>
    </row>
    <row r="18" spans="2:7" ht="12.75" hidden="1" customHeight="1" x14ac:dyDescent="0.2">
      <c r="B18" s="36" t="s">
        <v>1043</v>
      </c>
      <c r="C18" s="234"/>
      <c r="D18" s="526"/>
    </row>
    <row r="19" spans="2:7" ht="12.75" hidden="1" customHeight="1" x14ac:dyDescent="0.2">
      <c r="B19" s="36" t="s">
        <v>2888</v>
      </c>
      <c r="C19" s="234"/>
      <c r="D19" s="526"/>
    </row>
    <row r="20" spans="2:7" ht="12.75" hidden="1" customHeight="1" x14ac:dyDescent="0.2">
      <c r="B20" s="36" t="s">
        <v>821</v>
      </c>
      <c r="C20" s="234"/>
      <c r="D20" s="526"/>
    </row>
    <row r="21" spans="2:7" ht="12.75" hidden="1" customHeight="1" x14ac:dyDescent="0.2">
      <c r="B21" s="36" t="s">
        <v>1044</v>
      </c>
      <c r="C21" s="234"/>
      <c r="D21" s="526"/>
    </row>
    <row r="22" spans="2:7" ht="12.75" hidden="1" customHeight="1" x14ac:dyDescent="0.2">
      <c r="B22" s="36" t="s">
        <v>3069</v>
      </c>
      <c r="C22" s="234"/>
      <c r="D22" s="234"/>
    </row>
    <row r="23" spans="2:7" ht="12.75" customHeight="1" x14ac:dyDescent="0.2">
      <c r="B23" s="223"/>
      <c r="C23" s="852"/>
      <c r="D23" s="460"/>
    </row>
    <row r="24" spans="2:7" ht="12.75" customHeight="1" x14ac:dyDescent="0.2">
      <c r="B24" s="223" t="s">
        <v>3485</v>
      </c>
      <c r="C24" s="1238">
        <f>SUM(C8:C22)</f>
        <v>658489237.56999993</v>
      </c>
      <c r="D24" s="1238">
        <f>SUM(D8:D22)</f>
        <v>617158459.26999998</v>
      </c>
      <c r="G24" s="620"/>
    </row>
    <row r="25" spans="2:7" ht="12.75" customHeight="1" x14ac:dyDescent="0.2">
      <c r="B25" s="36"/>
      <c r="C25" s="235"/>
      <c r="D25" s="235"/>
      <c r="G25" s="620"/>
    </row>
    <row r="26" spans="2:7" ht="12.75" customHeight="1" x14ac:dyDescent="0.2">
      <c r="B26" s="140"/>
      <c r="G26" s="620"/>
    </row>
    <row r="27" spans="2:7" ht="28.5" customHeight="1" x14ac:dyDescent="0.2">
      <c r="B27" s="1835" t="s">
        <v>3425</v>
      </c>
      <c r="C27" s="1835"/>
      <c r="D27" s="1835"/>
      <c r="E27" s="1293"/>
      <c r="G27" s="620"/>
    </row>
    <row r="28" spans="2:7" ht="12.75" customHeight="1" x14ac:dyDescent="0.2">
      <c r="B28" s="1836" t="s">
        <v>3801</v>
      </c>
      <c r="C28" s="1836"/>
      <c r="D28" s="1836"/>
      <c r="E28" s="1293"/>
      <c r="G28" s="620"/>
    </row>
    <row r="29" spans="2:7" ht="12.75" customHeight="1" x14ac:dyDescent="0.2">
      <c r="B29" s="1836"/>
      <c r="C29" s="1836"/>
      <c r="D29" s="1836"/>
      <c r="E29" s="1293"/>
      <c r="G29" s="620"/>
    </row>
    <row r="30" spans="2:7" ht="12.75" customHeight="1" x14ac:dyDescent="0.2">
      <c r="B30" s="941" t="s">
        <v>3426</v>
      </c>
      <c r="C30" s="1293"/>
      <c r="D30" s="1293"/>
      <c r="E30" s="1293"/>
      <c r="G30" s="620"/>
    </row>
    <row r="31" spans="2:7" ht="12.75" customHeight="1" x14ac:dyDescent="0.2">
      <c r="B31" s="941" t="s">
        <v>3427</v>
      </c>
      <c r="C31" s="1293"/>
      <c r="D31" s="1293"/>
      <c r="E31" s="1293"/>
      <c r="G31" s="620"/>
    </row>
    <row r="32" spans="2:7" ht="12.75" customHeight="1" x14ac:dyDescent="0.2">
      <c r="B32" s="1837" t="s">
        <v>3675</v>
      </c>
      <c r="C32" s="1837"/>
      <c r="D32" s="1837"/>
      <c r="E32" s="1293"/>
      <c r="G32" s="620"/>
    </row>
    <row r="33" spans="2:7" ht="12.75" customHeight="1" x14ac:dyDescent="0.2">
      <c r="B33" s="1837"/>
      <c r="C33" s="1837"/>
      <c r="D33" s="1837"/>
      <c r="E33" s="1293"/>
      <c r="G33" s="620"/>
    </row>
    <row r="34" spans="2:7" ht="12.75" customHeight="1" x14ac:dyDescent="0.2">
      <c r="B34" s="941"/>
      <c r="C34" s="1293"/>
      <c r="D34" s="1293"/>
      <c r="E34" s="1293"/>
      <c r="G34" s="620"/>
    </row>
    <row r="35" spans="2:7" ht="12.75" customHeight="1" x14ac:dyDescent="0.2">
      <c r="B35" s="941" t="s">
        <v>3428</v>
      </c>
      <c r="C35" s="1293"/>
      <c r="D35" s="1293"/>
      <c r="E35" s="1293"/>
      <c r="G35" s="620"/>
    </row>
    <row r="36" spans="2:7" ht="12.75" customHeight="1" x14ac:dyDescent="0.2">
      <c r="B36" s="1294" t="s">
        <v>4185</v>
      </c>
      <c r="C36" s="1293"/>
      <c r="D36" s="1293"/>
      <c r="E36" s="1293"/>
      <c r="G36" s="620"/>
    </row>
    <row r="37" spans="2:7" ht="12.75" customHeight="1" x14ac:dyDescent="0.2">
      <c r="B37" s="941" t="s">
        <v>3429</v>
      </c>
      <c r="C37" s="1293"/>
      <c r="D37" s="1293"/>
      <c r="E37" s="1293"/>
      <c r="G37" s="620"/>
    </row>
    <row r="38" spans="2:7" ht="12.75" customHeight="1" x14ac:dyDescent="0.2">
      <c r="B38" s="941" t="s">
        <v>3624</v>
      </c>
      <c r="C38" s="1293"/>
      <c r="D38" s="1293"/>
      <c r="E38" s="1293"/>
      <c r="G38" s="620"/>
    </row>
    <row r="39" spans="2:7" ht="12.75" customHeight="1" x14ac:dyDescent="0.2">
      <c r="B39" s="941" t="s">
        <v>3430</v>
      </c>
      <c r="C39" s="1293"/>
      <c r="D39" s="1293"/>
      <c r="E39" s="1293"/>
      <c r="G39" s="620"/>
    </row>
    <row r="40" spans="2:7" ht="12.75" customHeight="1" x14ac:dyDescent="0.2">
      <c r="B40" s="1294" t="s">
        <v>3800</v>
      </c>
      <c r="C40" s="1293"/>
      <c r="D40" s="1293"/>
      <c r="E40" s="1293"/>
      <c r="G40" s="620"/>
    </row>
    <row r="41" spans="2:7" ht="14.25" customHeight="1" x14ac:dyDescent="0.2">
      <c r="B41" s="1838" t="s">
        <v>4188</v>
      </c>
      <c r="C41" s="1838"/>
      <c r="D41" s="1838"/>
      <c r="E41" s="1293"/>
      <c r="G41" s="620"/>
    </row>
    <row r="42" spans="2:7" ht="12.75" hidden="1" customHeight="1" x14ac:dyDescent="0.2">
      <c r="B42" s="1838"/>
      <c r="C42" s="1838"/>
      <c r="D42" s="1838"/>
      <c r="E42" s="1293"/>
      <c r="G42" s="620"/>
    </row>
    <row r="43" spans="2:7" ht="12.75" customHeight="1" x14ac:dyDescent="0.2">
      <c r="B43" s="1607" t="s">
        <v>4186</v>
      </c>
      <c r="C43" s="1293"/>
      <c r="D43" s="1293"/>
      <c r="E43" s="1293"/>
      <c r="G43" s="620"/>
    </row>
    <row r="44" spans="2:7" ht="12.75" customHeight="1" x14ac:dyDescent="0.2">
      <c r="B44" s="1607" t="s">
        <v>4187</v>
      </c>
      <c r="C44" s="1293"/>
      <c r="D44" s="1293"/>
      <c r="E44" s="1293"/>
      <c r="G44" s="620"/>
    </row>
    <row r="45" spans="2:7" ht="12.75" customHeight="1" x14ac:dyDescent="0.2">
      <c r="B45" s="1306"/>
      <c r="C45" s="1306"/>
      <c r="D45" s="1306"/>
      <c r="E45" s="1306"/>
      <c r="G45" s="620"/>
    </row>
    <row r="46" spans="2:7" ht="11.25" customHeight="1" x14ac:dyDescent="0.2">
      <c r="B46" s="1836" t="s">
        <v>4190</v>
      </c>
      <c r="C46" s="1836"/>
      <c r="D46" s="1836"/>
      <c r="E46" s="1836"/>
      <c r="G46" s="620"/>
    </row>
    <row r="47" spans="2:7" ht="17.25" customHeight="1" x14ac:dyDescent="0.2">
      <c r="B47" s="1608" t="s">
        <v>4189</v>
      </c>
      <c r="G47" s="620"/>
    </row>
    <row r="48" spans="2:7" ht="17.25" customHeight="1" x14ac:dyDescent="0.2">
      <c r="B48" s="1608"/>
      <c r="G48" s="620"/>
    </row>
    <row r="49" spans="1:6" x14ac:dyDescent="0.2">
      <c r="A49" s="537">
        <v>8.3000000000000007</v>
      </c>
      <c r="B49" s="310" t="s">
        <v>324</v>
      </c>
      <c r="C49" s="243" t="s">
        <v>3900</v>
      </c>
      <c r="D49" s="243" t="s">
        <v>3575</v>
      </c>
    </row>
    <row r="50" spans="1:6" x14ac:dyDescent="0.2">
      <c r="B50" s="310"/>
      <c r="C50" s="242" t="s">
        <v>59</v>
      </c>
      <c r="D50" s="242" t="s">
        <v>59</v>
      </c>
    </row>
    <row r="51" spans="1:6" x14ac:dyDescent="0.2">
      <c r="B51" s="310"/>
      <c r="C51" s="242"/>
      <c r="D51" s="242"/>
    </row>
    <row r="52" spans="1:6" x14ac:dyDescent="0.2">
      <c r="B52" s="223" t="s">
        <v>3068</v>
      </c>
      <c r="C52" s="530">
        <f>D61</f>
        <v>15609153.25</v>
      </c>
      <c r="D52" s="530">
        <v>3671704.11</v>
      </c>
    </row>
    <row r="53" spans="1:6" x14ac:dyDescent="0.2">
      <c r="B53" s="36" t="s">
        <v>816</v>
      </c>
      <c r="C53" s="461">
        <f>D61</f>
        <v>15609153.25</v>
      </c>
      <c r="D53" s="234">
        <v>15609153.25</v>
      </c>
    </row>
    <row r="54" spans="1:6" hidden="1" x14ac:dyDescent="0.2">
      <c r="B54" s="36" t="s">
        <v>419</v>
      </c>
      <c r="C54" s="315">
        <v>0</v>
      </c>
      <c r="D54" s="315">
        <v>0</v>
      </c>
    </row>
    <row r="55" spans="1:6" x14ac:dyDescent="0.2">
      <c r="B55" s="996" t="s">
        <v>3070</v>
      </c>
      <c r="C55" s="853"/>
      <c r="D55" s="853"/>
    </row>
    <row r="56" spans="1:6" hidden="1" x14ac:dyDescent="0.2">
      <c r="B56" s="996" t="s">
        <v>419</v>
      </c>
      <c r="C56" s="853">
        <v>0</v>
      </c>
      <c r="D56" s="853">
        <v>0</v>
      </c>
    </row>
    <row r="57" spans="1:6" hidden="1" x14ac:dyDescent="0.2">
      <c r="B57" s="36" t="s">
        <v>820</v>
      </c>
      <c r="C57" s="234"/>
      <c r="D57" s="526">
        <v>0</v>
      </c>
    </row>
    <row r="58" spans="1:6" hidden="1" x14ac:dyDescent="0.2">
      <c r="B58" s="36" t="s">
        <v>821</v>
      </c>
      <c r="C58" s="234"/>
      <c r="D58" s="526"/>
    </row>
    <row r="59" spans="1:6" hidden="1" x14ac:dyDescent="0.2">
      <c r="B59" s="36" t="s">
        <v>1044</v>
      </c>
      <c r="C59" s="234"/>
      <c r="D59" s="526"/>
    </row>
    <row r="60" spans="1:6" hidden="1" x14ac:dyDescent="0.2">
      <c r="B60" s="223" t="s">
        <v>3069</v>
      </c>
      <c r="C60" s="460">
        <v>3671704.1209999998</v>
      </c>
      <c r="D60" s="460">
        <v>3671704.11</v>
      </c>
    </row>
    <row r="61" spans="1:6" s="459" customFormat="1" x14ac:dyDescent="0.2">
      <c r="B61" s="223" t="s">
        <v>3069</v>
      </c>
      <c r="C61" s="927">
        <f>C53+C55</f>
        <v>15609153.25</v>
      </c>
      <c r="D61" s="927">
        <f>D53+D55</f>
        <v>15609153.25</v>
      </c>
    </row>
    <row r="62" spans="1:6" hidden="1" x14ac:dyDescent="0.2">
      <c r="B62" s="36" t="s">
        <v>419</v>
      </c>
      <c r="C62" s="235"/>
      <c r="D62" s="315">
        <f>D54+D57+D59</f>
        <v>0</v>
      </c>
    </row>
    <row r="64" spans="1:6" ht="12.75" customHeight="1" x14ac:dyDescent="0.2">
      <c r="B64" s="1833" t="s">
        <v>4191</v>
      </c>
      <c r="C64" s="1833"/>
      <c r="D64" s="1833"/>
      <c r="E64" s="1833"/>
      <c r="F64" s="1833"/>
    </row>
    <row r="65" spans="1:6" x14ac:dyDescent="0.2">
      <c r="B65" s="1833"/>
      <c r="C65" s="1833"/>
      <c r="D65" s="1833"/>
      <c r="E65" s="1833"/>
      <c r="F65" s="1833"/>
    </row>
    <row r="66" spans="1:6" x14ac:dyDescent="0.2">
      <c r="B66" s="1833"/>
      <c r="C66" s="1833"/>
      <c r="D66" s="1833"/>
      <c r="E66" s="1833"/>
      <c r="F66" s="1833"/>
    </row>
    <row r="67" spans="1:6" x14ac:dyDescent="0.2">
      <c r="B67" s="1833"/>
      <c r="C67" s="1833"/>
      <c r="D67" s="1833"/>
      <c r="E67" s="1833"/>
      <c r="F67" s="1833"/>
    </row>
    <row r="68" spans="1:6" ht="0.75" customHeight="1" x14ac:dyDescent="0.2">
      <c r="B68" s="1833"/>
      <c r="C68" s="1833"/>
      <c r="D68" s="1833"/>
      <c r="E68" s="1833"/>
      <c r="F68" s="1833"/>
    </row>
    <row r="69" spans="1:6" hidden="1" x14ac:dyDescent="0.2">
      <c r="B69" s="995" t="s">
        <v>3652</v>
      </c>
    </row>
    <row r="70" spans="1:6" hidden="1" x14ac:dyDescent="0.2">
      <c r="B70" s="995" t="s">
        <v>3653</v>
      </c>
    </row>
    <row r="71" spans="1:6" ht="18" hidden="1" customHeight="1" x14ac:dyDescent="0.2">
      <c r="B71" s="233" t="s">
        <v>3143</v>
      </c>
    </row>
    <row r="72" spans="1:6" x14ac:dyDescent="0.2">
      <c r="B72" s="233"/>
    </row>
    <row r="73" spans="1:6" x14ac:dyDescent="0.2">
      <c r="A73" s="537">
        <v>8.4</v>
      </c>
      <c r="B73" s="260" t="s">
        <v>326</v>
      </c>
      <c r="C73" s="243" t="s">
        <v>3900</v>
      </c>
      <c r="D73" s="243" t="s">
        <v>3575</v>
      </c>
    </row>
    <row r="74" spans="1:6" x14ac:dyDescent="0.2">
      <c r="B74" s="260"/>
      <c r="C74" s="528" t="s">
        <v>59</v>
      </c>
      <c r="D74" s="528" t="s">
        <v>59</v>
      </c>
    </row>
    <row r="75" spans="1:6" x14ac:dyDescent="0.2">
      <c r="B75" s="531" t="s">
        <v>296</v>
      </c>
    </row>
    <row r="76" spans="1:6" x14ac:dyDescent="0.2">
      <c r="B76" s="223" t="s">
        <v>3068</v>
      </c>
      <c r="C76" s="530">
        <f>C77+C78</f>
        <v>14277750</v>
      </c>
      <c r="D76" s="530">
        <f>D77+D78</f>
        <v>16633000</v>
      </c>
    </row>
    <row r="77" spans="1:6" x14ac:dyDescent="0.2">
      <c r="B77" s="36" t="s">
        <v>3149</v>
      </c>
      <c r="C77" s="461">
        <f>+D88</f>
        <v>14277750</v>
      </c>
      <c r="D77" s="234">
        <v>16633000</v>
      </c>
    </row>
    <row r="78" spans="1:6" hidden="1" x14ac:dyDescent="0.2">
      <c r="B78" s="36" t="s">
        <v>419</v>
      </c>
      <c r="C78" s="315">
        <v>0</v>
      </c>
      <c r="D78" s="315">
        <v>0</v>
      </c>
    </row>
    <row r="79" spans="1:6" hidden="1" x14ac:dyDescent="0.2">
      <c r="B79" s="36" t="s">
        <v>818</v>
      </c>
      <c r="C79" s="234"/>
      <c r="D79" s="234"/>
    </row>
    <row r="80" spans="1:6" x14ac:dyDescent="0.2">
      <c r="B80" s="996" t="s">
        <v>3070</v>
      </c>
      <c r="C80" s="526">
        <v>-6190029.3399999999</v>
      </c>
      <c r="D80" s="234">
        <v>-1626750</v>
      </c>
    </row>
    <row r="81" spans="2:4" hidden="1" x14ac:dyDescent="0.2">
      <c r="B81" s="36" t="s">
        <v>820</v>
      </c>
      <c r="C81" s="1030"/>
      <c r="D81" s="526">
        <f>-7304647+7304647</f>
        <v>0</v>
      </c>
    </row>
    <row r="82" spans="2:4" hidden="1" x14ac:dyDescent="0.2">
      <c r="B82" s="36" t="s">
        <v>1043</v>
      </c>
      <c r="C82" s="1030"/>
      <c r="D82" s="526"/>
    </row>
    <row r="83" spans="2:4" hidden="1" x14ac:dyDescent="0.2">
      <c r="B83" s="36" t="s">
        <v>2887</v>
      </c>
      <c r="C83" s="1030"/>
      <c r="D83" s="526"/>
    </row>
    <row r="84" spans="2:4" x14ac:dyDescent="0.2">
      <c r="B84" s="36" t="s">
        <v>821</v>
      </c>
      <c r="C84" s="526"/>
      <c r="D84" s="526">
        <v>-728500</v>
      </c>
    </row>
    <row r="85" spans="2:4" hidden="1" x14ac:dyDescent="0.2">
      <c r="B85" s="36" t="s">
        <v>1044</v>
      </c>
      <c r="C85" s="1030"/>
      <c r="D85" s="526"/>
    </row>
    <row r="86" spans="2:4" x14ac:dyDescent="0.2">
      <c r="B86" s="223" t="s">
        <v>3069</v>
      </c>
      <c r="C86" s="1031">
        <f>C88+C89</f>
        <v>8087720.6600000001</v>
      </c>
      <c r="D86" s="460">
        <f>D88+D89</f>
        <v>14277750</v>
      </c>
    </row>
    <row r="87" spans="2:4" x14ac:dyDescent="0.2">
      <c r="B87" s="223"/>
      <c r="C87" s="1031"/>
      <c r="D87" s="460"/>
    </row>
    <row r="88" spans="2:4" s="459" customFormat="1" x14ac:dyDescent="0.2">
      <c r="B88" s="223" t="s">
        <v>3149</v>
      </c>
      <c r="C88" s="927">
        <f>C77+C79+C80+C82+C83+C84</f>
        <v>8087720.6600000001</v>
      </c>
      <c r="D88" s="927">
        <f>D77+D79+D80+D82+D83+D84</f>
        <v>14277750</v>
      </c>
    </row>
    <row r="89" spans="2:4" hidden="1" x14ac:dyDescent="0.2">
      <c r="B89" s="36" t="s">
        <v>419</v>
      </c>
      <c r="C89" s="235">
        <f>C78+C81+C85</f>
        <v>0</v>
      </c>
      <c r="D89" s="315">
        <f>D78+D81+D85</f>
        <v>0</v>
      </c>
    </row>
    <row r="91" spans="2:4" x14ac:dyDescent="0.2">
      <c r="B91" s="1032" t="s">
        <v>3078</v>
      </c>
    </row>
    <row r="92" spans="2:4" x14ac:dyDescent="0.2">
      <c r="B92" s="255" t="s">
        <v>4127</v>
      </c>
    </row>
    <row r="94" spans="2:4" x14ac:dyDescent="0.2">
      <c r="B94" s="1834"/>
      <c r="C94" s="1834"/>
      <c r="D94" s="1834"/>
    </row>
    <row r="95" spans="2:4" x14ac:dyDescent="0.2">
      <c r="B95" s="1834"/>
      <c r="C95" s="1834"/>
      <c r="D95" s="1834"/>
    </row>
    <row r="96" spans="2:4" x14ac:dyDescent="0.2">
      <c r="B96" s="1834"/>
      <c r="C96" s="1834"/>
      <c r="D96" s="1834"/>
    </row>
  </sheetData>
  <mergeCells count="7">
    <mergeCell ref="B64:F68"/>
    <mergeCell ref="B94:D96"/>
    <mergeCell ref="B27:D27"/>
    <mergeCell ref="B28:D29"/>
    <mergeCell ref="B32:D33"/>
    <mergeCell ref="B41:D42"/>
    <mergeCell ref="B46:E46"/>
  </mergeCells>
  <pageMargins left="0.70866141732283472" right="0.70866141732283472" top="0.74803149606299213" bottom="0.74803149606299213" header="0.31496062992125984" footer="0.31496062992125984"/>
  <pageSetup scale="66" firstPageNumber="44" orientation="portrait" useFirstPageNumber="1" r:id="rId1"/>
  <headerFooter>
    <oddHeader>&amp;C&amp;"-,Bold"POLOKWANE MUNICIPALITY
NOTES TO THE FINANCIAL STATEMENTS FOR THE YEAR ENDED 30 LUNE 2016</oddHeader>
    <oddFooter>&amp;C&amp;P</oddFooter>
  </headerFooter>
  <colBreaks count="1" manualBreakCount="1">
    <brk id="9" max="59"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V1005"/>
  <sheetViews>
    <sheetView showGridLines="0" topLeftCell="B757" zoomScaleNormal="100" zoomScaleSheetLayoutView="70" workbookViewId="0">
      <selection activeCell="K773" sqref="K773"/>
    </sheetView>
  </sheetViews>
  <sheetFormatPr defaultRowHeight="12.75" x14ac:dyDescent="0.2"/>
  <cols>
    <col min="1" max="1" width="13.5703125" style="255" customWidth="1"/>
    <col min="2" max="2" width="5.85546875" style="527" customWidth="1"/>
    <col min="3" max="3" width="8.28515625" style="723" customWidth="1"/>
    <col min="4" max="4" width="48.5703125" style="255" customWidth="1"/>
    <col min="5" max="5" width="17.28515625" style="255" customWidth="1"/>
    <col min="6" max="6" width="17" style="736" hidden="1" customWidth="1"/>
    <col min="7" max="7" width="17.85546875" style="714" customWidth="1"/>
    <col min="8" max="8" width="18.42578125" style="789" customWidth="1"/>
    <col min="9" max="9" width="1.5703125" style="790" customWidth="1"/>
    <col min="10" max="10" width="17.140625" style="789" customWidth="1"/>
    <col min="11" max="11" width="16" style="255" bestFit="1" customWidth="1"/>
    <col min="12" max="12" width="12.7109375" style="714" bestFit="1" customWidth="1"/>
    <col min="13" max="13" width="8" style="1137" bestFit="1" customWidth="1"/>
    <col min="14" max="14" width="17.5703125" style="1137" customWidth="1"/>
    <col min="15" max="15" width="20.5703125" style="1137" customWidth="1"/>
    <col min="16" max="16" width="12.140625" style="1137" bestFit="1" customWidth="1"/>
    <col min="17" max="19" width="9.140625" style="255"/>
    <col min="20" max="20" width="11.5703125" style="255" bestFit="1" customWidth="1"/>
    <col min="21" max="21" width="9.140625" style="255"/>
    <col min="22" max="22" width="13" style="790" customWidth="1"/>
    <col min="23" max="16384" width="9.140625" style="255"/>
  </cols>
  <sheetData>
    <row r="1" spans="2:22" x14ac:dyDescent="0.2">
      <c r="B1" s="712"/>
      <c r="C1" s="713"/>
      <c r="D1" s="714"/>
      <c r="E1" s="714"/>
      <c r="F1" s="715"/>
      <c r="H1" s="781"/>
      <c r="I1" s="782"/>
      <c r="J1" s="783" t="s">
        <v>296</v>
      </c>
      <c r="K1" s="714"/>
    </row>
    <row r="2" spans="2:22" x14ac:dyDescent="0.2">
      <c r="B2" s="712"/>
      <c r="C2" s="713"/>
      <c r="D2" s="714"/>
      <c r="E2" s="714"/>
      <c r="F2" s="715"/>
      <c r="H2" s="784" t="s">
        <v>3900</v>
      </c>
      <c r="I2" s="785"/>
      <c r="J2" s="784" t="s">
        <v>3575</v>
      </c>
      <c r="K2" s="714"/>
    </row>
    <row r="3" spans="2:22" x14ac:dyDescent="0.2">
      <c r="B3" s="712"/>
      <c r="C3" s="713"/>
      <c r="D3" s="714"/>
      <c r="E3" s="714"/>
      <c r="F3" s="715"/>
      <c r="H3" s="783" t="s">
        <v>59</v>
      </c>
      <c r="I3" s="785"/>
      <c r="J3" s="783" t="s">
        <v>59</v>
      </c>
      <c r="K3" s="714"/>
    </row>
    <row r="4" spans="2:22" s="728" customFormat="1" x14ac:dyDescent="0.2">
      <c r="B4" s="719" t="s">
        <v>576</v>
      </c>
      <c r="C4" s="720"/>
      <c r="D4" s="532" t="s">
        <v>266</v>
      </c>
      <c r="E4" s="532"/>
      <c r="F4" s="721"/>
      <c r="G4" s="722"/>
      <c r="H4" s="786"/>
      <c r="I4" s="786"/>
      <c r="J4" s="242" t="s">
        <v>3136</v>
      </c>
      <c r="K4" s="722"/>
      <c r="L4" s="722"/>
      <c r="M4" s="1138"/>
      <c r="N4" s="1138"/>
      <c r="O4" s="1138"/>
      <c r="P4" s="1138"/>
      <c r="V4" s="788"/>
    </row>
    <row r="5" spans="2:22" s="728" customFormat="1" x14ac:dyDescent="0.2">
      <c r="B5" s="527"/>
      <c r="C5" s="723"/>
      <c r="D5" s="532"/>
      <c r="E5" s="532"/>
      <c r="F5" s="721"/>
      <c r="G5" s="722"/>
      <c r="H5" s="786"/>
      <c r="I5" s="786"/>
      <c r="J5" s="786"/>
      <c r="K5" s="722"/>
      <c r="L5" s="722"/>
      <c r="M5" s="1138"/>
      <c r="N5" s="1138"/>
      <c r="O5" s="1138"/>
      <c r="P5" s="1138"/>
      <c r="V5" s="788"/>
    </row>
    <row r="6" spans="2:22" x14ac:dyDescent="0.2">
      <c r="B6" s="405"/>
      <c r="C6" s="724"/>
      <c r="D6" s="532" t="s">
        <v>219</v>
      </c>
      <c r="E6" s="532"/>
      <c r="F6" s="721"/>
      <c r="G6" s="722"/>
      <c r="H6" s="787"/>
      <c r="I6" s="786"/>
      <c r="J6" s="787"/>
      <c r="K6" s="714"/>
    </row>
    <row r="7" spans="2:22" x14ac:dyDescent="0.2">
      <c r="B7" s="405"/>
      <c r="C7" s="724"/>
      <c r="D7" s="1589" t="s">
        <v>3849</v>
      </c>
      <c r="E7" s="1589"/>
      <c r="F7" s="715"/>
      <c r="H7" s="781">
        <f>'TB4'!X146</f>
        <v>58999800</v>
      </c>
      <c r="I7" s="782"/>
      <c r="J7" s="781">
        <f>'TB4'!U146</f>
        <v>58999800</v>
      </c>
      <c r="K7" s="714"/>
    </row>
    <row r="8" spans="2:22" x14ac:dyDescent="0.2">
      <c r="B8" s="405"/>
      <c r="C8" s="724"/>
      <c r="D8" s="1589" t="s">
        <v>3944</v>
      </c>
      <c r="E8" s="1589"/>
      <c r="F8" s="715"/>
      <c r="H8" s="781"/>
      <c r="I8" s="782"/>
      <c r="J8" s="781"/>
      <c r="K8" s="714"/>
    </row>
    <row r="9" spans="2:22" x14ac:dyDescent="0.2">
      <c r="B9" s="405"/>
      <c r="C9" s="724"/>
      <c r="D9" s="164" t="s">
        <v>3483</v>
      </c>
      <c r="E9" s="1589"/>
      <c r="F9" s="715"/>
      <c r="H9" s="781">
        <f>'TB4'!X147</f>
        <v>1000</v>
      </c>
      <c r="I9" s="782"/>
      <c r="J9" s="781">
        <f>'TB4'!U147</f>
        <v>1000</v>
      </c>
      <c r="K9" s="714"/>
    </row>
    <row r="10" spans="2:22" ht="13.5" thickBot="1" x14ac:dyDescent="0.25">
      <c r="B10" s="405"/>
      <c r="C10" s="724"/>
      <c r="D10" s="1589"/>
      <c r="E10" s="1589"/>
      <c r="F10" s="715"/>
      <c r="H10" s="1453">
        <f>SUM(H7:H9)</f>
        <v>59000800</v>
      </c>
      <c r="I10" s="786"/>
      <c r="J10" s="1453">
        <f>SUM(J7:J9)</f>
        <v>59000800</v>
      </c>
      <c r="K10" s="714"/>
    </row>
    <row r="11" spans="2:22" ht="13.5" hidden="1" thickTop="1" x14ac:dyDescent="0.2">
      <c r="D11" s="532" t="s">
        <v>3774</v>
      </c>
      <c r="E11" s="532"/>
      <c r="F11" s="715"/>
      <c r="H11" s="787"/>
      <c r="I11" s="786"/>
      <c r="J11" s="787" t="s">
        <v>296</v>
      </c>
      <c r="K11" s="714"/>
    </row>
    <row r="12" spans="2:22" ht="16.5" hidden="1" customHeight="1" x14ac:dyDescent="0.2">
      <c r="D12" s="532" t="s">
        <v>3137</v>
      </c>
      <c r="E12" s="1589"/>
      <c r="F12" s="715"/>
      <c r="H12" s="781" t="s">
        <v>296</v>
      </c>
      <c r="I12" s="782"/>
      <c r="J12" s="781" t="s">
        <v>296</v>
      </c>
      <c r="K12" s="714"/>
    </row>
    <row r="13" spans="2:22" hidden="1" x14ac:dyDescent="0.2">
      <c r="D13" s="1589" t="s">
        <v>3487</v>
      </c>
      <c r="E13" s="727"/>
      <c r="F13" s="715"/>
      <c r="H13" s="1454">
        <v>0</v>
      </c>
      <c r="I13" s="782"/>
      <c r="J13" s="781">
        <v>0</v>
      </c>
      <c r="K13" s="714"/>
    </row>
    <row r="14" spans="2:22" hidden="1" x14ac:dyDescent="0.2">
      <c r="D14" s="1589" t="s">
        <v>3676</v>
      </c>
      <c r="E14" s="727"/>
      <c r="F14" s="715"/>
      <c r="H14" s="781">
        <v>0</v>
      </c>
      <c r="I14" s="782"/>
      <c r="J14" s="781">
        <v>0</v>
      </c>
      <c r="K14" s="714"/>
    </row>
    <row r="15" spans="2:22" s="728" customFormat="1" ht="13.5" hidden="1" thickBot="1" x14ac:dyDescent="0.25">
      <c r="B15" s="527"/>
      <c r="C15" s="723"/>
      <c r="G15" s="722"/>
      <c r="H15" s="1453">
        <f>SUM(H13:H14)</f>
        <v>0</v>
      </c>
      <c r="I15" s="788"/>
      <c r="J15" s="1453">
        <f>SUM(J13:J14)</f>
        <v>0</v>
      </c>
      <c r="K15" s="722"/>
      <c r="L15" s="722"/>
      <c r="M15" s="1138"/>
      <c r="N15" s="1138"/>
      <c r="O15" s="1138"/>
      <c r="P15" s="1138"/>
      <c r="V15" s="788"/>
    </row>
    <row r="16" spans="2:22" ht="13.5" thickTop="1" x14ac:dyDescent="0.2">
      <c r="D16" s="1589"/>
      <c r="E16" s="1589"/>
      <c r="F16" s="715"/>
      <c r="H16" s="781"/>
      <c r="I16" s="782"/>
      <c r="J16" s="781"/>
      <c r="K16" s="714"/>
    </row>
    <row r="17" spans="2:22" s="728" customFormat="1" ht="13.5" thickBot="1" x14ac:dyDescent="0.25">
      <c r="B17" s="527"/>
      <c r="C17" s="723"/>
      <c r="D17" s="532" t="s">
        <v>395</v>
      </c>
      <c r="E17" s="532"/>
      <c r="F17" s="721"/>
      <c r="G17" s="722"/>
      <c r="H17" s="1455">
        <f>+H10+H15</f>
        <v>59000800</v>
      </c>
      <c r="I17" s="786"/>
      <c r="J17" s="1455">
        <f>+J10+J15</f>
        <v>59000800</v>
      </c>
      <c r="K17" s="722"/>
      <c r="L17" s="722"/>
      <c r="M17" s="1138"/>
      <c r="N17" s="1138"/>
      <c r="O17" s="1138"/>
      <c r="P17" s="1138"/>
      <c r="V17" s="788"/>
    </row>
    <row r="18" spans="2:22" ht="13.5" thickTop="1" x14ac:dyDescent="0.2">
      <c r="D18" s="1589"/>
      <c r="E18" s="1589"/>
      <c r="F18" s="715"/>
      <c r="H18" s="781"/>
      <c r="I18" s="782"/>
      <c r="J18" s="781"/>
      <c r="K18" s="714"/>
    </row>
    <row r="19" spans="2:22" ht="13.5" thickBot="1" x14ac:dyDescent="0.25">
      <c r="D19" s="1589" t="s">
        <v>423</v>
      </c>
      <c r="E19" s="727"/>
      <c r="F19" s="715"/>
      <c r="H19" s="1455">
        <v>59000800</v>
      </c>
      <c r="I19" s="782"/>
      <c r="J19" s="1455">
        <v>59000800</v>
      </c>
      <c r="K19" s="714"/>
    </row>
    <row r="20" spans="2:22" ht="13.5" thickTop="1" x14ac:dyDescent="0.2">
      <c r="D20" s="1589"/>
      <c r="E20" s="727"/>
      <c r="F20" s="715"/>
      <c r="H20" s="787"/>
      <c r="I20" s="782"/>
      <c r="J20" s="787"/>
      <c r="K20" s="714"/>
    </row>
    <row r="21" spans="2:22" ht="38.25" x14ac:dyDescent="0.2">
      <c r="D21" s="735" t="s">
        <v>4212</v>
      </c>
      <c r="E21" s="714"/>
      <c r="F21" s="715"/>
      <c r="H21" s="781"/>
      <c r="I21" s="782"/>
      <c r="J21" s="781"/>
      <c r="K21" s="714"/>
    </row>
    <row r="22" spans="2:22" ht="27.75" customHeight="1" x14ac:dyDescent="0.2">
      <c r="D22" s="729" t="s">
        <v>3690</v>
      </c>
      <c r="E22" s="730"/>
      <c r="F22" s="715"/>
      <c r="H22" s="782"/>
      <c r="I22" s="782"/>
      <c r="J22" s="782"/>
      <c r="K22" s="714"/>
    </row>
    <row r="23" spans="2:22" ht="25.5" x14ac:dyDescent="0.2">
      <c r="D23" s="730" t="s">
        <v>2466</v>
      </c>
      <c r="E23" s="714"/>
      <c r="F23" s="715"/>
      <c r="H23" s="781"/>
      <c r="I23" s="782"/>
      <c r="J23" s="781"/>
      <c r="K23" s="714"/>
    </row>
    <row r="24" spans="2:22" x14ac:dyDescent="0.2">
      <c r="D24" s="730"/>
      <c r="E24" s="714"/>
      <c r="F24" s="715"/>
      <c r="H24" s="781"/>
      <c r="I24" s="782"/>
      <c r="J24" s="781"/>
      <c r="K24" s="714"/>
    </row>
    <row r="25" spans="2:22" x14ac:dyDescent="0.2">
      <c r="B25" s="719">
        <v>10</v>
      </c>
      <c r="C25" s="720"/>
      <c r="D25" s="532" t="s">
        <v>2900</v>
      </c>
      <c r="E25" s="532"/>
      <c r="F25" s="715"/>
      <c r="H25" s="783"/>
      <c r="I25" s="785"/>
      <c r="J25" s="783"/>
      <c r="K25" s="714"/>
    </row>
    <row r="26" spans="2:22" x14ac:dyDescent="0.2">
      <c r="B26" s="719"/>
      <c r="C26" s="720"/>
      <c r="D26" s="532"/>
      <c r="E26" s="532"/>
      <c r="F26" s="715"/>
      <c r="H26" s="783"/>
      <c r="I26" s="785"/>
      <c r="J26" s="783"/>
      <c r="K26" s="714"/>
    </row>
    <row r="27" spans="2:22" x14ac:dyDescent="0.2">
      <c r="B27" s="719"/>
      <c r="C27" s="720"/>
      <c r="E27" s="532"/>
      <c r="F27" s="715"/>
      <c r="H27" s="783"/>
      <c r="I27" s="785"/>
      <c r="J27" s="783"/>
      <c r="K27" s="714"/>
    </row>
    <row r="28" spans="2:22" x14ac:dyDescent="0.2">
      <c r="E28" s="532"/>
      <c r="F28" s="715"/>
      <c r="H28" s="781" t="s">
        <v>296</v>
      </c>
      <c r="I28" s="782"/>
      <c r="J28" s="781"/>
      <c r="K28" s="714"/>
    </row>
    <row r="29" spans="2:22" x14ac:dyDescent="0.2">
      <c r="D29" s="1589" t="s">
        <v>425</v>
      </c>
      <c r="E29" s="1589"/>
      <c r="F29" s="715"/>
      <c r="H29" s="781">
        <f>'TB4'!X162</f>
        <v>163828.62</v>
      </c>
      <c r="I29" s="782"/>
      <c r="J29" s="781">
        <f>'TB4'!U162</f>
        <v>166835.56</v>
      </c>
      <c r="K29" s="714"/>
    </row>
    <row r="30" spans="2:22" x14ac:dyDescent="0.2">
      <c r="D30" s="1589" t="s">
        <v>886</v>
      </c>
      <c r="E30" s="1589"/>
      <c r="F30" s="715"/>
      <c r="H30" s="781">
        <f>'TB4'!X164</f>
        <v>0</v>
      </c>
      <c r="I30" s="782"/>
      <c r="J30" s="781">
        <f>'TB4'!U164</f>
        <v>187670.31</v>
      </c>
      <c r="K30" s="714"/>
    </row>
    <row r="31" spans="2:22" x14ac:dyDescent="0.2">
      <c r="D31" s="1589" t="s">
        <v>887</v>
      </c>
      <c r="E31" s="1589"/>
      <c r="F31" s="715"/>
      <c r="H31" s="781">
        <f>'TB4'!X170</f>
        <v>5512447.6100000003</v>
      </c>
      <c r="I31" s="782"/>
      <c r="J31" s="781">
        <f>'TB4'!U170</f>
        <v>5687352.04</v>
      </c>
      <c r="K31" s="714"/>
    </row>
    <row r="32" spans="2:22" hidden="1" x14ac:dyDescent="0.2">
      <c r="D32" s="1589" t="s">
        <v>896</v>
      </c>
      <c r="E32" s="1589"/>
      <c r="F32" s="715"/>
      <c r="H32" s="1454">
        <f>'TB4'!U172</f>
        <v>0</v>
      </c>
      <c r="I32" s="782"/>
      <c r="J32" s="781">
        <f>'TB4'!U172</f>
        <v>0</v>
      </c>
      <c r="K32" s="714"/>
    </row>
    <row r="33" spans="2:22" ht="13.5" thickBot="1" x14ac:dyDescent="0.25">
      <c r="D33" s="532" t="s">
        <v>3716</v>
      </c>
      <c r="E33" s="1589"/>
      <c r="F33" s="715"/>
      <c r="H33" s="1456">
        <f>SUM(H29:H32)</f>
        <v>5676276.2300000004</v>
      </c>
      <c r="I33" s="786"/>
      <c r="J33" s="1456">
        <f>SUM(J29:J32)</f>
        <v>6041857.9100000001</v>
      </c>
      <c r="K33" s="714"/>
    </row>
    <row r="34" spans="2:22" ht="13.5" thickTop="1" x14ac:dyDescent="0.2">
      <c r="D34" s="1589"/>
      <c r="E34" s="1589"/>
      <c r="F34" s="715"/>
      <c r="H34" s="1457"/>
      <c r="I34" s="786"/>
      <c r="J34" s="787"/>
      <c r="K34" s="714"/>
    </row>
    <row r="35" spans="2:22" x14ac:dyDescent="0.2">
      <c r="D35" s="532"/>
      <c r="E35" s="1589"/>
      <c r="F35" s="715"/>
      <c r="H35" s="1457"/>
      <c r="I35" s="786"/>
      <c r="J35" s="787"/>
      <c r="K35" s="714"/>
    </row>
    <row r="36" spans="2:22" x14ac:dyDescent="0.2">
      <c r="D36" s="532"/>
      <c r="E36" s="1589"/>
      <c r="F36" s="715"/>
      <c r="H36" s="1457"/>
      <c r="I36" s="786"/>
      <c r="J36" s="787"/>
      <c r="K36" s="714"/>
    </row>
    <row r="37" spans="2:22" x14ac:dyDescent="0.2">
      <c r="B37" s="405"/>
      <c r="C37" s="724"/>
      <c r="D37" s="532" t="s">
        <v>3717</v>
      </c>
      <c r="E37" s="1589"/>
      <c r="F37" s="715"/>
      <c r="H37" s="787">
        <f>SUM(H38:H41)</f>
        <v>5466103.6099999994</v>
      </c>
      <c r="I37" s="782"/>
      <c r="J37" s="787">
        <f>SUM(J38:J41)</f>
        <v>5666186.6672170907</v>
      </c>
      <c r="K37" s="714"/>
    </row>
    <row r="38" spans="2:22" x14ac:dyDescent="0.2">
      <c r="D38" s="727" t="s">
        <v>425</v>
      </c>
      <c r="E38" s="727"/>
      <c r="F38" s="715"/>
      <c r="H38" s="1458">
        <v>3316.77</v>
      </c>
      <c r="I38" s="782"/>
      <c r="J38" s="1458">
        <v>2241.1823743009218</v>
      </c>
      <c r="K38" s="714"/>
    </row>
    <row r="39" spans="2:22" x14ac:dyDescent="0.2">
      <c r="D39" s="1589" t="s">
        <v>2937</v>
      </c>
      <c r="E39" s="727"/>
      <c r="F39" s="715"/>
      <c r="H39" s="1459">
        <v>0</v>
      </c>
      <c r="I39" s="782"/>
      <c r="J39" s="1459">
        <v>27798.98</v>
      </c>
      <c r="K39" s="714"/>
    </row>
    <row r="40" spans="2:22" x14ac:dyDescent="0.2">
      <c r="D40" s="727" t="s">
        <v>887</v>
      </c>
      <c r="E40" s="727"/>
      <c r="F40" s="715"/>
      <c r="H40" s="1460">
        <v>5462786.8399999999</v>
      </c>
      <c r="I40" s="782"/>
      <c r="J40" s="1460">
        <v>5636146.5048427898</v>
      </c>
      <c r="K40" s="714"/>
    </row>
    <row r="41" spans="2:22" hidden="1" x14ac:dyDescent="0.2">
      <c r="D41" s="727" t="s">
        <v>2980</v>
      </c>
      <c r="E41" s="727"/>
      <c r="F41" s="715"/>
      <c r="H41" s="1461">
        <v>0</v>
      </c>
      <c r="I41" s="782"/>
      <c r="J41" s="1460">
        <v>0</v>
      </c>
      <c r="K41" s="714"/>
      <c r="L41" s="714" t="s">
        <v>3538</v>
      </c>
    </row>
    <row r="42" spans="2:22" x14ac:dyDescent="0.2">
      <c r="D42" s="727"/>
      <c r="E42" s="727"/>
      <c r="F42" s="715"/>
      <c r="H42" s="1188"/>
      <c r="I42" s="782"/>
      <c r="J42" s="781"/>
      <c r="K42" s="714"/>
    </row>
    <row r="43" spans="2:22" s="728" customFormat="1" ht="13.5" thickBot="1" x14ac:dyDescent="0.25">
      <c r="B43" s="527"/>
      <c r="C43" s="723"/>
      <c r="D43" s="532" t="s">
        <v>2915</v>
      </c>
      <c r="E43" s="532"/>
      <c r="F43" s="721"/>
      <c r="G43" s="722"/>
      <c r="H43" s="1456">
        <f>+H33-H37</f>
        <v>210172.62000000104</v>
      </c>
      <c r="I43" s="786"/>
      <c r="J43" s="1456">
        <f>+J33-J37</f>
        <v>375671.24278290942</v>
      </c>
      <c r="K43" s="722"/>
      <c r="L43" s="722"/>
      <c r="M43" s="1138"/>
      <c r="N43" s="1138"/>
      <c r="O43" s="1138"/>
      <c r="P43" s="1138"/>
      <c r="V43" s="788"/>
    </row>
    <row r="44" spans="2:22" ht="13.5" thickTop="1" x14ac:dyDescent="0.2">
      <c r="D44" s="714"/>
      <c r="E44" s="714"/>
      <c r="F44" s="715"/>
      <c r="H44" s="1188"/>
      <c r="I44" s="782"/>
      <c r="J44" s="781"/>
      <c r="K44" s="714"/>
    </row>
    <row r="45" spans="2:22" x14ac:dyDescent="0.2">
      <c r="D45" s="722" t="s">
        <v>425</v>
      </c>
      <c r="E45" s="714"/>
      <c r="F45" s="715"/>
      <c r="H45" s="781"/>
      <c r="I45" s="782"/>
      <c r="J45" s="781"/>
      <c r="K45" s="714"/>
    </row>
    <row r="46" spans="2:22" ht="25.5" x14ac:dyDescent="0.2">
      <c r="D46" s="563" t="s">
        <v>3181</v>
      </c>
      <c r="E46" s="714"/>
      <c r="F46" s="715"/>
      <c r="H46" s="781"/>
      <c r="I46" s="782"/>
      <c r="J46" s="781"/>
      <c r="K46" s="714"/>
    </row>
    <row r="47" spans="2:22" x14ac:dyDescent="0.2">
      <c r="D47" s="714"/>
      <c r="E47" s="714"/>
      <c r="F47" s="715"/>
      <c r="H47" s="781"/>
      <c r="I47" s="782"/>
      <c r="J47" s="781"/>
      <c r="K47" s="714"/>
    </row>
    <row r="48" spans="2:22" x14ac:dyDescent="0.2">
      <c r="D48" s="722" t="s">
        <v>886</v>
      </c>
      <c r="E48" s="714"/>
      <c r="F48" s="715"/>
      <c r="H48" s="781"/>
      <c r="I48" s="782"/>
      <c r="J48" s="781"/>
      <c r="K48" s="714"/>
    </row>
    <row r="49" spans="2:11" ht="38.25" x14ac:dyDescent="0.2">
      <c r="D49" s="563" t="s">
        <v>3925</v>
      </c>
      <c r="E49" s="714"/>
      <c r="F49" s="715"/>
      <c r="H49" s="781"/>
      <c r="I49" s="782"/>
      <c r="J49" s="781"/>
      <c r="K49" s="714"/>
    </row>
    <row r="50" spans="2:11" x14ac:dyDescent="0.2">
      <c r="D50" s="714"/>
      <c r="E50" s="714"/>
      <c r="F50" s="715"/>
      <c r="H50" s="781"/>
      <c r="I50" s="782"/>
      <c r="J50" s="781"/>
      <c r="K50" s="714"/>
    </row>
    <row r="51" spans="2:11" x14ac:dyDescent="0.2">
      <c r="D51" s="722" t="s">
        <v>887</v>
      </c>
      <c r="E51" s="714"/>
      <c r="F51" s="715"/>
      <c r="H51" s="781"/>
      <c r="I51" s="782"/>
      <c r="J51" s="781"/>
      <c r="K51" s="714"/>
    </row>
    <row r="52" spans="2:11" ht="38.25" x14ac:dyDescent="0.2">
      <c r="D52" s="780" t="s">
        <v>3182</v>
      </c>
      <c r="E52" s="714"/>
      <c r="F52" s="715"/>
      <c r="H52" s="781"/>
      <c r="I52" s="782"/>
      <c r="J52" s="781"/>
      <c r="K52" s="714"/>
    </row>
    <row r="53" spans="2:11" x14ac:dyDescent="0.2">
      <c r="D53" s="714"/>
      <c r="E53" s="714"/>
      <c r="F53" s="715"/>
      <c r="H53" s="781"/>
      <c r="I53" s="782"/>
      <c r="J53" s="781"/>
      <c r="K53" s="714"/>
    </row>
    <row r="54" spans="2:11" hidden="1" x14ac:dyDescent="0.2">
      <c r="D54" s="722" t="s">
        <v>897</v>
      </c>
      <c r="E54" s="714"/>
      <c r="F54" s="715"/>
      <c r="H54" s="781"/>
      <c r="I54" s="782"/>
      <c r="J54" s="781"/>
      <c r="K54" s="714"/>
    </row>
    <row r="55" spans="2:11" ht="45" hidden="1" customHeight="1" x14ac:dyDescent="0.2">
      <c r="D55" s="732" t="s">
        <v>3616</v>
      </c>
      <c r="E55" s="714"/>
      <c r="F55" s="715"/>
      <c r="H55" s="781"/>
      <c r="I55" s="782"/>
      <c r="J55" s="781"/>
      <c r="K55" s="714"/>
    </row>
    <row r="56" spans="2:11" x14ac:dyDescent="0.2">
      <c r="D56" s="714"/>
      <c r="E56" s="714"/>
      <c r="F56" s="715"/>
      <c r="H56" s="781"/>
      <c r="I56" s="782"/>
      <c r="J56" s="781"/>
      <c r="K56" s="714"/>
    </row>
    <row r="57" spans="2:11" x14ac:dyDescent="0.2">
      <c r="B57" s="719" t="s">
        <v>577</v>
      </c>
      <c r="C57" s="720"/>
      <c r="D57" s="532" t="s">
        <v>426</v>
      </c>
      <c r="E57" s="532"/>
      <c r="F57" s="715"/>
      <c r="H57" s="781"/>
      <c r="I57" s="782"/>
      <c r="J57" s="781"/>
      <c r="K57" s="714"/>
    </row>
    <row r="58" spans="2:11" x14ac:dyDescent="0.2">
      <c r="B58" s="719"/>
      <c r="C58" s="720"/>
      <c r="D58" s="532"/>
      <c r="E58" s="532"/>
      <c r="F58" s="715"/>
      <c r="H58" s="781"/>
      <c r="I58" s="782"/>
      <c r="J58" s="781"/>
      <c r="K58" s="714"/>
    </row>
    <row r="59" spans="2:11" x14ac:dyDescent="0.2">
      <c r="B59" s="719"/>
      <c r="C59" s="720"/>
      <c r="D59" s="532" t="s">
        <v>1051</v>
      </c>
      <c r="E59" s="532"/>
      <c r="F59" s="726"/>
      <c r="H59" s="781">
        <f>SUM(H60:H62)</f>
        <v>36214414.310000002</v>
      </c>
      <c r="I59" s="782"/>
      <c r="J59" s="781">
        <f>SUM(J60:J62)</f>
        <v>40386116</v>
      </c>
      <c r="K59" s="714"/>
    </row>
    <row r="60" spans="2:11" x14ac:dyDescent="0.2">
      <c r="B60" s="719"/>
      <c r="C60" s="720"/>
      <c r="D60" s="1589" t="s">
        <v>1052</v>
      </c>
      <c r="E60" s="1589"/>
      <c r="F60" s="726"/>
      <c r="H60" s="1458">
        <v>35817952.310000002</v>
      </c>
      <c r="I60" s="782"/>
      <c r="J60" s="1458">
        <v>39976306</v>
      </c>
      <c r="K60" s="714"/>
    </row>
    <row r="61" spans="2:11" hidden="1" x14ac:dyDescent="0.2">
      <c r="B61" s="719"/>
      <c r="C61" s="720"/>
      <c r="D61" s="1589" t="s">
        <v>1053</v>
      </c>
      <c r="E61" s="1589"/>
      <c r="F61" s="726"/>
      <c r="H61" s="1459">
        <v>0</v>
      </c>
      <c r="I61" s="782"/>
      <c r="J61" s="1459">
        <v>0</v>
      </c>
      <c r="K61" s="714"/>
    </row>
    <row r="62" spans="2:11" x14ac:dyDescent="0.2">
      <c r="B62" s="719"/>
      <c r="C62" s="720"/>
      <c r="D62" s="1589" t="s">
        <v>438</v>
      </c>
      <c r="E62" s="1589"/>
      <c r="F62" s="726"/>
      <c r="H62" s="1460">
        <v>396462</v>
      </c>
      <c r="I62" s="782"/>
      <c r="J62" s="1460">
        <v>409810</v>
      </c>
      <c r="K62" s="714"/>
    </row>
    <row r="63" spans="2:11" x14ac:dyDescent="0.2">
      <c r="B63" s="719"/>
      <c r="C63" s="720"/>
      <c r="D63" s="532" t="s">
        <v>548</v>
      </c>
      <c r="E63" s="1589"/>
      <c r="F63" s="715"/>
      <c r="H63" s="782">
        <f>SUM(H64:H66)</f>
        <v>194465412.22</v>
      </c>
      <c r="I63" s="782"/>
      <c r="J63" s="782">
        <f>SUM(J64:J66)</f>
        <v>192415318.40000001</v>
      </c>
      <c r="K63" s="714"/>
    </row>
    <row r="64" spans="2:11" x14ac:dyDescent="0.2">
      <c r="B64" s="719"/>
      <c r="C64" s="720"/>
      <c r="D64" s="1589" t="s">
        <v>1054</v>
      </c>
      <c r="E64" s="1589"/>
      <c r="F64" s="726"/>
      <c r="H64" s="1458">
        <f>38615530.23</f>
        <v>38615530.229999997</v>
      </c>
      <c r="I64" s="782"/>
      <c r="J64" s="1458">
        <v>35252490.469999999</v>
      </c>
      <c r="K64" s="714"/>
    </row>
    <row r="65" spans="2:11" hidden="1" x14ac:dyDescent="0.2">
      <c r="B65" s="719"/>
      <c r="C65" s="720"/>
      <c r="D65" s="1589" t="s">
        <v>1055</v>
      </c>
      <c r="E65" s="1589"/>
      <c r="F65" s="726"/>
      <c r="H65" s="1459"/>
      <c r="I65" s="782"/>
      <c r="J65" s="1459">
        <v>0</v>
      </c>
      <c r="K65" s="714"/>
    </row>
    <row r="66" spans="2:11" x14ac:dyDescent="0.2">
      <c r="B66" s="719"/>
      <c r="C66" s="720"/>
      <c r="D66" s="1589" t="s">
        <v>438</v>
      </c>
      <c r="E66" s="1589"/>
      <c r="F66" s="726"/>
      <c r="H66" s="315">
        <v>155849881.99000001</v>
      </c>
      <c r="I66" s="782"/>
      <c r="J66" s="1460">
        <v>157162827.93000001</v>
      </c>
      <c r="K66" s="714"/>
    </row>
    <row r="67" spans="2:11" x14ac:dyDescent="0.2">
      <c r="B67" s="719"/>
      <c r="C67" s="720"/>
      <c r="D67" s="532" t="s">
        <v>1056</v>
      </c>
      <c r="E67" s="1589"/>
      <c r="F67" s="715"/>
      <c r="H67" s="314">
        <f>SUM(H68:H70)</f>
        <v>-190656888.53</v>
      </c>
      <c r="I67" s="782"/>
      <c r="J67" s="1644">
        <f>SUM(J68:J70)</f>
        <v>-196587020.09</v>
      </c>
      <c r="K67" s="714"/>
    </row>
    <row r="68" spans="2:11" x14ac:dyDescent="0.2">
      <c r="B68" s="719"/>
      <c r="C68" s="720"/>
      <c r="D68" s="1589" t="s">
        <v>1057</v>
      </c>
      <c r="E68" s="1589"/>
      <c r="F68" s="715"/>
      <c r="H68" s="1462">
        <f>-38819272.22+3830730.93</f>
        <v>-34988541.289999999</v>
      </c>
      <c r="I68" s="782"/>
      <c r="J68" s="461">
        <f>-39410844.59-0.57</f>
        <v>-39410845.160000004</v>
      </c>
      <c r="K68" s="714"/>
    </row>
    <row r="69" spans="2:11" hidden="1" x14ac:dyDescent="0.2">
      <c r="B69" s="719"/>
      <c r="C69" s="720"/>
      <c r="D69" s="1589" t="s">
        <v>1055</v>
      </c>
      <c r="E69" s="1589"/>
      <c r="F69" s="715"/>
      <c r="H69" s="1463"/>
      <c r="I69" s="782"/>
      <c r="J69" s="1463">
        <v>0</v>
      </c>
      <c r="K69" s="714"/>
    </row>
    <row r="70" spans="2:11" x14ac:dyDescent="0.2">
      <c r="B70" s="719"/>
      <c r="C70" s="720"/>
      <c r="D70" s="1589" t="s">
        <v>438</v>
      </c>
      <c r="E70" s="1589"/>
      <c r="F70" s="715"/>
      <c r="H70" s="315">
        <v>-155668347.24000001</v>
      </c>
      <c r="I70" s="782"/>
      <c r="J70" s="235">
        <f>-157176174.93</f>
        <v>-157176174.93000001</v>
      </c>
      <c r="K70" s="714"/>
    </row>
    <row r="71" spans="2:11" ht="25.5" hidden="1" x14ac:dyDescent="0.2">
      <c r="B71" s="719"/>
      <c r="C71" s="720"/>
      <c r="D71" s="532" t="s">
        <v>1058</v>
      </c>
      <c r="E71" s="1589"/>
      <c r="F71" s="715"/>
      <c r="H71" s="782">
        <f>SUM(H72)</f>
        <v>0</v>
      </c>
      <c r="I71" s="782"/>
      <c r="J71" s="782">
        <f>SUM(J72)</f>
        <v>0</v>
      </c>
      <c r="K71" s="714"/>
    </row>
    <row r="72" spans="2:11" hidden="1" x14ac:dyDescent="0.2">
      <c r="B72" s="719"/>
      <c r="C72" s="720"/>
      <c r="D72" s="1589" t="s">
        <v>1057</v>
      </c>
      <c r="E72" s="1589"/>
      <c r="F72" s="715"/>
      <c r="H72" s="1464">
        <v>0</v>
      </c>
      <c r="I72" s="782"/>
      <c r="J72" s="1464">
        <v>0</v>
      </c>
      <c r="K72" s="714"/>
    </row>
    <row r="73" spans="2:11" x14ac:dyDescent="0.2">
      <c r="B73" s="719"/>
      <c r="C73" s="720"/>
      <c r="D73" s="532" t="s">
        <v>1059</v>
      </c>
      <c r="E73" s="1589"/>
      <c r="F73" s="715"/>
      <c r="H73" s="782">
        <f>SUM(H74:H75)</f>
        <v>40022937.999999993</v>
      </c>
      <c r="I73" s="782"/>
      <c r="J73" s="782">
        <f>SUM(J74:J75)</f>
        <v>36214414.309999995</v>
      </c>
      <c r="K73" s="714"/>
    </row>
    <row r="74" spans="2:11" x14ac:dyDescent="0.2">
      <c r="D74" s="1589" t="s">
        <v>889</v>
      </c>
      <c r="E74" s="1589"/>
      <c r="F74" s="715"/>
      <c r="H74" s="1458">
        <f>H60+H64+H68+H72</f>
        <v>39444941.249999993</v>
      </c>
      <c r="I74" s="782"/>
      <c r="J74" s="1458">
        <f>J60+J64+J68+J72</f>
        <v>35817951.309999995</v>
      </c>
      <c r="K74" s="714"/>
    </row>
    <row r="75" spans="2:11" x14ac:dyDescent="0.2">
      <c r="D75" s="1589" t="s">
        <v>192</v>
      </c>
      <c r="E75" s="1589"/>
      <c r="F75" s="715"/>
      <c r="H75" s="1460">
        <f>H62+H66+H70</f>
        <v>577996.75</v>
      </c>
      <c r="I75" s="782"/>
      <c r="J75" s="1460">
        <f>J62+J66+J70</f>
        <v>396463</v>
      </c>
      <c r="K75" s="714"/>
    </row>
    <row r="76" spans="2:11" x14ac:dyDescent="0.2">
      <c r="D76" s="1589"/>
      <c r="E76" s="1589"/>
      <c r="F76" s="715"/>
      <c r="H76" s="781"/>
      <c r="I76" s="782"/>
      <c r="J76" s="781"/>
      <c r="K76" s="714"/>
    </row>
    <row r="77" spans="2:11" ht="25.5" x14ac:dyDescent="0.2">
      <c r="D77" s="735" t="s">
        <v>4281</v>
      </c>
      <c r="E77" s="714"/>
      <c r="F77" s="715"/>
      <c r="H77" s="781"/>
      <c r="I77" s="782"/>
      <c r="J77" s="781"/>
      <c r="K77" s="714"/>
    </row>
    <row r="78" spans="2:11" x14ac:dyDescent="0.2">
      <c r="D78" s="255" t="s">
        <v>3679</v>
      </c>
    </row>
    <row r="79" spans="2:11" x14ac:dyDescent="0.2">
      <c r="D79" s="255" t="s">
        <v>3796</v>
      </c>
    </row>
    <row r="81" spans="2:11" x14ac:dyDescent="0.2">
      <c r="D81" s="255" t="s">
        <v>3797</v>
      </c>
    </row>
    <row r="82" spans="2:11" x14ac:dyDescent="0.2">
      <c r="D82" s="255" t="s">
        <v>4058</v>
      </c>
    </row>
    <row r="83" spans="2:11" x14ac:dyDescent="0.2">
      <c r="D83" s="255" t="s">
        <v>4059</v>
      </c>
    </row>
    <row r="84" spans="2:11" x14ac:dyDescent="0.2">
      <c r="D84" s="255" t="s">
        <v>4060</v>
      </c>
    </row>
    <row r="85" spans="2:11" x14ac:dyDescent="0.2">
      <c r="D85" s="255" t="s">
        <v>4061</v>
      </c>
    </row>
    <row r="86" spans="2:11" x14ac:dyDescent="0.2">
      <c r="D86" s="255" t="s">
        <v>4062</v>
      </c>
    </row>
    <row r="87" spans="2:11" x14ac:dyDescent="0.2">
      <c r="D87" s="255" t="s">
        <v>4063</v>
      </c>
    </row>
    <row r="89" spans="2:11" ht="38.25" x14ac:dyDescent="0.2">
      <c r="B89" s="719" t="s">
        <v>37</v>
      </c>
      <c r="C89" s="720"/>
      <c r="D89" s="257" t="s">
        <v>3529</v>
      </c>
      <c r="E89" s="186"/>
      <c r="F89" s="737"/>
      <c r="G89" s="738"/>
      <c r="H89" s="791"/>
      <c r="I89" s="791"/>
      <c r="J89" s="791"/>
    </row>
    <row r="90" spans="2:11" x14ac:dyDescent="0.2">
      <c r="B90" s="719"/>
      <c r="C90" s="720"/>
      <c r="D90" s="186"/>
      <c r="E90" s="186"/>
      <c r="F90" s="737"/>
      <c r="G90" s="738"/>
      <c r="H90" s="791"/>
      <c r="I90" s="791"/>
      <c r="J90" s="791"/>
    </row>
    <row r="91" spans="2:11" x14ac:dyDescent="0.2">
      <c r="B91" s="719"/>
      <c r="C91" s="720"/>
      <c r="D91" s="232" t="s">
        <v>384</v>
      </c>
      <c r="E91" s="186"/>
      <c r="F91" s="737"/>
      <c r="G91" s="738"/>
      <c r="H91" s="791">
        <f>'TB4'!X214-'TB4'!X185</f>
        <v>869170391.92999983</v>
      </c>
      <c r="I91" s="791"/>
      <c r="J91" s="791">
        <f>'TB4'!U214-'TB4'!U185</f>
        <v>749917520.52999997</v>
      </c>
      <c r="K91" s="1340"/>
    </row>
    <row r="92" spans="2:11" x14ac:dyDescent="0.2">
      <c r="B92" s="719"/>
      <c r="C92" s="720"/>
      <c r="D92" s="232" t="s">
        <v>220</v>
      </c>
      <c r="E92" s="186"/>
      <c r="F92" s="737"/>
      <c r="G92" s="738"/>
      <c r="H92" s="791">
        <f>'TB4'!X185</f>
        <v>33520552</v>
      </c>
      <c r="I92" s="791"/>
      <c r="J92" s="791">
        <f>'TB4'!U185</f>
        <v>29314507</v>
      </c>
    </row>
    <row r="93" spans="2:11" ht="13.5" thickBot="1" x14ac:dyDescent="0.25">
      <c r="B93" s="719"/>
      <c r="C93" s="720"/>
      <c r="D93" s="232"/>
      <c r="E93" s="186"/>
      <c r="F93" s="737"/>
      <c r="G93" s="738"/>
      <c r="H93" s="793">
        <f>SUM(H91:H92)</f>
        <v>902690943.92999983</v>
      </c>
      <c r="I93" s="792"/>
      <c r="J93" s="793">
        <f>SUM(J91:J92)</f>
        <v>779232027.52999997</v>
      </c>
    </row>
    <row r="94" spans="2:11" ht="13.5" thickTop="1" x14ac:dyDescent="0.2">
      <c r="B94" s="719"/>
      <c r="C94" s="720"/>
      <c r="D94" s="232"/>
      <c r="E94" s="186"/>
      <c r="F94" s="737"/>
      <c r="G94" s="738"/>
      <c r="H94" s="791"/>
      <c r="I94" s="791"/>
      <c r="J94" s="791"/>
    </row>
    <row r="95" spans="2:11" x14ac:dyDescent="0.2">
      <c r="B95" s="740"/>
      <c r="C95" s="741"/>
      <c r="D95" s="232" t="s">
        <v>385</v>
      </c>
      <c r="E95" s="232"/>
      <c r="F95" s="737"/>
      <c r="G95" s="738"/>
      <c r="H95" s="314">
        <f>'TB4'!X215</f>
        <v>-467537609.68000001</v>
      </c>
      <c r="I95" s="791"/>
      <c r="J95" s="314">
        <f>'TB4'!U215</f>
        <v>-408535232</v>
      </c>
    </row>
    <row r="96" spans="2:11" hidden="1" x14ac:dyDescent="0.2">
      <c r="B96" s="740"/>
      <c r="C96" s="741"/>
      <c r="D96" s="232" t="s">
        <v>3153</v>
      </c>
      <c r="E96" s="232"/>
      <c r="F96" s="737"/>
      <c r="G96" s="738"/>
      <c r="H96" s="791">
        <f>'TB4'!U216</f>
        <v>0</v>
      </c>
      <c r="I96" s="791"/>
      <c r="J96" s="791">
        <f>'TB4'!R216</f>
        <v>0</v>
      </c>
    </row>
    <row r="97" spans="2:11" hidden="1" x14ac:dyDescent="0.2">
      <c r="B97" s="740"/>
      <c r="C97" s="741"/>
      <c r="D97" s="232" t="s">
        <v>721</v>
      </c>
      <c r="E97" s="232"/>
      <c r="F97" s="737"/>
      <c r="G97" s="738"/>
      <c r="H97" s="791">
        <f>'TB4'!U218+'TB4'!U219</f>
        <v>0</v>
      </c>
      <c r="I97" s="791"/>
      <c r="J97" s="791">
        <f>'TB4'!R218+'TB4'!R219</f>
        <v>0</v>
      </c>
    </row>
    <row r="98" spans="2:11" x14ac:dyDescent="0.2">
      <c r="B98" s="740"/>
      <c r="C98" s="741"/>
      <c r="D98" s="232" t="s">
        <v>2878</v>
      </c>
      <c r="E98" s="232"/>
      <c r="F98" s="737"/>
      <c r="G98" s="738"/>
      <c r="H98" s="314">
        <f>'TB4'!X217</f>
        <v>1445966.59</v>
      </c>
      <c r="I98" s="791"/>
      <c r="J98" s="314">
        <f>'TB4'!U217</f>
        <v>1661739.61</v>
      </c>
    </row>
    <row r="99" spans="2:11" ht="13.5" thickBot="1" x14ac:dyDescent="0.25">
      <c r="B99" s="740"/>
      <c r="C99" s="741"/>
      <c r="D99" s="232"/>
      <c r="E99" s="232"/>
      <c r="F99" s="737"/>
      <c r="G99" s="738"/>
      <c r="H99" s="1465">
        <f>H93+H95+H96+H97+H98</f>
        <v>436599300.83999979</v>
      </c>
      <c r="I99" s="792">
        <f>I93+I95+I96+I97+I98</f>
        <v>0</v>
      </c>
      <c r="J99" s="1465">
        <f>J93+J95+J96+J97+J98</f>
        <v>372358535.13999999</v>
      </c>
    </row>
    <row r="100" spans="2:11" ht="13.5" thickTop="1" x14ac:dyDescent="0.2">
      <c r="D100" s="532" t="s">
        <v>387</v>
      </c>
      <c r="E100" s="532"/>
      <c r="F100" s="731" t="s">
        <v>296</v>
      </c>
      <c r="G100" s="717"/>
      <c r="H100" s="783"/>
      <c r="I100" s="783"/>
      <c r="J100" s="783" t="s">
        <v>296</v>
      </c>
    </row>
    <row r="101" spans="2:11" x14ac:dyDescent="0.2">
      <c r="D101" s="742" t="s">
        <v>430</v>
      </c>
      <c r="E101" s="742"/>
      <c r="G101" s="738"/>
      <c r="H101" s="791">
        <f>117249509.41+33520552+977497.68</f>
        <v>151747559.09</v>
      </c>
      <c r="I101" s="791">
        <f>90967111.78+29314507</f>
        <v>120281618.78</v>
      </c>
      <c r="J101" s="791">
        <f>90967111.78+29314507</f>
        <v>120281618.78</v>
      </c>
    </row>
    <row r="102" spans="2:11" x14ac:dyDescent="0.2">
      <c r="D102" s="742" t="s">
        <v>431</v>
      </c>
      <c r="E102" s="742"/>
      <c r="G102" s="738"/>
      <c r="H102" s="791">
        <v>56993972.609998405</v>
      </c>
      <c r="I102" s="791">
        <v>42689915.280000001</v>
      </c>
      <c r="J102" s="791">
        <v>42689915.280000001</v>
      </c>
    </row>
    <row r="103" spans="2:11" x14ac:dyDescent="0.2">
      <c r="D103" s="742" t="s">
        <v>432</v>
      </c>
      <c r="E103" s="742"/>
      <c r="G103" s="738"/>
      <c r="H103" s="791">
        <v>35920905.069999017</v>
      </c>
      <c r="I103" s="791">
        <v>32093030.41</v>
      </c>
      <c r="J103" s="791">
        <v>32093030.41</v>
      </c>
    </row>
    <row r="104" spans="2:11" x14ac:dyDescent="0.2">
      <c r="D104" s="742" t="s">
        <v>433</v>
      </c>
      <c r="E104" s="742"/>
      <c r="G104" s="738"/>
      <c r="H104" s="791">
        <v>29656657.279999658</v>
      </c>
      <c r="I104" s="791">
        <v>31355933.84</v>
      </c>
      <c r="J104" s="791">
        <v>31355933.84</v>
      </c>
    </row>
    <row r="105" spans="2:11" x14ac:dyDescent="0.2">
      <c r="D105" s="742" t="s">
        <v>386</v>
      </c>
      <c r="E105" s="742"/>
      <c r="G105" s="738"/>
      <c r="H105" s="791">
        <v>628371849.88000166</v>
      </c>
      <c r="I105" s="791">
        <v>552811529.22000003</v>
      </c>
      <c r="J105" s="791">
        <v>552811529.22000003</v>
      </c>
      <c r="K105" s="1340"/>
    </row>
    <row r="106" spans="2:11" ht="6.75" customHeight="1" x14ac:dyDescent="0.2">
      <c r="D106" s="742"/>
      <c r="E106" s="742"/>
      <c r="G106" s="738"/>
      <c r="H106" s="791"/>
      <c r="I106" s="791"/>
      <c r="J106" s="791"/>
    </row>
    <row r="107" spans="2:11" ht="13.5" thickBot="1" x14ac:dyDescent="0.25">
      <c r="D107" s="532" t="s">
        <v>296</v>
      </c>
      <c r="E107" s="532"/>
      <c r="G107" s="743"/>
      <c r="H107" s="793">
        <f>SUM(H101:H105)</f>
        <v>902690943.92999876</v>
      </c>
      <c r="I107" s="792"/>
      <c r="J107" s="793">
        <f>SUM(J101:J105)</f>
        <v>779232027.52999997</v>
      </c>
    </row>
    <row r="108" spans="2:11" ht="13.5" thickTop="1" x14ac:dyDescent="0.2">
      <c r="D108" s="532" t="s">
        <v>388</v>
      </c>
      <c r="E108" s="1589"/>
      <c r="G108" s="738"/>
      <c r="H108" s="791"/>
      <c r="I108" s="791"/>
      <c r="J108" s="791"/>
    </row>
    <row r="109" spans="2:11" x14ac:dyDescent="0.2">
      <c r="D109" s="742" t="s">
        <v>634</v>
      </c>
      <c r="E109" s="742"/>
      <c r="G109" s="738"/>
      <c r="H109" s="791">
        <v>33505770.810723692</v>
      </c>
      <c r="I109" s="791">
        <v>69298510</v>
      </c>
      <c r="J109" s="791">
        <v>69298510</v>
      </c>
      <c r="K109" s="1340"/>
    </row>
    <row r="110" spans="2:11" x14ac:dyDescent="0.2">
      <c r="D110" s="742" t="s">
        <v>389</v>
      </c>
      <c r="E110" s="742"/>
      <c r="G110" s="738"/>
      <c r="H110" s="791">
        <v>133235557.97383878</v>
      </c>
      <c r="I110" s="791">
        <v>188929212</v>
      </c>
      <c r="J110" s="791">
        <v>188929212</v>
      </c>
    </row>
    <row r="111" spans="2:11" x14ac:dyDescent="0.2">
      <c r="D111" s="742" t="s">
        <v>390</v>
      </c>
      <c r="E111" s="742"/>
      <c r="G111" s="738"/>
      <c r="H111" s="791">
        <f>732922193.115617+977497.68</f>
        <v>733899690.79561698</v>
      </c>
      <c r="I111" s="791">
        <f>436672167-1170051</f>
        <v>435502116</v>
      </c>
      <c r="J111" s="791">
        <f>436672167-1170051</f>
        <v>435502116</v>
      </c>
    </row>
    <row r="112" spans="2:11" x14ac:dyDescent="0.2">
      <c r="D112" s="742" t="s">
        <v>809</v>
      </c>
      <c r="E112" s="742"/>
      <c r="G112" s="738"/>
      <c r="H112" s="791">
        <v>2049924.0998205647</v>
      </c>
      <c r="I112" s="791">
        <v>85502191</v>
      </c>
      <c r="J112" s="791">
        <v>85502192</v>
      </c>
    </row>
    <row r="113" spans="4:13" ht="13.5" thickBot="1" x14ac:dyDescent="0.25">
      <c r="D113" s="532" t="s">
        <v>296</v>
      </c>
      <c r="E113" s="532"/>
      <c r="G113" s="743"/>
      <c r="H113" s="793">
        <f>SUM(H109:H112)</f>
        <v>902690943.68000007</v>
      </c>
      <c r="I113" s="792"/>
      <c r="J113" s="793">
        <f>SUM(J109:J112)</f>
        <v>779232030</v>
      </c>
      <c r="K113" s="790"/>
    </row>
    <row r="114" spans="4:13" ht="26.25" thickTop="1" x14ac:dyDescent="0.2">
      <c r="D114" s="744" t="s">
        <v>3318</v>
      </c>
      <c r="E114" s="714"/>
      <c r="G114" s="738"/>
      <c r="H114" s="791"/>
      <c r="I114" s="791"/>
      <c r="J114" s="791"/>
    </row>
    <row r="115" spans="4:13" x14ac:dyDescent="0.2">
      <c r="D115" s="745"/>
      <c r="E115" s="714"/>
      <c r="G115" s="738"/>
      <c r="H115" s="791"/>
      <c r="I115" s="791"/>
      <c r="J115" s="791"/>
    </row>
    <row r="116" spans="4:13" x14ac:dyDescent="0.2">
      <c r="D116" s="532" t="s">
        <v>438</v>
      </c>
      <c r="E116" s="532"/>
      <c r="F116" s="731" t="s">
        <v>296</v>
      </c>
      <c r="G116" s="717"/>
      <c r="H116" s="783"/>
      <c r="I116" s="783"/>
      <c r="J116" s="783"/>
    </row>
    <row r="117" spans="4:13" x14ac:dyDescent="0.2">
      <c r="D117" s="742" t="s">
        <v>430</v>
      </c>
      <c r="E117" s="742"/>
      <c r="G117" s="738"/>
      <c r="H117" s="791">
        <f>30282339.66+8821183+67725.04+9421.06</f>
        <v>39180668.759999998</v>
      </c>
      <c r="I117" s="791">
        <f>20384136.24+6263381</f>
        <v>26647517.239999998</v>
      </c>
      <c r="J117" s="791">
        <f>20384136.24+6263381</f>
        <v>26647517.239999998</v>
      </c>
    </row>
    <row r="118" spans="4:13" x14ac:dyDescent="0.2">
      <c r="D118" s="742" t="s">
        <v>431</v>
      </c>
      <c r="E118" s="742"/>
      <c r="G118" s="738"/>
      <c r="H118" s="791">
        <v>20777730.310002629</v>
      </c>
      <c r="I118" s="791">
        <v>15843812.310000001</v>
      </c>
      <c r="J118" s="791">
        <v>15843812.310000001</v>
      </c>
    </row>
    <row r="119" spans="4:13" x14ac:dyDescent="0.2">
      <c r="D119" s="742" t="s">
        <v>432</v>
      </c>
      <c r="E119" s="742"/>
      <c r="G119" s="738"/>
      <c r="H119" s="791">
        <v>14421342.870000556</v>
      </c>
      <c r="I119" s="791">
        <v>10311890.99</v>
      </c>
      <c r="J119" s="791">
        <v>10311890.99</v>
      </c>
    </row>
    <row r="120" spans="4:13" x14ac:dyDescent="0.2">
      <c r="D120" s="742" t="s">
        <v>433</v>
      </c>
      <c r="E120" s="742"/>
      <c r="G120" s="738"/>
      <c r="H120" s="791">
        <v>12072556.859999362</v>
      </c>
      <c r="I120" s="791">
        <v>11184222.300000001</v>
      </c>
      <c r="J120" s="791">
        <v>11184222.300000001</v>
      </c>
      <c r="M120" s="1083"/>
    </row>
    <row r="121" spans="4:13" x14ac:dyDescent="0.2">
      <c r="D121" s="742" t="s">
        <v>3316</v>
      </c>
      <c r="E121" s="742"/>
      <c r="G121" s="738"/>
      <c r="H121" s="791">
        <v>214998048.76000589</v>
      </c>
      <c r="I121" s="791">
        <v>159370193.94</v>
      </c>
      <c r="J121" s="791">
        <v>159370193.94</v>
      </c>
      <c r="M121" s="1083"/>
    </row>
    <row r="122" spans="4:13" ht="13.5" thickBot="1" x14ac:dyDescent="0.25">
      <c r="D122" s="532" t="s">
        <v>296</v>
      </c>
      <c r="E122" s="532"/>
      <c r="G122" s="743"/>
      <c r="H122" s="793">
        <f>SUM(H117:H121)</f>
        <v>301450347.56000841</v>
      </c>
      <c r="I122" s="792"/>
      <c r="J122" s="793">
        <f>SUM(J117:J121)</f>
        <v>223357636.78</v>
      </c>
      <c r="M122" s="1083"/>
    </row>
    <row r="123" spans="4:13" ht="13.5" thickTop="1" x14ac:dyDescent="0.2">
      <c r="D123" s="532" t="s">
        <v>321</v>
      </c>
      <c r="E123" s="532"/>
      <c r="F123" s="731" t="s">
        <v>296</v>
      </c>
      <c r="G123" s="717"/>
      <c r="H123" s="783"/>
      <c r="I123" s="783"/>
      <c r="J123" s="783"/>
      <c r="M123" s="1083"/>
    </row>
    <row r="124" spans="4:13" x14ac:dyDescent="0.2">
      <c r="D124" s="742" t="s">
        <v>430</v>
      </c>
      <c r="E124" s="742"/>
      <c r="G124" s="738"/>
      <c r="H124" s="791">
        <f>44191532.56+24699369+128937.8+18051.29+23285.72+3260</f>
        <v>69064436.370000005</v>
      </c>
      <c r="I124" s="791">
        <f>37917727.53+23051126</f>
        <v>60968853.530000001</v>
      </c>
      <c r="J124" s="791">
        <f>37917727.53+23051126</f>
        <v>60968853.530000001</v>
      </c>
      <c r="M124" s="1083"/>
    </row>
    <row r="125" spans="4:13" x14ac:dyDescent="0.2">
      <c r="D125" s="742" t="s">
        <v>431</v>
      </c>
      <c r="E125" s="742"/>
      <c r="G125" s="738"/>
      <c r="H125" s="791">
        <v>17025075.36999999</v>
      </c>
      <c r="I125" s="791">
        <v>12710231.220000001</v>
      </c>
      <c r="J125" s="791">
        <v>12710231.220000001</v>
      </c>
      <c r="M125" s="1083"/>
    </row>
    <row r="126" spans="4:13" x14ac:dyDescent="0.2">
      <c r="D126" s="742" t="s">
        <v>432</v>
      </c>
      <c r="E126" s="742"/>
      <c r="G126" s="738"/>
      <c r="H126" s="791">
        <v>10206549.779999696</v>
      </c>
      <c r="I126" s="791">
        <v>8552907.0600000005</v>
      </c>
      <c r="J126" s="791">
        <v>8552907.0600000005</v>
      </c>
      <c r="M126" s="1083"/>
    </row>
    <row r="127" spans="4:13" x14ac:dyDescent="0.2">
      <c r="D127" s="742" t="s">
        <v>433</v>
      </c>
      <c r="E127" s="742"/>
      <c r="G127" s="738"/>
      <c r="H127" s="791">
        <v>8356894.690000698</v>
      </c>
      <c r="I127" s="791">
        <v>6764954.1900000004</v>
      </c>
      <c r="J127" s="791">
        <v>6764954.1900000004</v>
      </c>
      <c r="M127" s="1083"/>
    </row>
    <row r="128" spans="4:13" x14ac:dyDescent="0.2">
      <c r="D128" s="742" t="s">
        <v>3316</v>
      </c>
      <c r="E128" s="742"/>
      <c r="G128" s="738"/>
      <c r="H128" s="791">
        <v>77844129.410001367</v>
      </c>
      <c r="I128" s="791">
        <v>63049892.859999999</v>
      </c>
      <c r="J128" s="791">
        <v>63049892.859999999</v>
      </c>
    </row>
    <row r="129" spans="4:10" ht="13.5" thickBot="1" x14ac:dyDescent="0.25">
      <c r="D129" s="532" t="s">
        <v>296</v>
      </c>
      <c r="E129" s="532"/>
      <c r="G129" s="743"/>
      <c r="H129" s="793">
        <f>SUM(H124:H128)</f>
        <v>182497085.62000173</v>
      </c>
      <c r="I129" s="792"/>
      <c r="J129" s="793">
        <f>SUM(J124:J128)</f>
        <v>152046838.86000001</v>
      </c>
    </row>
    <row r="130" spans="4:10" ht="13.5" thickTop="1" x14ac:dyDescent="0.2">
      <c r="D130" s="532"/>
      <c r="E130" s="532"/>
      <c r="G130" s="743"/>
      <c r="H130" s="792"/>
      <c r="I130" s="792"/>
      <c r="J130" s="792"/>
    </row>
    <row r="131" spans="4:10" x14ac:dyDescent="0.2">
      <c r="D131" s="532"/>
      <c r="E131" s="532"/>
      <c r="G131" s="743"/>
      <c r="H131" s="792"/>
      <c r="I131" s="792"/>
      <c r="J131" s="792"/>
    </row>
    <row r="132" spans="4:10" x14ac:dyDescent="0.2">
      <c r="D132" s="532" t="s">
        <v>3530</v>
      </c>
      <c r="E132" s="532"/>
      <c r="F132" s="731" t="s">
        <v>296</v>
      </c>
      <c r="G132" s="717"/>
      <c r="H132" s="783"/>
      <c r="I132" s="783"/>
      <c r="J132" s="783"/>
    </row>
    <row r="133" spans="4:10" x14ac:dyDescent="0.2">
      <c r="D133" s="742" t="s">
        <v>430</v>
      </c>
      <c r="E133" s="742"/>
      <c r="G133" s="738"/>
      <c r="H133" s="791">
        <v>31036597.02</v>
      </c>
      <c r="I133" s="791">
        <v>21274352.960000001</v>
      </c>
      <c r="J133" s="791">
        <v>21274352.960000001</v>
      </c>
    </row>
    <row r="134" spans="4:10" x14ac:dyDescent="0.2">
      <c r="D134" s="742" t="s">
        <v>431</v>
      </c>
      <c r="E134" s="742"/>
      <c r="G134" s="738"/>
      <c r="H134" s="791">
        <v>10476073.679995023</v>
      </c>
      <c r="I134" s="791">
        <v>9396885.5700000003</v>
      </c>
      <c r="J134" s="791">
        <v>9396885.5700000003</v>
      </c>
    </row>
    <row r="135" spans="4:10" x14ac:dyDescent="0.2">
      <c r="D135" s="742" t="s">
        <v>432</v>
      </c>
      <c r="E135" s="742"/>
      <c r="G135" s="738"/>
      <c r="H135" s="791">
        <v>7789460.5599986939</v>
      </c>
      <c r="I135" s="791">
        <v>8463105.7899999991</v>
      </c>
      <c r="J135" s="791">
        <v>8463105.7899999991</v>
      </c>
    </row>
    <row r="136" spans="4:10" x14ac:dyDescent="0.2">
      <c r="D136" s="742" t="s">
        <v>433</v>
      </c>
      <c r="E136" s="742"/>
      <c r="G136" s="738"/>
      <c r="H136" s="791">
        <v>6372212.5499992119</v>
      </c>
      <c r="I136" s="791">
        <v>6159934.0300000003</v>
      </c>
      <c r="J136" s="791">
        <v>6159934.0300000003</v>
      </c>
    </row>
    <row r="137" spans="4:10" x14ac:dyDescent="0.2">
      <c r="D137" s="742" t="s">
        <v>3316</v>
      </c>
      <c r="E137" s="742"/>
      <c r="G137" s="738"/>
      <c r="H137" s="791">
        <v>117169232.85000105</v>
      </c>
      <c r="I137" s="791">
        <v>113962091.43000001</v>
      </c>
      <c r="J137" s="791">
        <v>113962091.43000001</v>
      </c>
    </row>
    <row r="138" spans="4:10" ht="13.5" thickBot="1" x14ac:dyDescent="0.25">
      <c r="D138" s="532" t="s">
        <v>296</v>
      </c>
      <c r="E138" s="532"/>
      <c r="G138" s="743"/>
      <c r="H138" s="793">
        <f>SUM(H133:H137)</f>
        <v>172843576.65999398</v>
      </c>
      <c r="I138" s="792"/>
      <c r="J138" s="793">
        <f>SUM(J133:J137)</f>
        <v>159256369.78</v>
      </c>
    </row>
    <row r="139" spans="4:10" ht="13.5" thickTop="1" x14ac:dyDescent="0.2">
      <c r="D139" s="532" t="s">
        <v>437</v>
      </c>
      <c r="E139" s="532"/>
      <c r="F139" s="731" t="s">
        <v>296</v>
      </c>
      <c r="G139" s="717"/>
      <c r="H139" s="783"/>
      <c r="I139" s="783"/>
      <c r="J139" s="783"/>
    </row>
    <row r="140" spans="4:10" x14ac:dyDescent="0.2">
      <c r="D140" s="742" t="s">
        <v>430</v>
      </c>
      <c r="E140" s="742"/>
      <c r="G140" s="738"/>
      <c r="H140" s="791">
        <f>3651237.94+28608.01+3988.3</f>
        <v>3683834.2499999995</v>
      </c>
      <c r="I140" s="791">
        <v>3467251.75</v>
      </c>
      <c r="J140" s="791">
        <v>3467251.75</v>
      </c>
    </row>
    <row r="141" spans="4:10" x14ac:dyDescent="0.2">
      <c r="D141" s="742" t="s">
        <v>431</v>
      </c>
      <c r="E141" s="742"/>
      <c r="G141" s="738"/>
      <c r="H141" s="791">
        <v>1768616.8900013319</v>
      </c>
      <c r="I141" s="791">
        <v>1549319.08</v>
      </c>
      <c r="J141" s="791">
        <v>1549319.08</v>
      </c>
    </row>
    <row r="142" spans="4:10" x14ac:dyDescent="0.2">
      <c r="D142" s="742" t="s">
        <v>432</v>
      </c>
      <c r="E142" s="742"/>
      <c r="G142" s="738"/>
      <c r="H142" s="791">
        <v>1145039.1100000977</v>
      </c>
      <c r="I142" s="791">
        <v>1168709.73</v>
      </c>
      <c r="J142" s="791">
        <v>1168709.73</v>
      </c>
    </row>
    <row r="143" spans="4:10" x14ac:dyDescent="0.2">
      <c r="D143" s="742" t="s">
        <v>433</v>
      </c>
      <c r="E143" s="742"/>
      <c r="G143" s="738"/>
      <c r="H143" s="791">
        <v>937270.96000022383</v>
      </c>
      <c r="I143" s="791">
        <v>968777.54</v>
      </c>
      <c r="J143" s="791">
        <v>968777.54</v>
      </c>
    </row>
    <row r="144" spans="4:10" x14ac:dyDescent="0.2">
      <c r="D144" s="742" t="s">
        <v>3316</v>
      </c>
      <c r="E144" s="742"/>
      <c r="G144" s="738"/>
      <c r="H144" s="791">
        <v>14844975.319996327</v>
      </c>
      <c r="I144" s="791">
        <v>12821937.41</v>
      </c>
      <c r="J144" s="791">
        <v>12821937.41</v>
      </c>
    </row>
    <row r="145" spans="4:10" ht="13.5" thickBot="1" x14ac:dyDescent="0.25">
      <c r="D145" s="532" t="s">
        <v>296</v>
      </c>
      <c r="E145" s="532"/>
      <c r="G145" s="743"/>
      <c r="H145" s="793">
        <f>SUM(H140:H144)</f>
        <v>22379736.529997978</v>
      </c>
      <c r="I145" s="792"/>
      <c r="J145" s="793">
        <f>SUM(J140:J144)</f>
        <v>19975995.510000002</v>
      </c>
    </row>
    <row r="146" spans="4:10" ht="13.5" thickTop="1" x14ac:dyDescent="0.2">
      <c r="D146" s="532" t="s">
        <v>3317</v>
      </c>
      <c r="E146" s="532"/>
      <c r="F146" s="731" t="s">
        <v>296</v>
      </c>
      <c r="G146" s="717"/>
      <c r="H146" s="783"/>
      <c r="I146" s="783"/>
      <c r="J146" s="783"/>
    </row>
    <row r="147" spans="4:10" x14ac:dyDescent="0.2">
      <c r="D147" s="742" t="s">
        <v>430</v>
      </c>
      <c r="E147" s="742"/>
      <c r="G147" s="738"/>
      <c r="H147" s="791">
        <f>4943336.8+93419.3+13078.7</f>
        <v>5049834.8</v>
      </c>
      <c r="I147" s="791">
        <v>4942415.7699999996</v>
      </c>
      <c r="J147" s="791">
        <v>4942415.7699999996</v>
      </c>
    </row>
    <row r="148" spans="4:10" x14ac:dyDescent="0.2">
      <c r="D148" s="742" t="s">
        <v>431</v>
      </c>
      <c r="E148" s="742"/>
      <c r="G148" s="738"/>
      <c r="H148" s="791">
        <v>2310964.0199995278</v>
      </c>
      <c r="I148" s="791">
        <v>2121803.89</v>
      </c>
      <c r="J148" s="791">
        <v>2121803.89</v>
      </c>
    </row>
    <row r="149" spans="4:10" x14ac:dyDescent="0.2">
      <c r="D149" s="742" t="s">
        <v>432</v>
      </c>
      <c r="E149" s="742"/>
      <c r="G149" s="738"/>
      <c r="H149" s="791">
        <v>1572305.1399999845</v>
      </c>
      <c r="I149" s="791">
        <v>1546123.82</v>
      </c>
      <c r="J149" s="791">
        <v>1546123.82</v>
      </c>
    </row>
    <row r="150" spans="4:10" x14ac:dyDescent="0.2">
      <c r="D150" s="742" t="s">
        <v>433</v>
      </c>
      <c r="E150" s="742"/>
      <c r="G150" s="738"/>
      <c r="H150" s="791">
        <v>1299321.8000001602</v>
      </c>
      <c r="I150" s="791">
        <v>1323366.8500000001</v>
      </c>
      <c r="J150" s="791">
        <v>1323366.8500000001</v>
      </c>
    </row>
    <row r="151" spans="4:10" x14ac:dyDescent="0.2">
      <c r="D151" s="742" t="s">
        <v>3316</v>
      </c>
      <c r="E151" s="742"/>
      <c r="G151" s="738"/>
      <c r="H151" s="791">
        <v>25520366.519997988</v>
      </c>
      <c r="I151" s="791">
        <v>20112263.960000001</v>
      </c>
      <c r="J151" s="791">
        <v>20112263.960000001</v>
      </c>
    </row>
    <row r="152" spans="4:10" ht="13.5" thickBot="1" x14ac:dyDescent="0.25">
      <c r="D152" s="532" t="s">
        <v>296</v>
      </c>
      <c r="E152" s="532"/>
      <c r="G152" s="743"/>
      <c r="H152" s="793">
        <f>SUM(H147:H151)</f>
        <v>35752792.279997662</v>
      </c>
      <c r="I152" s="792"/>
      <c r="J152" s="793">
        <f>SUM(J147:J151)</f>
        <v>30045974.289999999</v>
      </c>
    </row>
    <row r="153" spans="4:10" ht="13.5" thickTop="1" x14ac:dyDescent="0.2">
      <c r="D153" s="532" t="s">
        <v>3966</v>
      </c>
      <c r="E153" s="532"/>
      <c r="F153" s="731" t="s">
        <v>296</v>
      </c>
      <c r="G153" s="717"/>
      <c r="H153" s="783"/>
      <c r="I153" s="783"/>
      <c r="J153" s="783"/>
    </row>
    <row r="154" spans="4:10" x14ac:dyDescent="0.2">
      <c r="D154" s="742" t="s">
        <v>430</v>
      </c>
      <c r="E154" s="742"/>
      <c r="G154" s="738"/>
      <c r="H154" s="791">
        <f>3144465.43+587722.46</f>
        <v>3732187.89</v>
      </c>
      <c r="I154" s="791">
        <v>2981227.53</v>
      </c>
      <c r="J154" s="791">
        <v>2981227.53</v>
      </c>
    </row>
    <row r="155" spans="4:10" x14ac:dyDescent="0.2">
      <c r="D155" s="742" t="s">
        <v>431</v>
      </c>
      <c r="E155" s="742"/>
      <c r="G155" s="738"/>
      <c r="H155" s="791">
        <v>4635512.3399999002</v>
      </c>
      <c r="I155" s="791">
        <v>1067863.21</v>
      </c>
      <c r="J155" s="791">
        <v>1067863.21</v>
      </c>
    </row>
    <row r="156" spans="4:10" x14ac:dyDescent="0.2">
      <c r="D156" s="742" t="s">
        <v>432</v>
      </c>
      <c r="E156" s="742"/>
      <c r="G156" s="738"/>
      <c r="H156" s="791">
        <v>786207.60999999009</v>
      </c>
      <c r="I156" s="791">
        <v>2050293.02</v>
      </c>
      <c r="J156" s="791">
        <v>2050293.02</v>
      </c>
    </row>
    <row r="157" spans="4:10" x14ac:dyDescent="0.2">
      <c r="D157" s="742" t="s">
        <v>433</v>
      </c>
      <c r="E157" s="742"/>
      <c r="G157" s="738"/>
      <c r="H157" s="791">
        <v>618400.4200000019</v>
      </c>
      <c r="I157" s="791">
        <v>4954678.93</v>
      </c>
      <c r="J157" s="791">
        <v>4954678.93</v>
      </c>
    </row>
    <row r="158" spans="4:10" x14ac:dyDescent="0.2">
      <c r="D158" s="742" t="s">
        <v>3316</v>
      </c>
      <c r="E158" s="742"/>
      <c r="G158" s="738"/>
      <c r="H158" s="791">
        <v>177995097.019999</v>
      </c>
      <c r="I158" s="791">
        <v>183495149.62</v>
      </c>
      <c r="J158" s="791">
        <v>183495149.62</v>
      </c>
    </row>
    <row r="159" spans="4:10" ht="13.5" thickBot="1" x14ac:dyDescent="0.25">
      <c r="D159" s="532" t="s">
        <v>296</v>
      </c>
      <c r="E159" s="532"/>
      <c r="G159" s="743"/>
      <c r="H159" s="793">
        <f>SUM(H154:H158)</f>
        <v>187767405.2799989</v>
      </c>
      <c r="I159" s="792"/>
      <c r="J159" s="793">
        <f>SUM(J154:J158)</f>
        <v>194549212.31</v>
      </c>
    </row>
    <row r="160" spans="4:10" ht="7.5" customHeight="1" thickTop="1" x14ac:dyDescent="0.2">
      <c r="D160" s="532"/>
      <c r="E160" s="532"/>
      <c r="G160" s="743"/>
      <c r="H160" s="792"/>
      <c r="I160" s="792"/>
      <c r="J160" s="792"/>
    </row>
    <row r="161" spans="2:10" ht="13.5" thickBot="1" x14ac:dyDescent="0.25">
      <c r="D161" s="532" t="s">
        <v>3537</v>
      </c>
      <c r="E161" s="532"/>
      <c r="G161" s="743"/>
      <c r="H161" s="793">
        <f>H122+H129+H138+H145+H152+H159</f>
        <v>902690943.92999864</v>
      </c>
      <c r="I161" s="792"/>
      <c r="J161" s="793">
        <f>J122+J129+J138+J145+J152+J159</f>
        <v>779232027.52999997</v>
      </c>
    </row>
    <row r="162" spans="2:10" ht="6" customHeight="1" thickTop="1" x14ac:dyDescent="0.2">
      <c r="D162" s="532"/>
      <c r="E162" s="532"/>
      <c r="G162" s="743"/>
      <c r="H162" s="792"/>
      <c r="I162" s="792"/>
      <c r="J162" s="792"/>
    </row>
    <row r="163" spans="2:10" x14ac:dyDescent="0.2">
      <c r="B163" s="719"/>
      <c r="C163" s="746"/>
      <c r="D163" s="260" t="s">
        <v>391</v>
      </c>
      <c r="E163" s="1589"/>
      <c r="G163" s="738"/>
      <c r="H163" s="791"/>
      <c r="I163" s="791"/>
      <c r="J163" s="791"/>
    </row>
    <row r="164" spans="2:10" x14ac:dyDescent="0.2">
      <c r="D164" s="260"/>
      <c r="E164" s="742"/>
      <c r="G164" s="738"/>
      <c r="H164" s="791"/>
      <c r="I164" s="791"/>
      <c r="J164" s="791"/>
    </row>
    <row r="165" spans="2:10" x14ac:dyDescent="0.2">
      <c r="D165" s="185" t="s">
        <v>392</v>
      </c>
      <c r="E165" s="1466"/>
      <c r="G165" s="738"/>
      <c r="H165" s="314">
        <f>J169</f>
        <v>408535231.52999997</v>
      </c>
      <c r="I165" s="791"/>
      <c r="J165" s="314">
        <v>376587983.56999999</v>
      </c>
    </row>
    <row r="166" spans="2:10" x14ac:dyDescent="0.2">
      <c r="D166" s="185" t="s">
        <v>393</v>
      </c>
      <c r="E166" s="1466"/>
      <c r="G166" s="738"/>
      <c r="H166" s="314">
        <f>74713838.76+977497.68</f>
        <v>75691336.440000013</v>
      </c>
      <c r="I166" s="791"/>
      <c r="J166" s="314">
        <v>114596050</v>
      </c>
    </row>
    <row r="167" spans="2:10" x14ac:dyDescent="0.2">
      <c r="B167" s="255"/>
      <c r="C167" s="720"/>
      <c r="D167" s="185" t="s">
        <v>398</v>
      </c>
      <c r="E167" s="1466"/>
      <c r="G167" s="738"/>
      <c r="H167" s="1467">
        <v>-16688958.76</v>
      </c>
      <c r="I167" s="791"/>
      <c r="J167" s="1467">
        <v>-82648802.040000007</v>
      </c>
    </row>
    <row r="168" spans="2:10" hidden="1" x14ac:dyDescent="0.2">
      <c r="B168" s="718"/>
      <c r="C168" s="720"/>
      <c r="D168" s="185" t="s">
        <v>695</v>
      </c>
      <c r="E168" s="1468"/>
      <c r="G168" s="738"/>
      <c r="H168" s="791"/>
      <c r="I168" s="791"/>
      <c r="J168" s="791"/>
    </row>
    <row r="169" spans="2:10" ht="13.5" thickBot="1" x14ac:dyDescent="0.25">
      <c r="B169" s="719"/>
      <c r="D169" s="260" t="s">
        <v>394</v>
      </c>
      <c r="E169" s="1469"/>
      <c r="G169" s="743"/>
      <c r="H169" s="1465">
        <f>-'TB4'!X215</f>
        <v>467537609.68000001</v>
      </c>
      <c r="I169" s="791"/>
      <c r="J169" s="1465">
        <f>SUM(J164:J168)</f>
        <v>408535231.52999997</v>
      </c>
    </row>
    <row r="170" spans="2:10" ht="13.5" thickTop="1" x14ac:dyDescent="0.2">
      <c r="D170" s="260"/>
      <c r="E170" s="532"/>
      <c r="G170" s="743"/>
      <c r="H170" s="792"/>
      <c r="I170" s="791"/>
      <c r="J170" s="792"/>
    </row>
    <row r="171" spans="2:10" hidden="1" x14ac:dyDescent="0.2">
      <c r="D171" s="261" t="s">
        <v>2647</v>
      </c>
      <c r="E171" s="532"/>
      <c r="G171" s="743"/>
      <c r="H171" s="792"/>
      <c r="I171" s="791"/>
      <c r="J171" s="792"/>
    </row>
    <row r="172" spans="2:10" hidden="1" x14ac:dyDescent="0.2">
      <c r="D172" s="185"/>
      <c r="E172" s="532"/>
      <c r="G172" s="743"/>
      <c r="H172" s="792"/>
      <c r="I172" s="791"/>
      <c r="J172" s="792"/>
    </row>
    <row r="173" spans="2:10" ht="51" hidden="1" x14ac:dyDescent="0.2">
      <c r="B173" s="719"/>
      <c r="D173" s="747" t="s">
        <v>3328</v>
      </c>
      <c r="E173" s="532"/>
      <c r="G173" s="743"/>
      <c r="H173" s="792"/>
      <c r="I173" s="791"/>
      <c r="J173" s="792"/>
    </row>
    <row r="174" spans="2:10" hidden="1" x14ac:dyDescent="0.2">
      <c r="B174" s="719"/>
      <c r="D174" s="255" t="s">
        <v>2648</v>
      </c>
      <c r="E174" s="532"/>
      <c r="G174" s="743"/>
      <c r="H174" s="792"/>
      <c r="I174" s="791"/>
      <c r="J174" s="792"/>
    </row>
    <row r="175" spans="2:10" hidden="1" x14ac:dyDescent="0.2">
      <c r="D175" s="267" t="s">
        <v>2649</v>
      </c>
      <c r="E175" s="532"/>
      <c r="G175" s="743"/>
      <c r="H175" s="792"/>
      <c r="I175" s="791"/>
      <c r="J175" s="792"/>
    </row>
    <row r="176" spans="2:10" hidden="1" x14ac:dyDescent="0.2">
      <c r="D176" s="267" t="s">
        <v>2650</v>
      </c>
      <c r="E176" s="532"/>
      <c r="G176" s="743"/>
      <c r="H176" s="792"/>
      <c r="I176" s="791"/>
      <c r="J176" s="792"/>
    </row>
    <row r="177" spans="2:10" hidden="1" x14ac:dyDescent="0.2">
      <c r="D177" s="267" t="s">
        <v>2651</v>
      </c>
      <c r="E177" s="532"/>
      <c r="G177" s="743"/>
      <c r="H177" s="792"/>
      <c r="I177" s="791"/>
      <c r="J177" s="792"/>
    </row>
    <row r="178" spans="2:10" hidden="1" x14ac:dyDescent="0.2">
      <c r="D178" s="185"/>
      <c r="E178" s="532"/>
      <c r="G178" s="743"/>
      <c r="H178" s="792"/>
      <c r="I178" s="791"/>
      <c r="J178" s="792"/>
    </row>
    <row r="179" spans="2:10" hidden="1" x14ac:dyDescent="0.2">
      <c r="D179" s="261" t="s">
        <v>2652</v>
      </c>
      <c r="E179" s="532"/>
      <c r="G179" s="743"/>
      <c r="H179" s="792"/>
      <c r="I179" s="791"/>
      <c r="J179" s="792"/>
    </row>
    <row r="180" spans="2:10" hidden="1" x14ac:dyDescent="0.2">
      <c r="D180" s="185"/>
      <c r="E180" s="532"/>
      <c r="G180" s="743"/>
      <c r="H180" s="792"/>
      <c r="I180" s="791"/>
      <c r="J180" s="792"/>
    </row>
    <row r="181" spans="2:10" ht="25.5" hidden="1" x14ac:dyDescent="0.2">
      <c r="D181" s="267" t="s">
        <v>2653</v>
      </c>
      <c r="E181" s="532"/>
      <c r="G181" s="743"/>
      <c r="H181" s="792"/>
      <c r="I181" s="791"/>
      <c r="J181" s="792"/>
    </row>
    <row r="182" spans="2:10" ht="25.5" hidden="1" x14ac:dyDescent="0.2">
      <c r="D182" s="267" t="s">
        <v>2654</v>
      </c>
      <c r="E182" s="532"/>
      <c r="G182" s="743"/>
      <c r="H182" s="792"/>
      <c r="I182" s="791"/>
      <c r="J182" s="792"/>
    </row>
    <row r="183" spans="2:10" hidden="1" x14ac:dyDescent="0.2">
      <c r="D183" s="267" t="s">
        <v>2655</v>
      </c>
      <c r="E183" s="532"/>
      <c r="G183" s="743"/>
      <c r="H183" s="792"/>
      <c r="I183" s="791"/>
      <c r="J183" s="792"/>
    </row>
    <row r="184" spans="2:10" hidden="1" x14ac:dyDescent="0.2">
      <c r="D184" s="267" t="s">
        <v>2656</v>
      </c>
      <c r="E184" s="532"/>
      <c r="G184" s="743"/>
      <c r="H184" s="792"/>
      <c r="I184" s="791"/>
      <c r="J184" s="792"/>
    </row>
    <row r="185" spans="2:10" hidden="1" x14ac:dyDescent="0.2">
      <c r="D185" s="267" t="s">
        <v>2657</v>
      </c>
      <c r="E185" s="532"/>
      <c r="G185" s="743"/>
      <c r="H185" s="792"/>
      <c r="I185" s="791"/>
      <c r="J185" s="792"/>
    </row>
    <row r="186" spans="2:10" hidden="1" x14ac:dyDescent="0.2">
      <c r="D186" s="267"/>
      <c r="E186" s="532"/>
      <c r="G186" s="743"/>
      <c r="H186" s="792"/>
      <c r="I186" s="791"/>
      <c r="J186" s="792"/>
    </row>
    <row r="187" spans="2:10" ht="25.5" hidden="1" x14ac:dyDescent="0.2">
      <c r="D187" s="267" t="s">
        <v>2658</v>
      </c>
      <c r="E187" s="532"/>
      <c r="G187" s="743"/>
      <c r="H187" s="792"/>
      <c r="I187" s="791"/>
      <c r="J187" s="792"/>
    </row>
    <row r="188" spans="2:10" ht="25.5" x14ac:dyDescent="0.2">
      <c r="B188" s="527">
        <v>13</v>
      </c>
      <c r="D188" s="532" t="s">
        <v>3704</v>
      </c>
      <c r="E188" s="722"/>
      <c r="G188" s="722"/>
      <c r="H188" s="786"/>
      <c r="I188" s="786"/>
      <c r="J188" s="787"/>
    </row>
    <row r="189" spans="2:10" x14ac:dyDescent="0.2">
      <c r="D189" s="532"/>
      <c r="E189" s="722"/>
      <c r="G189" s="722"/>
      <c r="H189" s="786"/>
      <c r="I189" s="786"/>
      <c r="J189" s="787"/>
    </row>
    <row r="190" spans="2:10" x14ac:dyDescent="0.2">
      <c r="D190" s="1589" t="s">
        <v>610</v>
      </c>
      <c r="E190" s="714"/>
      <c r="H190" s="781">
        <f>'TB4'!X227+'TB4'!X237+'TB4'!X231+'TB4'!X230+'TB4'!X238+'TB4'!X236</f>
        <v>591721.6</v>
      </c>
      <c r="I190" s="782"/>
      <c r="J190" s="781">
        <f>'TB4'!U227+'TB4'!U237+'TB4'!U231+'TB4'!U230+'TB4'!U238+'TB4'!U236</f>
        <v>742286.85999999975</v>
      </c>
    </row>
    <row r="191" spans="2:10" x14ac:dyDescent="0.2">
      <c r="D191" s="232" t="s">
        <v>3702</v>
      </c>
      <c r="E191" s="714"/>
      <c r="H191" s="781">
        <f>'TB4'!X224</f>
        <v>628846.98999999976</v>
      </c>
      <c r="I191" s="782"/>
      <c r="J191" s="781">
        <f>'TB4'!U224</f>
        <v>5134397.8099999996</v>
      </c>
    </row>
    <row r="192" spans="2:10" x14ac:dyDescent="0.2">
      <c r="D192" s="232" t="s">
        <v>3703</v>
      </c>
      <c r="E192" s="1002"/>
      <c r="G192" s="1002"/>
      <c r="H192" s="781">
        <f>'TB4'!V246+'TB4'!V247</f>
        <v>13659617.760000002</v>
      </c>
      <c r="I192" s="782"/>
      <c r="J192" s="781">
        <f>'TB4'!U246+'TB4'!U247</f>
        <v>1269689.5399999991</v>
      </c>
    </row>
    <row r="193" spans="3:10" x14ac:dyDescent="0.2">
      <c r="D193" s="232" t="s">
        <v>2975</v>
      </c>
      <c r="E193" s="1002"/>
      <c r="G193" s="1002"/>
      <c r="H193" s="781">
        <f>'TB4'!X229</f>
        <v>5135255.04</v>
      </c>
      <c r="I193" s="782"/>
      <c r="J193" s="781"/>
    </row>
    <row r="194" spans="3:10" x14ac:dyDescent="0.2">
      <c r="D194" s="232" t="s">
        <v>3139</v>
      </c>
      <c r="E194" s="714"/>
      <c r="H194" s="781">
        <f>'TB4'!X226</f>
        <v>0</v>
      </c>
      <c r="I194" s="782"/>
      <c r="J194" s="781">
        <f>'TB4'!U226</f>
        <v>112065.44999999995</v>
      </c>
    </row>
    <row r="195" spans="3:10" x14ac:dyDescent="0.2">
      <c r="D195" s="1589" t="s">
        <v>3930</v>
      </c>
      <c r="E195" s="714"/>
      <c r="H195" s="781">
        <f>'TB4'!X239+'TB4'!X240+'TB4'!X241+'TB4'!X242+'TB4'!X243+'TB4'!X244</f>
        <v>1020462.8</v>
      </c>
      <c r="I195" s="782"/>
      <c r="J195" s="781">
        <f>'TB4'!U239+'TB4'!U240+'TB4'!U241+'TB4'!U242+'TB4'!U243+'TB4'!U244</f>
        <v>1217763.08</v>
      </c>
    </row>
    <row r="196" spans="3:10" x14ac:dyDescent="0.2">
      <c r="D196" s="1589" t="s">
        <v>3209</v>
      </c>
      <c r="E196" s="714"/>
      <c r="H196" s="781">
        <f>'TB4'!X245</f>
        <v>5872847.1799999997</v>
      </c>
      <c r="I196" s="782"/>
      <c r="J196" s="781">
        <f>'TB4'!U245</f>
        <v>5146489.5999999996</v>
      </c>
    </row>
    <row r="197" spans="3:10" x14ac:dyDescent="0.2">
      <c r="D197" s="1589" t="s">
        <v>434</v>
      </c>
      <c r="E197" s="714"/>
      <c r="F197" s="725"/>
      <c r="H197" s="781">
        <f>'TB4'!X233</f>
        <v>684874.06</v>
      </c>
      <c r="I197" s="782"/>
      <c r="J197" s="781">
        <f>'TB4'!U233</f>
        <v>655174.05999999994</v>
      </c>
    </row>
    <row r="198" spans="3:10" ht="13.5" thickBot="1" x14ac:dyDescent="0.25">
      <c r="D198" s="532" t="s">
        <v>296</v>
      </c>
      <c r="E198" s="714"/>
      <c r="F198" s="725"/>
      <c r="H198" s="1456">
        <f>SUM(H190:H197)</f>
        <v>27593625.43</v>
      </c>
      <c r="I198" s="787"/>
      <c r="J198" s="1456">
        <f>SUM(J190:J197)</f>
        <v>14277866.399999999</v>
      </c>
    </row>
    <row r="199" spans="3:10" ht="13.5" thickTop="1" x14ac:dyDescent="0.2">
      <c r="D199" s="532"/>
      <c r="E199" s="714"/>
      <c r="F199" s="725"/>
      <c r="H199" s="787"/>
      <c r="I199" s="787"/>
      <c r="J199" s="787"/>
    </row>
    <row r="200" spans="3:10" x14ac:dyDescent="0.2">
      <c r="C200" s="260">
        <v>13.1</v>
      </c>
      <c r="D200" s="260" t="s">
        <v>4200</v>
      </c>
      <c r="E200" s="714"/>
      <c r="F200" s="725"/>
      <c r="H200" s="453">
        <f>J203</f>
        <v>29262695</v>
      </c>
      <c r="I200" s="453">
        <v>14645730</v>
      </c>
      <c r="J200" s="453">
        <v>14536586</v>
      </c>
    </row>
    <row r="201" spans="3:10" x14ac:dyDescent="0.2">
      <c r="C201" s="185"/>
      <c r="D201" s="185" t="s">
        <v>514</v>
      </c>
      <c r="E201" s="714"/>
      <c r="F201" s="725"/>
      <c r="H201" s="453">
        <v>4463166.4000000004</v>
      </c>
      <c r="I201" s="453">
        <v>9557190</v>
      </c>
      <c r="J201" s="453">
        <v>15818004</v>
      </c>
    </row>
    <row r="202" spans="3:10" x14ac:dyDescent="0.2">
      <c r="C202" s="185"/>
      <c r="D202" s="185" t="s">
        <v>515</v>
      </c>
      <c r="E202" s="714"/>
      <c r="F202" s="725"/>
      <c r="H202" s="453">
        <v>-3448074.62</v>
      </c>
      <c r="I202" s="453">
        <v>-9666334</v>
      </c>
      <c r="J202" s="453">
        <v>-1091895</v>
      </c>
    </row>
    <row r="203" spans="3:10" x14ac:dyDescent="0.2">
      <c r="C203" s="185"/>
      <c r="D203" s="185" t="s">
        <v>516</v>
      </c>
      <c r="E203" s="714"/>
      <c r="F203" s="725"/>
      <c r="H203" s="1322">
        <f>SUM(H200:H202)</f>
        <v>30277786.779999997</v>
      </c>
      <c r="I203" s="1322">
        <v>14536586</v>
      </c>
      <c r="J203" s="1322">
        <f>SUM(J200:J202)</f>
        <v>29262695</v>
      </c>
    </row>
    <row r="204" spans="3:10" x14ac:dyDescent="0.2">
      <c r="C204" s="185"/>
      <c r="D204" s="185" t="s">
        <v>517</v>
      </c>
      <c r="E204" s="714"/>
      <c r="F204" s="725"/>
      <c r="H204" s="787"/>
      <c r="I204" s="787"/>
      <c r="J204" s="787"/>
    </row>
    <row r="205" spans="3:10" x14ac:dyDescent="0.2">
      <c r="D205" s="532"/>
      <c r="E205" s="714"/>
      <c r="F205" s="725"/>
      <c r="H205" s="787"/>
      <c r="I205" s="787"/>
      <c r="J205" s="787"/>
    </row>
    <row r="206" spans="3:10" x14ac:dyDescent="0.2">
      <c r="D206" s="532"/>
      <c r="E206" s="714"/>
      <c r="F206" s="725"/>
      <c r="H206" s="787"/>
      <c r="I206" s="787"/>
      <c r="J206" s="787"/>
    </row>
    <row r="207" spans="3:10" x14ac:dyDescent="0.2">
      <c r="D207" s="532"/>
      <c r="E207" s="714"/>
      <c r="F207" s="725"/>
      <c r="H207" s="787"/>
      <c r="I207" s="787"/>
      <c r="J207" s="787"/>
    </row>
    <row r="208" spans="3:10" x14ac:dyDescent="0.2">
      <c r="D208" s="532"/>
      <c r="E208" s="714"/>
      <c r="H208" s="787"/>
      <c r="I208" s="782"/>
      <c r="J208" s="787"/>
    </row>
    <row r="209" spans="2:10" x14ac:dyDescent="0.2">
      <c r="B209" s="527">
        <v>14</v>
      </c>
      <c r="D209" s="532" t="s">
        <v>3534</v>
      </c>
    </row>
    <row r="210" spans="2:10" x14ac:dyDescent="0.2">
      <c r="D210" s="532"/>
    </row>
    <row r="211" spans="2:10" x14ac:dyDescent="0.2">
      <c r="D211" s="532"/>
    </row>
    <row r="212" spans="2:10" x14ac:dyDescent="0.2">
      <c r="D212" s="232" t="s">
        <v>1497</v>
      </c>
      <c r="H212" s="789">
        <f>'TB4'!V261</f>
        <v>17119487.490000002</v>
      </c>
      <c r="J212" s="789">
        <f>'TB4'!U261</f>
        <v>17234943.109999999</v>
      </c>
    </row>
    <row r="213" spans="2:10" x14ac:dyDescent="0.2">
      <c r="D213" s="232" t="s">
        <v>1496</v>
      </c>
      <c r="H213" s="789">
        <f>'TB4'!V254</f>
        <v>-54185717</v>
      </c>
      <c r="J213" s="789">
        <f>'TB4'!U254</f>
        <v>-41360350.590000004</v>
      </c>
    </row>
    <row r="214" spans="2:10" hidden="1" x14ac:dyDescent="0.2">
      <c r="D214" s="232" t="s">
        <v>3140</v>
      </c>
      <c r="H214" s="789">
        <f>'TB4'!U260</f>
        <v>0</v>
      </c>
      <c r="J214" s="789">
        <f>'TB4'!R260</f>
        <v>0</v>
      </c>
    </row>
    <row r="215" spans="2:10" x14ac:dyDescent="0.2">
      <c r="D215" s="255" t="s">
        <v>3767</v>
      </c>
      <c r="H215" s="781">
        <f>'TB4'!V258</f>
        <v>14491317.34</v>
      </c>
      <c r="J215" s="781">
        <f>'TB4'!U258</f>
        <v>42503315.189999998</v>
      </c>
    </row>
    <row r="216" spans="2:10" ht="13.5" thickBot="1" x14ac:dyDescent="0.25">
      <c r="F216" s="255"/>
      <c r="H216" s="1456">
        <f>SUM(H212:H215)</f>
        <v>-22574912.169999998</v>
      </c>
      <c r="I216" s="788"/>
      <c r="J216" s="1456">
        <f>SUM(J212:J215)</f>
        <v>18377907.709999993</v>
      </c>
    </row>
    <row r="217" spans="2:10" ht="13.5" thickTop="1" x14ac:dyDescent="0.2">
      <c r="D217" s="255" t="s">
        <v>3628</v>
      </c>
      <c r="F217" s="255"/>
    </row>
    <row r="218" spans="2:10" x14ac:dyDescent="0.2">
      <c r="F218" s="255"/>
    </row>
    <row r="219" spans="2:10" x14ac:dyDescent="0.2">
      <c r="F219" s="255"/>
    </row>
    <row r="220" spans="2:10" x14ac:dyDescent="0.2">
      <c r="F220" s="255"/>
    </row>
    <row r="221" spans="2:10" x14ac:dyDescent="0.2">
      <c r="B221" s="527">
        <v>15</v>
      </c>
      <c r="D221" s="186" t="s">
        <v>268</v>
      </c>
      <c r="E221" s="714"/>
      <c r="H221" s="782"/>
      <c r="I221" s="782"/>
      <c r="J221" s="781"/>
    </row>
    <row r="222" spans="2:10" x14ac:dyDescent="0.2">
      <c r="D222" s="186"/>
      <c r="E222" s="714"/>
      <c r="H222" s="782"/>
      <c r="I222" s="782"/>
      <c r="J222" s="781"/>
    </row>
    <row r="223" spans="2:10" x14ac:dyDescent="0.2">
      <c r="D223" s="749" t="s">
        <v>435</v>
      </c>
      <c r="E223" s="714"/>
      <c r="H223" s="782"/>
      <c r="I223" s="782"/>
      <c r="J223" s="781"/>
    </row>
    <row r="224" spans="2:10" ht="15" customHeight="1" x14ac:dyDescent="0.2">
      <c r="B224" s="255"/>
      <c r="D224" s="749"/>
      <c r="E224" s="714"/>
      <c r="F224" s="726"/>
      <c r="H224" s="782"/>
      <c r="I224" s="782"/>
      <c r="J224" s="781"/>
    </row>
    <row r="225" spans="2:11" ht="15.75" customHeight="1" x14ac:dyDescent="0.2">
      <c r="D225" s="722" t="s">
        <v>509</v>
      </c>
      <c r="E225" s="714"/>
      <c r="F225" s="726"/>
      <c r="H225" s="782"/>
      <c r="I225" s="782"/>
      <c r="J225" s="781"/>
    </row>
    <row r="226" spans="2:11" ht="15.75" customHeight="1" x14ac:dyDescent="0.2">
      <c r="D226" s="749" t="s">
        <v>16</v>
      </c>
      <c r="E226" s="714"/>
      <c r="F226" s="726"/>
      <c r="H226" s="782">
        <f>H233</f>
        <v>17571630.620000001</v>
      </c>
      <c r="I226" s="782"/>
      <c r="J226" s="782">
        <f>J233</f>
        <v>66106200.189999998</v>
      </c>
    </row>
    <row r="227" spans="2:11" ht="15.75" customHeight="1" x14ac:dyDescent="0.2">
      <c r="D227" s="749" t="s">
        <v>17</v>
      </c>
      <c r="E227" s="714"/>
      <c r="F227" s="726"/>
      <c r="H227" s="782"/>
      <c r="I227" s="782"/>
      <c r="J227" s="781"/>
    </row>
    <row r="228" spans="2:11" ht="15.75" hidden="1" customHeight="1" x14ac:dyDescent="0.2">
      <c r="E228" s="714"/>
      <c r="F228" s="726"/>
      <c r="H228" s="782"/>
      <c r="I228" s="782"/>
      <c r="J228" s="781"/>
    </row>
    <row r="229" spans="2:11" ht="15.75" hidden="1" customHeight="1" thickBot="1" x14ac:dyDescent="0.25">
      <c r="D229" s="750" t="s">
        <v>510</v>
      </c>
      <c r="E229" s="714"/>
      <c r="F229" s="726"/>
      <c r="H229" s="1470">
        <f>+J230</f>
        <v>49520030</v>
      </c>
      <c r="I229" s="782"/>
      <c r="J229" s="1470">
        <v>9072633</v>
      </c>
    </row>
    <row r="230" spans="2:11" ht="15.75" hidden="1" customHeight="1" thickTop="1" thickBot="1" x14ac:dyDescent="0.25">
      <c r="D230" s="750" t="s">
        <v>511</v>
      </c>
      <c r="E230" s="714"/>
      <c r="F230" s="726"/>
      <c r="H230" s="1455">
        <v>72075816.890000001</v>
      </c>
      <c r="I230" s="782"/>
      <c r="J230" s="1455">
        <v>49520030</v>
      </c>
    </row>
    <row r="231" spans="2:11" ht="15.75" hidden="1" customHeight="1" thickTop="1" x14ac:dyDescent="0.2">
      <c r="C231" s="720"/>
      <c r="D231" s="751"/>
      <c r="E231" s="714"/>
      <c r="F231" s="726"/>
      <c r="H231" s="781"/>
      <c r="I231" s="782"/>
      <c r="J231" s="781"/>
      <c r="K231" s="714"/>
    </row>
    <row r="232" spans="2:11" ht="15.75" hidden="1" customHeight="1" thickBot="1" x14ac:dyDescent="0.25">
      <c r="D232" s="750" t="s">
        <v>512</v>
      </c>
      <c r="E232" s="714"/>
      <c r="H232" s="1470">
        <f>+J233</f>
        <v>66106200.189999998</v>
      </c>
      <c r="I232" s="782"/>
      <c r="J232" s="1470">
        <v>10866064</v>
      </c>
      <c r="K232" s="714"/>
    </row>
    <row r="233" spans="2:11" ht="15.75" customHeight="1" thickBot="1" x14ac:dyDescent="0.25">
      <c r="D233" s="750" t="s">
        <v>513</v>
      </c>
      <c r="E233" s="722"/>
      <c r="G233" s="722"/>
      <c r="H233" s="1455">
        <f>'TB4'!X268</f>
        <v>17571630.620000001</v>
      </c>
      <c r="I233" s="786"/>
      <c r="J233" s="1455">
        <f>'TB4'!U268</f>
        <v>66106200.189999998</v>
      </c>
      <c r="K233" s="714"/>
    </row>
    <row r="234" spans="2:11" ht="15.75" customHeight="1" thickTop="1" x14ac:dyDescent="0.2">
      <c r="D234" s="749"/>
      <c r="E234" s="714"/>
      <c r="H234" s="787"/>
      <c r="I234" s="782"/>
      <c r="J234" s="787"/>
      <c r="K234" s="714"/>
    </row>
    <row r="235" spans="2:11" ht="15.75" customHeight="1" x14ac:dyDescent="0.2">
      <c r="D235" s="722" t="s">
        <v>3940</v>
      </c>
      <c r="E235" s="714"/>
      <c r="H235" s="787"/>
      <c r="I235" s="782"/>
      <c r="J235" s="787"/>
      <c r="K235" s="714"/>
    </row>
    <row r="236" spans="2:11" ht="15.75" customHeight="1" x14ac:dyDescent="0.2">
      <c r="D236" s="749" t="s">
        <v>16</v>
      </c>
      <c r="E236" s="714"/>
      <c r="H236" s="781">
        <f>H238</f>
        <v>3</v>
      </c>
      <c r="I236" s="782"/>
      <c r="J236" s="787"/>
      <c r="K236" s="714"/>
    </row>
    <row r="237" spans="2:11" ht="15.75" customHeight="1" x14ac:dyDescent="0.2">
      <c r="D237" s="749" t="s">
        <v>3941</v>
      </c>
      <c r="E237" s="714"/>
      <c r="H237" s="787"/>
      <c r="I237" s="782"/>
      <c r="J237" s="787"/>
      <c r="K237" s="714"/>
    </row>
    <row r="238" spans="2:11" ht="15.75" customHeight="1" thickBot="1" x14ac:dyDescent="0.25">
      <c r="D238" s="752" t="s">
        <v>513</v>
      </c>
      <c r="E238" s="722"/>
      <c r="G238" s="722"/>
      <c r="H238" s="1455">
        <f>'TB4'!X273</f>
        <v>3</v>
      </c>
      <c r="I238" s="786"/>
      <c r="J238" s="1455">
        <v>0</v>
      </c>
      <c r="K238" s="714"/>
    </row>
    <row r="239" spans="2:11" ht="15.75" customHeight="1" thickTop="1" x14ac:dyDescent="0.2">
      <c r="D239" s="749"/>
      <c r="E239" s="714"/>
      <c r="H239" s="787"/>
      <c r="I239" s="782"/>
      <c r="J239" s="787"/>
      <c r="K239" s="714"/>
    </row>
    <row r="240" spans="2:11" ht="15.75" customHeight="1" x14ac:dyDescent="0.2">
      <c r="B240" s="719"/>
      <c r="D240" s="722" t="s">
        <v>3942</v>
      </c>
      <c r="E240" s="714"/>
      <c r="H240" s="782"/>
      <c r="I240" s="782"/>
      <c r="J240" s="781"/>
      <c r="K240" s="714"/>
    </row>
    <row r="241" spans="2:11" ht="15.75" customHeight="1" x14ac:dyDescent="0.2">
      <c r="D241" s="749" t="s">
        <v>16</v>
      </c>
      <c r="E241" s="714"/>
      <c r="H241" s="782">
        <f>H248</f>
        <v>68304736.530000001</v>
      </c>
      <c r="I241" s="782">
        <f>I248</f>
        <v>0</v>
      </c>
      <c r="J241" s="782">
        <f>J248</f>
        <v>226428108.03</v>
      </c>
      <c r="K241" s="714"/>
    </row>
    <row r="242" spans="2:11" ht="15.75" customHeight="1" x14ac:dyDescent="0.2">
      <c r="D242" s="749" t="s">
        <v>3738</v>
      </c>
      <c r="E242" s="714"/>
      <c r="H242" s="782"/>
      <c r="I242" s="782"/>
      <c r="J242" s="781"/>
      <c r="K242" s="714"/>
    </row>
    <row r="243" spans="2:11" ht="15.75" hidden="1" customHeight="1" x14ac:dyDescent="0.2">
      <c r="B243" s="255"/>
      <c r="E243" s="714"/>
      <c r="F243" s="726"/>
      <c r="H243" s="782"/>
      <c r="I243" s="782"/>
      <c r="J243" s="781"/>
      <c r="K243" s="714"/>
    </row>
    <row r="244" spans="2:11" ht="15.75" hidden="1" customHeight="1" thickBot="1" x14ac:dyDescent="0.25">
      <c r="D244" s="750" t="s">
        <v>510</v>
      </c>
      <c r="E244" s="714"/>
      <c r="F244" s="726"/>
      <c r="H244" s="1470">
        <f>+J245</f>
        <v>0</v>
      </c>
      <c r="I244" s="782"/>
      <c r="J244" s="1470">
        <v>0</v>
      </c>
      <c r="K244" s="714"/>
    </row>
    <row r="245" spans="2:11" ht="15.75" hidden="1" customHeight="1" thickBot="1" x14ac:dyDescent="0.25">
      <c r="D245" s="750" t="s">
        <v>511</v>
      </c>
      <c r="E245" s="714"/>
      <c r="F245" s="726"/>
      <c r="H245" s="1455">
        <v>242063970.44999999</v>
      </c>
      <c r="I245" s="782"/>
      <c r="J245" s="1455">
        <v>0</v>
      </c>
      <c r="K245" s="714"/>
    </row>
    <row r="246" spans="2:11" ht="15.75" hidden="1" customHeight="1" thickTop="1" x14ac:dyDescent="0.2">
      <c r="D246" s="751"/>
      <c r="E246" s="714"/>
      <c r="F246" s="726"/>
      <c r="H246" s="781"/>
      <c r="I246" s="782"/>
      <c r="J246" s="781"/>
      <c r="K246" s="714"/>
    </row>
    <row r="247" spans="2:11" ht="15.75" hidden="1" customHeight="1" thickBot="1" x14ac:dyDescent="0.25">
      <c r="D247" s="750" t="s">
        <v>512</v>
      </c>
      <c r="E247" s="714"/>
      <c r="H247" s="1470">
        <f>+J248</f>
        <v>226428108.03</v>
      </c>
      <c r="I247" s="782"/>
      <c r="J247" s="1470">
        <v>0</v>
      </c>
      <c r="K247" s="714"/>
    </row>
    <row r="248" spans="2:11" ht="15.75" customHeight="1" thickBot="1" x14ac:dyDescent="0.25">
      <c r="D248" s="752" t="s">
        <v>513</v>
      </c>
      <c r="E248" s="722"/>
      <c r="G248" s="722"/>
      <c r="H248" s="1455">
        <f>'TB4'!X274</f>
        <v>68304736.530000001</v>
      </c>
      <c r="I248" s="786"/>
      <c r="J248" s="1455">
        <f>'TB4'!U274</f>
        <v>226428108.03</v>
      </c>
      <c r="K248" s="714"/>
    </row>
    <row r="249" spans="2:11" ht="15.75" customHeight="1" thickTop="1" x14ac:dyDescent="0.2">
      <c r="D249" s="749"/>
      <c r="E249" s="714"/>
      <c r="H249" s="787"/>
      <c r="I249" s="782"/>
      <c r="J249" s="787"/>
      <c r="K249" s="714"/>
    </row>
    <row r="250" spans="2:11" ht="15.75" customHeight="1" x14ac:dyDescent="0.2">
      <c r="D250" s="722" t="s">
        <v>3943</v>
      </c>
      <c r="E250" s="714"/>
      <c r="H250" s="782"/>
      <c r="I250" s="782"/>
      <c r="J250" s="781"/>
      <c r="K250" s="714"/>
    </row>
    <row r="251" spans="2:11" ht="15.75" customHeight="1" x14ac:dyDescent="0.2">
      <c r="D251" s="749" t="s">
        <v>16</v>
      </c>
      <c r="E251" s="714"/>
      <c r="H251" s="782">
        <f>H258</f>
        <v>427591.01</v>
      </c>
      <c r="I251" s="782"/>
      <c r="J251" s="781">
        <f>J258</f>
        <v>404429.06</v>
      </c>
      <c r="K251" s="714"/>
    </row>
    <row r="252" spans="2:11" ht="15.75" customHeight="1" x14ac:dyDescent="0.2">
      <c r="D252" s="749" t="s">
        <v>939</v>
      </c>
      <c r="E252" s="714"/>
      <c r="H252" s="782"/>
      <c r="I252" s="782"/>
      <c r="J252" s="781"/>
      <c r="K252" s="714"/>
    </row>
    <row r="253" spans="2:11" ht="15.75" hidden="1" customHeight="1" x14ac:dyDescent="0.2">
      <c r="E253" s="714"/>
      <c r="F253" s="726"/>
      <c r="H253" s="782"/>
      <c r="I253" s="782"/>
      <c r="J253" s="781"/>
      <c r="K253" s="714"/>
    </row>
    <row r="254" spans="2:11" ht="15.75" hidden="1" customHeight="1" thickBot="1" x14ac:dyDescent="0.25">
      <c r="D254" s="750" t="s">
        <v>510</v>
      </c>
      <c r="E254" s="714"/>
      <c r="F254" s="726"/>
      <c r="H254" s="1470">
        <f>+J255</f>
        <v>364781</v>
      </c>
      <c r="I254" s="782"/>
      <c r="J254" s="1470">
        <v>349572</v>
      </c>
      <c r="K254" s="714"/>
    </row>
    <row r="255" spans="2:11" ht="15.75" hidden="1" customHeight="1" thickTop="1" thickBot="1" x14ac:dyDescent="0.25">
      <c r="C255" s="720"/>
      <c r="D255" s="750" t="s">
        <v>511</v>
      </c>
      <c r="E255" s="714"/>
      <c r="F255" s="726"/>
      <c r="H255" s="1455">
        <v>364781.02</v>
      </c>
      <c r="I255" s="782"/>
      <c r="J255" s="1455">
        <v>364781</v>
      </c>
      <c r="K255" s="714"/>
    </row>
    <row r="256" spans="2:11" ht="15.75" hidden="1" customHeight="1" thickTop="1" x14ac:dyDescent="0.2">
      <c r="D256" s="751"/>
      <c r="E256" s="714"/>
      <c r="F256" s="726"/>
      <c r="H256" s="781"/>
      <c r="I256" s="782"/>
      <c r="J256" s="781"/>
    </row>
    <row r="257" spans="2:10" ht="15.75" hidden="1" customHeight="1" thickBot="1" x14ac:dyDescent="0.25">
      <c r="D257" s="750" t="s">
        <v>512</v>
      </c>
      <c r="E257" s="714"/>
      <c r="H257" s="1470">
        <f>J258</f>
        <v>404429.06</v>
      </c>
      <c r="I257" s="782"/>
      <c r="J257" s="1470">
        <v>349572</v>
      </c>
    </row>
    <row r="258" spans="2:10" ht="15.75" customHeight="1" thickBot="1" x14ac:dyDescent="0.25">
      <c r="D258" s="750" t="s">
        <v>513</v>
      </c>
      <c r="E258" s="722"/>
      <c r="G258" s="722"/>
      <c r="H258" s="1455">
        <f>'TB4'!X272</f>
        <v>427591.01</v>
      </c>
      <c r="I258" s="786"/>
      <c r="J258" s="1455">
        <f>'TB4'!U272</f>
        <v>404429.06</v>
      </c>
    </row>
    <row r="259" spans="2:10" ht="15.75" customHeight="1" thickTop="1" x14ac:dyDescent="0.2">
      <c r="D259" s="750"/>
      <c r="E259" s="722"/>
      <c r="G259" s="722"/>
      <c r="H259" s="787"/>
      <c r="I259" s="786"/>
      <c r="J259" s="787"/>
    </row>
    <row r="260" spans="2:10" ht="15.75" customHeight="1" x14ac:dyDescent="0.2">
      <c r="D260" s="532" t="s">
        <v>420</v>
      </c>
      <c r="E260" s="722"/>
      <c r="G260" s="722"/>
      <c r="H260" s="787"/>
      <c r="I260" s="786"/>
      <c r="J260" s="787"/>
    </row>
    <row r="261" spans="2:10" ht="15.75" customHeight="1" x14ac:dyDescent="0.2">
      <c r="D261" s="532" t="s">
        <v>3137</v>
      </c>
      <c r="E261" s="722"/>
      <c r="G261" s="722"/>
      <c r="H261" s="787"/>
      <c r="I261" s="786"/>
      <c r="J261" s="787"/>
    </row>
    <row r="262" spans="2:10" ht="15.75" hidden="1" customHeight="1" x14ac:dyDescent="0.2">
      <c r="D262" s="1589" t="s">
        <v>3487</v>
      </c>
      <c r="E262" s="722"/>
      <c r="G262" s="722"/>
      <c r="H262" s="1454">
        <v>0</v>
      </c>
      <c r="I262" s="782"/>
      <c r="J262" s="781"/>
    </row>
    <row r="263" spans="2:10" ht="15.75" customHeight="1" x14ac:dyDescent="0.2">
      <c r="D263" s="1589" t="s">
        <v>3676</v>
      </c>
      <c r="E263" s="722"/>
      <c r="G263" s="722"/>
      <c r="H263" s="781">
        <f>'TB4'!X270</f>
        <v>0</v>
      </c>
      <c r="I263" s="782"/>
      <c r="J263" s="781">
        <f>'TB4'!U270</f>
        <v>30000000</v>
      </c>
    </row>
    <row r="264" spans="2:10" ht="15.75" customHeight="1" thickBot="1" x14ac:dyDescent="0.25">
      <c r="D264" s="750"/>
      <c r="E264" s="722"/>
      <c r="G264" s="722"/>
      <c r="H264" s="1453">
        <f>SUM(H262:H263)</f>
        <v>0</v>
      </c>
      <c r="I264" s="788"/>
      <c r="J264" s="1453">
        <f>SUM(J262:J263)</f>
        <v>30000000</v>
      </c>
    </row>
    <row r="265" spans="2:10" ht="15.75" customHeight="1" thickTop="1" x14ac:dyDescent="0.2">
      <c r="D265" s="750"/>
      <c r="E265" s="722"/>
      <c r="G265" s="722"/>
      <c r="H265" s="787"/>
      <c r="I265" s="786"/>
      <c r="J265" s="787"/>
    </row>
    <row r="266" spans="2:10" ht="15.75" customHeight="1" x14ac:dyDescent="0.2">
      <c r="D266" s="749" t="s">
        <v>940</v>
      </c>
      <c r="E266" s="714"/>
      <c r="H266" s="1454">
        <f>'TB4'!U269</f>
        <v>0</v>
      </c>
      <c r="I266" s="782"/>
      <c r="J266" s="781"/>
    </row>
    <row r="267" spans="2:10" ht="15.75" customHeight="1" x14ac:dyDescent="0.2">
      <c r="D267" s="749" t="s">
        <v>161</v>
      </c>
      <c r="E267" s="714"/>
      <c r="H267" s="781">
        <f>'TB4'!X275</f>
        <v>24710</v>
      </c>
      <c r="I267" s="782"/>
      <c r="J267" s="781">
        <f>'TB4'!U275</f>
        <v>24710</v>
      </c>
    </row>
    <row r="268" spans="2:10" ht="15.75" customHeight="1" thickBot="1" x14ac:dyDescent="0.25">
      <c r="B268" s="719"/>
      <c r="D268" s="753" t="s">
        <v>3141</v>
      </c>
      <c r="E268" s="722"/>
      <c r="G268" s="722"/>
      <c r="H268" s="1456">
        <f>H233+H238+H248+H258+H264+H266+H267</f>
        <v>86328671.160000011</v>
      </c>
      <c r="I268" s="786"/>
      <c r="J268" s="1456">
        <f>J233+J248+J258+J264+J266+J267</f>
        <v>322963447.28000003</v>
      </c>
    </row>
    <row r="269" spans="2:10" ht="13.5" hidden="1" thickTop="1" x14ac:dyDescent="0.2">
      <c r="D269" s="714"/>
      <c r="E269" s="714"/>
      <c r="H269" s="782"/>
      <c r="I269" s="782"/>
      <c r="J269" s="781"/>
    </row>
    <row r="270" spans="2:10" ht="18" hidden="1" customHeight="1" x14ac:dyDescent="0.2">
      <c r="B270" s="527">
        <v>16</v>
      </c>
      <c r="D270" s="260" t="s">
        <v>719</v>
      </c>
      <c r="E270" s="318"/>
      <c r="H270" s="794"/>
      <c r="J270" s="794"/>
    </row>
    <row r="271" spans="2:10" hidden="1" x14ac:dyDescent="0.2">
      <c r="D271" s="318"/>
      <c r="E271" s="318"/>
      <c r="H271" s="795"/>
      <c r="J271" s="795"/>
    </row>
    <row r="272" spans="2:10" hidden="1" x14ac:dyDescent="0.2">
      <c r="D272" s="185" t="s">
        <v>2549</v>
      </c>
      <c r="E272" s="318"/>
      <c r="F272" s="726"/>
      <c r="H272" s="795">
        <v>0</v>
      </c>
      <c r="J272" s="795">
        <v>0</v>
      </c>
    </row>
    <row r="273" spans="2:10" hidden="1" x14ac:dyDescent="0.2">
      <c r="D273" s="185" t="s">
        <v>191</v>
      </c>
      <c r="E273" s="318"/>
      <c r="H273" s="795">
        <v>0</v>
      </c>
      <c r="J273" s="795">
        <v>0</v>
      </c>
    </row>
    <row r="274" spans="2:10" hidden="1" x14ac:dyDescent="0.2">
      <c r="D274" s="185" t="s">
        <v>803</v>
      </c>
      <c r="E274" s="318"/>
      <c r="H274" s="795">
        <v>0</v>
      </c>
      <c r="J274" s="795">
        <v>0</v>
      </c>
    </row>
    <row r="275" spans="2:10" ht="13.5" hidden="1" thickBot="1" x14ac:dyDescent="0.25">
      <c r="D275" s="260"/>
      <c r="E275" s="318"/>
      <c r="F275" s="255"/>
      <c r="H275" s="793">
        <f>SUM(H272:H274)</f>
        <v>0</v>
      </c>
      <c r="J275" s="793">
        <f>SUM(J272:J274)</f>
        <v>0</v>
      </c>
    </row>
    <row r="276" spans="2:10" ht="13.5" hidden="1" thickTop="1" x14ac:dyDescent="0.2">
      <c r="D276" s="436"/>
      <c r="E276" s="438"/>
      <c r="F276" s="255"/>
      <c r="G276" s="755"/>
    </row>
    <row r="277" spans="2:10" hidden="1" x14ac:dyDescent="0.2">
      <c r="D277" s="1842" t="s">
        <v>3528</v>
      </c>
      <c r="E277" s="438"/>
      <c r="F277" s="255"/>
      <c r="G277" s="755"/>
    </row>
    <row r="278" spans="2:10" hidden="1" x14ac:dyDescent="0.2">
      <c r="C278" s="720"/>
      <c r="D278" s="1842"/>
      <c r="E278" s="438"/>
      <c r="F278" s="255"/>
      <c r="G278" s="755"/>
    </row>
    <row r="279" spans="2:10" hidden="1" x14ac:dyDescent="0.2">
      <c r="C279" s="734"/>
      <c r="F279" s="755"/>
    </row>
    <row r="280" spans="2:10" hidden="1" x14ac:dyDescent="0.2">
      <c r="C280" s="734"/>
      <c r="F280" s="755"/>
    </row>
    <row r="281" spans="2:10" hidden="1" x14ac:dyDescent="0.2">
      <c r="C281" s="734"/>
      <c r="F281" s="755"/>
    </row>
    <row r="282" spans="2:10" ht="13.5" thickTop="1" x14ac:dyDescent="0.2">
      <c r="C282" s="734"/>
    </row>
    <row r="283" spans="2:10" x14ac:dyDescent="0.2">
      <c r="B283" s="527">
        <v>16</v>
      </c>
      <c r="C283" s="734"/>
      <c r="D283" s="186" t="s">
        <v>162</v>
      </c>
      <c r="E283" s="756"/>
      <c r="G283" s="738"/>
      <c r="H283" s="932"/>
      <c r="I283" s="932"/>
      <c r="J283" s="933"/>
    </row>
    <row r="284" spans="2:10" x14ac:dyDescent="0.2">
      <c r="B284" s="719"/>
      <c r="C284" s="734"/>
      <c r="D284" s="714"/>
      <c r="E284" s="714"/>
      <c r="G284" s="738"/>
      <c r="H284" s="932"/>
      <c r="I284" s="932"/>
      <c r="J284" s="933"/>
    </row>
    <row r="285" spans="2:10" x14ac:dyDescent="0.2">
      <c r="C285" s="734"/>
      <c r="D285" s="757" t="s">
        <v>163</v>
      </c>
      <c r="E285" s="757"/>
      <c r="G285" s="738"/>
      <c r="H285" s="1471">
        <f>101746482.31</f>
        <v>101746482.31</v>
      </c>
      <c r="I285" s="932"/>
      <c r="J285" s="1471">
        <f>92522492-811545.53</f>
        <v>91710946.469999999</v>
      </c>
    </row>
    <row r="286" spans="2:10" x14ac:dyDescent="0.2">
      <c r="B286" s="733"/>
      <c r="C286" s="734"/>
      <c r="D286" s="757" t="s">
        <v>634</v>
      </c>
      <c r="E286" s="757"/>
      <c r="F286" s="737"/>
      <c r="G286" s="738"/>
      <c r="H286" s="1471">
        <v>24428074.760000002</v>
      </c>
      <c r="I286" s="932"/>
      <c r="J286" s="1471">
        <v>7904851</v>
      </c>
    </row>
    <row r="287" spans="2:10" x14ac:dyDescent="0.2">
      <c r="B287" s="733"/>
      <c r="C287" s="734"/>
      <c r="D287" s="757" t="s">
        <v>164</v>
      </c>
      <c r="E287" s="757"/>
      <c r="F287" s="737"/>
      <c r="G287" s="738"/>
      <c r="H287" s="1471">
        <v>125780607</v>
      </c>
      <c r="I287" s="932"/>
      <c r="J287" s="1471">
        <v>121970947</v>
      </c>
    </row>
    <row r="288" spans="2:10" x14ac:dyDescent="0.2">
      <c r="B288" s="733"/>
      <c r="C288" s="734"/>
      <c r="D288" s="757" t="s">
        <v>809</v>
      </c>
      <c r="E288" s="757"/>
      <c r="G288" s="738"/>
      <c r="H288" s="1471">
        <f>29042841+23499+2217</f>
        <v>29068557</v>
      </c>
      <c r="I288" s="932"/>
      <c r="J288" s="1471">
        <v>33789197</v>
      </c>
    </row>
    <row r="289" spans="2:10" ht="13.5" thickBot="1" x14ac:dyDescent="0.25">
      <c r="B289" s="733"/>
      <c r="C289" s="734"/>
      <c r="D289" s="722"/>
      <c r="E289" s="722"/>
      <c r="G289" s="743"/>
      <c r="H289" s="1472">
        <f>-'TB3'!AD6</f>
        <v>281023720.90999997</v>
      </c>
      <c r="I289" s="1384"/>
      <c r="J289" s="1472">
        <f>-'TB3'!X6</f>
        <v>255375941.83000001</v>
      </c>
    </row>
    <row r="290" spans="2:10" ht="13.5" thickTop="1" x14ac:dyDescent="0.2">
      <c r="B290" s="733"/>
      <c r="C290" s="734"/>
      <c r="D290" s="722"/>
      <c r="E290" s="722"/>
      <c r="G290" s="743"/>
      <c r="H290" s="1473"/>
      <c r="I290" s="1384"/>
      <c r="J290" s="1473"/>
    </row>
    <row r="291" spans="2:10" x14ac:dyDescent="0.2">
      <c r="B291" s="733"/>
      <c r="C291" s="734"/>
      <c r="D291" s="186" t="s">
        <v>167</v>
      </c>
      <c r="E291" s="186"/>
      <c r="G291" s="738"/>
      <c r="H291" s="1473" t="s">
        <v>917</v>
      </c>
      <c r="I291" s="932"/>
      <c r="J291" s="1473" t="s">
        <v>917</v>
      </c>
    </row>
    <row r="292" spans="2:10" x14ac:dyDescent="0.2">
      <c r="B292" s="733"/>
      <c r="C292" s="734"/>
      <c r="D292" s="714"/>
      <c r="E292" s="714"/>
      <c r="F292" s="715"/>
      <c r="G292" s="738"/>
      <c r="H292" s="933"/>
      <c r="I292" s="932"/>
      <c r="J292" s="933"/>
    </row>
    <row r="293" spans="2:10" x14ac:dyDescent="0.2">
      <c r="B293" s="733"/>
      <c r="C293" s="734"/>
      <c r="D293" s="757" t="s">
        <v>163</v>
      </c>
      <c r="E293" s="757"/>
      <c r="F293" s="715"/>
      <c r="G293" s="738"/>
      <c r="H293" s="1471">
        <v>26136132</v>
      </c>
      <c r="I293" s="932"/>
      <c r="J293" s="1471">
        <v>26017318</v>
      </c>
    </row>
    <row r="294" spans="2:10" x14ac:dyDescent="0.2">
      <c r="B294" s="733"/>
      <c r="C294" s="734"/>
      <c r="D294" s="757" t="s">
        <v>634</v>
      </c>
      <c r="E294" s="757"/>
      <c r="F294" s="715"/>
      <c r="G294" s="738"/>
      <c r="H294" s="1471">
        <v>2603150</v>
      </c>
      <c r="I294" s="932"/>
      <c r="J294" s="1471">
        <v>1823150</v>
      </c>
    </row>
    <row r="295" spans="2:10" x14ac:dyDescent="0.2">
      <c r="B295" s="733"/>
      <c r="C295" s="734"/>
      <c r="D295" s="757" t="s">
        <v>164</v>
      </c>
      <c r="E295" s="757"/>
      <c r="F295" s="715"/>
      <c r="G295" s="738"/>
      <c r="H295" s="1471">
        <v>17748136</v>
      </c>
      <c r="I295" s="932"/>
      <c r="J295" s="1471">
        <v>17246618</v>
      </c>
    </row>
    <row r="296" spans="2:10" x14ac:dyDescent="0.2">
      <c r="B296" s="733"/>
      <c r="D296" s="757" t="s">
        <v>565</v>
      </c>
      <c r="E296" s="757"/>
      <c r="F296" s="715"/>
      <c r="G296" s="738"/>
      <c r="H296" s="1471">
        <v>1215688</v>
      </c>
      <c r="I296" s="932"/>
      <c r="J296" s="1471">
        <v>1217927</v>
      </c>
    </row>
    <row r="297" spans="2:10" x14ac:dyDescent="0.2">
      <c r="B297" s="733"/>
      <c r="C297" s="734"/>
      <c r="D297" s="757" t="s">
        <v>809</v>
      </c>
      <c r="E297" s="757"/>
      <c r="F297" s="715"/>
      <c r="G297" s="738"/>
      <c r="H297" s="1471">
        <v>8101070</v>
      </c>
      <c r="I297" s="932"/>
      <c r="J297" s="1471">
        <v>7934134</v>
      </c>
    </row>
    <row r="298" spans="2:10" ht="13.5" thickBot="1" x14ac:dyDescent="0.25">
      <c r="B298" s="733"/>
      <c r="C298" s="734"/>
      <c r="D298" s="722"/>
      <c r="E298" s="722"/>
      <c r="F298" s="715"/>
      <c r="G298" s="743"/>
      <c r="H298" s="1472">
        <f>SUM(H293:H297)</f>
        <v>55804176</v>
      </c>
      <c r="I298" s="1384"/>
      <c r="J298" s="1472">
        <f>SUM(J293:J297)</f>
        <v>54239147</v>
      </c>
    </row>
    <row r="299" spans="2:10" ht="13.5" thickTop="1" x14ac:dyDescent="0.2">
      <c r="B299" s="733"/>
      <c r="C299" s="734"/>
      <c r="D299" s="722"/>
      <c r="E299" s="722"/>
      <c r="F299" s="715"/>
      <c r="G299" s="743"/>
      <c r="H299" s="540"/>
      <c r="I299" s="540"/>
      <c r="J299" s="792"/>
    </row>
    <row r="300" spans="2:10" ht="89.25" x14ac:dyDescent="0.2">
      <c r="B300" s="733"/>
      <c r="C300" s="734"/>
      <c r="D300" s="1474" t="s">
        <v>4125</v>
      </c>
      <c r="E300" s="730"/>
      <c r="F300" s="715"/>
      <c r="G300" s="743"/>
      <c r="H300" s="540"/>
      <c r="I300" s="540"/>
      <c r="J300" s="792"/>
    </row>
    <row r="301" spans="2:10" x14ac:dyDescent="0.2">
      <c r="B301" s="733"/>
      <c r="C301" s="734"/>
      <c r="D301" s="714"/>
      <c r="E301" s="714"/>
      <c r="F301" s="715"/>
      <c r="H301" s="781"/>
      <c r="I301" s="782"/>
      <c r="J301" s="781"/>
    </row>
    <row r="302" spans="2:10" x14ac:dyDescent="0.2">
      <c r="B302" s="733">
        <v>17</v>
      </c>
      <c r="C302" s="734"/>
      <c r="D302" s="186" t="s">
        <v>168</v>
      </c>
      <c r="E302" s="722"/>
      <c r="F302" s="739"/>
      <c r="G302" s="722"/>
      <c r="H302" s="786"/>
      <c r="I302" s="786"/>
      <c r="J302" s="787"/>
    </row>
    <row r="303" spans="2:10" x14ac:dyDescent="0.2">
      <c r="C303" s="734"/>
      <c r="D303" s="1589" t="s">
        <v>169</v>
      </c>
      <c r="E303" s="714"/>
      <c r="F303" s="739"/>
      <c r="H303" s="781">
        <f>-'TB3'!AD20</f>
        <v>764663907.75</v>
      </c>
      <c r="I303" s="782"/>
      <c r="J303" s="781">
        <f>-'TB3'!X20</f>
        <v>657903496.47000003</v>
      </c>
    </row>
    <row r="304" spans="2:10" x14ac:dyDescent="0.2">
      <c r="B304" s="733"/>
      <c r="C304" s="734"/>
      <c r="D304" s="1589" t="s">
        <v>170</v>
      </c>
      <c r="E304" s="714"/>
      <c r="F304" s="715"/>
      <c r="H304" s="781">
        <f>-'TB3'!AD33</f>
        <v>210326830.97000003</v>
      </c>
      <c r="I304" s="782"/>
      <c r="J304" s="781">
        <f>-'TB3'!X33</f>
        <v>153325316.94000003</v>
      </c>
    </row>
    <row r="305" spans="2:10" x14ac:dyDescent="0.2">
      <c r="B305" s="733"/>
      <c r="C305" s="734"/>
      <c r="D305" s="1589" t="s">
        <v>171</v>
      </c>
      <c r="E305" s="714"/>
      <c r="F305" s="725"/>
      <c r="H305" s="781">
        <f>-'TB3'!AD51</f>
        <v>64253430.979999997</v>
      </c>
      <c r="I305" s="782"/>
      <c r="J305" s="781">
        <f>-'TB3'!X51</f>
        <v>57426431.359999999</v>
      </c>
    </row>
    <row r="306" spans="2:10" x14ac:dyDescent="0.2">
      <c r="B306" s="733"/>
      <c r="C306" s="734"/>
      <c r="D306" s="1589" t="s">
        <v>172</v>
      </c>
      <c r="E306" s="714"/>
      <c r="H306" s="781">
        <f>-'TB3'!AD44</f>
        <v>52800384.810000002</v>
      </c>
      <c r="I306" s="782"/>
      <c r="J306" s="781">
        <f>-'TB3'!X44</f>
        <v>49064812.479999997</v>
      </c>
    </row>
    <row r="307" spans="2:10" ht="13.5" thickBot="1" x14ac:dyDescent="0.25">
      <c r="B307" s="733"/>
      <c r="C307" s="734"/>
      <c r="D307" s="532" t="s">
        <v>296</v>
      </c>
      <c r="E307" s="714"/>
      <c r="H307" s="1456">
        <f>SUM(H303:H306)</f>
        <v>1092044554.51</v>
      </c>
      <c r="I307" s="782"/>
      <c r="J307" s="1456">
        <f>SUM(J303:J306)</f>
        <v>917720057.25000012</v>
      </c>
    </row>
    <row r="308" spans="2:10" ht="13.5" thickTop="1" x14ac:dyDescent="0.2">
      <c r="B308" s="733"/>
      <c r="C308" s="734"/>
      <c r="D308" s="532"/>
      <c r="E308" s="714"/>
      <c r="H308" s="787"/>
      <c r="I308" s="782"/>
      <c r="J308" s="787"/>
    </row>
    <row r="309" spans="2:10" x14ac:dyDescent="0.2">
      <c r="B309" s="733">
        <v>18</v>
      </c>
      <c r="C309" s="734"/>
      <c r="D309" s="260" t="s">
        <v>2550</v>
      </c>
      <c r="E309" s="714"/>
      <c r="H309" s="787"/>
      <c r="I309" s="782"/>
      <c r="J309" s="787"/>
    </row>
    <row r="310" spans="2:10" x14ac:dyDescent="0.2">
      <c r="B310" s="733"/>
      <c r="C310" s="734"/>
      <c r="D310" s="260"/>
      <c r="E310" s="714"/>
      <c r="H310" s="787"/>
      <c r="I310" s="782"/>
      <c r="J310" s="787"/>
    </row>
    <row r="311" spans="2:10" x14ac:dyDescent="0.2">
      <c r="B311" s="733"/>
      <c r="C311" s="734"/>
      <c r="D311" s="185" t="s">
        <v>2551</v>
      </c>
      <c r="E311" s="714"/>
      <c r="H311" s="781">
        <f>-'TB3'!AD85</f>
        <v>12342191.979999999</v>
      </c>
      <c r="I311" s="782"/>
      <c r="J311" s="781">
        <f>-'TB3'!X85</f>
        <v>12973611.540000001</v>
      </c>
    </row>
    <row r="312" spans="2:10" hidden="1" x14ac:dyDescent="0.2">
      <c r="B312" s="733"/>
      <c r="C312" s="734"/>
      <c r="D312" s="185" t="s">
        <v>2552</v>
      </c>
      <c r="E312" s="714"/>
      <c r="H312" s="781">
        <v>0</v>
      </c>
      <c r="I312" s="782"/>
      <c r="J312" s="781">
        <v>0</v>
      </c>
    </row>
    <row r="313" spans="2:10" ht="13.5" thickBot="1" x14ac:dyDescent="0.25">
      <c r="B313" s="733"/>
      <c r="C313" s="734"/>
      <c r="D313" s="260" t="s">
        <v>2553</v>
      </c>
      <c r="E313" s="714"/>
      <c r="H313" s="1456">
        <f>SUM(H311:H312)</f>
        <v>12342191.979999999</v>
      </c>
      <c r="I313" s="782"/>
      <c r="J313" s="1456">
        <f>SUM(J311:J312)</f>
        <v>12973611.540000001</v>
      </c>
    </row>
    <row r="314" spans="2:10" ht="13.5" hidden="1" thickTop="1" x14ac:dyDescent="0.2">
      <c r="B314" s="733"/>
      <c r="D314" s="532"/>
      <c r="E314" s="714"/>
      <c r="H314" s="787"/>
      <c r="I314" s="782"/>
      <c r="J314" s="787"/>
    </row>
    <row r="315" spans="2:10" hidden="1" x14ac:dyDescent="0.2">
      <c r="B315" s="733"/>
      <c r="D315" s="532"/>
      <c r="E315" s="714"/>
      <c r="H315" s="787"/>
      <c r="I315" s="782"/>
      <c r="J315" s="787"/>
    </row>
    <row r="316" spans="2:10" hidden="1" x14ac:dyDescent="0.2">
      <c r="B316" s="733"/>
      <c r="D316" s="532"/>
      <c r="E316" s="714"/>
      <c r="H316" s="787"/>
      <c r="I316" s="782"/>
      <c r="J316" s="787"/>
    </row>
    <row r="317" spans="2:10" hidden="1" x14ac:dyDescent="0.2">
      <c r="B317" s="733"/>
      <c r="C317" s="720"/>
      <c r="D317" s="532"/>
      <c r="E317" s="714"/>
      <c r="H317" s="787"/>
      <c r="I317" s="782"/>
      <c r="J317" s="787"/>
    </row>
    <row r="318" spans="2:10" ht="13.5" thickTop="1" x14ac:dyDescent="0.2">
      <c r="B318" s="733"/>
      <c r="D318" s="532"/>
      <c r="E318" s="714"/>
      <c r="H318" s="787"/>
      <c r="I318" s="782"/>
      <c r="J318" s="787"/>
    </row>
    <row r="319" spans="2:10" ht="25.5" x14ac:dyDescent="0.2">
      <c r="B319" s="719">
        <v>19</v>
      </c>
      <c r="C319" s="720"/>
      <c r="D319" s="257" t="s">
        <v>3195</v>
      </c>
      <c r="E319" s="722"/>
      <c r="G319" s="722"/>
      <c r="H319" s="786"/>
      <c r="I319" s="786"/>
      <c r="J319" s="787"/>
    </row>
    <row r="320" spans="2:10" x14ac:dyDescent="0.2">
      <c r="C320" s="720"/>
      <c r="D320" s="714"/>
      <c r="E320" s="714"/>
      <c r="H320" s="782"/>
      <c r="I320" s="782"/>
      <c r="J320" s="781"/>
    </row>
    <row r="321" spans="2:10" x14ac:dyDescent="0.2">
      <c r="C321" s="720"/>
      <c r="D321" s="1590" t="s">
        <v>3198</v>
      </c>
      <c r="E321" s="735"/>
      <c r="G321" s="735"/>
      <c r="H321" s="1475">
        <f>SUM(H322:H337)</f>
        <v>616432886.5</v>
      </c>
      <c r="I321" s="1476"/>
      <c r="J321" s="1475">
        <f>SUM(J322:J337)-J333-J335</f>
        <v>547555479.83000004</v>
      </c>
    </row>
    <row r="322" spans="2:10" x14ac:dyDescent="0.2">
      <c r="C322" s="720"/>
      <c r="D322" s="1588" t="s">
        <v>173</v>
      </c>
      <c r="E322" s="735"/>
      <c r="F322" s="725"/>
      <c r="G322" s="735"/>
      <c r="H322" s="1477">
        <f>-'TB3'!AD130</f>
        <v>522595000</v>
      </c>
      <c r="I322" s="1476"/>
      <c r="J322" s="1477">
        <f>-'TB3'!X130</f>
        <v>455799000</v>
      </c>
    </row>
    <row r="323" spans="2:10" x14ac:dyDescent="0.2">
      <c r="C323" s="720"/>
      <c r="D323" s="1588" t="s">
        <v>945</v>
      </c>
      <c r="E323" s="735"/>
      <c r="F323" s="726"/>
      <c r="G323" s="735"/>
      <c r="H323" s="1478">
        <f>-'TB3'!AD135</f>
        <v>930000</v>
      </c>
      <c r="I323" s="1476"/>
      <c r="J323" s="1478">
        <f>-'TB3'!X135</f>
        <v>930000</v>
      </c>
    </row>
    <row r="324" spans="2:10" hidden="1" x14ac:dyDescent="0.2">
      <c r="C324" s="758"/>
      <c r="D324" s="1588" t="s">
        <v>3194</v>
      </c>
      <c r="E324" s="735"/>
      <c r="F324" s="726"/>
      <c r="G324" s="735"/>
      <c r="H324" s="1479">
        <f>-'TB3'!AD145</f>
        <v>0</v>
      </c>
      <c r="I324" s="1476"/>
      <c r="J324" s="1478">
        <f>-'TB3'!X145</f>
        <v>0</v>
      </c>
    </row>
    <row r="325" spans="2:10" hidden="1" x14ac:dyDescent="0.2">
      <c r="D325" s="1588" t="s">
        <v>3193</v>
      </c>
      <c r="E325" s="735"/>
      <c r="F325" s="726"/>
      <c r="G325" s="735"/>
      <c r="H325" s="1479">
        <f>-'TB3'!AD146</f>
        <v>0</v>
      </c>
      <c r="I325" s="1476"/>
      <c r="J325" s="1478">
        <f>-'TB3'!X146</f>
        <v>0</v>
      </c>
    </row>
    <row r="326" spans="2:10" hidden="1" x14ac:dyDescent="0.2">
      <c r="B326" s="759"/>
      <c r="C326" s="720"/>
      <c r="D326" s="1588" t="s">
        <v>3192</v>
      </c>
      <c r="E326" s="735"/>
      <c r="F326" s="726"/>
      <c r="G326" s="735"/>
      <c r="H326" s="1479">
        <f>-'TB3'!AD147</f>
        <v>0</v>
      </c>
      <c r="I326" s="1476"/>
      <c r="J326" s="1478">
        <f>-'TB3'!X147</f>
        <v>0</v>
      </c>
    </row>
    <row r="327" spans="2:10" hidden="1" x14ac:dyDescent="0.2">
      <c r="D327" s="1588" t="s">
        <v>946</v>
      </c>
      <c r="E327" s="735"/>
      <c r="G327" s="735"/>
      <c r="H327" s="1478">
        <f>-'TB3'!X142</f>
        <v>0</v>
      </c>
      <c r="I327" s="1476"/>
      <c r="J327" s="1478">
        <f>-'TB3'!R142</f>
        <v>0</v>
      </c>
    </row>
    <row r="328" spans="2:10" x14ac:dyDescent="0.2">
      <c r="D328" s="1588" t="s">
        <v>918</v>
      </c>
      <c r="E328" s="735"/>
      <c r="G328" s="735"/>
      <c r="H328" s="1478">
        <f>-'TB3'!AD132</f>
        <v>1241731.1200000001</v>
      </c>
      <c r="I328" s="1476"/>
      <c r="J328" s="1478">
        <f>-'TB3'!X132</f>
        <v>1800000</v>
      </c>
    </row>
    <row r="329" spans="2:10" x14ac:dyDescent="0.2">
      <c r="D329" s="1588" t="s">
        <v>3064</v>
      </c>
      <c r="E329" s="735"/>
      <c r="G329" s="735"/>
      <c r="H329" s="1478">
        <f>-'TB3'!AD134</f>
        <v>32962853.98</v>
      </c>
      <c r="I329" s="1476"/>
      <c r="J329" s="1478">
        <f>-'TB3'!X134</f>
        <v>44973054.729999997</v>
      </c>
    </row>
    <row r="330" spans="2:10" x14ac:dyDescent="0.2">
      <c r="D330" s="256" t="s">
        <v>208</v>
      </c>
      <c r="E330" s="735"/>
      <c r="G330" s="735"/>
      <c r="H330" s="1478">
        <f>-'TB3'!AD131</f>
        <v>40000000</v>
      </c>
      <c r="I330" s="1476"/>
      <c r="J330" s="1478">
        <f>-'TB3'!X131</f>
        <v>31000000</v>
      </c>
    </row>
    <row r="331" spans="2:10" hidden="1" x14ac:dyDescent="0.2">
      <c r="D331" s="256" t="s">
        <v>209</v>
      </c>
      <c r="E331" s="735"/>
      <c r="G331" s="735"/>
      <c r="H331" s="1478">
        <f>-'TB3'!X127</f>
        <v>0</v>
      </c>
      <c r="I331" s="1476"/>
      <c r="J331" s="1478">
        <f>-'TB3'!R127</f>
        <v>0</v>
      </c>
    </row>
    <row r="332" spans="2:10" x14ac:dyDescent="0.2">
      <c r="C332" s="758"/>
      <c r="D332" s="1588" t="s">
        <v>206</v>
      </c>
      <c r="E332" s="735"/>
      <c r="G332" s="735"/>
      <c r="H332" s="1478">
        <f>-'TB3'!AD129</f>
        <v>2703301.4</v>
      </c>
      <c r="I332" s="1476"/>
      <c r="J332" s="1478">
        <f>-'TB3'!X129</f>
        <v>3960000</v>
      </c>
    </row>
    <row r="333" spans="2:10" hidden="1" x14ac:dyDescent="0.2">
      <c r="C333" s="758"/>
      <c r="D333" s="1588" t="s">
        <v>1495</v>
      </c>
      <c r="E333" s="735"/>
      <c r="G333" s="735"/>
      <c r="H333" s="1478">
        <f>-'TB3'!X140</f>
        <v>0</v>
      </c>
      <c r="I333" s="1476"/>
      <c r="J333" s="1478">
        <f>-'TB3'!R140</f>
        <v>0</v>
      </c>
    </row>
    <row r="334" spans="2:10" x14ac:dyDescent="0.2">
      <c r="B334" s="759"/>
      <c r="C334" s="720"/>
      <c r="D334" s="1588" t="s">
        <v>205</v>
      </c>
      <c r="E334" s="735"/>
      <c r="G334" s="735"/>
      <c r="H334" s="1478">
        <f>-'TB3'!AD137</f>
        <v>11000000</v>
      </c>
      <c r="I334" s="1476"/>
      <c r="J334" s="1478">
        <f>-'TB3'!X137</f>
        <v>6093425.0999999996</v>
      </c>
    </row>
    <row r="335" spans="2:10" hidden="1" x14ac:dyDescent="0.2">
      <c r="B335" s="759"/>
      <c r="D335" s="1588" t="s">
        <v>3188</v>
      </c>
      <c r="E335" s="735"/>
      <c r="G335" s="735"/>
      <c r="H335" s="1478">
        <v>0</v>
      </c>
      <c r="I335" s="1476"/>
      <c r="J335" s="1478"/>
    </row>
    <row r="336" spans="2:10" x14ac:dyDescent="0.2">
      <c r="D336" s="233" t="s">
        <v>2968</v>
      </c>
      <c r="E336" s="735"/>
      <c r="G336" s="735"/>
      <c r="H336" s="1478">
        <f>-'TB3'!AD148</f>
        <v>5000000</v>
      </c>
      <c r="I336" s="1476"/>
      <c r="J336" s="1478">
        <f>-'TB3'!X148</f>
        <v>3000000</v>
      </c>
    </row>
    <row r="337" spans="2:10" x14ac:dyDescent="0.2">
      <c r="D337" s="1588" t="s">
        <v>596</v>
      </c>
      <c r="E337" s="735"/>
      <c r="G337" s="735"/>
      <c r="H337" s="1480">
        <f>-'TB3'!AD141</f>
        <v>0</v>
      </c>
      <c r="I337" s="1476"/>
      <c r="J337" s="1481">
        <f>-'TB3'!X141</f>
        <v>0</v>
      </c>
    </row>
    <row r="338" spans="2:10" x14ac:dyDescent="0.2">
      <c r="D338" s="1590"/>
      <c r="E338" s="714"/>
      <c r="H338" s="781"/>
      <c r="I338" s="782"/>
      <c r="J338" s="781"/>
    </row>
    <row r="339" spans="2:10" x14ac:dyDescent="0.2">
      <c r="D339" s="1590"/>
      <c r="E339" s="714"/>
      <c r="H339" s="781"/>
      <c r="I339" s="782"/>
      <c r="J339" s="781"/>
    </row>
    <row r="340" spans="2:10" x14ac:dyDescent="0.2">
      <c r="D340" s="1590" t="s">
        <v>3199</v>
      </c>
      <c r="E340" s="735"/>
      <c r="G340" s="735"/>
      <c r="H340" s="1482">
        <f>SUM(H341:H350)</f>
        <v>473584799.02000004</v>
      </c>
      <c r="I340" s="1476"/>
      <c r="J340" s="1482">
        <f>SUM(J341:J350)-J349</f>
        <v>555234830.79999995</v>
      </c>
    </row>
    <row r="341" spans="2:10" x14ac:dyDescent="0.2">
      <c r="C341" s="758"/>
      <c r="D341" s="1588" t="s">
        <v>3064</v>
      </c>
      <c r="E341" s="735"/>
      <c r="G341" s="735"/>
      <c r="H341" s="1462">
        <f>-'TB3'!AD159</f>
        <v>247160414.88</v>
      </c>
      <c r="I341" s="1476"/>
      <c r="J341" s="1462">
        <f>-'TB3'!X159</f>
        <v>262336165.93000001</v>
      </c>
    </row>
    <row r="342" spans="2:10" x14ac:dyDescent="0.2">
      <c r="D342" s="1588" t="s">
        <v>918</v>
      </c>
      <c r="E342" s="735"/>
      <c r="G342" s="735"/>
      <c r="H342" s="526">
        <f>-'TB3'!AB161</f>
        <v>633268.88</v>
      </c>
      <c r="I342" s="1476"/>
      <c r="J342" s="526">
        <v>0</v>
      </c>
    </row>
    <row r="343" spans="2:10" hidden="1" x14ac:dyDescent="0.2">
      <c r="B343" s="759"/>
      <c r="C343" s="720"/>
      <c r="D343" s="256" t="s">
        <v>208</v>
      </c>
      <c r="E343" s="735"/>
      <c r="G343" s="735"/>
      <c r="H343" s="526">
        <f>-'TB3'!X157</f>
        <v>0</v>
      </c>
      <c r="I343" s="1476"/>
      <c r="J343" s="526">
        <f>-'TB3'!R157</f>
        <v>0</v>
      </c>
    </row>
    <row r="344" spans="2:10" x14ac:dyDescent="0.2">
      <c r="D344" s="256" t="s">
        <v>209</v>
      </c>
      <c r="E344" s="735"/>
      <c r="G344" s="735"/>
      <c r="H344" s="526">
        <f>-'TB3'!AD154</f>
        <v>0</v>
      </c>
      <c r="I344" s="1476"/>
      <c r="J344" s="526">
        <f>-'TB3'!X154</f>
        <v>4057089.67</v>
      </c>
    </row>
    <row r="345" spans="2:10" x14ac:dyDescent="0.2">
      <c r="D345" s="1588" t="s">
        <v>205</v>
      </c>
      <c r="E345" s="735"/>
      <c r="G345" s="735"/>
      <c r="H345" s="526">
        <f>-'TB3'!AD163</f>
        <v>201356868.03000003</v>
      </c>
      <c r="I345" s="1476"/>
      <c r="J345" s="526">
        <f>-'TB3'!X163</f>
        <v>277656398.14999998</v>
      </c>
    </row>
    <row r="346" spans="2:10" x14ac:dyDescent="0.2">
      <c r="D346" s="1588" t="s">
        <v>207</v>
      </c>
      <c r="E346" s="735"/>
      <c r="G346" s="735"/>
      <c r="H346" s="526">
        <f>-'TB3'!AD166</f>
        <v>0</v>
      </c>
      <c r="I346" s="1476"/>
      <c r="J346" s="526">
        <f>-'TB3'!X166</f>
        <v>6890868.6200000001</v>
      </c>
    </row>
    <row r="347" spans="2:10" x14ac:dyDescent="0.2">
      <c r="D347" s="233" t="s">
        <v>2969</v>
      </c>
      <c r="E347" s="735"/>
      <c r="G347" s="735"/>
      <c r="H347" s="526">
        <f>-'TB3'!AD162</f>
        <v>22621548.629999999</v>
      </c>
      <c r="I347" s="1476"/>
      <c r="J347" s="526">
        <f>-'TB3'!X162</f>
        <v>4294308.43</v>
      </c>
    </row>
    <row r="348" spans="2:10" x14ac:dyDescent="0.2">
      <c r="C348" s="758"/>
      <c r="D348" s="1588" t="s">
        <v>206</v>
      </c>
      <c r="E348" s="735"/>
      <c r="G348" s="735"/>
      <c r="H348" s="315">
        <f>-'TB3'!AB155</f>
        <v>1812698.6</v>
      </c>
      <c r="I348" s="1476"/>
      <c r="J348" s="315">
        <v>0</v>
      </c>
    </row>
    <row r="349" spans="2:10" hidden="1" x14ac:dyDescent="0.2">
      <c r="D349" s="233" t="s">
        <v>1507</v>
      </c>
      <c r="E349" s="735"/>
      <c r="G349" s="735"/>
      <c r="H349" s="526">
        <f>-'TB3'!X167</f>
        <v>0</v>
      </c>
      <c r="I349" s="1476"/>
      <c r="J349" s="526">
        <f>-'TB3'!R167</f>
        <v>0</v>
      </c>
    </row>
    <row r="350" spans="2:10" hidden="1" x14ac:dyDescent="0.2">
      <c r="B350" s="759"/>
      <c r="C350" s="720"/>
      <c r="D350" s="255" t="s">
        <v>207</v>
      </c>
      <c r="E350" s="735"/>
      <c r="G350" s="735"/>
      <c r="H350" s="315">
        <f>-'TB3'!AD153</f>
        <v>0</v>
      </c>
      <c r="I350" s="1476"/>
      <c r="J350" s="315">
        <f>-'TB3'!X153</f>
        <v>0</v>
      </c>
    </row>
    <row r="351" spans="2:10" x14ac:dyDescent="0.2">
      <c r="E351" s="735"/>
      <c r="G351" s="735"/>
      <c r="H351" s="1483"/>
      <c r="I351" s="1476"/>
      <c r="J351" s="1483"/>
    </row>
    <row r="352" spans="2:10" x14ac:dyDescent="0.2">
      <c r="D352" s="728" t="s">
        <v>3200</v>
      </c>
      <c r="E352" s="735"/>
      <c r="G352" s="735"/>
      <c r="H352" s="1482">
        <f>H353+H354+H355</f>
        <v>3355674.42</v>
      </c>
      <c r="I352" s="1476"/>
      <c r="J352" s="1482">
        <f>J353+J355+J354</f>
        <v>2797470.06</v>
      </c>
    </row>
    <row r="353" spans="2:22" x14ac:dyDescent="0.2">
      <c r="D353" s="233" t="s">
        <v>3189</v>
      </c>
      <c r="E353" s="735"/>
      <c r="G353" s="735"/>
      <c r="H353" s="1462">
        <f>-'TB3'!AD169</f>
        <v>0</v>
      </c>
      <c r="I353" s="1476"/>
      <c r="J353" s="1462">
        <f>-'TB3'!X169</f>
        <v>0</v>
      </c>
      <c r="K353" s="1340"/>
      <c r="L353" s="255"/>
      <c r="M353" s="255"/>
      <c r="N353" s="255"/>
      <c r="O353" s="255"/>
      <c r="P353" s="255"/>
      <c r="V353" s="255"/>
    </row>
    <row r="354" spans="2:22" x14ac:dyDescent="0.2">
      <c r="D354" s="233" t="s">
        <v>1495</v>
      </c>
      <c r="E354" s="735"/>
      <c r="G354" s="735"/>
      <c r="H354" s="526">
        <f>-'TB3'!AD164</f>
        <v>3355674.42</v>
      </c>
      <c r="I354" s="1476"/>
      <c r="J354" s="526">
        <f>-'TB3'!X164</f>
        <v>2797470.06</v>
      </c>
      <c r="L354" s="255"/>
      <c r="M354" s="255"/>
      <c r="N354" s="255"/>
      <c r="O354" s="255"/>
      <c r="P354" s="255"/>
      <c r="V354" s="255"/>
    </row>
    <row r="355" spans="2:22" x14ac:dyDescent="0.2">
      <c r="D355" s="233" t="s">
        <v>3308</v>
      </c>
      <c r="E355" s="735"/>
      <c r="G355" s="735"/>
      <c r="H355" s="315">
        <v>0</v>
      </c>
      <c r="I355" s="1476"/>
      <c r="J355" s="315">
        <v>0</v>
      </c>
      <c r="L355" s="255"/>
      <c r="M355" s="255"/>
      <c r="N355" s="255"/>
      <c r="O355" s="255"/>
      <c r="P355" s="255"/>
      <c r="V355" s="255"/>
    </row>
    <row r="356" spans="2:22" x14ac:dyDescent="0.2">
      <c r="E356" s="735"/>
      <c r="G356" s="735"/>
      <c r="H356" s="1483"/>
      <c r="I356" s="1476"/>
      <c r="J356" s="1483"/>
      <c r="L356" s="255"/>
      <c r="M356" s="255"/>
      <c r="N356" s="255"/>
      <c r="O356" s="255"/>
      <c r="P356" s="255"/>
      <c r="V356" s="255"/>
    </row>
    <row r="357" spans="2:22" ht="26.25" thickBot="1" x14ac:dyDescent="0.25">
      <c r="D357" s="532" t="s">
        <v>3197</v>
      </c>
      <c r="E357" s="722"/>
      <c r="G357" s="722"/>
      <c r="H357" s="1456">
        <f>H340+H321+H352</f>
        <v>1093373359.9400001</v>
      </c>
      <c r="I357" s="786"/>
      <c r="J357" s="1456">
        <f>J340+J321+J352</f>
        <v>1105587780.6900001</v>
      </c>
      <c r="L357" s="255"/>
      <c r="M357" s="255"/>
      <c r="N357" s="255"/>
      <c r="O357" s="255"/>
      <c r="P357" s="255"/>
      <c r="V357" s="255"/>
    </row>
    <row r="358" spans="2:22" ht="13.5" thickTop="1" x14ac:dyDescent="0.2">
      <c r="D358" s="532"/>
      <c r="E358" s="714"/>
      <c r="H358" s="781"/>
      <c r="I358" s="782"/>
      <c r="J358" s="781"/>
      <c r="L358" s="255"/>
      <c r="M358" s="255"/>
      <c r="N358" s="255"/>
      <c r="O358" s="255"/>
      <c r="P358" s="255"/>
      <c r="V358" s="255"/>
    </row>
    <row r="359" spans="2:22" x14ac:dyDescent="0.2">
      <c r="C359" s="723">
        <v>19.100000000000001</v>
      </c>
      <c r="D359" s="1590" t="s">
        <v>177</v>
      </c>
      <c r="E359" s="714"/>
      <c r="H359" s="781"/>
      <c r="I359" s="782"/>
      <c r="J359" s="781"/>
      <c r="L359" s="255"/>
      <c r="M359" s="255"/>
      <c r="N359" s="255"/>
      <c r="O359" s="255"/>
      <c r="P359" s="255"/>
      <c r="V359" s="255"/>
    </row>
    <row r="360" spans="2:22" x14ac:dyDescent="0.2">
      <c r="D360" s="1589" t="s">
        <v>184</v>
      </c>
      <c r="E360" s="714"/>
      <c r="H360" s="1229">
        <f>+J363</f>
        <v>0</v>
      </c>
      <c r="I360" s="932"/>
      <c r="J360" s="1229">
        <v>0</v>
      </c>
      <c r="L360" s="255"/>
      <c r="M360" s="255"/>
      <c r="N360" s="255"/>
      <c r="O360" s="255"/>
      <c r="P360" s="255"/>
      <c r="V360" s="255"/>
    </row>
    <row r="361" spans="2:22" x14ac:dyDescent="0.2">
      <c r="D361" s="1589" t="s">
        <v>178</v>
      </c>
      <c r="E361" s="714"/>
      <c r="H361" s="314">
        <v>522595000</v>
      </c>
      <c r="I361" s="932"/>
      <c r="J361" s="314">
        <v>455799000.00249994</v>
      </c>
      <c r="L361" s="255"/>
      <c r="M361" s="255"/>
      <c r="N361" s="255"/>
      <c r="O361" s="255"/>
      <c r="P361" s="255"/>
      <c r="V361" s="255"/>
    </row>
    <row r="362" spans="2:22" x14ac:dyDescent="0.2">
      <c r="C362" s="758"/>
      <c r="D362" s="1589" t="s">
        <v>181</v>
      </c>
      <c r="E362" s="714"/>
      <c r="H362" s="1467">
        <v>-522595000</v>
      </c>
      <c r="I362" s="932"/>
      <c r="J362" s="1467">
        <v>-455799000.0025</v>
      </c>
      <c r="L362" s="255"/>
      <c r="M362" s="255"/>
      <c r="N362" s="255"/>
      <c r="O362" s="255"/>
      <c r="P362" s="255"/>
      <c r="V362" s="255"/>
    </row>
    <row r="363" spans="2:22" ht="13.5" thickBot="1" x14ac:dyDescent="0.25">
      <c r="D363" s="1590"/>
      <c r="E363" s="714"/>
      <c r="H363" s="1484">
        <f>SUM(H360:H362)</f>
        <v>0</v>
      </c>
      <c r="I363" s="932"/>
      <c r="J363" s="1484">
        <f>SUM(J360:J362)</f>
        <v>0</v>
      </c>
      <c r="L363" s="255"/>
      <c r="M363" s="255"/>
      <c r="N363" s="255"/>
      <c r="O363" s="255"/>
      <c r="P363" s="255"/>
      <c r="V363" s="255"/>
    </row>
    <row r="364" spans="2:22" ht="64.5" thickTop="1" x14ac:dyDescent="0.2">
      <c r="B364" s="759"/>
      <c r="C364" s="720"/>
      <c r="D364" s="730" t="s">
        <v>3926</v>
      </c>
      <c r="E364" s="730"/>
      <c r="G364" s="730"/>
      <c r="H364" s="796"/>
      <c r="I364" s="796"/>
      <c r="J364" s="796"/>
      <c r="L364" s="255"/>
      <c r="M364" s="255"/>
      <c r="N364" s="255"/>
      <c r="O364" s="255"/>
      <c r="P364" s="255"/>
      <c r="V364" s="255"/>
    </row>
    <row r="365" spans="2:22" x14ac:dyDescent="0.2">
      <c r="D365" s="714"/>
      <c r="E365" s="714"/>
      <c r="H365" s="781"/>
      <c r="I365" s="782"/>
      <c r="J365" s="781"/>
      <c r="L365" s="255"/>
      <c r="M365" s="255"/>
      <c r="N365" s="255"/>
      <c r="O365" s="255"/>
      <c r="P365" s="255"/>
      <c r="V365" s="255"/>
    </row>
    <row r="366" spans="2:22" hidden="1" x14ac:dyDescent="0.2">
      <c r="B366" s="719"/>
      <c r="C366" s="720">
        <v>19.2</v>
      </c>
      <c r="D366" s="1590" t="s">
        <v>920</v>
      </c>
      <c r="E366" s="714"/>
      <c r="H366" s="781"/>
      <c r="I366" s="782"/>
      <c r="J366" s="781"/>
      <c r="L366" s="255"/>
      <c r="M366" s="255"/>
      <c r="N366" s="255"/>
      <c r="O366" s="255"/>
      <c r="P366" s="255"/>
      <c r="V366" s="255"/>
    </row>
    <row r="367" spans="2:22" hidden="1" x14ac:dyDescent="0.2">
      <c r="D367" s="1589" t="s">
        <v>184</v>
      </c>
      <c r="E367" s="714"/>
      <c r="H367" s="1229">
        <f>+J370</f>
        <v>0</v>
      </c>
      <c r="I367" s="782"/>
      <c r="J367" s="1229">
        <f>+L370</f>
        <v>0</v>
      </c>
      <c r="L367" s="255"/>
      <c r="M367" s="255"/>
      <c r="N367" s="255"/>
      <c r="O367" s="255"/>
      <c r="P367" s="255"/>
      <c r="V367" s="255"/>
    </row>
    <row r="368" spans="2:22" hidden="1" x14ac:dyDescent="0.2">
      <c r="D368" s="1589" t="s">
        <v>178</v>
      </c>
      <c r="E368" s="714"/>
      <c r="H368" s="1229">
        <v>0</v>
      </c>
      <c r="I368" s="782"/>
      <c r="J368" s="1229">
        <v>0</v>
      </c>
      <c r="L368" s="255"/>
      <c r="M368" s="255"/>
      <c r="N368" s="255"/>
      <c r="O368" s="255"/>
      <c r="P368" s="255"/>
      <c r="V368" s="255"/>
    </row>
    <row r="369" spans="2:22" hidden="1" x14ac:dyDescent="0.2">
      <c r="D369" s="1589" t="s">
        <v>3185</v>
      </c>
      <c r="E369" s="714"/>
      <c r="H369" s="1467">
        <v>0</v>
      </c>
      <c r="I369" s="782"/>
      <c r="J369" s="1467">
        <v>0</v>
      </c>
      <c r="L369" s="255"/>
      <c r="M369" s="255"/>
      <c r="N369" s="255"/>
      <c r="O369" s="255"/>
      <c r="P369" s="255"/>
      <c r="V369" s="255"/>
    </row>
    <row r="370" spans="2:22" ht="13.5" hidden="1" thickBot="1" x14ac:dyDescent="0.25">
      <c r="D370" s="532" t="s">
        <v>182</v>
      </c>
      <c r="E370" s="714"/>
      <c r="H370" s="1485">
        <f>SUM(H367:H369)</f>
        <v>0</v>
      </c>
      <c r="I370" s="782"/>
      <c r="J370" s="1485">
        <f>SUM(J367:J369)</f>
        <v>0</v>
      </c>
      <c r="L370" s="255"/>
      <c r="M370" s="255"/>
      <c r="N370" s="255"/>
      <c r="O370" s="255"/>
      <c r="P370" s="255"/>
      <c r="V370" s="255"/>
    </row>
    <row r="371" spans="2:22" ht="13.5" hidden="1" thickTop="1" x14ac:dyDescent="0.2">
      <c r="D371" s="1589" t="s">
        <v>351</v>
      </c>
      <c r="E371" s="714"/>
      <c r="H371" s="781"/>
      <c r="I371" s="782"/>
      <c r="J371" s="781"/>
      <c r="L371" s="255"/>
      <c r="M371" s="255"/>
      <c r="N371" s="255"/>
      <c r="O371" s="255"/>
      <c r="P371" s="255"/>
      <c r="V371" s="255"/>
    </row>
    <row r="372" spans="2:22" ht="25.5" hidden="1" customHeight="1" x14ac:dyDescent="0.2">
      <c r="C372" s="758"/>
      <c r="D372" s="730" t="s">
        <v>3326</v>
      </c>
      <c r="E372" s="730"/>
      <c r="G372" s="730"/>
      <c r="H372" s="796"/>
      <c r="I372" s="796"/>
      <c r="J372" s="796"/>
      <c r="L372" s="255"/>
      <c r="M372" s="255"/>
      <c r="N372" s="255"/>
      <c r="O372" s="255"/>
      <c r="P372" s="255"/>
      <c r="V372" s="255"/>
    </row>
    <row r="373" spans="2:22" hidden="1" x14ac:dyDescent="0.2">
      <c r="D373" s="730"/>
      <c r="E373" s="730"/>
      <c r="G373" s="730"/>
      <c r="H373" s="796"/>
      <c r="I373" s="796"/>
      <c r="J373" s="796"/>
      <c r="L373" s="255"/>
      <c r="M373" s="255"/>
      <c r="N373" s="255"/>
      <c r="O373" s="255"/>
      <c r="P373" s="255"/>
      <c r="V373" s="255"/>
    </row>
    <row r="374" spans="2:22" x14ac:dyDescent="0.2">
      <c r="B374" s="759"/>
      <c r="C374" s="720">
        <v>19.2</v>
      </c>
      <c r="D374" s="1590" t="s">
        <v>183</v>
      </c>
      <c r="E374" s="714"/>
      <c r="H374" s="781"/>
      <c r="I374" s="782"/>
      <c r="J374" s="781"/>
      <c r="L374" s="255"/>
      <c r="M374" s="255"/>
      <c r="N374" s="255"/>
      <c r="O374" s="255"/>
      <c r="P374" s="255"/>
      <c r="V374" s="255"/>
    </row>
    <row r="375" spans="2:22" x14ac:dyDescent="0.2">
      <c r="D375" s="1589" t="s">
        <v>184</v>
      </c>
      <c r="E375" s="714"/>
      <c r="H375" s="1454">
        <f>+J378</f>
        <v>0</v>
      </c>
      <c r="I375" s="782"/>
      <c r="J375" s="1454">
        <v>0</v>
      </c>
      <c r="L375" s="255"/>
      <c r="M375" s="255"/>
      <c r="N375" s="255"/>
      <c r="O375" s="255"/>
      <c r="P375" s="255"/>
      <c r="V375" s="255"/>
    </row>
    <row r="376" spans="2:22" x14ac:dyDescent="0.2">
      <c r="D376" s="1589" t="s">
        <v>178</v>
      </c>
      <c r="E376" s="714"/>
      <c r="H376" s="1230">
        <v>1875000</v>
      </c>
      <c r="I376" s="782"/>
      <c r="J376" s="1230">
        <v>1800000</v>
      </c>
      <c r="L376" s="255"/>
      <c r="M376" s="255"/>
      <c r="N376" s="255"/>
      <c r="O376" s="255"/>
      <c r="P376" s="255"/>
      <c r="V376" s="255"/>
    </row>
    <row r="377" spans="2:22" x14ac:dyDescent="0.2">
      <c r="D377" s="1589" t="s">
        <v>181</v>
      </c>
      <c r="E377" s="714"/>
      <c r="H377" s="1467">
        <v>-1875000</v>
      </c>
      <c r="I377" s="782"/>
      <c r="J377" s="1467">
        <v>-1800000</v>
      </c>
      <c r="L377" s="255"/>
      <c r="M377" s="255"/>
      <c r="N377" s="255"/>
      <c r="O377" s="255"/>
      <c r="P377" s="255"/>
      <c r="V377" s="255"/>
    </row>
    <row r="378" spans="2:22" ht="13.5" thickBot="1" x14ac:dyDescent="0.25">
      <c r="D378" s="532" t="s">
        <v>189</v>
      </c>
      <c r="E378" s="722"/>
      <c r="G378" s="722"/>
      <c r="H378" s="1485">
        <f>SUM(H375:H377)</f>
        <v>0</v>
      </c>
      <c r="I378" s="786"/>
      <c r="J378" s="1485">
        <f>SUM(J375:J377)</f>
        <v>0</v>
      </c>
      <c r="L378" s="255"/>
      <c r="M378" s="255"/>
      <c r="N378" s="255"/>
      <c r="O378" s="255"/>
      <c r="P378" s="255"/>
      <c r="V378" s="255"/>
    </row>
    <row r="379" spans="2:22" ht="13.5" thickTop="1" x14ac:dyDescent="0.2">
      <c r="D379" s="1589" t="s">
        <v>351</v>
      </c>
      <c r="E379" s="714"/>
      <c r="H379" s="781"/>
      <c r="I379" s="782"/>
      <c r="J379" s="781"/>
      <c r="L379" s="255"/>
      <c r="M379" s="255"/>
      <c r="N379" s="255"/>
      <c r="O379" s="255"/>
      <c r="P379" s="255"/>
      <c r="V379" s="255"/>
    </row>
    <row r="380" spans="2:22" ht="51" x14ac:dyDescent="0.2">
      <c r="D380" s="730" t="s">
        <v>87</v>
      </c>
      <c r="E380" s="730"/>
      <c r="G380" s="730"/>
      <c r="H380" s="796"/>
      <c r="I380" s="796"/>
      <c r="J380" s="796"/>
      <c r="L380" s="255"/>
      <c r="M380" s="255"/>
      <c r="N380" s="255"/>
      <c r="O380" s="255"/>
      <c r="P380" s="255"/>
      <c r="V380" s="255"/>
    </row>
    <row r="381" spans="2:22" x14ac:dyDescent="0.2">
      <c r="C381" s="758"/>
      <c r="D381" s="714"/>
      <c r="E381" s="714"/>
      <c r="H381" s="781"/>
      <c r="I381" s="782"/>
      <c r="J381" s="781"/>
      <c r="L381" s="255"/>
      <c r="M381" s="255"/>
      <c r="N381" s="255"/>
      <c r="O381" s="255"/>
      <c r="P381" s="255"/>
      <c r="V381" s="255"/>
    </row>
    <row r="382" spans="2:22" hidden="1" x14ac:dyDescent="0.2">
      <c r="C382" s="723">
        <v>19.399999999999999</v>
      </c>
      <c r="D382" s="756" t="s">
        <v>197</v>
      </c>
      <c r="E382" s="714"/>
      <c r="H382" s="781"/>
      <c r="I382" s="782"/>
      <c r="J382" s="781"/>
      <c r="L382" s="255"/>
      <c r="M382" s="255"/>
      <c r="N382" s="255"/>
      <c r="O382" s="255"/>
      <c r="P382" s="255"/>
      <c r="V382" s="255"/>
    </row>
    <row r="383" spans="2:22" hidden="1" x14ac:dyDescent="0.2">
      <c r="B383" s="759"/>
      <c r="C383" s="720"/>
      <c r="D383" s="1589" t="s">
        <v>178</v>
      </c>
      <c r="E383" s="714"/>
      <c r="H383" s="1454">
        <v>0</v>
      </c>
      <c r="I383" s="1454"/>
      <c r="J383" s="1454">
        <v>0</v>
      </c>
      <c r="L383" s="255"/>
      <c r="M383" s="255"/>
      <c r="N383" s="255"/>
      <c r="O383" s="255"/>
      <c r="P383" s="255"/>
      <c r="V383" s="255"/>
    </row>
    <row r="384" spans="2:22" hidden="1" x14ac:dyDescent="0.2">
      <c r="D384" s="1589" t="s">
        <v>181</v>
      </c>
      <c r="E384" s="714"/>
      <c r="H384" s="1454">
        <v>0</v>
      </c>
      <c r="I384" s="1454"/>
      <c r="J384" s="1454">
        <v>0</v>
      </c>
      <c r="L384" s="255"/>
      <c r="M384" s="255"/>
      <c r="N384" s="255"/>
      <c r="O384" s="255"/>
      <c r="P384" s="255"/>
      <c r="V384" s="255"/>
    </row>
    <row r="385" spans="2:22" ht="13.5" hidden="1" thickBot="1" x14ac:dyDescent="0.25">
      <c r="D385" s="532" t="s">
        <v>182</v>
      </c>
      <c r="E385" s="714"/>
      <c r="H385" s="1485">
        <f>SUM(H383:H384)</f>
        <v>0</v>
      </c>
      <c r="I385" s="1454"/>
      <c r="J385" s="1485">
        <f>SUM(J383:J384)</f>
        <v>0</v>
      </c>
      <c r="L385" s="255"/>
      <c r="M385" s="255"/>
      <c r="N385" s="255"/>
      <c r="O385" s="255"/>
      <c r="P385" s="255"/>
      <c r="V385" s="255"/>
    </row>
    <row r="386" spans="2:22" ht="13.5" hidden="1" thickTop="1" x14ac:dyDescent="0.2">
      <c r="B386" s="255"/>
      <c r="D386" s="1589" t="s">
        <v>351</v>
      </c>
      <c r="E386" s="714"/>
      <c r="H386" s="781"/>
      <c r="I386" s="782"/>
      <c r="J386" s="781"/>
      <c r="L386" s="255"/>
      <c r="M386" s="255"/>
      <c r="N386" s="255"/>
      <c r="O386" s="255"/>
      <c r="P386" s="255"/>
      <c r="V386" s="255"/>
    </row>
    <row r="387" spans="2:22" ht="38.25" hidden="1" x14ac:dyDescent="0.2">
      <c r="B387" s="255"/>
      <c r="D387" s="730" t="s">
        <v>223</v>
      </c>
      <c r="E387" s="730"/>
      <c r="G387" s="730"/>
      <c r="H387" s="796"/>
      <c r="I387" s="796"/>
      <c r="J387" s="796"/>
      <c r="L387" s="255"/>
      <c r="M387" s="255"/>
      <c r="N387" s="255"/>
      <c r="O387" s="255"/>
      <c r="P387" s="255"/>
      <c r="V387" s="255"/>
    </row>
    <row r="388" spans="2:22" hidden="1" x14ac:dyDescent="0.2">
      <c r="B388" s="255"/>
      <c r="D388" s="1589" t="s">
        <v>296</v>
      </c>
      <c r="E388" s="714"/>
      <c r="H388" s="781"/>
      <c r="I388" s="782"/>
      <c r="J388" s="781"/>
      <c r="L388" s="255"/>
      <c r="M388" s="255"/>
      <c r="N388" s="255"/>
      <c r="O388" s="255"/>
      <c r="P388" s="255"/>
      <c r="V388" s="255"/>
    </row>
    <row r="389" spans="2:22" x14ac:dyDescent="0.2">
      <c r="B389" s="255"/>
      <c r="C389" s="723">
        <v>19.3</v>
      </c>
      <c r="D389" s="1843" t="s">
        <v>198</v>
      </c>
      <c r="E389" s="1843"/>
      <c r="H389" s="1486"/>
      <c r="I389" s="782"/>
      <c r="J389" s="781"/>
      <c r="L389" s="255"/>
      <c r="M389" s="255"/>
      <c r="N389" s="255"/>
      <c r="O389" s="255"/>
      <c r="P389" s="255"/>
      <c r="V389" s="255"/>
    </row>
    <row r="390" spans="2:22" x14ac:dyDescent="0.2">
      <c r="B390" s="255"/>
      <c r="D390" s="1589" t="s">
        <v>184</v>
      </c>
      <c r="E390" s="1589"/>
      <c r="G390" s="716"/>
      <c r="H390" s="933">
        <f>J394</f>
        <v>28167868</v>
      </c>
      <c r="I390" s="781"/>
      <c r="J390" s="1230">
        <v>111917691</v>
      </c>
      <c r="L390" s="255"/>
      <c r="M390" s="255"/>
      <c r="N390" s="255"/>
      <c r="O390" s="255"/>
      <c r="P390" s="255"/>
      <c r="V390" s="255"/>
    </row>
    <row r="391" spans="2:22" x14ac:dyDescent="0.2">
      <c r="B391" s="255"/>
      <c r="C391" s="720"/>
      <c r="D391" s="1589" t="s">
        <v>178</v>
      </c>
      <c r="E391" s="1589"/>
      <c r="G391" s="716"/>
      <c r="H391" s="933">
        <v>184189000</v>
      </c>
      <c r="I391" s="781"/>
      <c r="J391" s="1230">
        <v>200000000</v>
      </c>
      <c r="L391" s="255"/>
      <c r="M391" s="255"/>
      <c r="N391" s="255"/>
      <c r="O391" s="255"/>
      <c r="P391" s="255"/>
      <c r="V391" s="255"/>
    </row>
    <row r="392" spans="2:22" x14ac:dyDescent="0.2">
      <c r="B392" s="255"/>
      <c r="D392" s="1589" t="s">
        <v>181</v>
      </c>
      <c r="E392" s="1589"/>
      <c r="G392" s="716"/>
      <c r="H392" s="933">
        <f>-194078672.61-18278195.42+0.03</f>
        <v>-212356868.00000003</v>
      </c>
      <c r="I392" s="781"/>
      <c r="J392" s="1230">
        <v>-283749823</v>
      </c>
      <c r="L392" s="255"/>
      <c r="M392" s="255"/>
      <c r="N392" s="255"/>
      <c r="O392" s="255"/>
      <c r="P392" s="255"/>
      <c r="V392" s="255"/>
    </row>
    <row r="393" spans="2:22" x14ac:dyDescent="0.2">
      <c r="B393" s="255"/>
      <c r="D393" s="1589" t="s">
        <v>1499</v>
      </c>
      <c r="E393" s="1589"/>
      <c r="G393" s="716"/>
      <c r="H393" s="1546">
        <v>0</v>
      </c>
      <c r="I393" s="781"/>
      <c r="J393" s="1487">
        <v>0</v>
      </c>
      <c r="L393" s="255"/>
      <c r="M393" s="255"/>
      <c r="N393" s="255"/>
      <c r="O393" s="255"/>
      <c r="P393" s="255"/>
      <c r="V393" s="255"/>
    </row>
    <row r="394" spans="2:22" ht="13.5" thickBot="1" x14ac:dyDescent="0.25">
      <c r="B394" s="255"/>
      <c r="D394" s="532" t="s">
        <v>189</v>
      </c>
      <c r="E394" s="532"/>
      <c r="G394" s="762"/>
      <c r="H394" s="1545">
        <f>SUM(H390:H393)</f>
        <v>-2.9802322387695313E-8</v>
      </c>
      <c r="I394" s="787"/>
      <c r="J394" s="1488">
        <f>SUM(J390:J393)</f>
        <v>28167868</v>
      </c>
      <c r="L394" s="255"/>
      <c r="M394" s="255"/>
      <c r="N394" s="255"/>
      <c r="O394" s="255"/>
      <c r="P394" s="255"/>
      <c r="V394" s="255"/>
    </row>
    <row r="395" spans="2:22" ht="13.5" thickTop="1" x14ac:dyDescent="0.2">
      <c r="B395" s="255"/>
      <c r="D395" s="1589" t="s">
        <v>351</v>
      </c>
      <c r="E395" s="1589"/>
      <c r="H395" s="1486"/>
      <c r="I395" s="782"/>
      <c r="J395" s="781"/>
      <c r="L395" s="255"/>
      <c r="M395" s="255"/>
      <c r="N395" s="255"/>
      <c r="O395" s="255"/>
      <c r="P395" s="255"/>
      <c r="V395" s="255"/>
    </row>
    <row r="396" spans="2:22" ht="25.5" x14ac:dyDescent="0.2">
      <c r="B396" s="255"/>
      <c r="D396" s="730" t="s">
        <v>90</v>
      </c>
      <c r="E396" s="730"/>
      <c r="G396" s="730"/>
      <c r="H396" s="796"/>
      <c r="I396" s="796"/>
      <c r="J396" s="796"/>
      <c r="L396" s="255"/>
      <c r="M396" s="255"/>
      <c r="N396" s="255"/>
      <c r="O396" s="255"/>
      <c r="P396" s="255"/>
      <c r="V396" s="255"/>
    </row>
    <row r="397" spans="2:22" x14ac:dyDescent="0.2">
      <c r="B397" s="255"/>
      <c r="D397" s="714"/>
      <c r="E397" s="714"/>
      <c r="H397" s="781"/>
      <c r="I397" s="782"/>
      <c r="J397" s="781"/>
      <c r="L397" s="255"/>
      <c r="M397" s="255"/>
      <c r="N397" s="255"/>
      <c r="O397" s="255"/>
      <c r="P397" s="255"/>
      <c r="V397" s="255"/>
    </row>
    <row r="398" spans="2:22" hidden="1" x14ac:dyDescent="0.2">
      <c r="B398" s="255"/>
      <c r="D398" s="714"/>
      <c r="E398" s="714"/>
      <c r="H398" s="781"/>
      <c r="I398" s="782"/>
      <c r="J398" s="781"/>
      <c r="L398" s="255"/>
      <c r="M398" s="255"/>
      <c r="N398" s="255"/>
      <c r="O398" s="255"/>
      <c r="P398" s="255"/>
      <c r="V398" s="255"/>
    </row>
    <row r="399" spans="2:22" x14ac:dyDescent="0.2">
      <c r="B399" s="255"/>
      <c r="C399" s="723">
        <v>19.399999999999999</v>
      </c>
      <c r="D399" s="1843" t="s">
        <v>720</v>
      </c>
      <c r="E399" s="1843"/>
      <c r="H399" s="781"/>
      <c r="I399" s="782"/>
      <c r="J399" s="781"/>
      <c r="L399" s="255"/>
      <c r="M399" s="255"/>
      <c r="N399" s="255"/>
      <c r="O399" s="255"/>
      <c r="P399" s="255"/>
      <c r="V399" s="255"/>
    </row>
    <row r="400" spans="2:22" x14ac:dyDescent="0.2">
      <c r="B400" s="255"/>
      <c r="D400" s="1589" t="s">
        <v>184</v>
      </c>
      <c r="E400" s="735"/>
      <c r="H400" s="1454">
        <f>+J403</f>
        <v>0</v>
      </c>
      <c r="I400" s="782"/>
      <c r="J400" s="1454">
        <f>+L360</f>
        <v>0</v>
      </c>
      <c r="L400" s="255"/>
      <c r="M400" s="255"/>
      <c r="N400" s="255"/>
      <c r="O400" s="255"/>
      <c r="P400" s="255"/>
      <c r="V400" s="255"/>
    </row>
    <row r="401" spans="2:22" x14ac:dyDescent="0.2">
      <c r="B401" s="255"/>
      <c r="D401" s="1589" t="s">
        <v>178</v>
      </c>
      <c r="E401" s="735"/>
      <c r="H401" s="1230">
        <v>930000</v>
      </c>
      <c r="I401" s="782"/>
      <c r="J401" s="1230">
        <v>930000</v>
      </c>
      <c r="L401" s="255"/>
      <c r="M401" s="255"/>
      <c r="N401" s="255"/>
      <c r="O401" s="255"/>
      <c r="P401" s="255"/>
      <c r="V401" s="255"/>
    </row>
    <row r="402" spans="2:22" x14ac:dyDescent="0.2">
      <c r="C402" s="763"/>
      <c r="D402" s="1589" t="s">
        <v>181</v>
      </c>
      <c r="E402" s="735"/>
      <c r="H402" s="1230">
        <v>-930000</v>
      </c>
      <c r="I402" s="782"/>
      <c r="J402" s="1230">
        <v>-930000</v>
      </c>
      <c r="L402" s="255"/>
      <c r="M402" s="255"/>
      <c r="N402" s="255"/>
      <c r="O402" s="255"/>
      <c r="P402" s="255"/>
      <c r="V402" s="255"/>
    </row>
    <row r="403" spans="2:22" ht="13.5" thickBot="1" x14ac:dyDescent="0.25">
      <c r="C403" s="764"/>
      <c r="D403" s="532" t="s">
        <v>189</v>
      </c>
      <c r="E403" s="735"/>
      <c r="H403" s="1485">
        <f>SUM(H400:H402)</f>
        <v>0</v>
      </c>
      <c r="I403" s="782"/>
      <c r="J403" s="1485">
        <f>SUM(J400:J402)</f>
        <v>0</v>
      </c>
      <c r="L403" s="255"/>
      <c r="M403" s="255"/>
      <c r="N403" s="255"/>
      <c r="O403" s="255"/>
      <c r="P403" s="255"/>
      <c r="V403" s="255"/>
    </row>
    <row r="404" spans="2:22" ht="13.5" thickTop="1" x14ac:dyDescent="0.2">
      <c r="C404" s="764"/>
      <c r="D404" s="1589" t="s">
        <v>351</v>
      </c>
      <c r="E404" s="735"/>
      <c r="H404" s="781"/>
      <c r="I404" s="782"/>
      <c r="J404" s="781"/>
      <c r="L404" s="255"/>
      <c r="M404" s="255"/>
      <c r="N404" s="255"/>
      <c r="O404" s="255"/>
      <c r="P404" s="255"/>
      <c r="V404" s="255"/>
    </row>
    <row r="405" spans="2:22" ht="25.5" x14ac:dyDescent="0.2">
      <c r="C405" s="764"/>
      <c r="D405" s="730" t="s">
        <v>907</v>
      </c>
      <c r="E405" s="730"/>
      <c r="G405" s="730"/>
      <c r="H405" s="796"/>
      <c r="I405" s="796"/>
      <c r="J405" s="796"/>
      <c r="L405" s="255"/>
      <c r="M405" s="255"/>
      <c r="N405" s="255"/>
      <c r="O405" s="255"/>
      <c r="P405" s="255"/>
      <c r="V405" s="255"/>
    </row>
    <row r="406" spans="2:22" x14ac:dyDescent="0.2">
      <c r="C406" s="764"/>
      <c r="D406" s="714"/>
      <c r="E406" s="714"/>
      <c r="H406" s="781"/>
      <c r="I406" s="782"/>
      <c r="J406" s="781"/>
      <c r="L406" s="255"/>
      <c r="M406" s="255"/>
      <c r="N406" s="255"/>
      <c r="O406" s="255"/>
      <c r="P406" s="255"/>
      <c r="V406" s="255"/>
    </row>
    <row r="407" spans="2:22" x14ac:dyDescent="0.2">
      <c r="C407" s="764"/>
      <c r="D407" s="186" t="s">
        <v>880</v>
      </c>
      <c r="E407" s="714"/>
      <c r="H407" s="781"/>
      <c r="I407" s="782"/>
      <c r="J407" s="781"/>
      <c r="L407" s="255"/>
      <c r="M407" s="255"/>
      <c r="N407" s="255"/>
      <c r="O407" s="255"/>
      <c r="P407" s="255"/>
      <c r="V407" s="255"/>
    </row>
    <row r="408" spans="2:22" x14ac:dyDescent="0.2">
      <c r="C408" s="765"/>
      <c r="D408" s="714"/>
      <c r="E408" s="714"/>
      <c r="H408" s="781"/>
      <c r="I408" s="782"/>
      <c r="J408" s="781"/>
      <c r="L408" s="255"/>
      <c r="M408" s="255"/>
      <c r="N408" s="255"/>
      <c r="O408" s="255"/>
      <c r="P408" s="255"/>
      <c r="V408" s="255"/>
    </row>
    <row r="409" spans="2:22" x14ac:dyDescent="0.2">
      <c r="C409" s="723">
        <v>19.5</v>
      </c>
      <c r="D409" s="1843" t="s">
        <v>1500</v>
      </c>
      <c r="E409" s="1843"/>
      <c r="F409" s="715"/>
      <c r="H409" s="781"/>
      <c r="I409" s="782"/>
      <c r="J409" s="781"/>
      <c r="L409" s="255"/>
      <c r="M409" s="255"/>
      <c r="N409" s="255"/>
      <c r="O409" s="255"/>
      <c r="P409" s="255"/>
      <c r="V409" s="255"/>
    </row>
    <row r="410" spans="2:22" x14ac:dyDescent="0.2">
      <c r="B410" s="759"/>
      <c r="C410" s="763"/>
      <c r="D410" s="1589" t="s">
        <v>184</v>
      </c>
      <c r="E410" s="735"/>
      <c r="F410" s="715"/>
      <c r="H410" s="1230">
        <f>+J414</f>
        <v>0</v>
      </c>
      <c r="I410" s="782"/>
      <c r="J410" s="1230">
        <v>3270508</v>
      </c>
      <c r="L410" s="255"/>
      <c r="M410" s="255"/>
      <c r="N410" s="255"/>
      <c r="O410" s="255"/>
      <c r="P410" s="255"/>
      <c r="V410" s="255"/>
    </row>
    <row r="411" spans="2:22" x14ac:dyDescent="0.2">
      <c r="C411" s="764"/>
      <c r="D411" s="1589" t="s">
        <v>178</v>
      </c>
      <c r="E411" s="735"/>
      <c r="F411" s="715"/>
      <c r="H411" s="1230">
        <v>0</v>
      </c>
      <c r="I411" s="782"/>
      <c r="J411" s="1230">
        <v>0</v>
      </c>
      <c r="L411" s="255"/>
      <c r="M411" s="255"/>
      <c r="N411" s="255"/>
      <c r="O411" s="255"/>
      <c r="P411" s="255"/>
      <c r="V411" s="255"/>
    </row>
    <row r="412" spans="2:22" x14ac:dyDescent="0.2">
      <c r="C412" s="764"/>
      <c r="D412" s="1589" t="s">
        <v>181</v>
      </c>
      <c r="E412" s="735"/>
      <c r="H412" s="1230">
        <v>0</v>
      </c>
      <c r="I412" s="782"/>
      <c r="J412" s="1230">
        <v>0</v>
      </c>
      <c r="L412" s="255"/>
      <c r="M412" s="255"/>
      <c r="N412" s="255"/>
      <c r="O412" s="255"/>
      <c r="P412" s="255"/>
      <c r="V412" s="255"/>
    </row>
    <row r="413" spans="2:22" x14ac:dyDescent="0.2">
      <c r="C413" s="764"/>
      <c r="D413" s="1589" t="s">
        <v>1499</v>
      </c>
      <c r="E413" s="735"/>
      <c r="H413" s="1230">
        <v>0</v>
      </c>
      <c r="I413" s="782"/>
      <c r="J413" s="1230">
        <v>-3270508</v>
      </c>
      <c r="L413" s="255"/>
      <c r="M413" s="255"/>
      <c r="N413" s="255"/>
      <c r="O413" s="255"/>
      <c r="P413" s="255"/>
      <c r="V413" s="255"/>
    </row>
    <row r="414" spans="2:22" ht="13.5" thickBot="1" x14ac:dyDescent="0.25">
      <c r="C414" s="764"/>
      <c r="D414" s="532" t="s">
        <v>189</v>
      </c>
      <c r="E414" s="735"/>
      <c r="H414" s="1485">
        <f>SUM(H410:H413)</f>
        <v>0</v>
      </c>
      <c r="I414" s="782"/>
      <c r="J414" s="1488">
        <f>SUM(J410:J413)</f>
        <v>0</v>
      </c>
      <c r="L414" s="255"/>
      <c r="M414" s="255"/>
      <c r="N414" s="255"/>
      <c r="O414" s="255"/>
      <c r="P414" s="255"/>
      <c r="V414" s="255"/>
    </row>
    <row r="415" spans="2:22" ht="13.5" thickTop="1" x14ac:dyDescent="0.2">
      <c r="C415" s="764"/>
      <c r="D415" s="1589" t="s">
        <v>351</v>
      </c>
      <c r="E415" s="735"/>
      <c r="H415" s="781"/>
      <c r="I415" s="782"/>
      <c r="J415" s="781"/>
      <c r="L415" s="255"/>
      <c r="M415" s="255"/>
      <c r="N415" s="255"/>
      <c r="O415" s="255"/>
      <c r="P415" s="255"/>
      <c r="V415" s="255"/>
    </row>
    <row r="416" spans="2:22" ht="38.25" x14ac:dyDescent="0.2">
      <c r="C416" s="764"/>
      <c r="D416" s="730" t="s">
        <v>3175</v>
      </c>
      <c r="E416" s="730"/>
      <c r="G416" s="730"/>
      <c r="H416" s="796"/>
      <c r="I416" s="796"/>
      <c r="J416" s="796"/>
      <c r="L416" s="255"/>
      <c r="M416" s="255"/>
      <c r="N416" s="255"/>
      <c r="O416" s="255"/>
      <c r="P416" s="255"/>
      <c r="V416" s="255"/>
    </row>
    <row r="417" spans="2:22" x14ac:dyDescent="0.2">
      <c r="C417" s="765"/>
      <c r="D417" s="714"/>
      <c r="E417" s="714"/>
      <c r="H417" s="781"/>
      <c r="I417" s="782"/>
      <c r="J417" s="781"/>
      <c r="L417" s="255"/>
      <c r="M417" s="255"/>
      <c r="N417" s="255"/>
      <c r="O417" s="255"/>
      <c r="P417" s="255"/>
      <c r="V417" s="255"/>
    </row>
    <row r="418" spans="2:22" x14ac:dyDescent="0.2">
      <c r="C418" s="723">
        <v>19.600000000000001</v>
      </c>
      <c r="D418" s="1843" t="s">
        <v>199</v>
      </c>
      <c r="E418" s="1843"/>
      <c r="H418" s="781"/>
      <c r="I418" s="782"/>
      <c r="J418" s="781"/>
      <c r="L418" s="255"/>
      <c r="M418" s="255"/>
      <c r="N418" s="255"/>
      <c r="O418" s="255"/>
      <c r="P418" s="255"/>
      <c r="V418" s="255"/>
    </row>
    <row r="419" spans="2:22" x14ac:dyDescent="0.2">
      <c r="B419" s="759"/>
      <c r="C419" s="763"/>
      <c r="D419" s="1589" t="s">
        <v>184</v>
      </c>
      <c r="E419" s="1590"/>
      <c r="H419" s="933">
        <f>+J423</f>
        <v>133711393.33999997</v>
      </c>
      <c r="I419" s="782"/>
      <c r="J419" s="1230">
        <v>136106614</v>
      </c>
      <c r="L419" s="255"/>
      <c r="M419" s="255"/>
      <c r="N419" s="255"/>
      <c r="O419" s="255"/>
      <c r="P419" s="255"/>
      <c r="V419" s="255"/>
    </row>
    <row r="420" spans="2:22" x14ac:dyDescent="0.2">
      <c r="C420" s="764"/>
      <c r="D420" s="1589" t="s">
        <v>178</v>
      </c>
      <c r="E420" s="735"/>
      <c r="H420" s="933">
        <v>275800000</v>
      </c>
      <c r="I420" s="782"/>
      <c r="J420" s="1230">
        <v>304914000</v>
      </c>
      <c r="L420" s="255"/>
      <c r="M420" s="255"/>
      <c r="N420" s="255"/>
      <c r="O420" s="255"/>
      <c r="P420" s="255"/>
      <c r="V420" s="255"/>
    </row>
    <row r="421" spans="2:22" x14ac:dyDescent="0.2">
      <c r="C421" s="764"/>
      <c r="D421" s="1589" t="s">
        <v>181</v>
      </c>
      <c r="E421" s="735"/>
      <c r="H421" s="933">
        <f>-257047370.08-23075898.78+0.2</f>
        <v>-280123268.66000003</v>
      </c>
      <c r="I421" s="782"/>
      <c r="J421" s="1230">
        <v>-307309220.66000003</v>
      </c>
      <c r="L421" s="255"/>
      <c r="M421" s="255"/>
      <c r="N421" s="255"/>
      <c r="O421" s="255"/>
      <c r="P421" s="255"/>
      <c r="V421" s="255"/>
    </row>
    <row r="422" spans="2:22" x14ac:dyDescent="0.2">
      <c r="C422" s="764"/>
      <c r="D422" s="1589" t="s">
        <v>1499</v>
      </c>
      <c r="E422" s="735"/>
      <c r="H422" s="933">
        <v>-129388124.68000001</v>
      </c>
      <c r="I422" s="782"/>
      <c r="J422" s="1230">
        <v>0</v>
      </c>
      <c r="L422" s="255"/>
      <c r="M422" s="255"/>
      <c r="N422" s="255"/>
      <c r="O422" s="255"/>
      <c r="P422" s="255"/>
      <c r="V422" s="255"/>
    </row>
    <row r="423" spans="2:22" ht="13.5" thickBot="1" x14ac:dyDescent="0.25">
      <c r="C423" s="764"/>
      <c r="D423" s="532" t="s">
        <v>189</v>
      </c>
      <c r="E423" s="735"/>
      <c r="H423" s="1545">
        <f>SUM(H419:H422)</f>
        <v>0</v>
      </c>
      <c r="I423" s="782"/>
      <c r="J423" s="1488">
        <f>SUM(J419:J422)</f>
        <v>133711393.33999997</v>
      </c>
      <c r="L423" s="255"/>
      <c r="M423" s="255"/>
      <c r="N423" s="255"/>
      <c r="O423" s="255"/>
      <c r="P423" s="255"/>
      <c r="V423" s="255"/>
    </row>
    <row r="424" spans="2:22" ht="13.5" thickTop="1" x14ac:dyDescent="0.2">
      <c r="C424" s="764"/>
      <c r="D424" s="1589" t="s">
        <v>351</v>
      </c>
      <c r="E424" s="735"/>
      <c r="H424" s="781"/>
      <c r="I424" s="782"/>
      <c r="J424" s="781"/>
      <c r="L424" s="255"/>
      <c r="M424" s="255"/>
      <c r="N424" s="255"/>
      <c r="O424" s="255"/>
      <c r="P424" s="255"/>
      <c r="V424" s="255"/>
    </row>
    <row r="425" spans="2:22" ht="51" x14ac:dyDescent="0.2">
      <c r="C425" s="765"/>
      <c r="D425" s="730" t="s">
        <v>88</v>
      </c>
      <c r="E425" s="730"/>
      <c r="G425" s="730"/>
      <c r="H425" s="796"/>
      <c r="I425" s="796"/>
      <c r="J425" s="796"/>
      <c r="L425" s="255"/>
      <c r="M425" s="255"/>
      <c r="N425" s="255"/>
      <c r="O425" s="255"/>
      <c r="P425" s="255"/>
      <c r="V425" s="255"/>
    </row>
    <row r="426" spans="2:22" x14ac:dyDescent="0.2">
      <c r="C426" s="764"/>
      <c r="D426" s="714"/>
      <c r="E426" s="714"/>
      <c r="H426" s="781"/>
      <c r="I426" s="782"/>
      <c r="J426" s="781"/>
      <c r="L426" s="255"/>
      <c r="M426" s="255"/>
      <c r="N426" s="255"/>
      <c r="O426" s="255"/>
      <c r="P426" s="255"/>
      <c r="V426" s="255"/>
    </row>
    <row r="427" spans="2:22" x14ac:dyDescent="0.2">
      <c r="B427" s="759"/>
      <c r="C427" s="723">
        <v>19.7</v>
      </c>
      <c r="D427" s="1590" t="s">
        <v>334</v>
      </c>
      <c r="E427" s="714"/>
      <c r="H427" s="781"/>
      <c r="I427" s="782"/>
      <c r="J427" s="781"/>
      <c r="L427" s="255"/>
      <c r="M427" s="255"/>
      <c r="N427" s="255"/>
      <c r="O427" s="255"/>
      <c r="P427" s="255"/>
      <c r="V427" s="255"/>
    </row>
    <row r="428" spans="2:22" x14ac:dyDescent="0.2">
      <c r="C428" s="764"/>
      <c r="D428" s="1589" t="s">
        <v>184</v>
      </c>
      <c r="E428" s="714"/>
      <c r="H428" s="1230">
        <f>+J431</f>
        <v>2949710</v>
      </c>
      <c r="I428" s="782"/>
      <c r="J428" s="1230">
        <v>2949710</v>
      </c>
      <c r="L428" s="255"/>
      <c r="M428" s="255"/>
      <c r="N428" s="255"/>
      <c r="O428" s="255"/>
      <c r="P428" s="255"/>
      <c r="V428" s="255"/>
    </row>
    <row r="429" spans="2:22" x14ac:dyDescent="0.2">
      <c r="C429" s="764"/>
      <c r="D429" s="1589" t="s">
        <v>178</v>
      </c>
      <c r="E429" s="714"/>
      <c r="H429" s="1230">
        <v>0</v>
      </c>
      <c r="I429" s="782"/>
      <c r="J429" s="1230">
        <v>0</v>
      </c>
      <c r="L429" s="255"/>
      <c r="M429" s="255"/>
      <c r="N429" s="255"/>
      <c r="O429" s="255"/>
      <c r="P429" s="255"/>
      <c r="V429" s="255"/>
    </row>
    <row r="430" spans="2:22" x14ac:dyDescent="0.2">
      <c r="C430" s="764"/>
      <c r="D430" s="1589" t="s">
        <v>181</v>
      </c>
      <c r="E430" s="714"/>
      <c r="H430" s="1230">
        <v>0</v>
      </c>
      <c r="I430" s="782"/>
      <c r="J430" s="1230">
        <v>0</v>
      </c>
      <c r="L430" s="255"/>
      <c r="M430" s="255"/>
      <c r="N430" s="255"/>
      <c r="O430" s="255"/>
      <c r="P430" s="255"/>
      <c r="V430" s="255"/>
    </row>
    <row r="431" spans="2:22" ht="13.5" thickBot="1" x14ac:dyDescent="0.25">
      <c r="C431" s="764"/>
      <c r="D431" s="532" t="s">
        <v>189</v>
      </c>
      <c r="E431" s="714"/>
      <c r="H431" s="1488">
        <f>SUM(H428:H430)</f>
        <v>2949710</v>
      </c>
      <c r="I431" s="782"/>
      <c r="J431" s="1488">
        <f>SUM(J428:J430)</f>
        <v>2949710</v>
      </c>
      <c r="L431" s="255"/>
      <c r="M431" s="255"/>
      <c r="N431" s="255"/>
      <c r="O431" s="255"/>
      <c r="P431" s="255"/>
      <c r="V431" s="255"/>
    </row>
    <row r="432" spans="2:22" ht="13.5" thickTop="1" x14ac:dyDescent="0.2">
      <c r="C432" s="764"/>
      <c r="D432" s="1589" t="s">
        <v>351</v>
      </c>
      <c r="E432" s="714"/>
      <c r="H432" s="781"/>
      <c r="I432" s="782"/>
      <c r="J432" s="781"/>
      <c r="L432" s="255"/>
      <c r="M432" s="255"/>
      <c r="N432" s="255"/>
      <c r="O432" s="255"/>
      <c r="P432" s="255"/>
      <c r="V432" s="255"/>
    </row>
    <row r="433" spans="2:22" ht="25.5" x14ac:dyDescent="0.2">
      <c r="C433" s="764"/>
      <c r="D433" s="267" t="s">
        <v>3023</v>
      </c>
      <c r="L433" s="255"/>
      <c r="M433" s="255"/>
      <c r="N433" s="255"/>
      <c r="O433" s="255"/>
      <c r="P433" s="255"/>
      <c r="V433" s="255"/>
    </row>
    <row r="434" spans="2:22" ht="15" customHeight="1" x14ac:dyDescent="0.2">
      <c r="C434" s="765"/>
      <c r="L434" s="255"/>
      <c r="M434" s="255"/>
      <c r="N434" s="255"/>
      <c r="O434" s="255"/>
      <c r="P434" s="255"/>
      <c r="V434" s="255"/>
    </row>
    <row r="435" spans="2:22" x14ac:dyDescent="0.2">
      <c r="C435" s="720">
        <v>19.8</v>
      </c>
      <c r="D435" s="1590" t="s">
        <v>200</v>
      </c>
      <c r="E435" s="714"/>
      <c r="H435" s="781"/>
      <c r="I435" s="782"/>
      <c r="J435" s="781"/>
      <c r="L435" s="255"/>
      <c r="M435" s="255"/>
      <c r="N435" s="255"/>
      <c r="O435" s="255"/>
      <c r="P435" s="255"/>
      <c r="V435" s="255"/>
    </row>
    <row r="436" spans="2:22" x14ac:dyDescent="0.2">
      <c r="B436" s="759"/>
      <c r="C436" s="763"/>
      <c r="D436" s="1589" t="s">
        <v>184</v>
      </c>
      <c r="E436" s="714"/>
      <c r="H436" s="1230">
        <f>J441</f>
        <v>20840184</v>
      </c>
      <c r="I436" s="782"/>
      <c r="J436" s="1230">
        <v>7731053</v>
      </c>
      <c r="L436" s="255"/>
      <c r="M436" s="255"/>
      <c r="N436" s="255"/>
      <c r="O436" s="255"/>
      <c r="P436" s="255"/>
      <c r="V436" s="255"/>
    </row>
    <row r="437" spans="2:22" x14ac:dyDescent="0.2">
      <c r="C437" s="764"/>
      <c r="D437" s="1589" t="s">
        <v>178</v>
      </c>
      <c r="E437" s="714"/>
      <c r="H437" s="1230">
        <v>0</v>
      </c>
      <c r="I437" s="782"/>
      <c r="J437" s="1230">
        <v>20000000</v>
      </c>
      <c r="L437" s="255"/>
      <c r="M437" s="255"/>
      <c r="N437" s="255"/>
      <c r="O437" s="255"/>
      <c r="P437" s="255"/>
      <c r="V437" s="255"/>
    </row>
    <row r="438" spans="2:22" x14ac:dyDescent="0.2">
      <c r="C438" s="764"/>
      <c r="D438" s="1589" t="s">
        <v>181</v>
      </c>
      <c r="E438" s="714"/>
      <c r="H438" s="1230">
        <v>0</v>
      </c>
      <c r="I438" s="782"/>
      <c r="J438" s="1230">
        <v>-6890869</v>
      </c>
      <c r="L438" s="255"/>
      <c r="M438" s="255"/>
      <c r="N438" s="255"/>
      <c r="O438" s="255"/>
      <c r="P438" s="255"/>
      <c r="V438" s="255"/>
    </row>
    <row r="439" spans="2:22" x14ac:dyDescent="0.2">
      <c r="C439" s="764"/>
      <c r="D439" s="1589" t="s">
        <v>3173</v>
      </c>
      <c r="E439" s="714"/>
      <c r="H439" s="1230"/>
      <c r="I439" s="782"/>
      <c r="J439" s="1230">
        <v>0</v>
      </c>
      <c r="L439" s="255"/>
      <c r="M439" s="255"/>
      <c r="N439" s="255"/>
      <c r="O439" s="255"/>
      <c r="P439" s="255"/>
      <c r="V439" s="255"/>
    </row>
    <row r="440" spans="2:22" x14ac:dyDescent="0.2">
      <c r="C440" s="764"/>
      <c r="D440" s="1589" t="s">
        <v>1499</v>
      </c>
      <c r="E440" s="714"/>
      <c r="H440" s="1230">
        <v>-20840183.75</v>
      </c>
      <c r="I440" s="782"/>
      <c r="J440" s="1230">
        <v>0</v>
      </c>
      <c r="L440" s="255"/>
      <c r="M440" s="255"/>
      <c r="N440" s="255"/>
      <c r="O440" s="255"/>
      <c r="P440" s="255"/>
      <c r="V440" s="255"/>
    </row>
    <row r="441" spans="2:22" ht="13.5" thickBot="1" x14ac:dyDescent="0.25">
      <c r="C441" s="764"/>
      <c r="D441" s="532" t="s">
        <v>189</v>
      </c>
      <c r="E441" s="714"/>
      <c r="H441" s="1488">
        <f>SUM(H436:H440)</f>
        <v>0.25</v>
      </c>
      <c r="I441" s="787">
        <f>SUM(I436:I440)</f>
        <v>0</v>
      </c>
      <c r="J441" s="1488">
        <f>SUM(J436:J440)</f>
        <v>20840184</v>
      </c>
      <c r="L441" s="255"/>
      <c r="M441" s="255"/>
      <c r="N441" s="255"/>
      <c r="O441" s="255"/>
      <c r="P441" s="255"/>
      <c r="V441" s="255"/>
    </row>
    <row r="442" spans="2:22" ht="13.5" thickTop="1" x14ac:dyDescent="0.2">
      <c r="C442" s="764"/>
      <c r="D442" s="1589" t="s">
        <v>351</v>
      </c>
      <c r="E442" s="714"/>
      <c r="H442" s="787"/>
      <c r="I442" s="782"/>
      <c r="J442" s="787"/>
      <c r="L442" s="255"/>
      <c r="M442" s="255"/>
      <c r="N442" s="255"/>
      <c r="O442" s="255"/>
      <c r="P442" s="255"/>
      <c r="V442" s="255"/>
    </row>
    <row r="443" spans="2:22" ht="25.5" x14ac:dyDescent="0.2">
      <c r="C443" s="765"/>
      <c r="D443" s="730" t="s">
        <v>3176</v>
      </c>
      <c r="E443" s="714"/>
      <c r="H443" s="787"/>
      <c r="I443" s="782"/>
      <c r="J443" s="787"/>
      <c r="L443" s="255"/>
      <c r="M443" s="255"/>
      <c r="N443" s="255"/>
      <c r="O443" s="255"/>
      <c r="P443" s="255"/>
      <c r="V443" s="255"/>
    </row>
    <row r="444" spans="2:22" x14ac:dyDescent="0.2">
      <c r="C444" s="764"/>
      <c r="D444" s="532"/>
      <c r="E444" s="714"/>
      <c r="H444" s="787"/>
      <c r="I444" s="782"/>
      <c r="J444" s="787"/>
      <c r="L444" s="255"/>
      <c r="M444" s="255"/>
      <c r="N444" s="255"/>
      <c r="O444" s="255"/>
      <c r="P444" s="255"/>
      <c r="V444" s="255"/>
    </row>
    <row r="445" spans="2:22" x14ac:dyDescent="0.2">
      <c r="B445" s="759"/>
      <c r="C445" s="720">
        <v>19.899999999999999</v>
      </c>
      <c r="D445" s="1590" t="s">
        <v>201</v>
      </c>
      <c r="E445" s="714"/>
      <c r="H445" s="781"/>
      <c r="I445" s="782"/>
      <c r="J445" s="781"/>
      <c r="L445" s="255"/>
      <c r="M445" s="255"/>
      <c r="N445" s="255"/>
      <c r="O445" s="255"/>
      <c r="P445" s="255"/>
      <c r="V445" s="255"/>
    </row>
    <row r="446" spans="2:22" x14ac:dyDescent="0.2">
      <c r="C446" s="764"/>
      <c r="D446" s="1589" t="s">
        <v>184</v>
      </c>
      <c r="E446" s="714"/>
      <c r="H446" s="1230">
        <f>+J449</f>
        <v>404429</v>
      </c>
      <c r="I446" s="782"/>
      <c r="J446" s="1230">
        <v>385777</v>
      </c>
      <c r="L446" s="255"/>
      <c r="M446" s="255"/>
      <c r="N446" s="255"/>
      <c r="O446" s="255"/>
      <c r="P446" s="255"/>
      <c r="V446" s="255"/>
    </row>
    <row r="447" spans="2:22" x14ac:dyDescent="0.2">
      <c r="C447" s="764"/>
      <c r="D447" s="1589" t="s">
        <v>178</v>
      </c>
      <c r="E447" s="714"/>
      <c r="H447" s="1230">
        <v>23161.95</v>
      </c>
      <c r="I447" s="782"/>
      <c r="J447" s="1230">
        <v>18652</v>
      </c>
      <c r="L447" s="255"/>
      <c r="M447" s="255"/>
      <c r="N447" s="255"/>
      <c r="O447" s="255"/>
      <c r="P447" s="255"/>
      <c r="V447" s="255"/>
    </row>
    <row r="448" spans="2:22" x14ac:dyDescent="0.2">
      <c r="C448" s="764"/>
      <c r="D448" s="1589" t="s">
        <v>181</v>
      </c>
      <c r="E448" s="714"/>
      <c r="H448" s="1230">
        <v>0</v>
      </c>
      <c r="I448" s="782"/>
      <c r="J448" s="1230">
        <v>0</v>
      </c>
      <c r="L448" s="255"/>
      <c r="M448" s="255"/>
      <c r="N448" s="255"/>
      <c r="O448" s="255"/>
      <c r="P448" s="255"/>
      <c r="V448" s="255"/>
    </row>
    <row r="449" spans="2:22" ht="13.5" thickBot="1" x14ac:dyDescent="0.25">
      <c r="C449" s="764"/>
      <c r="D449" s="532" t="s">
        <v>189</v>
      </c>
      <c r="E449" s="714"/>
      <c r="H449" s="1488">
        <f>SUM(H446:H448)</f>
        <v>427590.95</v>
      </c>
      <c r="I449" s="782"/>
      <c r="J449" s="1488">
        <f>SUM(J446:J448)</f>
        <v>404429</v>
      </c>
      <c r="L449" s="255"/>
      <c r="M449" s="255"/>
      <c r="N449" s="255"/>
      <c r="O449" s="255"/>
      <c r="P449" s="255"/>
      <c r="V449" s="255"/>
    </row>
    <row r="450" spans="2:22" ht="13.5" thickTop="1" x14ac:dyDescent="0.2">
      <c r="C450" s="764"/>
      <c r="D450" s="1589" t="s">
        <v>351</v>
      </c>
      <c r="E450" s="714"/>
      <c r="H450" s="781"/>
      <c r="I450" s="782"/>
      <c r="J450" s="781"/>
      <c r="L450" s="255"/>
      <c r="M450" s="255"/>
      <c r="N450" s="255"/>
      <c r="O450" s="255"/>
      <c r="P450" s="255"/>
      <c r="V450" s="255"/>
    </row>
    <row r="451" spans="2:22" ht="25.5" x14ac:dyDescent="0.2">
      <c r="C451" s="765"/>
      <c r="D451" s="730" t="s">
        <v>563</v>
      </c>
      <c r="E451" s="730"/>
      <c r="G451" s="730"/>
      <c r="H451" s="796"/>
      <c r="I451" s="796"/>
      <c r="J451" s="796"/>
      <c r="L451" s="255"/>
      <c r="M451" s="255"/>
      <c r="N451" s="255"/>
      <c r="O451" s="255"/>
      <c r="P451" s="255"/>
      <c r="V451" s="255"/>
    </row>
    <row r="452" spans="2:22" x14ac:dyDescent="0.2">
      <c r="C452" s="764"/>
      <c r="D452" s="532"/>
      <c r="E452" s="714"/>
      <c r="H452" s="787"/>
      <c r="I452" s="782"/>
      <c r="J452" s="787"/>
      <c r="L452" s="255"/>
      <c r="M452" s="255"/>
      <c r="N452" s="255"/>
      <c r="O452" s="255"/>
      <c r="P452" s="255"/>
      <c r="V452" s="255"/>
    </row>
    <row r="453" spans="2:22" hidden="1" x14ac:dyDescent="0.2">
      <c r="B453" s="759"/>
      <c r="C453" s="763">
        <v>19.12</v>
      </c>
      <c r="D453" s="1590" t="s">
        <v>561</v>
      </c>
      <c r="E453" s="714"/>
      <c r="H453" s="781"/>
      <c r="I453" s="782"/>
      <c r="J453" s="781"/>
      <c r="L453" s="255"/>
      <c r="M453" s="255"/>
      <c r="N453" s="255"/>
      <c r="O453" s="255"/>
      <c r="P453" s="255"/>
      <c r="V453" s="255"/>
    </row>
    <row r="454" spans="2:22" hidden="1" x14ac:dyDescent="0.2">
      <c r="D454" s="1589" t="s">
        <v>184</v>
      </c>
      <c r="E454" s="714"/>
      <c r="H454" s="1230">
        <f>+J457</f>
        <v>0</v>
      </c>
      <c r="I454" s="782"/>
      <c r="J454" s="1230">
        <f>+L457</f>
        <v>0</v>
      </c>
      <c r="L454" s="255"/>
      <c r="M454" s="255"/>
      <c r="N454" s="255"/>
      <c r="O454" s="255"/>
      <c r="P454" s="255"/>
      <c r="V454" s="255"/>
    </row>
    <row r="455" spans="2:22" hidden="1" x14ac:dyDescent="0.2">
      <c r="D455" s="1589" t="s">
        <v>178</v>
      </c>
      <c r="E455" s="714"/>
      <c r="H455" s="1230">
        <v>0</v>
      </c>
      <c r="I455" s="782"/>
      <c r="J455" s="1230">
        <v>0</v>
      </c>
      <c r="L455" s="255"/>
      <c r="M455" s="255"/>
      <c r="N455" s="255"/>
      <c r="O455" s="255"/>
      <c r="P455" s="255"/>
      <c r="V455" s="255"/>
    </row>
    <row r="456" spans="2:22" hidden="1" x14ac:dyDescent="0.2">
      <c r="D456" s="1589" t="s">
        <v>3185</v>
      </c>
      <c r="E456" s="714"/>
      <c r="H456" s="1230">
        <v>0</v>
      </c>
      <c r="I456" s="782"/>
      <c r="J456" s="1230">
        <v>0</v>
      </c>
      <c r="L456" s="255"/>
      <c r="M456" s="255"/>
      <c r="N456" s="255"/>
      <c r="O456" s="255"/>
      <c r="P456" s="255"/>
      <c r="V456" s="255"/>
    </row>
    <row r="457" spans="2:22" ht="13.5" hidden="1" thickBot="1" x14ac:dyDescent="0.25">
      <c r="D457" s="532" t="s">
        <v>189</v>
      </c>
      <c r="E457" s="714"/>
      <c r="H457" s="1488">
        <f>SUM(H454:H456)</f>
        <v>0</v>
      </c>
      <c r="I457" s="782"/>
      <c r="J457" s="1488">
        <f>SUM(J454:J456)</f>
        <v>0</v>
      </c>
      <c r="L457" s="255"/>
      <c r="M457" s="255"/>
      <c r="N457" s="255"/>
      <c r="O457" s="255"/>
      <c r="P457" s="255"/>
      <c r="V457" s="255"/>
    </row>
    <row r="458" spans="2:22" ht="13.5" hidden="1" thickTop="1" x14ac:dyDescent="0.2">
      <c r="D458" s="1589" t="s">
        <v>351</v>
      </c>
      <c r="E458" s="714"/>
      <c r="H458" s="781"/>
      <c r="I458" s="782"/>
      <c r="J458" s="781"/>
      <c r="L458" s="255"/>
      <c r="M458" s="255"/>
      <c r="N458" s="255"/>
      <c r="O458" s="255"/>
      <c r="P458" s="255"/>
      <c r="V458" s="255"/>
    </row>
    <row r="459" spans="2:22" ht="38.25" hidden="1" x14ac:dyDescent="0.2">
      <c r="C459" s="758"/>
      <c r="D459" s="730" t="s">
        <v>3680</v>
      </c>
      <c r="E459" s="730"/>
      <c r="G459" s="730"/>
      <c r="H459" s="796"/>
      <c r="I459" s="796"/>
      <c r="J459" s="796"/>
      <c r="L459" s="255"/>
      <c r="M459" s="255"/>
      <c r="N459" s="255"/>
      <c r="O459" s="255"/>
      <c r="P459" s="255"/>
      <c r="V459" s="255"/>
    </row>
    <row r="460" spans="2:22" hidden="1" x14ac:dyDescent="0.2">
      <c r="D460" s="532"/>
      <c r="E460" s="714"/>
      <c r="H460" s="787"/>
      <c r="I460" s="782"/>
      <c r="J460" s="787"/>
      <c r="L460" s="255"/>
      <c r="M460" s="255"/>
      <c r="N460" s="255"/>
      <c r="O460" s="255"/>
      <c r="P460" s="255"/>
      <c r="V460" s="255"/>
    </row>
    <row r="461" spans="2:22" hidden="1" x14ac:dyDescent="0.2">
      <c r="B461" s="759"/>
      <c r="C461" s="764">
        <v>19.13</v>
      </c>
      <c r="D461" s="1590" t="s">
        <v>562</v>
      </c>
      <c r="E461" s="714"/>
      <c r="H461" s="781"/>
      <c r="I461" s="782"/>
      <c r="J461" s="781"/>
      <c r="L461" s="255"/>
      <c r="M461" s="255"/>
      <c r="N461" s="255"/>
      <c r="O461" s="255"/>
      <c r="P461" s="255"/>
      <c r="V461" s="255"/>
    </row>
    <row r="462" spans="2:22" hidden="1" x14ac:dyDescent="0.2">
      <c r="D462" s="1589" t="s">
        <v>184</v>
      </c>
      <c r="E462" s="714"/>
      <c r="H462" s="1230">
        <f>+J465</f>
        <v>0</v>
      </c>
      <c r="I462" s="782"/>
      <c r="J462" s="1230">
        <f>+L465</f>
        <v>0</v>
      </c>
      <c r="L462" s="255"/>
      <c r="M462" s="255"/>
      <c r="N462" s="255"/>
      <c r="O462" s="255"/>
      <c r="P462" s="255"/>
      <c r="V462" s="255"/>
    </row>
    <row r="463" spans="2:22" hidden="1" x14ac:dyDescent="0.2">
      <c r="D463" s="1589" t="s">
        <v>178</v>
      </c>
      <c r="E463" s="714"/>
      <c r="H463" s="1230">
        <v>0</v>
      </c>
      <c r="I463" s="782"/>
      <c r="J463" s="1230">
        <v>0</v>
      </c>
      <c r="L463" s="255"/>
      <c r="M463" s="255"/>
      <c r="N463" s="255"/>
      <c r="O463" s="255"/>
      <c r="P463" s="255"/>
      <c r="V463" s="255"/>
    </row>
    <row r="464" spans="2:22" hidden="1" x14ac:dyDescent="0.2">
      <c r="D464" s="1589" t="s">
        <v>3185</v>
      </c>
      <c r="E464" s="714"/>
      <c r="H464" s="1230">
        <v>0</v>
      </c>
      <c r="I464" s="782"/>
      <c r="J464" s="1230">
        <v>0</v>
      </c>
      <c r="L464" s="255"/>
      <c r="M464" s="255"/>
      <c r="N464" s="255"/>
      <c r="O464" s="255"/>
      <c r="P464" s="255"/>
      <c r="V464" s="255"/>
    </row>
    <row r="465" spans="2:22" ht="13.5" hidden="1" thickBot="1" x14ac:dyDescent="0.25">
      <c r="D465" s="532" t="s">
        <v>189</v>
      </c>
      <c r="E465" s="714"/>
      <c r="H465" s="1488">
        <f>SUM(H462:H464)</f>
        <v>0</v>
      </c>
      <c r="I465" s="782"/>
      <c r="J465" s="1488">
        <f>SUM(J462:J464)</f>
        <v>0</v>
      </c>
      <c r="L465" s="255"/>
      <c r="M465" s="255"/>
      <c r="N465" s="255"/>
      <c r="O465" s="255"/>
      <c r="P465" s="255"/>
      <c r="V465" s="255"/>
    </row>
    <row r="466" spans="2:22" ht="13.5" hidden="1" thickTop="1" x14ac:dyDescent="0.2">
      <c r="D466" s="1589" t="s">
        <v>351</v>
      </c>
      <c r="E466" s="714"/>
      <c r="H466" s="781"/>
      <c r="I466" s="782"/>
      <c r="J466" s="781"/>
      <c r="L466" s="255"/>
      <c r="M466" s="255"/>
      <c r="N466" s="255"/>
      <c r="O466" s="255"/>
      <c r="P466" s="255"/>
      <c r="V466" s="255"/>
    </row>
    <row r="467" spans="2:22" ht="38.25" hidden="1" x14ac:dyDescent="0.2">
      <c r="B467" s="255"/>
      <c r="D467" s="730" t="s">
        <v>3327</v>
      </c>
      <c r="E467" s="730"/>
      <c r="G467" s="730"/>
      <c r="H467" s="796"/>
      <c r="I467" s="796"/>
      <c r="J467" s="796"/>
      <c r="L467" s="255"/>
      <c r="M467" s="255"/>
      <c r="N467" s="255"/>
      <c r="O467" s="255"/>
      <c r="P467" s="255"/>
      <c r="V467" s="255"/>
    </row>
    <row r="468" spans="2:22" hidden="1" x14ac:dyDescent="0.2">
      <c r="B468" s="255"/>
      <c r="D468" s="532"/>
      <c r="E468" s="714"/>
      <c r="H468" s="787"/>
      <c r="I468" s="782"/>
      <c r="J468" s="787"/>
      <c r="L468" s="255"/>
      <c r="M468" s="255"/>
      <c r="N468" s="255"/>
      <c r="O468" s="255"/>
      <c r="P468" s="255"/>
      <c r="V468" s="255"/>
    </row>
    <row r="469" spans="2:22" x14ac:dyDescent="0.2">
      <c r="B469" s="255"/>
      <c r="C469" s="764">
        <v>19.100000000000001</v>
      </c>
      <c r="D469" s="1590" t="s">
        <v>202</v>
      </c>
      <c r="E469" s="714"/>
      <c r="H469" s="781"/>
      <c r="I469" s="782"/>
      <c r="J469" s="781"/>
      <c r="L469" s="255"/>
      <c r="M469" s="255"/>
      <c r="N469" s="255"/>
      <c r="O469" s="255"/>
      <c r="P469" s="255"/>
      <c r="V469" s="255"/>
    </row>
    <row r="470" spans="2:22" x14ac:dyDescent="0.2">
      <c r="B470" s="255"/>
      <c r="D470" s="1589" t="s">
        <v>184</v>
      </c>
      <c r="E470" s="714"/>
      <c r="H470" s="1454">
        <f>+J474</f>
        <v>0</v>
      </c>
      <c r="I470" s="782"/>
      <c r="J470" s="1230">
        <v>0</v>
      </c>
      <c r="L470" s="255"/>
      <c r="M470" s="255"/>
      <c r="N470" s="255"/>
      <c r="O470" s="255"/>
      <c r="P470" s="255"/>
      <c r="V470" s="255"/>
    </row>
    <row r="471" spans="2:22" x14ac:dyDescent="0.2">
      <c r="B471" s="255"/>
      <c r="D471" s="1589" t="s">
        <v>178</v>
      </c>
      <c r="E471" s="714"/>
      <c r="H471" s="1230">
        <v>40000000</v>
      </c>
      <c r="I471" s="782"/>
      <c r="J471" s="1230">
        <v>31000000</v>
      </c>
      <c r="L471" s="255"/>
      <c r="M471" s="255"/>
      <c r="N471" s="255"/>
      <c r="O471" s="255"/>
      <c r="P471" s="255"/>
      <c r="V471" s="255"/>
    </row>
    <row r="472" spans="2:22" x14ac:dyDescent="0.2">
      <c r="B472" s="255"/>
      <c r="C472" s="720"/>
      <c r="D472" s="1589" t="s">
        <v>181</v>
      </c>
      <c r="E472" s="714"/>
      <c r="H472" s="1230">
        <v>-40000000</v>
      </c>
      <c r="I472" s="782"/>
      <c r="J472" s="1230">
        <v>-31000000</v>
      </c>
      <c r="L472" s="255"/>
      <c r="M472" s="255"/>
      <c r="N472" s="255"/>
      <c r="O472" s="255"/>
      <c r="P472" s="255"/>
      <c r="V472" s="255"/>
    </row>
    <row r="473" spans="2:22" ht="18" customHeight="1" x14ac:dyDescent="0.2">
      <c r="B473" s="255"/>
      <c r="D473" s="1589" t="s">
        <v>1499</v>
      </c>
      <c r="E473" s="714"/>
      <c r="H473" s="1230">
        <v>0</v>
      </c>
      <c r="I473" s="782"/>
      <c r="J473" s="1230">
        <v>0</v>
      </c>
      <c r="L473" s="255"/>
      <c r="M473" s="255"/>
      <c r="N473" s="255"/>
      <c r="O473" s="255"/>
      <c r="P473" s="255"/>
      <c r="V473" s="255"/>
    </row>
    <row r="474" spans="2:22" ht="13.5" thickBot="1" x14ac:dyDescent="0.25">
      <c r="B474" s="255"/>
      <c r="D474" s="532" t="s">
        <v>189</v>
      </c>
      <c r="E474" s="714"/>
      <c r="H474" s="1488">
        <f>SUM(H470:H473)</f>
        <v>0</v>
      </c>
      <c r="I474" s="782"/>
      <c r="J474" s="1488">
        <f>SUM(J470:J473)</f>
        <v>0</v>
      </c>
      <c r="L474" s="255"/>
      <c r="M474" s="255"/>
      <c r="N474" s="255"/>
      <c r="O474" s="255"/>
      <c r="P474" s="255"/>
      <c r="V474" s="255"/>
    </row>
    <row r="475" spans="2:22" ht="13.5" thickTop="1" x14ac:dyDescent="0.2">
      <c r="B475" s="255"/>
      <c r="D475" s="1589" t="s">
        <v>351</v>
      </c>
      <c r="E475" s="714"/>
      <c r="H475" s="781"/>
      <c r="I475" s="782"/>
      <c r="J475" s="781"/>
      <c r="L475" s="255"/>
      <c r="M475" s="255"/>
      <c r="N475" s="255"/>
      <c r="O475" s="255"/>
      <c r="P475" s="255"/>
      <c r="V475" s="255"/>
    </row>
    <row r="476" spans="2:22" ht="25.5" x14ac:dyDescent="0.2">
      <c r="B476" s="255"/>
      <c r="D476" s="730" t="s">
        <v>204</v>
      </c>
      <c r="E476" s="730"/>
      <c r="G476" s="730"/>
      <c r="H476" s="796"/>
      <c r="I476" s="796"/>
      <c r="J476" s="796"/>
      <c r="L476" s="255"/>
      <c r="M476" s="255"/>
      <c r="N476" s="255"/>
      <c r="O476" s="255"/>
      <c r="P476" s="255"/>
      <c r="V476" s="255"/>
    </row>
    <row r="477" spans="2:22" x14ac:dyDescent="0.2">
      <c r="B477" s="255"/>
      <c r="D477" s="532"/>
      <c r="E477" s="714"/>
      <c r="H477" s="787"/>
      <c r="I477" s="782"/>
      <c r="J477" s="787"/>
      <c r="L477" s="255"/>
      <c r="M477" s="255"/>
      <c r="N477" s="255"/>
      <c r="O477" s="255"/>
      <c r="P477" s="255"/>
      <c r="V477" s="255"/>
    </row>
    <row r="478" spans="2:22" x14ac:dyDescent="0.2">
      <c r="B478" s="255"/>
      <c r="C478" s="764">
        <v>19.11</v>
      </c>
      <c r="D478" s="1590" t="s">
        <v>203</v>
      </c>
      <c r="E478" s="714"/>
      <c r="H478" s="781"/>
      <c r="I478" s="782"/>
      <c r="J478" s="781"/>
      <c r="L478" s="255"/>
      <c r="M478" s="255"/>
      <c r="N478" s="255"/>
      <c r="O478" s="255"/>
      <c r="P478" s="255"/>
      <c r="V478" s="255"/>
    </row>
    <row r="479" spans="2:22" x14ac:dyDescent="0.2">
      <c r="B479" s="255"/>
      <c r="D479" s="1589" t="s">
        <v>184</v>
      </c>
      <c r="E479" s="714"/>
      <c r="H479" s="1230">
        <f>+J483</f>
        <v>0</v>
      </c>
      <c r="I479" s="782"/>
      <c r="J479" s="1230">
        <v>4057090</v>
      </c>
      <c r="L479" s="255"/>
      <c r="M479" s="255"/>
      <c r="N479" s="255"/>
      <c r="O479" s="255"/>
      <c r="P479" s="255"/>
      <c r="V479" s="255"/>
    </row>
    <row r="480" spans="2:22" x14ac:dyDescent="0.2">
      <c r="B480" s="255"/>
      <c r="D480" s="1589" t="s">
        <v>178</v>
      </c>
      <c r="E480" s="714"/>
      <c r="H480" s="1230">
        <v>0</v>
      </c>
      <c r="I480" s="782"/>
      <c r="J480" s="1230">
        <v>0</v>
      </c>
      <c r="L480" s="255"/>
      <c r="M480" s="255"/>
      <c r="N480" s="255"/>
      <c r="O480" s="255"/>
      <c r="P480" s="255"/>
      <c r="V480" s="255"/>
    </row>
    <row r="481" spans="2:22" x14ac:dyDescent="0.2">
      <c r="B481" s="255"/>
      <c r="D481" s="1589" t="s">
        <v>181</v>
      </c>
      <c r="E481" s="714"/>
      <c r="H481" s="1230">
        <v>0</v>
      </c>
      <c r="I481" s="782"/>
      <c r="J481" s="1230">
        <v>-4057090</v>
      </c>
      <c r="L481" s="255"/>
      <c r="M481" s="255"/>
      <c r="N481" s="255"/>
      <c r="O481" s="255"/>
      <c r="P481" s="255"/>
      <c r="V481" s="255"/>
    </row>
    <row r="482" spans="2:22" x14ac:dyDescent="0.2">
      <c r="B482" s="255"/>
      <c r="D482" s="1589" t="s">
        <v>1499</v>
      </c>
      <c r="E482" s="714"/>
      <c r="H482" s="1230">
        <v>0</v>
      </c>
      <c r="I482" s="782"/>
      <c r="J482" s="1230">
        <v>0</v>
      </c>
      <c r="L482" s="255"/>
      <c r="M482" s="255"/>
      <c r="N482" s="255"/>
      <c r="O482" s="255"/>
      <c r="P482" s="255"/>
      <c r="V482" s="255"/>
    </row>
    <row r="483" spans="2:22" ht="13.5" thickBot="1" x14ac:dyDescent="0.25">
      <c r="D483" s="532" t="s">
        <v>189</v>
      </c>
      <c r="E483" s="714"/>
      <c r="H483" s="1488">
        <f>SUM(H479:H482)</f>
        <v>0</v>
      </c>
      <c r="I483" s="782"/>
      <c r="J483" s="1488">
        <f>SUM(J479:J482)</f>
        <v>0</v>
      </c>
      <c r="L483" s="255"/>
      <c r="M483" s="255"/>
      <c r="N483" s="255"/>
      <c r="O483" s="255"/>
      <c r="P483" s="255"/>
      <c r="V483" s="255"/>
    </row>
    <row r="484" spans="2:22" ht="13.5" thickTop="1" x14ac:dyDescent="0.2">
      <c r="D484" s="1589" t="s">
        <v>351</v>
      </c>
      <c r="E484" s="714"/>
      <c r="H484" s="781"/>
      <c r="I484" s="782"/>
      <c r="J484" s="781"/>
      <c r="L484" s="255"/>
      <c r="M484" s="255"/>
      <c r="N484" s="255"/>
      <c r="O484" s="255"/>
      <c r="P484" s="255"/>
      <c r="V484" s="255"/>
    </row>
    <row r="485" spans="2:22" ht="25.5" x14ac:dyDescent="0.2">
      <c r="C485" s="720"/>
      <c r="D485" s="730" t="s">
        <v>2879</v>
      </c>
      <c r="E485" s="730"/>
      <c r="G485" s="730"/>
      <c r="H485" s="796"/>
      <c r="I485" s="796"/>
      <c r="J485" s="796"/>
      <c r="L485" s="255"/>
      <c r="M485" s="255"/>
      <c r="N485" s="255"/>
      <c r="O485" s="255"/>
      <c r="P485" s="255"/>
      <c r="V485" s="255"/>
    </row>
    <row r="486" spans="2:22" x14ac:dyDescent="0.2">
      <c r="D486" s="532"/>
      <c r="E486" s="714"/>
      <c r="H486" s="787"/>
      <c r="I486" s="782"/>
      <c r="J486" s="787"/>
      <c r="L486" s="255"/>
      <c r="M486" s="255"/>
      <c r="N486" s="255"/>
      <c r="O486" s="255"/>
      <c r="P486" s="255"/>
      <c r="V486" s="255"/>
    </row>
    <row r="487" spans="2:22" x14ac:dyDescent="0.2">
      <c r="B487" s="719"/>
      <c r="C487" s="764">
        <v>19.12</v>
      </c>
      <c r="D487" s="1590" t="s">
        <v>210</v>
      </c>
      <c r="E487" s="714"/>
      <c r="H487" s="781"/>
      <c r="I487" s="782"/>
      <c r="J487" s="781"/>
      <c r="L487" s="255"/>
      <c r="M487" s="255"/>
      <c r="N487" s="255"/>
      <c r="O487" s="255"/>
      <c r="P487" s="255"/>
      <c r="V487" s="255"/>
    </row>
    <row r="488" spans="2:22" x14ac:dyDescent="0.2">
      <c r="D488" s="1589" t="s">
        <v>184</v>
      </c>
      <c r="E488" s="714"/>
      <c r="H488" s="1230">
        <f>+J491</f>
        <v>0</v>
      </c>
      <c r="I488" s="782"/>
      <c r="J488" s="1230">
        <v>0</v>
      </c>
      <c r="L488" s="255"/>
      <c r="M488" s="255"/>
      <c r="N488" s="255"/>
      <c r="O488" s="255"/>
      <c r="P488" s="255"/>
      <c r="V488" s="255"/>
    </row>
    <row r="489" spans="2:22" x14ac:dyDescent="0.2">
      <c r="D489" s="1589" t="s">
        <v>178</v>
      </c>
      <c r="E489" s="714"/>
      <c r="H489" s="1230">
        <v>4516000</v>
      </c>
      <c r="I489" s="782"/>
      <c r="J489" s="1230">
        <v>3960000</v>
      </c>
      <c r="L489" s="255"/>
      <c r="M489" s="255"/>
      <c r="N489" s="255"/>
      <c r="O489" s="255"/>
      <c r="P489" s="255"/>
      <c r="V489" s="255"/>
    </row>
    <row r="490" spans="2:22" x14ac:dyDescent="0.2">
      <c r="D490" s="1589" t="s">
        <v>181</v>
      </c>
      <c r="E490" s="714"/>
      <c r="H490" s="1230">
        <v>-4516000</v>
      </c>
      <c r="I490" s="782"/>
      <c r="J490" s="1230">
        <v>-3960000</v>
      </c>
      <c r="L490" s="255"/>
      <c r="M490" s="255"/>
      <c r="N490" s="255"/>
      <c r="O490" s="255"/>
      <c r="P490" s="255"/>
      <c r="V490" s="255"/>
    </row>
    <row r="491" spans="2:22" ht="13.5" thickBot="1" x14ac:dyDescent="0.25">
      <c r="D491" s="532" t="s">
        <v>189</v>
      </c>
      <c r="E491" s="714"/>
      <c r="H491" s="1488">
        <f>SUM(H488:H490)</f>
        <v>0</v>
      </c>
      <c r="I491" s="782"/>
      <c r="J491" s="1488">
        <f>SUM(J488:J490)</f>
        <v>0</v>
      </c>
      <c r="L491" s="255"/>
      <c r="M491" s="255"/>
      <c r="N491" s="255"/>
      <c r="O491" s="255"/>
      <c r="P491" s="255"/>
      <c r="V491" s="255"/>
    </row>
    <row r="492" spans="2:22" ht="13.5" thickTop="1" x14ac:dyDescent="0.2">
      <c r="D492" s="1589" t="s">
        <v>351</v>
      </c>
      <c r="E492" s="714"/>
      <c r="H492" s="781"/>
      <c r="I492" s="782"/>
      <c r="J492" s="781"/>
      <c r="L492" s="255"/>
      <c r="M492" s="255"/>
      <c r="N492" s="255"/>
      <c r="O492" s="255"/>
      <c r="P492" s="255"/>
      <c r="V492" s="255"/>
    </row>
    <row r="493" spans="2:22" ht="25.5" x14ac:dyDescent="0.2">
      <c r="D493" s="730" t="s">
        <v>211</v>
      </c>
      <c r="E493" s="730"/>
      <c r="G493" s="730"/>
      <c r="H493" s="796"/>
      <c r="I493" s="796"/>
      <c r="J493" s="796"/>
      <c r="L493" s="255"/>
      <c r="M493" s="255"/>
      <c r="N493" s="255"/>
      <c r="O493" s="255"/>
      <c r="P493" s="255"/>
      <c r="V493" s="255"/>
    </row>
    <row r="494" spans="2:22" x14ac:dyDescent="0.2">
      <c r="C494" s="720"/>
      <c r="D494" s="532"/>
      <c r="E494" s="714"/>
      <c r="H494" s="787"/>
      <c r="I494" s="782"/>
      <c r="J494" s="787"/>
      <c r="L494" s="255"/>
      <c r="M494" s="255"/>
      <c r="N494" s="255"/>
      <c r="O494" s="255"/>
      <c r="P494" s="255"/>
      <c r="V494" s="255"/>
    </row>
    <row r="495" spans="2:22" x14ac:dyDescent="0.2">
      <c r="C495" s="764">
        <v>19.13</v>
      </c>
      <c r="D495" s="1590" t="s">
        <v>1048</v>
      </c>
      <c r="E495" s="714"/>
      <c r="H495" s="781"/>
      <c r="I495" s="782"/>
      <c r="J495" s="781"/>
      <c r="L495" s="255"/>
      <c r="M495" s="255"/>
      <c r="N495" s="255"/>
      <c r="O495" s="255"/>
      <c r="P495" s="255"/>
      <c r="V495" s="255"/>
    </row>
    <row r="496" spans="2:22" x14ac:dyDescent="0.2">
      <c r="B496" s="719"/>
      <c r="D496" s="1589" t="s">
        <v>184</v>
      </c>
      <c r="E496" s="714"/>
      <c r="H496" s="1230">
        <f>+J500</f>
        <v>5705691.5700000003</v>
      </c>
      <c r="I496" s="782"/>
      <c r="J496" s="1230">
        <v>0</v>
      </c>
      <c r="L496" s="255"/>
      <c r="M496" s="255"/>
      <c r="N496" s="255"/>
      <c r="O496" s="255"/>
      <c r="P496" s="255"/>
      <c r="V496" s="255"/>
    </row>
    <row r="497" spans="2:22" x14ac:dyDescent="0.2">
      <c r="B497" s="719"/>
      <c r="D497" s="1589" t="s">
        <v>178</v>
      </c>
      <c r="E497" s="714"/>
      <c r="H497" s="1230">
        <v>31072000</v>
      </c>
      <c r="I497" s="782"/>
      <c r="J497" s="1230">
        <v>10000000</v>
      </c>
      <c r="L497" s="255"/>
      <c r="M497" s="255"/>
      <c r="N497" s="255"/>
      <c r="O497" s="255"/>
      <c r="P497" s="255"/>
      <c r="V497" s="255"/>
    </row>
    <row r="498" spans="2:22" x14ac:dyDescent="0.2">
      <c r="D498" s="1589" t="s">
        <v>181</v>
      </c>
      <c r="E498" s="714"/>
      <c r="H498" s="1230">
        <v>-22621548.629999999</v>
      </c>
      <c r="I498" s="782"/>
      <c r="J498" s="1230">
        <v>-4294308.43</v>
      </c>
      <c r="L498" s="255"/>
      <c r="M498" s="255"/>
      <c r="N498" s="255"/>
      <c r="O498" s="255"/>
      <c r="P498" s="255"/>
      <c r="V498" s="255"/>
    </row>
    <row r="499" spans="2:22" x14ac:dyDescent="0.2">
      <c r="D499" s="1589" t="s">
        <v>1499</v>
      </c>
      <c r="E499" s="714"/>
      <c r="H499" s="1230">
        <v>-5705691.5700000003</v>
      </c>
      <c r="I499" s="782"/>
      <c r="J499" s="1230"/>
      <c r="L499" s="255"/>
      <c r="M499" s="255"/>
      <c r="N499" s="255"/>
      <c r="O499" s="255"/>
      <c r="P499" s="255"/>
      <c r="V499" s="255"/>
    </row>
    <row r="500" spans="2:22" ht="13.5" thickBot="1" x14ac:dyDescent="0.25">
      <c r="D500" s="532" t="s">
        <v>189</v>
      </c>
      <c r="E500" s="714"/>
      <c r="H500" s="1488">
        <f>SUM(H496:H499)</f>
        <v>8450451.370000001</v>
      </c>
      <c r="I500" s="782"/>
      <c r="J500" s="1488">
        <f>SUM(J496:J498)</f>
        <v>5705691.5700000003</v>
      </c>
      <c r="L500" s="255"/>
      <c r="M500" s="255"/>
      <c r="N500" s="255"/>
      <c r="O500" s="255"/>
      <c r="P500" s="255"/>
      <c r="V500" s="255"/>
    </row>
    <row r="501" spans="2:22" ht="13.5" thickTop="1" x14ac:dyDescent="0.2">
      <c r="D501" s="1589" t="s">
        <v>351</v>
      </c>
      <c r="E501" s="714"/>
      <c r="H501" s="781"/>
      <c r="I501" s="782"/>
      <c r="J501" s="781"/>
      <c r="L501" s="255"/>
      <c r="M501" s="255"/>
      <c r="N501" s="255"/>
      <c r="O501" s="255"/>
      <c r="P501" s="255"/>
      <c r="V501" s="255"/>
    </row>
    <row r="502" spans="2:22" ht="38.25" x14ac:dyDescent="0.2">
      <c r="D502" s="730" t="s">
        <v>212</v>
      </c>
      <c r="E502" s="730"/>
      <c r="G502" s="730"/>
      <c r="H502" s="796"/>
      <c r="I502" s="796"/>
      <c r="J502" s="796"/>
      <c r="L502" s="255"/>
      <c r="M502" s="255"/>
      <c r="N502" s="255"/>
      <c r="O502" s="255"/>
      <c r="P502" s="255"/>
      <c r="V502" s="255"/>
    </row>
    <row r="503" spans="2:22" x14ac:dyDescent="0.2">
      <c r="D503" s="532"/>
      <c r="E503" s="714"/>
      <c r="H503" s="787"/>
      <c r="I503" s="782"/>
      <c r="J503" s="787"/>
      <c r="L503" s="255"/>
      <c r="M503" s="255"/>
      <c r="N503" s="255"/>
      <c r="O503" s="255"/>
      <c r="P503" s="255"/>
      <c r="V503" s="255"/>
    </row>
    <row r="504" spans="2:22" x14ac:dyDescent="0.2">
      <c r="C504" s="764">
        <v>19.14</v>
      </c>
      <c r="D504" s="532" t="s">
        <v>2984</v>
      </c>
      <c r="E504" s="714"/>
      <c r="H504" s="787"/>
      <c r="I504" s="782"/>
      <c r="J504" s="787"/>
      <c r="L504" s="255"/>
      <c r="M504" s="255"/>
      <c r="N504" s="255"/>
      <c r="O504" s="255"/>
      <c r="P504" s="255"/>
      <c r="V504" s="255"/>
    </row>
    <row r="505" spans="2:22" x14ac:dyDescent="0.2">
      <c r="D505" s="1589" t="s">
        <v>184</v>
      </c>
      <c r="E505" s="714"/>
      <c r="H505" s="1230">
        <f>+J508</f>
        <v>0</v>
      </c>
      <c r="I505" s="782"/>
      <c r="J505" s="1230">
        <v>0</v>
      </c>
      <c r="L505" s="255"/>
      <c r="M505" s="255"/>
      <c r="N505" s="255"/>
      <c r="O505" s="255"/>
      <c r="P505" s="255"/>
      <c r="V505" s="255"/>
    </row>
    <row r="506" spans="2:22" x14ac:dyDescent="0.2">
      <c r="D506" s="1589" t="s">
        <v>178</v>
      </c>
      <c r="E506" s="714"/>
      <c r="H506" s="1230">
        <v>5000000</v>
      </c>
      <c r="I506" s="782"/>
      <c r="J506" s="1230">
        <v>3000000</v>
      </c>
      <c r="L506" s="255"/>
      <c r="M506" s="255"/>
      <c r="N506" s="255"/>
      <c r="O506" s="255"/>
      <c r="P506" s="255"/>
      <c r="V506" s="255"/>
    </row>
    <row r="507" spans="2:22" x14ac:dyDescent="0.2">
      <c r="D507" s="1589" t="s">
        <v>181</v>
      </c>
      <c r="E507" s="714"/>
      <c r="H507" s="1230">
        <v>-5000000</v>
      </c>
      <c r="I507" s="782"/>
      <c r="J507" s="1230">
        <v>-3000000</v>
      </c>
      <c r="L507" s="255"/>
      <c r="M507" s="255"/>
      <c r="N507" s="255"/>
      <c r="O507" s="255"/>
      <c r="P507" s="255"/>
      <c r="V507" s="255"/>
    </row>
    <row r="508" spans="2:22" ht="13.5" thickBot="1" x14ac:dyDescent="0.25">
      <c r="D508" s="532" t="s">
        <v>189</v>
      </c>
      <c r="E508" s="714"/>
      <c r="H508" s="1488">
        <f>SUM(H505:H507)</f>
        <v>0</v>
      </c>
      <c r="I508" s="782"/>
      <c r="J508" s="1488">
        <f>SUM(J505:J507)</f>
        <v>0</v>
      </c>
      <c r="L508" s="255"/>
      <c r="M508" s="255"/>
      <c r="N508" s="255"/>
      <c r="O508" s="255"/>
      <c r="P508" s="255"/>
      <c r="V508" s="255"/>
    </row>
    <row r="509" spans="2:22" ht="13.5" thickTop="1" x14ac:dyDescent="0.2">
      <c r="D509" s="1589" t="s">
        <v>351</v>
      </c>
      <c r="E509" s="714"/>
      <c r="H509" s="781"/>
      <c r="I509" s="782"/>
      <c r="J509" s="781"/>
      <c r="L509" s="255"/>
      <c r="M509" s="255"/>
      <c r="N509" s="255"/>
      <c r="O509" s="255"/>
      <c r="P509" s="255"/>
      <c r="V509" s="255"/>
    </row>
    <row r="510" spans="2:22" ht="26.25" customHeight="1" x14ac:dyDescent="0.2">
      <c r="D510" s="730" t="s">
        <v>2985</v>
      </c>
      <c r="E510" s="730"/>
      <c r="G510" s="730"/>
      <c r="H510" s="796"/>
      <c r="I510" s="796"/>
      <c r="J510" s="796"/>
      <c r="L510" s="255"/>
      <c r="M510" s="255"/>
      <c r="N510" s="255"/>
      <c r="O510" s="255"/>
      <c r="P510" s="255"/>
      <c r="V510" s="255"/>
    </row>
    <row r="511" spans="2:22" ht="16.5" customHeight="1" x14ac:dyDescent="0.2">
      <c r="D511" s="532"/>
      <c r="E511" s="714"/>
      <c r="H511" s="787"/>
      <c r="I511" s="782"/>
      <c r="J511" s="787"/>
      <c r="L511" s="255"/>
      <c r="M511" s="255"/>
      <c r="N511" s="255"/>
      <c r="O511" s="255"/>
      <c r="P511" s="255"/>
      <c r="V511" s="255"/>
    </row>
    <row r="512" spans="2:22" ht="25.5" x14ac:dyDescent="0.2">
      <c r="B512" s="527">
        <v>20</v>
      </c>
      <c r="D512" s="532" t="s">
        <v>931</v>
      </c>
      <c r="L512" s="255"/>
      <c r="M512" s="255"/>
      <c r="N512" s="255"/>
      <c r="O512" s="255"/>
      <c r="P512" s="255"/>
      <c r="V512" s="255"/>
    </row>
    <row r="513" spans="2:22" x14ac:dyDescent="0.2">
      <c r="D513" s="1590"/>
      <c r="E513" s="714"/>
      <c r="H513" s="781"/>
      <c r="I513" s="782"/>
      <c r="J513" s="781"/>
      <c r="L513" s="255"/>
      <c r="M513" s="255"/>
      <c r="N513" s="255"/>
      <c r="O513" s="255"/>
      <c r="P513" s="255"/>
      <c r="V513" s="255"/>
    </row>
    <row r="514" spans="2:22" ht="18" customHeight="1" x14ac:dyDescent="0.2">
      <c r="C514" s="720"/>
      <c r="D514" s="1589" t="s">
        <v>3177</v>
      </c>
      <c r="E514" s="1230"/>
      <c r="F514" s="782"/>
      <c r="G514" s="1230"/>
      <c r="H514" s="1230">
        <v>3355674.42</v>
      </c>
      <c r="I514" s="782"/>
      <c r="J514" s="1230">
        <v>6153144.4800000004</v>
      </c>
      <c r="L514" s="1139"/>
      <c r="M514" s="1139"/>
      <c r="N514" s="1139"/>
      <c r="O514" s="255"/>
      <c r="P514" s="255"/>
      <c r="V514" s="255"/>
    </row>
    <row r="515" spans="2:22" x14ac:dyDescent="0.2">
      <c r="C515" s="720"/>
      <c r="D515" s="1589" t="s">
        <v>3615</v>
      </c>
      <c r="E515" s="1230"/>
      <c r="F515" s="782"/>
      <c r="G515" s="1230"/>
      <c r="H515" s="1230" t="s">
        <v>3922</v>
      </c>
      <c r="I515" s="782"/>
      <c r="J515" s="1230">
        <v>2007735.35</v>
      </c>
      <c r="L515" s="1139"/>
      <c r="M515" s="1139"/>
      <c r="N515" s="1139"/>
      <c r="O515" s="255"/>
      <c r="P515" s="255"/>
      <c r="V515" s="255"/>
    </row>
    <row r="516" spans="2:22" x14ac:dyDescent="0.2">
      <c r="C516" s="720"/>
      <c r="D516" s="1589" t="s">
        <v>3178</v>
      </c>
      <c r="E516" s="1230"/>
      <c r="F516" s="782"/>
      <c r="G516" s="1230"/>
      <c r="H516" s="1230" t="s">
        <v>3922</v>
      </c>
      <c r="I516" s="782"/>
      <c r="J516" s="1230">
        <v>4347842.74</v>
      </c>
      <c r="L516" s="1139"/>
      <c r="M516" s="1139"/>
      <c r="N516" s="1139"/>
      <c r="O516" s="255"/>
      <c r="P516" s="255"/>
      <c r="V516" s="255"/>
    </row>
    <row r="517" spans="2:22" hidden="1" x14ac:dyDescent="0.2">
      <c r="B517" s="719"/>
      <c r="D517" s="1589" t="s">
        <v>3309</v>
      </c>
      <c r="E517" s="1230"/>
      <c r="F517" s="782"/>
      <c r="G517" s="1230"/>
      <c r="H517" s="1230">
        <v>0</v>
      </c>
      <c r="I517" s="782"/>
      <c r="J517" s="1230">
        <v>0</v>
      </c>
      <c r="L517" s="1139"/>
      <c r="M517" s="1139"/>
      <c r="N517" s="1139"/>
      <c r="O517" s="255"/>
      <c r="P517" s="255"/>
      <c r="V517" s="255"/>
    </row>
    <row r="518" spans="2:22" x14ac:dyDescent="0.2">
      <c r="B518" s="719"/>
      <c r="D518" s="1589" t="s">
        <v>3179</v>
      </c>
      <c r="E518" s="1230"/>
      <c r="F518" s="782"/>
      <c r="G518" s="1230"/>
      <c r="H518" s="1230">
        <f>-3343445-12229.42</f>
        <v>-3355674.42</v>
      </c>
      <c r="I518" s="782"/>
      <c r="J518" s="1230">
        <v>-2797470.06</v>
      </c>
      <c r="L518" s="1139"/>
      <c r="M518" s="1139"/>
      <c r="N518" s="1139"/>
      <c r="O518" s="255"/>
      <c r="P518" s="255"/>
      <c r="V518" s="255"/>
    </row>
    <row r="519" spans="2:22" ht="12.75" customHeight="1" x14ac:dyDescent="0.2">
      <c r="D519" s="1589" t="s">
        <v>3180</v>
      </c>
      <c r="E519" s="1230"/>
      <c r="F519" s="782"/>
      <c r="G519" s="1230"/>
      <c r="H519" s="1230" t="s">
        <v>3922</v>
      </c>
      <c r="I519" s="782"/>
      <c r="J519" s="1230">
        <v>-6355578.0899999999</v>
      </c>
      <c r="L519" s="1139"/>
      <c r="M519" s="1139"/>
      <c r="N519" s="1139"/>
      <c r="O519" s="255"/>
      <c r="P519" s="255"/>
      <c r="V519" s="255"/>
    </row>
    <row r="520" spans="2:22" hidden="1" x14ac:dyDescent="0.2">
      <c r="D520" s="1589" t="s">
        <v>3310</v>
      </c>
      <c r="E520" s="1230"/>
      <c r="F520" s="782"/>
      <c r="G520" s="1230"/>
      <c r="H520" s="1230">
        <v>0</v>
      </c>
      <c r="I520" s="782"/>
      <c r="J520" s="1230">
        <v>0</v>
      </c>
      <c r="L520" s="1139"/>
      <c r="M520" s="1139"/>
      <c r="N520" s="1139"/>
      <c r="O520" s="255"/>
      <c r="P520" s="255"/>
      <c r="V520" s="255"/>
    </row>
    <row r="521" spans="2:22" ht="13.5" thickBot="1" x14ac:dyDescent="0.25">
      <c r="D521" s="532" t="s">
        <v>189</v>
      </c>
      <c r="E521" s="762"/>
      <c r="F521" s="787"/>
      <c r="G521" s="762"/>
      <c r="H521" s="1488">
        <f>SUM(H514:H520)</f>
        <v>0</v>
      </c>
      <c r="I521" s="787">
        <f>SUM(I514:I520)</f>
        <v>0</v>
      </c>
      <c r="J521" s="1488">
        <f>SUM(J514:J520)</f>
        <v>3355674.42</v>
      </c>
      <c r="L521" s="1139"/>
      <c r="M521" s="1139"/>
      <c r="N521" s="1139"/>
      <c r="O521" s="255"/>
      <c r="P521" s="255"/>
      <c r="V521" s="255"/>
    </row>
    <row r="522" spans="2:22" ht="13.5" thickTop="1" x14ac:dyDescent="0.2">
      <c r="D522" s="1589" t="s">
        <v>351</v>
      </c>
      <c r="E522" s="714"/>
      <c r="H522" s="787"/>
      <c r="I522" s="782"/>
      <c r="J522" s="787"/>
      <c r="L522" s="255"/>
      <c r="M522" s="255"/>
      <c r="N522" s="255"/>
      <c r="O522" s="255"/>
      <c r="P522" s="255"/>
      <c r="V522" s="255"/>
    </row>
    <row r="523" spans="2:22" x14ac:dyDescent="0.2">
      <c r="D523" s="767" t="s">
        <v>3619</v>
      </c>
      <c r="E523" s="714"/>
      <c r="H523" s="787"/>
      <c r="I523" s="782"/>
      <c r="J523" s="787"/>
      <c r="L523" s="255"/>
      <c r="M523" s="255"/>
      <c r="N523" s="255"/>
      <c r="O523" s="255"/>
      <c r="P523" s="255"/>
      <c r="V523" s="255"/>
    </row>
    <row r="524" spans="2:22" ht="26.25" thickBot="1" x14ac:dyDescent="0.25">
      <c r="D524" s="257" t="s">
        <v>3196</v>
      </c>
      <c r="E524" s="714"/>
      <c r="H524" s="1453">
        <f>H363+H370+H378+H385+H394+H403+H414+H423+H431+H441+H449+H457+H465+H474+H483+H491+H500+H508+H521</f>
        <v>11827752.56999997</v>
      </c>
      <c r="I524" s="1453">
        <f>I363+I370+I378+I385+I394+I403+I414+I423+I431+I441+I449+I457+I465+I474+I483+I491+I500+I508+I521</f>
        <v>0</v>
      </c>
      <c r="J524" s="1453">
        <f>J363+J370+J378+J385+J394+J403+J414+J423+J431+J441+J449+J457+J465+J474+J483+J491+J500+J508+J521</f>
        <v>195134950.32999995</v>
      </c>
      <c r="L524" s="255"/>
      <c r="M524" s="255"/>
      <c r="N524" s="255"/>
      <c r="O524" s="255"/>
      <c r="P524" s="255"/>
      <c r="V524" s="255"/>
    </row>
    <row r="525" spans="2:22" ht="13.5" thickTop="1" x14ac:dyDescent="0.2">
      <c r="D525" s="714" t="s">
        <v>1501</v>
      </c>
      <c r="E525" s="714"/>
      <c r="H525" s="786"/>
      <c r="I525" s="786"/>
      <c r="J525" s="786"/>
      <c r="L525" s="255"/>
      <c r="M525" s="255"/>
      <c r="N525" s="255"/>
      <c r="O525" s="255"/>
      <c r="P525" s="255"/>
      <c r="V525" s="255"/>
    </row>
    <row r="527" spans="2:22" x14ac:dyDescent="0.2">
      <c r="B527" s="527">
        <v>21</v>
      </c>
      <c r="D527" s="532" t="s">
        <v>566</v>
      </c>
      <c r="E527" s="714"/>
      <c r="F527" s="726"/>
      <c r="G527" s="405"/>
      <c r="H527" s="760"/>
      <c r="I527" s="760"/>
      <c r="J527" s="797"/>
      <c r="L527" s="255"/>
      <c r="M527" s="255"/>
      <c r="N527" s="255"/>
      <c r="O527" s="255"/>
      <c r="P527" s="255"/>
      <c r="V527" s="255"/>
    </row>
    <row r="528" spans="2:22" x14ac:dyDescent="0.2">
      <c r="D528" s="532" t="s">
        <v>932</v>
      </c>
      <c r="E528" s="714"/>
      <c r="F528" s="726"/>
      <c r="G528" s="405"/>
      <c r="H528" s="783" t="s">
        <v>296</v>
      </c>
      <c r="I528" s="760"/>
      <c r="J528" s="783" t="s">
        <v>296</v>
      </c>
      <c r="L528" s="255"/>
      <c r="M528" s="255"/>
      <c r="N528" s="255"/>
      <c r="O528" s="255"/>
      <c r="P528" s="255"/>
      <c r="V528" s="255"/>
    </row>
    <row r="529" spans="2:22" x14ac:dyDescent="0.2">
      <c r="D529" s="532"/>
      <c r="E529" s="714"/>
      <c r="G529" s="405"/>
      <c r="H529" s="783"/>
      <c r="I529" s="760"/>
      <c r="J529" s="783"/>
      <c r="L529" s="255"/>
      <c r="M529" s="255"/>
      <c r="N529" s="255"/>
      <c r="O529" s="255"/>
      <c r="P529" s="255"/>
      <c r="V529" s="255"/>
    </row>
    <row r="530" spans="2:22" x14ac:dyDescent="0.2">
      <c r="D530" s="1589" t="s">
        <v>3691</v>
      </c>
      <c r="E530" s="722"/>
      <c r="F530" s="766"/>
      <c r="H530" s="1230">
        <v>11034670.35</v>
      </c>
      <c r="I530" s="782"/>
      <c r="J530" s="1230">
        <f>10140229.29+7527.29+1662.18</f>
        <v>10149418.759999998</v>
      </c>
      <c r="L530" s="255"/>
      <c r="M530" s="255"/>
      <c r="N530" s="255"/>
      <c r="O530" s="255"/>
      <c r="P530" s="255"/>
      <c r="V530" s="255"/>
    </row>
    <row r="531" spans="2:22" x14ac:dyDescent="0.2">
      <c r="D531" s="1589" t="s">
        <v>3692</v>
      </c>
      <c r="E531" s="722"/>
      <c r="F531" s="766"/>
      <c r="H531" s="1230">
        <v>6523000.3300000001</v>
      </c>
      <c r="I531" s="782"/>
      <c r="J531" s="1230">
        <v>11857586.25</v>
      </c>
      <c r="L531" s="255"/>
      <c r="M531" s="255"/>
      <c r="N531" s="255"/>
      <c r="O531" s="255"/>
      <c r="P531" s="255"/>
      <c r="V531" s="255"/>
    </row>
    <row r="532" spans="2:22" x14ac:dyDescent="0.2">
      <c r="D532" s="1589" t="s">
        <v>934</v>
      </c>
      <c r="E532" s="714"/>
      <c r="H532" s="1230">
        <v>10035090.880000001</v>
      </c>
      <c r="I532" s="782"/>
      <c r="J532" s="1230">
        <v>13713653.039999999</v>
      </c>
      <c r="L532" s="255"/>
      <c r="M532" s="255"/>
      <c r="N532" s="255"/>
      <c r="O532" s="255"/>
      <c r="P532" s="255"/>
      <c r="V532" s="255"/>
    </row>
    <row r="533" spans="2:22" hidden="1" x14ac:dyDescent="0.2">
      <c r="D533" s="255" t="s">
        <v>403</v>
      </c>
      <c r="H533" s="1230">
        <v>0</v>
      </c>
      <c r="J533" s="1230">
        <v>0</v>
      </c>
    </row>
    <row r="534" spans="2:22" ht="13.5" thickBot="1" x14ac:dyDescent="0.25">
      <c r="H534" s="1488">
        <f>-'TB3'!AD89</f>
        <v>27592761.699999999</v>
      </c>
      <c r="I534" s="788"/>
      <c r="J534" s="1488">
        <f>-'TB3'!X89</f>
        <v>35720658.049999997</v>
      </c>
    </row>
    <row r="535" spans="2:22" ht="13.5" thickTop="1" x14ac:dyDescent="0.2">
      <c r="H535" s="787"/>
      <c r="I535" s="788"/>
      <c r="J535" s="787"/>
    </row>
    <row r="536" spans="2:22" ht="25.5" x14ac:dyDescent="0.2">
      <c r="B536" s="527">
        <v>22</v>
      </c>
      <c r="D536" s="532" t="s">
        <v>3705</v>
      </c>
      <c r="E536" s="714"/>
      <c r="H536" s="782"/>
      <c r="I536" s="782"/>
      <c r="J536" s="781"/>
    </row>
    <row r="537" spans="2:22" x14ac:dyDescent="0.2">
      <c r="D537" s="532"/>
      <c r="E537" s="714"/>
      <c r="H537" s="782"/>
      <c r="I537" s="782"/>
      <c r="J537" s="781"/>
    </row>
    <row r="538" spans="2:22" x14ac:dyDescent="0.2">
      <c r="D538" s="1589" t="s">
        <v>935</v>
      </c>
      <c r="E538" s="714"/>
      <c r="H538" s="1230">
        <f>-'TB3'!AD192</f>
        <v>4552516.24</v>
      </c>
      <c r="I538" s="782"/>
      <c r="J538" s="1230">
        <f>-'TB3'!X192</f>
        <v>5020826.0199999996</v>
      </c>
    </row>
    <row r="539" spans="2:22" x14ac:dyDescent="0.2">
      <c r="D539" s="1589" t="s">
        <v>3219</v>
      </c>
      <c r="E539" s="714"/>
      <c r="F539" s="726"/>
      <c r="H539" s="1230">
        <f>-'TB3'!AD193</f>
        <v>583185.1</v>
      </c>
      <c r="I539" s="782"/>
      <c r="J539" s="1230">
        <f>-'TB3'!X193</f>
        <v>569756.31999999995</v>
      </c>
    </row>
    <row r="540" spans="2:22" x14ac:dyDescent="0.2">
      <c r="D540" s="1589" t="s">
        <v>60</v>
      </c>
      <c r="E540" s="714"/>
      <c r="F540" s="726"/>
      <c r="H540" s="1230">
        <f>-'TB3'!AD230</f>
        <v>2409824.67</v>
      </c>
      <c r="I540" s="782"/>
      <c r="J540" s="1230">
        <f>-'TB3'!X230</f>
        <v>230000.01</v>
      </c>
    </row>
    <row r="541" spans="2:22" s="728" customFormat="1" x14ac:dyDescent="0.2">
      <c r="B541" s="527"/>
      <c r="C541" s="723"/>
      <c r="D541" s="1589" t="s">
        <v>2983</v>
      </c>
      <c r="E541" s="714"/>
      <c r="F541" s="736"/>
      <c r="G541" s="714"/>
      <c r="H541" s="1230">
        <f>-'TB3'!AD179</f>
        <v>78136081.379999995</v>
      </c>
      <c r="I541" s="782"/>
      <c r="J541" s="1230">
        <f>-'TB3'!X179</f>
        <v>52399324.520000003</v>
      </c>
      <c r="L541" s="722"/>
      <c r="M541" s="1138"/>
      <c r="N541" s="1138"/>
      <c r="O541" s="1138"/>
      <c r="P541" s="1138"/>
      <c r="V541" s="788"/>
    </row>
    <row r="542" spans="2:22" x14ac:dyDescent="0.2">
      <c r="D542" s="1589" t="s">
        <v>380</v>
      </c>
      <c r="E542" s="714"/>
      <c r="H542" s="1230">
        <f>-'TB3'!AD215</f>
        <v>1138117.3799999999</v>
      </c>
      <c r="I542" s="782"/>
      <c r="J542" s="1230">
        <f>-'TB3'!X215</f>
        <v>1167823.93</v>
      </c>
    </row>
    <row r="543" spans="2:22" hidden="1" x14ac:dyDescent="0.2">
      <c r="D543" s="1589" t="s">
        <v>410</v>
      </c>
      <c r="E543" s="714"/>
      <c r="H543" s="1230">
        <v>0</v>
      </c>
      <c r="I543" s="782"/>
      <c r="J543" s="1230">
        <v>0</v>
      </c>
    </row>
    <row r="544" spans="2:22" hidden="1" x14ac:dyDescent="0.2">
      <c r="D544" s="1589" t="s">
        <v>381</v>
      </c>
      <c r="E544" s="714"/>
      <c r="H544" s="1230">
        <v>0</v>
      </c>
      <c r="I544" s="782"/>
      <c r="J544" s="1230">
        <v>0</v>
      </c>
    </row>
    <row r="545" spans="2:22" x14ac:dyDescent="0.2">
      <c r="D545" s="1589" t="s">
        <v>947</v>
      </c>
      <c r="E545" s="714"/>
      <c r="H545" s="1230">
        <f>-'TB3'!AD226</f>
        <v>1834588.55</v>
      </c>
      <c r="I545" s="782"/>
      <c r="J545" s="1230">
        <f>-'TB3'!X226</f>
        <v>317733.94</v>
      </c>
    </row>
    <row r="546" spans="2:22" hidden="1" x14ac:dyDescent="0.2">
      <c r="D546" s="1589" t="s">
        <v>2880</v>
      </c>
      <c r="E546" s="714"/>
      <c r="H546" s="1230">
        <v>0</v>
      </c>
      <c r="I546" s="782"/>
      <c r="J546" s="1230">
        <v>0</v>
      </c>
    </row>
    <row r="547" spans="2:22" s="728" customFormat="1" x14ac:dyDescent="0.2">
      <c r="B547" s="527"/>
      <c r="C547" s="723"/>
      <c r="D547" s="1589" t="s">
        <v>2889</v>
      </c>
      <c r="E547" s="714"/>
      <c r="F547" s="736"/>
      <c r="G547" s="714"/>
      <c r="H547" s="1230">
        <f>-'TB3'!AD204</f>
        <v>9853903.5099999998</v>
      </c>
      <c r="I547" s="782"/>
      <c r="J547" s="1230">
        <f>-'TB3'!X204</f>
        <v>0</v>
      </c>
      <c r="L547" s="722"/>
      <c r="M547" s="1138"/>
      <c r="N547" s="1138"/>
      <c r="O547" s="1138"/>
      <c r="P547" s="1138"/>
      <c r="V547" s="788"/>
    </row>
    <row r="548" spans="2:22" x14ac:dyDescent="0.2">
      <c r="D548" s="1589" t="s">
        <v>1508</v>
      </c>
      <c r="E548" s="714"/>
      <c r="H548" s="1230">
        <f>-'TB3'!AD223</f>
        <v>1365338.7</v>
      </c>
      <c r="I548" s="782"/>
      <c r="J548" s="1230">
        <f>-'TB3'!X223</f>
        <v>1594109.19</v>
      </c>
    </row>
    <row r="549" spans="2:22" x14ac:dyDescent="0.2">
      <c r="D549" s="1589" t="s">
        <v>1492</v>
      </c>
      <c r="E549" s="714"/>
      <c r="H549" s="1230">
        <f>-'TB3'!AD186-'TB3'!AD187-'TB3'!AD188-'TB3'!AD189</f>
        <v>741197.54</v>
      </c>
      <c r="I549" s="782"/>
      <c r="J549" s="1230">
        <f>-'TB3'!X186-'TB3'!X187-'TB3'!X188-'TB3'!X189</f>
        <v>670622.14999999991</v>
      </c>
    </row>
    <row r="550" spans="2:22" x14ac:dyDescent="0.2">
      <c r="D550" s="1589" t="s">
        <v>3218</v>
      </c>
      <c r="E550" s="714"/>
      <c r="H550" s="1230">
        <f>-'TB3'!AD219</f>
        <v>1334185.75</v>
      </c>
      <c r="I550" s="782"/>
      <c r="J550" s="1230">
        <f>-'TB3'!X219</f>
        <v>2014923</v>
      </c>
    </row>
    <row r="551" spans="2:22" x14ac:dyDescent="0.2">
      <c r="D551" s="1770" t="s">
        <v>4282</v>
      </c>
      <c r="E551" s="714"/>
      <c r="H551" s="1230">
        <f>-'TB3'!AB239</f>
        <v>67421000</v>
      </c>
      <c r="I551" s="782"/>
      <c r="J551" s="1230">
        <f>-'TB3'!X205-'TB3'!X206-'TB3'!X207</f>
        <v>0</v>
      </c>
    </row>
    <row r="552" spans="2:22" x14ac:dyDescent="0.2">
      <c r="D552" s="1589" t="s">
        <v>3708</v>
      </c>
      <c r="E552" s="714"/>
      <c r="H552" s="1230"/>
      <c r="I552" s="782"/>
      <c r="J552" s="1230">
        <v>3000000</v>
      </c>
    </row>
    <row r="553" spans="2:22" x14ac:dyDescent="0.2">
      <c r="D553" s="1589" t="s">
        <v>3965</v>
      </c>
      <c r="E553" s="714"/>
      <c r="H553" s="1230">
        <v>5314166.5199999996</v>
      </c>
      <c r="I553" s="782"/>
      <c r="J553" s="1230">
        <f>-'TB3'!X208</f>
        <v>0</v>
      </c>
    </row>
    <row r="554" spans="2:22" x14ac:dyDescent="0.2">
      <c r="D554" s="1589" t="s">
        <v>49</v>
      </c>
      <c r="E554" s="714"/>
      <c r="H554" s="1230">
        <f>-'TB3'!AD227</f>
        <v>987181.02</v>
      </c>
      <c r="I554" s="782"/>
      <c r="J554" s="1230">
        <f>-'TB3'!X227</f>
        <v>5492334.79</v>
      </c>
    </row>
    <row r="555" spans="2:22" x14ac:dyDescent="0.2">
      <c r="C555" s="720"/>
      <c r="D555" s="1589" t="s">
        <v>936</v>
      </c>
      <c r="E555" s="714"/>
      <c r="H555" s="1230">
        <f>H556-H538-H539-H540-H541-H542-H543-H544-H545-H546-H547-H548-H549-H550-H551-H552-H553-H554</f>
        <v>11809927.750000022</v>
      </c>
      <c r="I555" s="782"/>
      <c r="J555" s="1230">
        <f>J556-J538-J539-J540-J541-J542-J543-J544-J545-J546-J547-J548-J549-J550-J551-J553-J554-J552</f>
        <v>6175180.6000000276</v>
      </c>
    </row>
    <row r="556" spans="2:22" ht="13.5" thickBot="1" x14ac:dyDescent="0.25">
      <c r="D556" s="532" t="s">
        <v>296</v>
      </c>
      <c r="E556" s="714"/>
      <c r="H556" s="1488">
        <f>-'TB3'!AD242</f>
        <v>187481214.11000001</v>
      </c>
      <c r="I556" s="782"/>
      <c r="J556" s="1488">
        <f>-'TB3'!X242</f>
        <v>78652634.470000029</v>
      </c>
    </row>
    <row r="557" spans="2:22" s="728" customFormat="1" ht="13.5" thickTop="1" x14ac:dyDescent="0.2">
      <c r="B557" s="719"/>
      <c r="C557" s="723"/>
      <c r="D557" s="255"/>
      <c r="E557" s="255"/>
      <c r="F557" s="736"/>
      <c r="G557" s="714"/>
      <c r="H557" s="789"/>
      <c r="I557" s="790"/>
      <c r="J557" s="789"/>
      <c r="L557" s="722"/>
      <c r="M557" s="1138"/>
      <c r="N557" s="1138"/>
      <c r="O557" s="1138"/>
      <c r="P557" s="1138"/>
      <c r="V557" s="788"/>
    </row>
    <row r="558" spans="2:22" x14ac:dyDescent="0.2">
      <c r="B558" s="527">
        <v>23</v>
      </c>
      <c r="D558" s="532" t="s">
        <v>938</v>
      </c>
      <c r="E558" s="714"/>
      <c r="H558" s="782"/>
      <c r="I558" s="782"/>
      <c r="J558" s="781"/>
    </row>
    <row r="559" spans="2:22" x14ac:dyDescent="0.2">
      <c r="D559" s="532"/>
      <c r="E559" s="714"/>
      <c r="H559" s="782"/>
      <c r="I559" s="782"/>
      <c r="J559" s="781"/>
    </row>
    <row r="560" spans="2:22" x14ac:dyDescent="0.2">
      <c r="D560" s="1589" t="s">
        <v>921</v>
      </c>
      <c r="E560" s="714"/>
      <c r="H560" s="1230">
        <f>'TB3'!AD259</f>
        <v>374813027.28000003</v>
      </c>
      <c r="I560" s="782"/>
      <c r="J560" s="1230">
        <f>'TB3'!X259</f>
        <v>328528924.97000003</v>
      </c>
    </row>
    <row r="561" spans="2:22" x14ac:dyDescent="0.2">
      <c r="D561" s="1589" t="s">
        <v>922</v>
      </c>
      <c r="E561" s="714"/>
      <c r="F561" s="726"/>
      <c r="H561" s="1230">
        <f>'TB3'!AD288</f>
        <v>90372257.340000004</v>
      </c>
      <c r="I561" s="782"/>
      <c r="J561" s="1230">
        <f>'TB3'!X288</f>
        <v>76671761.599999994</v>
      </c>
    </row>
    <row r="562" spans="2:22" x14ac:dyDescent="0.2">
      <c r="D562" s="1589" t="s">
        <v>1511</v>
      </c>
      <c r="E562" s="714"/>
      <c r="F562" s="726"/>
      <c r="H562" s="1230">
        <f>'TB3'!AD267</f>
        <v>38377346.009999998</v>
      </c>
      <c r="I562" s="782"/>
      <c r="J562" s="1230">
        <f>'TB3'!X267</f>
        <v>34573172.560000002</v>
      </c>
    </row>
    <row r="563" spans="2:22" s="728" customFormat="1" x14ac:dyDescent="0.2">
      <c r="B563" s="527"/>
      <c r="C563" s="723"/>
      <c r="D563" s="1589" t="s">
        <v>1512</v>
      </c>
      <c r="E563" s="714"/>
      <c r="F563" s="736"/>
      <c r="G563" s="714"/>
      <c r="H563" s="1230">
        <f>'TB3'!AD276</f>
        <v>11395268.939999999</v>
      </c>
      <c r="I563" s="782"/>
      <c r="J563" s="1230">
        <f>'TB3'!X276</f>
        <v>9994158.5</v>
      </c>
      <c r="L563" s="722"/>
      <c r="M563" s="1138"/>
      <c r="N563" s="1138"/>
      <c r="O563" s="1138"/>
      <c r="P563" s="1138"/>
      <c r="V563" s="788"/>
    </row>
    <row r="564" spans="2:22" x14ac:dyDescent="0.2">
      <c r="D564" s="1589" t="s">
        <v>925</v>
      </c>
      <c r="E564" s="714"/>
      <c r="H564" s="1230">
        <f>'TB3'!AD262</f>
        <v>46154748.380000003</v>
      </c>
      <c r="I564" s="782"/>
      <c r="J564" s="1230">
        <f>'TB3'!X262</f>
        <v>42677095.119999997</v>
      </c>
    </row>
    <row r="565" spans="2:22" x14ac:dyDescent="0.2">
      <c r="D565" s="1589" t="s">
        <v>2941</v>
      </c>
      <c r="E565" s="714"/>
      <c r="H565" s="1230">
        <f>'TB3'!AD293</f>
        <v>2399791</v>
      </c>
      <c r="I565" s="782"/>
      <c r="J565" s="1230">
        <f>'TB3'!X293</f>
        <v>1078746.3999999999</v>
      </c>
    </row>
    <row r="566" spans="2:22" x14ac:dyDescent="0.2">
      <c r="B566" s="255"/>
      <c r="C566" s="255"/>
      <c r="D566" s="1589" t="s">
        <v>542</v>
      </c>
      <c r="E566" s="714"/>
      <c r="H566" s="1230">
        <f>'TB3'!AD292</f>
        <v>28821626.420000002</v>
      </c>
      <c r="I566" s="782"/>
      <c r="J566" s="1230">
        <f>'TB3'!X292</f>
        <v>24568531.91</v>
      </c>
      <c r="L566" s="255"/>
      <c r="M566" s="255"/>
      <c r="N566" s="255"/>
      <c r="O566" s="255"/>
      <c r="P566" s="255"/>
      <c r="V566" s="255"/>
    </row>
    <row r="567" spans="2:22" x14ac:dyDescent="0.2">
      <c r="B567" s="255"/>
      <c r="C567" s="255"/>
      <c r="D567" s="1589" t="s">
        <v>926</v>
      </c>
      <c r="E567" s="714"/>
      <c r="H567" s="1230">
        <f>'TB3'!AD291</f>
        <v>6064693.3399999999</v>
      </c>
      <c r="I567" s="782"/>
      <c r="J567" s="1230">
        <f>'TB3'!X291</f>
        <v>2223431.35</v>
      </c>
      <c r="L567" s="255"/>
      <c r="M567" s="255"/>
      <c r="N567" s="255"/>
      <c r="O567" s="255"/>
      <c r="P567" s="255"/>
      <c r="V567" s="255"/>
    </row>
    <row r="568" spans="2:22" ht="13.5" thickBot="1" x14ac:dyDescent="0.25">
      <c r="B568" s="255"/>
      <c r="C568" s="255"/>
      <c r="D568" s="532" t="s">
        <v>296</v>
      </c>
      <c r="E568" s="714"/>
      <c r="H568" s="1488">
        <f>SUM(H560:H567)</f>
        <v>598398758.71000004</v>
      </c>
      <c r="I568" s="782"/>
      <c r="J568" s="1488">
        <f>SUM(J560:J567)</f>
        <v>520315822.41000009</v>
      </c>
      <c r="L568" s="255"/>
      <c r="M568" s="255"/>
      <c r="N568" s="255"/>
      <c r="O568" s="255"/>
      <c r="P568" s="255"/>
      <c r="V568" s="255"/>
    </row>
    <row r="569" spans="2:22" ht="13.5" thickTop="1" x14ac:dyDescent="0.2">
      <c r="B569" s="255"/>
      <c r="C569" s="255"/>
      <c r="D569" s="767" t="s">
        <v>2468</v>
      </c>
      <c r="E569" s="714"/>
      <c r="H569" s="787"/>
      <c r="I569" s="782"/>
      <c r="J569" s="787"/>
      <c r="L569" s="255"/>
      <c r="M569" s="255"/>
      <c r="N569" s="255"/>
      <c r="O569" s="255"/>
      <c r="P569" s="255"/>
      <c r="V569" s="255"/>
    </row>
    <row r="570" spans="2:22" x14ac:dyDescent="0.2">
      <c r="B570" s="255"/>
      <c r="C570" s="255"/>
      <c r="D570" s="714"/>
      <c r="E570" s="714"/>
      <c r="H570" s="781"/>
      <c r="I570" s="782"/>
      <c r="J570" s="781"/>
      <c r="L570" s="255"/>
      <c r="M570" s="255"/>
      <c r="N570" s="255"/>
      <c r="O570" s="255"/>
      <c r="P570" s="255"/>
      <c r="V570" s="255"/>
    </row>
    <row r="571" spans="2:22" x14ac:dyDescent="0.2">
      <c r="B571" s="255"/>
      <c r="C571" s="255"/>
      <c r="D571" s="532" t="s">
        <v>953</v>
      </c>
      <c r="E571" s="735"/>
      <c r="H571" s="787" t="s">
        <v>296</v>
      </c>
      <c r="I571" s="786"/>
      <c r="J571" s="787" t="s">
        <v>296</v>
      </c>
      <c r="L571" s="255"/>
      <c r="M571" s="255"/>
      <c r="N571" s="255"/>
      <c r="O571" s="255"/>
      <c r="P571" s="255"/>
      <c r="V571" s="255"/>
    </row>
    <row r="572" spans="2:22" x14ac:dyDescent="0.2">
      <c r="B572" s="255"/>
      <c r="C572" s="255"/>
      <c r="D572" s="1589" t="s">
        <v>954</v>
      </c>
      <c r="E572" s="735"/>
      <c r="H572" s="781">
        <v>0</v>
      </c>
      <c r="I572" s="782"/>
      <c r="J572" s="781">
        <v>1038716.05</v>
      </c>
      <c r="L572" s="255"/>
      <c r="M572" s="255"/>
      <c r="N572" s="255"/>
      <c r="O572" s="255"/>
      <c r="P572" s="255"/>
      <c r="V572" s="255"/>
    </row>
    <row r="573" spans="2:22" x14ac:dyDescent="0.2">
      <c r="B573" s="255"/>
      <c r="C573" s="255"/>
      <c r="D573" s="1589" t="s">
        <v>3142</v>
      </c>
      <c r="E573" s="735"/>
      <c r="H573" s="781">
        <v>0</v>
      </c>
      <c r="I573" s="782"/>
      <c r="J573" s="781">
        <v>154000</v>
      </c>
      <c r="L573" s="255"/>
      <c r="M573" s="255"/>
      <c r="N573" s="255"/>
      <c r="O573" s="255"/>
      <c r="P573" s="255"/>
      <c r="V573" s="255"/>
    </row>
    <row r="574" spans="2:22" x14ac:dyDescent="0.2">
      <c r="B574" s="255"/>
      <c r="C574" s="255"/>
      <c r="D574" s="1589" t="s">
        <v>269</v>
      </c>
      <c r="E574" s="735"/>
      <c r="H574" s="781">
        <v>0</v>
      </c>
      <c r="I574" s="782"/>
      <c r="J574" s="781">
        <v>255944.81000000003</v>
      </c>
      <c r="L574" s="255"/>
      <c r="M574" s="255"/>
      <c r="N574" s="255"/>
      <c r="O574" s="255"/>
      <c r="P574" s="255"/>
      <c r="V574" s="255"/>
    </row>
    <row r="575" spans="2:22" x14ac:dyDescent="0.2">
      <c r="B575" s="255"/>
      <c r="C575" s="255"/>
      <c r="D575" s="1589" t="s">
        <v>3718</v>
      </c>
      <c r="E575" s="735"/>
      <c r="H575" s="781">
        <v>0</v>
      </c>
      <c r="I575" s="782"/>
      <c r="J575" s="781">
        <v>180952.36</v>
      </c>
      <c r="L575" s="255"/>
      <c r="M575" s="255"/>
      <c r="N575" s="255"/>
      <c r="O575" s="255"/>
      <c r="P575" s="255"/>
      <c r="V575" s="255"/>
    </row>
    <row r="576" spans="2:22" x14ac:dyDescent="0.2">
      <c r="B576" s="255"/>
      <c r="C576" s="255"/>
      <c r="D576" s="1637" t="s">
        <v>4207</v>
      </c>
      <c r="E576" s="735"/>
      <c r="H576" s="781">
        <v>393992.61</v>
      </c>
      <c r="I576" s="782"/>
      <c r="J576" s="781">
        <v>0</v>
      </c>
      <c r="L576" s="255"/>
      <c r="M576" s="255"/>
      <c r="N576" s="255"/>
      <c r="O576" s="255"/>
      <c r="P576" s="255"/>
      <c r="V576" s="255"/>
    </row>
    <row r="577" spans="2:22" x14ac:dyDescent="0.2">
      <c r="B577" s="255"/>
      <c r="C577" s="255"/>
      <c r="D577" s="1589" t="s">
        <v>3715</v>
      </c>
      <c r="E577" s="735"/>
      <c r="H577" s="781">
        <v>0</v>
      </c>
      <c r="I577" s="782"/>
      <c r="J577" s="781">
        <v>1464780.42</v>
      </c>
      <c r="L577" s="255"/>
      <c r="M577" s="255"/>
      <c r="N577" s="255"/>
      <c r="O577" s="255"/>
      <c r="P577" s="255"/>
      <c r="V577" s="255"/>
    </row>
    <row r="578" spans="2:22" ht="13.5" thickBot="1" x14ac:dyDescent="0.25">
      <c r="B578" s="255"/>
      <c r="C578" s="255"/>
      <c r="D578" s="1589"/>
      <c r="E578" s="735"/>
      <c r="H578" s="1456">
        <f>SUM(H572:H577)</f>
        <v>393992.61</v>
      </c>
      <c r="I578" s="786"/>
      <c r="J578" s="1456">
        <f>SUM(J572:J577)</f>
        <v>3094393.64</v>
      </c>
      <c r="L578" s="255"/>
      <c r="M578" s="255"/>
      <c r="N578" s="255"/>
      <c r="O578" s="255"/>
      <c r="P578" s="255"/>
      <c r="V578" s="255"/>
    </row>
    <row r="579" spans="2:22" ht="13.5" thickTop="1" x14ac:dyDescent="0.2">
      <c r="B579" s="255"/>
      <c r="C579" s="255"/>
      <c r="D579" s="1589"/>
      <c r="E579" s="735"/>
      <c r="H579" s="781"/>
      <c r="I579" s="782"/>
      <c r="J579" s="781"/>
      <c r="L579" s="255"/>
      <c r="M579" s="255"/>
      <c r="N579" s="255"/>
      <c r="O579" s="255"/>
      <c r="P579" s="255"/>
      <c r="V579" s="255"/>
    </row>
    <row r="580" spans="2:22" ht="38.25" x14ac:dyDescent="0.2">
      <c r="B580" s="255"/>
      <c r="C580" s="255"/>
      <c r="D580" s="1589" t="s">
        <v>3720</v>
      </c>
      <c r="E580" s="735"/>
      <c r="H580" s="781"/>
      <c r="I580" s="782"/>
      <c r="J580" s="781"/>
      <c r="L580" s="255"/>
      <c r="M580" s="255"/>
      <c r="N580" s="255"/>
      <c r="O580" s="255"/>
      <c r="P580" s="255"/>
      <c r="V580" s="255"/>
    </row>
    <row r="581" spans="2:22" x14ac:dyDescent="0.2">
      <c r="B581" s="255"/>
      <c r="C581" s="255"/>
      <c r="D581" s="1589"/>
      <c r="E581" s="735"/>
      <c r="H581" s="781"/>
      <c r="I581" s="782"/>
      <c r="J581" s="781"/>
      <c r="L581" s="255"/>
      <c r="M581" s="255"/>
      <c r="N581" s="255"/>
      <c r="O581" s="255"/>
      <c r="P581" s="255"/>
      <c r="V581" s="255"/>
    </row>
    <row r="582" spans="2:22" ht="25.5" x14ac:dyDescent="0.2">
      <c r="B582" s="255"/>
      <c r="C582" s="255"/>
      <c r="D582" s="1637" t="s">
        <v>4208</v>
      </c>
      <c r="E582" s="735"/>
      <c r="H582" s="781"/>
      <c r="I582" s="782"/>
      <c r="J582" s="781"/>
      <c r="L582" s="255"/>
      <c r="M582" s="255"/>
      <c r="N582" s="255"/>
      <c r="O582" s="255"/>
      <c r="P582" s="255"/>
      <c r="V582" s="255"/>
    </row>
    <row r="583" spans="2:22" x14ac:dyDescent="0.2">
      <c r="B583" s="255"/>
      <c r="C583" s="255"/>
      <c r="D583" s="1637"/>
      <c r="E583" s="735"/>
      <c r="H583" s="781"/>
      <c r="I583" s="782"/>
      <c r="J583" s="781"/>
      <c r="L583" s="255"/>
      <c r="M583" s="255"/>
      <c r="N583" s="255"/>
      <c r="O583" s="255"/>
      <c r="P583" s="255"/>
      <c r="V583" s="255"/>
    </row>
    <row r="584" spans="2:22" x14ac:dyDescent="0.2">
      <c r="B584" s="255"/>
      <c r="C584" s="255"/>
      <c r="D584" s="532" t="s">
        <v>638</v>
      </c>
      <c r="E584" s="257"/>
      <c r="G584" s="722"/>
      <c r="H584" s="787"/>
      <c r="I584" s="786"/>
      <c r="J584" s="787"/>
      <c r="L584" s="255"/>
      <c r="M584" s="255"/>
      <c r="N584" s="255"/>
      <c r="O584" s="255"/>
      <c r="P584" s="255"/>
      <c r="V584" s="255"/>
    </row>
    <row r="585" spans="2:22" x14ac:dyDescent="0.2">
      <c r="B585" s="255"/>
      <c r="C585" s="255"/>
      <c r="D585" s="1589" t="s">
        <v>954</v>
      </c>
      <c r="E585" s="735"/>
      <c r="H585" s="781">
        <v>1154387.52</v>
      </c>
      <c r="I585" s="782"/>
      <c r="J585" s="781">
        <v>1460096.16</v>
      </c>
      <c r="L585" s="255"/>
      <c r="M585" s="255"/>
      <c r="N585" s="255"/>
      <c r="O585" s="255"/>
      <c r="P585" s="255"/>
      <c r="V585" s="255"/>
    </row>
    <row r="586" spans="2:22" x14ac:dyDescent="0.2">
      <c r="B586" s="255"/>
      <c r="C586" s="255"/>
      <c r="D586" s="1589" t="s">
        <v>3142</v>
      </c>
      <c r="E586" s="735"/>
      <c r="H586" s="781">
        <v>90000</v>
      </c>
      <c r="I586" s="782"/>
      <c r="J586" s="781">
        <v>120000</v>
      </c>
      <c r="L586" s="255"/>
      <c r="M586" s="255"/>
      <c r="N586" s="255"/>
      <c r="O586" s="255"/>
      <c r="P586" s="255"/>
      <c r="V586" s="255"/>
    </row>
    <row r="587" spans="2:22" x14ac:dyDescent="0.2">
      <c r="B587" s="255"/>
      <c r="C587" s="255"/>
      <c r="D587" s="1589" t="s">
        <v>269</v>
      </c>
      <c r="E587" s="735"/>
      <c r="F587" s="748"/>
      <c r="H587" s="781">
        <v>1559.7</v>
      </c>
      <c r="I587" s="782"/>
      <c r="J587" s="781">
        <v>1860.8400000000001</v>
      </c>
      <c r="L587" s="255"/>
      <c r="M587" s="255"/>
      <c r="N587" s="255"/>
      <c r="O587" s="255"/>
      <c r="P587" s="255"/>
      <c r="V587" s="255"/>
    </row>
    <row r="588" spans="2:22" x14ac:dyDescent="0.2">
      <c r="B588" s="255"/>
      <c r="C588" s="255"/>
      <c r="D588" s="1637" t="s">
        <v>4207</v>
      </c>
      <c r="E588" s="735"/>
      <c r="F588" s="748"/>
      <c r="H588" s="781">
        <v>602311.66</v>
      </c>
      <c r="I588" s="782"/>
      <c r="J588" s="781">
        <v>0</v>
      </c>
      <c r="L588" s="255"/>
      <c r="M588" s="255"/>
      <c r="N588" s="255"/>
      <c r="O588" s="255"/>
      <c r="P588" s="255"/>
      <c r="V588" s="255"/>
    </row>
    <row r="589" spans="2:22" x14ac:dyDescent="0.2">
      <c r="B589" s="255"/>
      <c r="C589" s="255"/>
      <c r="D589" s="1589" t="s">
        <v>3715</v>
      </c>
      <c r="E589" s="735"/>
      <c r="F589" s="748"/>
      <c r="H589" s="781">
        <v>1439207</v>
      </c>
      <c r="I589" s="782"/>
      <c r="J589" s="781">
        <v>0</v>
      </c>
      <c r="L589" s="255"/>
      <c r="M589" s="255"/>
      <c r="N589" s="255"/>
      <c r="O589" s="255"/>
      <c r="P589" s="255"/>
      <c r="V589" s="255"/>
    </row>
    <row r="590" spans="2:22" ht="13.5" thickBot="1" x14ac:dyDescent="0.25">
      <c r="B590" s="255"/>
      <c r="C590" s="255"/>
      <c r="D590" s="1589" t="s">
        <v>296</v>
      </c>
      <c r="E590" s="735"/>
      <c r="H590" s="1456">
        <f>SUM(H585:H589)</f>
        <v>3287465.88</v>
      </c>
      <c r="I590" s="786"/>
      <c r="J590" s="1456">
        <f>SUM(J585:J589)</f>
        <v>1581957</v>
      </c>
      <c r="L590" s="255"/>
      <c r="M590" s="255"/>
      <c r="N590" s="255"/>
      <c r="O590" s="255"/>
      <c r="P590" s="255"/>
      <c r="V590" s="255"/>
    </row>
    <row r="591" spans="2:22" ht="39" thickTop="1" x14ac:dyDescent="0.2">
      <c r="B591" s="255"/>
      <c r="C591" s="255"/>
      <c r="D591" s="1589" t="s">
        <v>3933</v>
      </c>
      <c r="E591" s="735"/>
      <c r="H591" s="787"/>
      <c r="I591" s="786"/>
      <c r="J591" s="787"/>
      <c r="L591" s="255"/>
      <c r="M591" s="255"/>
      <c r="N591" s="255"/>
      <c r="O591" s="255"/>
      <c r="P591" s="255"/>
      <c r="V591" s="255"/>
    </row>
    <row r="592" spans="2:22" ht="25.5" x14ac:dyDescent="0.2">
      <c r="B592" s="255"/>
      <c r="C592" s="255"/>
      <c r="D592" s="1637" t="s">
        <v>4211</v>
      </c>
      <c r="E592" s="735"/>
      <c r="H592" s="787"/>
      <c r="I592" s="786"/>
      <c r="J592" s="787"/>
      <c r="L592" s="255"/>
      <c r="M592" s="255"/>
      <c r="N592" s="255"/>
      <c r="O592" s="255"/>
      <c r="P592" s="255"/>
      <c r="V592" s="255"/>
    </row>
    <row r="593" spans="2:22" x14ac:dyDescent="0.2">
      <c r="B593" s="255"/>
      <c r="C593" s="255"/>
      <c r="D593" s="1637"/>
      <c r="E593" s="735"/>
      <c r="H593" s="787"/>
      <c r="I593" s="786"/>
      <c r="J593" s="787"/>
      <c r="L593" s="255"/>
      <c r="M593" s="255"/>
      <c r="N593" s="255"/>
      <c r="O593" s="255"/>
      <c r="P593" s="255"/>
      <c r="V593" s="255"/>
    </row>
    <row r="594" spans="2:22" x14ac:dyDescent="0.2">
      <c r="D594" s="1589"/>
      <c r="E594" s="735"/>
      <c r="H594" s="781"/>
      <c r="I594" s="782"/>
      <c r="J594" s="781"/>
      <c r="L594" s="255"/>
      <c r="M594" s="255"/>
      <c r="N594" s="255"/>
      <c r="O594" s="255"/>
      <c r="P594" s="255"/>
      <c r="V594" s="255"/>
    </row>
    <row r="595" spans="2:22" x14ac:dyDescent="0.2">
      <c r="D595" s="532" t="s">
        <v>1514</v>
      </c>
      <c r="E595" s="257"/>
      <c r="G595" s="722"/>
      <c r="H595" s="787" t="s">
        <v>296</v>
      </c>
      <c r="I595" s="786"/>
      <c r="J595" s="787" t="s">
        <v>296</v>
      </c>
      <c r="L595" s="255"/>
      <c r="M595" s="255"/>
      <c r="N595" s="255"/>
      <c r="O595" s="255"/>
      <c r="P595" s="255"/>
      <c r="V595" s="255"/>
    </row>
    <row r="596" spans="2:22" x14ac:dyDescent="0.2">
      <c r="D596" s="1589" t="s">
        <v>954</v>
      </c>
      <c r="E596" s="735"/>
      <c r="H596" s="781">
        <v>808895.04</v>
      </c>
      <c r="I596" s="782"/>
      <c r="J596" s="781">
        <v>755825.48</v>
      </c>
      <c r="L596" s="255"/>
      <c r="M596" s="255"/>
      <c r="N596" s="255"/>
      <c r="O596" s="255"/>
      <c r="P596" s="255"/>
      <c r="V596" s="255"/>
    </row>
    <row r="597" spans="2:22" x14ac:dyDescent="0.2">
      <c r="D597" s="1589" t="s">
        <v>3142</v>
      </c>
      <c r="E597" s="735"/>
      <c r="H597" s="781">
        <v>156000</v>
      </c>
      <c r="I597" s="782"/>
      <c r="J597" s="781">
        <v>156000</v>
      </c>
      <c r="L597" s="255"/>
      <c r="M597" s="255"/>
      <c r="N597" s="255"/>
      <c r="O597" s="255"/>
      <c r="P597" s="255"/>
      <c r="V597" s="255"/>
    </row>
    <row r="598" spans="2:22" x14ac:dyDescent="0.2">
      <c r="D598" s="1589" t="s">
        <v>269</v>
      </c>
      <c r="E598" s="735"/>
      <c r="F598" s="748"/>
      <c r="H598" s="781">
        <v>196010.96</v>
      </c>
      <c r="I598" s="782"/>
      <c r="J598" s="781">
        <v>193799.52000000002</v>
      </c>
      <c r="L598" s="255"/>
      <c r="M598" s="255"/>
      <c r="N598" s="255"/>
      <c r="O598" s="255"/>
      <c r="P598" s="255"/>
      <c r="V598" s="255"/>
    </row>
    <row r="599" spans="2:22" ht="13.5" thickBot="1" x14ac:dyDescent="0.25">
      <c r="D599" s="1589" t="s">
        <v>296</v>
      </c>
      <c r="E599" s="735"/>
      <c r="H599" s="1456">
        <f>SUM(H596:H598)</f>
        <v>1160906</v>
      </c>
      <c r="I599" s="786"/>
      <c r="J599" s="1456">
        <f>SUM(J596:J598)</f>
        <v>1105625</v>
      </c>
      <c r="L599" s="255"/>
      <c r="M599" s="255"/>
      <c r="N599" s="255"/>
      <c r="O599" s="255"/>
      <c r="P599" s="255"/>
      <c r="V599" s="255"/>
    </row>
    <row r="600" spans="2:22" ht="13.5" thickTop="1" x14ac:dyDescent="0.2">
      <c r="C600" s="758"/>
      <c r="D600" s="1589"/>
      <c r="E600" s="735"/>
      <c r="H600" s="781"/>
      <c r="I600" s="782"/>
      <c r="J600" s="781"/>
      <c r="L600" s="255"/>
      <c r="M600" s="255"/>
      <c r="N600" s="255"/>
      <c r="O600" s="255"/>
      <c r="P600" s="255"/>
      <c r="V600" s="255"/>
    </row>
    <row r="601" spans="2:22" x14ac:dyDescent="0.2">
      <c r="C601" s="758"/>
      <c r="D601" s="532" t="s">
        <v>1515</v>
      </c>
      <c r="E601" s="257"/>
      <c r="G601" s="722"/>
      <c r="H601" s="787" t="s">
        <v>296</v>
      </c>
      <c r="I601" s="786" t="s">
        <v>296</v>
      </c>
      <c r="J601" s="787" t="s">
        <v>296</v>
      </c>
      <c r="L601" s="255"/>
      <c r="M601" s="255"/>
      <c r="N601" s="255"/>
      <c r="O601" s="255"/>
      <c r="P601" s="255"/>
      <c r="V601" s="255"/>
    </row>
    <row r="602" spans="2:22" x14ac:dyDescent="0.2">
      <c r="B602" s="759"/>
      <c r="C602" s="758"/>
      <c r="D602" s="1589" t="s">
        <v>954</v>
      </c>
      <c r="E602" s="735"/>
      <c r="H602" s="781">
        <v>849457.2</v>
      </c>
      <c r="I602" s="782"/>
      <c r="J602" s="781">
        <v>759329.5199999999</v>
      </c>
      <c r="L602" s="255"/>
      <c r="M602" s="255"/>
      <c r="N602" s="255"/>
      <c r="O602" s="255"/>
      <c r="P602" s="255"/>
      <c r="V602" s="255"/>
    </row>
    <row r="603" spans="2:22" x14ac:dyDescent="0.2">
      <c r="B603" s="759"/>
      <c r="D603" s="1589" t="s">
        <v>3142</v>
      </c>
      <c r="E603" s="735"/>
      <c r="H603" s="781">
        <v>240000</v>
      </c>
      <c r="I603" s="782"/>
      <c r="J603" s="781">
        <v>240000</v>
      </c>
      <c r="L603" s="255"/>
      <c r="M603" s="255"/>
      <c r="N603" s="255"/>
      <c r="O603" s="255"/>
      <c r="P603" s="255"/>
      <c r="V603" s="255"/>
    </row>
    <row r="604" spans="2:22" x14ac:dyDescent="0.2">
      <c r="B604" s="759"/>
      <c r="C604" s="720"/>
      <c r="D604" s="1589" t="s">
        <v>269</v>
      </c>
      <c r="E604" s="735"/>
      <c r="F604" s="748"/>
      <c r="H604" s="781">
        <v>215656.8</v>
      </c>
      <c r="I604" s="782"/>
      <c r="J604" s="781">
        <v>195981.14</v>
      </c>
      <c r="L604" s="255"/>
      <c r="M604" s="255"/>
      <c r="N604" s="255"/>
      <c r="O604" s="255"/>
      <c r="P604" s="255"/>
      <c r="V604" s="255"/>
    </row>
    <row r="605" spans="2:22" ht="13.5" thickBot="1" x14ac:dyDescent="0.25">
      <c r="C605" s="720"/>
      <c r="D605" s="1589" t="s">
        <v>296</v>
      </c>
      <c r="E605" s="735"/>
      <c r="H605" s="1456">
        <f>SUM(H602:H604)</f>
        <v>1305114</v>
      </c>
      <c r="I605" s="786"/>
      <c r="J605" s="1456">
        <f>SUM(J602:J604)</f>
        <v>1195310.6599999999</v>
      </c>
      <c r="L605" s="255"/>
      <c r="M605" s="255"/>
      <c r="N605" s="255"/>
      <c r="O605" s="255"/>
      <c r="P605" s="255"/>
      <c r="V605" s="255"/>
    </row>
    <row r="606" spans="2:22" ht="13.5" thickTop="1" x14ac:dyDescent="0.2">
      <c r="B606" s="719"/>
      <c r="D606" s="1589"/>
      <c r="E606" s="735"/>
      <c r="H606" s="787"/>
      <c r="I606" s="786"/>
      <c r="J606" s="787"/>
      <c r="L606" s="255"/>
      <c r="M606" s="255"/>
      <c r="N606" s="255"/>
      <c r="O606" s="255"/>
      <c r="P606" s="255"/>
      <c r="V606" s="255"/>
    </row>
    <row r="607" spans="2:22" x14ac:dyDescent="0.2">
      <c r="D607" s="532" t="s">
        <v>2990</v>
      </c>
      <c r="E607" s="257"/>
      <c r="G607" s="722"/>
      <c r="H607" s="787"/>
      <c r="I607" s="786"/>
      <c r="J607" s="787"/>
      <c r="L607" s="255"/>
      <c r="M607" s="255"/>
      <c r="N607" s="255"/>
      <c r="O607" s="255"/>
      <c r="P607" s="255"/>
      <c r="V607" s="255"/>
    </row>
    <row r="608" spans="2:22" x14ac:dyDescent="0.2">
      <c r="D608" s="1589" t="s">
        <v>954</v>
      </c>
      <c r="E608" s="735"/>
      <c r="H608" s="781">
        <v>744316.66</v>
      </c>
      <c r="I608" s="782"/>
      <c r="J608" s="781">
        <v>692091.1399999999</v>
      </c>
      <c r="L608" s="255"/>
      <c r="M608" s="255"/>
      <c r="N608" s="255"/>
      <c r="O608" s="255"/>
      <c r="P608" s="255"/>
      <c r="V608" s="255"/>
    </row>
    <row r="609" spans="2:22" x14ac:dyDescent="0.2">
      <c r="D609" s="1589" t="s">
        <v>3142</v>
      </c>
      <c r="E609" s="735"/>
      <c r="H609" s="781">
        <v>216000</v>
      </c>
      <c r="I609" s="782"/>
      <c r="J609" s="781">
        <v>216000</v>
      </c>
      <c r="L609" s="255"/>
      <c r="M609" s="255"/>
      <c r="N609" s="255"/>
      <c r="O609" s="255"/>
      <c r="P609" s="255"/>
      <c r="V609" s="255"/>
    </row>
    <row r="610" spans="2:22" x14ac:dyDescent="0.2">
      <c r="D610" s="1589" t="s">
        <v>269</v>
      </c>
      <c r="E610" s="735"/>
      <c r="F610" s="748"/>
      <c r="H610" s="781">
        <v>200589.34</v>
      </c>
      <c r="I610" s="782"/>
      <c r="J610" s="781">
        <v>197533.86000000002</v>
      </c>
      <c r="L610" s="255"/>
      <c r="M610" s="255"/>
      <c r="N610" s="255"/>
      <c r="O610" s="255"/>
      <c r="P610" s="255"/>
      <c r="V610" s="255"/>
    </row>
    <row r="611" spans="2:22" ht="16.5" customHeight="1" thickBot="1" x14ac:dyDescent="0.25">
      <c r="C611" s="758"/>
      <c r="D611" s="1589" t="s">
        <v>296</v>
      </c>
      <c r="E611" s="735"/>
      <c r="H611" s="1456">
        <f>SUM(H608:H610)</f>
        <v>1160906</v>
      </c>
      <c r="I611" s="786"/>
      <c r="J611" s="1456">
        <f>SUM(J608:J610)</f>
        <v>1105625</v>
      </c>
      <c r="L611" s="255"/>
      <c r="M611" s="255"/>
      <c r="N611" s="255"/>
      <c r="O611" s="255"/>
      <c r="P611" s="255"/>
      <c r="V611" s="255"/>
    </row>
    <row r="612" spans="2:22" ht="16.5" customHeight="1" thickTop="1" x14ac:dyDescent="0.2">
      <c r="C612" s="758"/>
      <c r="D612" s="1589"/>
      <c r="E612" s="735"/>
      <c r="H612" s="781"/>
      <c r="I612" s="782"/>
      <c r="J612" s="781"/>
      <c r="L612" s="255"/>
      <c r="M612" s="255"/>
      <c r="N612" s="255"/>
      <c r="O612" s="255"/>
      <c r="P612" s="255"/>
      <c r="V612" s="255"/>
    </row>
    <row r="613" spans="2:22" x14ac:dyDescent="0.2">
      <c r="B613" s="759"/>
      <c r="D613" s="532" t="s">
        <v>1516</v>
      </c>
      <c r="E613" s="257"/>
      <c r="G613" s="722"/>
      <c r="H613" s="787" t="s">
        <v>296</v>
      </c>
      <c r="I613" s="786"/>
      <c r="J613" s="787" t="s">
        <v>296</v>
      </c>
      <c r="L613" s="255"/>
      <c r="M613" s="255"/>
      <c r="N613" s="255"/>
      <c r="O613" s="255"/>
      <c r="P613" s="255"/>
      <c r="V613" s="255"/>
    </row>
    <row r="614" spans="2:22" x14ac:dyDescent="0.2">
      <c r="B614" s="759"/>
      <c r="C614" s="720"/>
      <c r="D614" s="1589" t="s">
        <v>954</v>
      </c>
      <c r="E614" s="735"/>
      <c r="H614" s="781">
        <v>425706.32</v>
      </c>
      <c r="I614" s="782"/>
      <c r="J614" s="781">
        <v>959764.15999999992</v>
      </c>
      <c r="L614" s="255"/>
      <c r="M614" s="255"/>
      <c r="N614" s="255"/>
      <c r="O614" s="255"/>
      <c r="P614" s="255"/>
      <c r="V614" s="255"/>
    </row>
    <row r="615" spans="2:22" x14ac:dyDescent="0.2">
      <c r="C615" s="720"/>
      <c r="D615" s="1589" t="s">
        <v>3142</v>
      </c>
      <c r="E615" s="735"/>
      <c r="H615" s="781">
        <v>60000</v>
      </c>
      <c r="I615" s="782"/>
      <c r="J615" s="781">
        <v>144000</v>
      </c>
      <c r="L615" s="255"/>
      <c r="M615" s="255"/>
      <c r="N615" s="255"/>
      <c r="O615" s="255"/>
      <c r="P615" s="255"/>
      <c r="V615" s="255"/>
    </row>
    <row r="616" spans="2:22" x14ac:dyDescent="0.2">
      <c r="B616" s="719"/>
      <c r="D616" s="1589" t="s">
        <v>269</v>
      </c>
      <c r="E616" s="735"/>
      <c r="F616" s="748"/>
      <c r="H616" s="781">
        <v>779.85</v>
      </c>
      <c r="I616" s="782"/>
      <c r="J616" s="781">
        <v>1860.8400000000001</v>
      </c>
      <c r="L616" s="255"/>
      <c r="M616" s="255"/>
      <c r="N616" s="255"/>
      <c r="O616" s="255"/>
      <c r="P616" s="255"/>
      <c r="V616" s="255"/>
    </row>
    <row r="617" spans="2:22" x14ac:dyDescent="0.2">
      <c r="B617" s="719"/>
      <c r="D617" s="1637" t="s">
        <v>4207</v>
      </c>
      <c r="E617" s="735"/>
      <c r="F617" s="748"/>
      <c r="H617" s="781">
        <v>225782.7</v>
      </c>
      <c r="I617" s="782"/>
      <c r="J617" s="781">
        <v>0</v>
      </c>
      <c r="L617" s="255"/>
      <c r="M617" s="255"/>
      <c r="N617" s="255"/>
      <c r="O617" s="255"/>
      <c r="P617" s="255"/>
      <c r="V617" s="255"/>
    </row>
    <row r="618" spans="2:22" x14ac:dyDescent="0.2">
      <c r="B618" s="719"/>
      <c r="D618" s="1589" t="s">
        <v>3715</v>
      </c>
      <c r="E618" s="735"/>
      <c r="F618" s="748"/>
      <c r="H618" s="781">
        <v>494291.51</v>
      </c>
      <c r="I618" s="782"/>
      <c r="J618" s="781">
        <v>0</v>
      </c>
      <c r="L618" s="255"/>
      <c r="M618" s="255"/>
      <c r="N618" s="255"/>
      <c r="O618" s="255"/>
      <c r="P618" s="255"/>
      <c r="V618" s="255"/>
    </row>
    <row r="619" spans="2:22" ht="13.5" thickBot="1" x14ac:dyDescent="0.25">
      <c r="B619" s="719"/>
      <c r="D619" s="1589"/>
      <c r="E619" s="735"/>
      <c r="H619" s="1456">
        <f>SUM(H614:H618)</f>
        <v>1206560.3799999999</v>
      </c>
      <c r="I619" s="786"/>
      <c r="J619" s="1456">
        <f>SUM(J614:J618)</f>
        <v>1105625</v>
      </c>
      <c r="L619" s="255"/>
      <c r="M619" s="255"/>
      <c r="N619" s="255"/>
      <c r="O619" s="255"/>
      <c r="P619" s="255"/>
      <c r="V619" s="255"/>
    </row>
    <row r="620" spans="2:22" ht="39" thickTop="1" x14ac:dyDescent="0.2">
      <c r="B620" s="719"/>
      <c r="D620" s="1589" t="s">
        <v>3932</v>
      </c>
      <c r="E620" s="735"/>
      <c r="H620" s="787"/>
      <c r="I620" s="786"/>
      <c r="J620" s="787"/>
      <c r="L620" s="255"/>
      <c r="M620" s="255"/>
      <c r="N620" s="255"/>
      <c r="O620" s="255"/>
      <c r="P620" s="255"/>
      <c r="V620" s="255"/>
    </row>
    <row r="621" spans="2:22" x14ac:dyDescent="0.2">
      <c r="D621" s="1589"/>
      <c r="E621" s="735"/>
      <c r="H621" s="781"/>
      <c r="I621" s="782"/>
      <c r="J621" s="781"/>
      <c r="L621" s="255"/>
      <c r="M621" s="255"/>
      <c r="N621" s="255"/>
      <c r="O621" s="255"/>
      <c r="P621" s="255"/>
      <c r="V621" s="255"/>
    </row>
    <row r="622" spans="2:22" ht="25.5" x14ac:dyDescent="0.2">
      <c r="D622" s="1637" t="s">
        <v>4210</v>
      </c>
      <c r="E622" s="735"/>
      <c r="H622" s="781"/>
      <c r="I622" s="782"/>
      <c r="J622" s="781"/>
      <c r="L622" s="255"/>
      <c r="M622" s="255"/>
      <c r="N622" s="255"/>
      <c r="O622" s="255"/>
      <c r="P622" s="255"/>
      <c r="V622" s="255"/>
    </row>
    <row r="623" spans="2:22" x14ac:dyDescent="0.2">
      <c r="D623" s="1637"/>
      <c r="E623" s="735"/>
      <c r="H623" s="781"/>
      <c r="I623" s="782"/>
      <c r="J623" s="781"/>
      <c r="L623" s="255"/>
      <c r="M623" s="255"/>
      <c r="N623" s="255"/>
      <c r="O623" s="255"/>
      <c r="P623" s="255"/>
      <c r="V623" s="255"/>
    </row>
    <row r="624" spans="2:22" x14ac:dyDescent="0.2">
      <c r="D624" s="532" t="s">
        <v>2991</v>
      </c>
      <c r="E624" s="257"/>
      <c r="G624" s="722"/>
      <c r="H624" s="787"/>
      <c r="I624" s="786"/>
      <c r="J624" s="787"/>
      <c r="K624" s="714"/>
      <c r="L624" s="255"/>
      <c r="M624" s="255"/>
      <c r="N624" s="255"/>
      <c r="O624" s="255"/>
      <c r="P624" s="255"/>
      <c r="V624" s="255"/>
    </row>
    <row r="625" spans="2:22" x14ac:dyDescent="0.2">
      <c r="C625" s="720"/>
      <c r="D625" s="1589" t="s">
        <v>954</v>
      </c>
      <c r="E625" s="735"/>
      <c r="H625" s="781">
        <v>1159034</v>
      </c>
      <c r="I625" s="782"/>
      <c r="J625" s="781">
        <v>1103764.1599999999</v>
      </c>
      <c r="L625" s="255"/>
      <c r="M625" s="255"/>
      <c r="N625" s="255"/>
      <c r="O625" s="255"/>
      <c r="P625" s="255"/>
      <c r="V625" s="255"/>
    </row>
    <row r="626" spans="2:22" x14ac:dyDescent="0.2">
      <c r="C626" s="720"/>
      <c r="D626" s="1589" t="s">
        <v>3142</v>
      </c>
      <c r="E626" s="735"/>
      <c r="H626" s="1454"/>
      <c r="I626" s="782"/>
      <c r="J626" s="1454">
        <v>0</v>
      </c>
      <c r="L626" s="255"/>
      <c r="M626" s="255"/>
      <c r="N626" s="255"/>
      <c r="O626" s="255"/>
      <c r="P626" s="255"/>
      <c r="V626" s="255"/>
    </row>
    <row r="627" spans="2:22" x14ac:dyDescent="0.2">
      <c r="B627" s="719"/>
      <c r="D627" s="1589" t="s">
        <v>269</v>
      </c>
      <c r="E627" s="735"/>
      <c r="F627" s="748"/>
      <c r="H627" s="781">
        <v>1872</v>
      </c>
      <c r="I627" s="782"/>
      <c r="J627" s="781">
        <v>1860.8400000000001</v>
      </c>
      <c r="L627" s="255"/>
      <c r="M627" s="255"/>
      <c r="N627" s="255"/>
      <c r="O627" s="255"/>
      <c r="P627" s="255"/>
      <c r="V627" s="255"/>
    </row>
    <row r="628" spans="2:22" ht="13.5" thickBot="1" x14ac:dyDescent="0.25">
      <c r="B628" s="719"/>
      <c r="D628" s="1589" t="s">
        <v>296</v>
      </c>
      <c r="E628" s="735"/>
      <c r="H628" s="1456">
        <f>SUM(H625:H627)</f>
        <v>1160906</v>
      </c>
      <c r="I628" s="782"/>
      <c r="J628" s="1456">
        <f>SUM(J625:J627)</f>
        <v>1105625</v>
      </c>
      <c r="L628" s="255"/>
      <c r="M628" s="255"/>
      <c r="N628" s="255"/>
      <c r="O628" s="255"/>
      <c r="P628" s="255"/>
      <c r="V628" s="255"/>
    </row>
    <row r="629" spans="2:22" ht="13.5" thickTop="1" x14ac:dyDescent="0.2">
      <c r="D629" s="1589"/>
      <c r="E629" s="735"/>
      <c r="H629" s="787"/>
      <c r="I629" s="782"/>
      <c r="J629" s="787"/>
      <c r="L629" s="255"/>
      <c r="M629" s="255"/>
      <c r="N629" s="255"/>
      <c r="O629" s="255"/>
      <c r="P629" s="255"/>
      <c r="V629" s="255"/>
    </row>
    <row r="630" spans="2:22" ht="25.5" x14ac:dyDescent="0.2">
      <c r="D630" s="532" t="s">
        <v>1517</v>
      </c>
      <c r="E630" s="257"/>
      <c r="G630" s="722"/>
      <c r="H630" s="787"/>
      <c r="I630" s="786"/>
      <c r="J630" s="787"/>
      <c r="L630" s="255"/>
      <c r="M630" s="255"/>
      <c r="N630" s="255"/>
      <c r="O630" s="255"/>
      <c r="P630" s="255"/>
      <c r="V630" s="255"/>
    </row>
    <row r="631" spans="2:22" x14ac:dyDescent="0.2">
      <c r="C631" s="720"/>
      <c r="D631" s="1589" t="s">
        <v>954</v>
      </c>
      <c r="E631" s="735"/>
      <c r="H631" s="781">
        <v>897933.56</v>
      </c>
      <c r="I631" s="782"/>
      <c r="J631" s="781">
        <v>852714.02</v>
      </c>
      <c r="L631" s="255"/>
      <c r="M631" s="255"/>
      <c r="N631" s="255"/>
      <c r="O631" s="255"/>
      <c r="P631" s="255"/>
      <c r="V631" s="255"/>
    </row>
    <row r="632" spans="2:22" x14ac:dyDescent="0.2">
      <c r="C632" s="720"/>
      <c r="D632" s="1589" t="s">
        <v>3142</v>
      </c>
      <c r="E632" s="735"/>
      <c r="H632" s="781">
        <v>48000</v>
      </c>
      <c r="I632" s="782"/>
      <c r="J632" s="781">
        <v>48000</v>
      </c>
      <c r="L632" s="255"/>
      <c r="M632" s="255"/>
      <c r="N632" s="255"/>
      <c r="O632" s="255"/>
      <c r="P632" s="255"/>
      <c r="V632" s="255"/>
    </row>
    <row r="633" spans="2:22" x14ac:dyDescent="0.2">
      <c r="B633" s="719"/>
      <c r="D633" s="1589" t="s">
        <v>269</v>
      </c>
      <c r="E633" s="735"/>
      <c r="F633" s="748"/>
      <c r="H633" s="781">
        <v>214972.44</v>
      </c>
      <c r="I633" s="782"/>
      <c r="J633" s="781">
        <v>204910.98000000004</v>
      </c>
      <c r="L633" s="255"/>
      <c r="M633" s="255"/>
      <c r="N633" s="255"/>
      <c r="O633" s="255"/>
      <c r="P633" s="255"/>
      <c r="V633" s="255"/>
    </row>
    <row r="634" spans="2:22" ht="13.5" thickBot="1" x14ac:dyDescent="0.25">
      <c r="B634" s="719"/>
      <c r="D634" s="1589" t="s">
        <v>296</v>
      </c>
      <c r="E634" s="735"/>
      <c r="H634" s="1456">
        <f>SUM(H631:H633)</f>
        <v>1160906</v>
      </c>
      <c r="I634" s="782"/>
      <c r="J634" s="1456">
        <f>SUM(J631:J633)</f>
        <v>1105625</v>
      </c>
      <c r="L634" s="255"/>
      <c r="M634" s="255"/>
      <c r="N634" s="255"/>
      <c r="O634" s="255"/>
      <c r="P634" s="255"/>
      <c r="V634" s="255"/>
    </row>
    <row r="635" spans="2:22" ht="13.5" thickTop="1" x14ac:dyDescent="0.2">
      <c r="D635" s="1589"/>
      <c r="E635" s="735"/>
      <c r="H635" s="787"/>
      <c r="I635" s="782"/>
      <c r="J635" s="787"/>
      <c r="L635" s="255"/>
      <c r="M635" s="255"/>
      <c r="N635" s="255"/>
      <c r="O635" s="255"/>
      <c r="P635" s="255"/>
      <c r="V635" s="255"/>
    </row>
    <row r="636" spans="2:22" x14ac:dyDescent="0.2">
      <c r="C636" s="720"/>
      <c r="D636" s="532" t="s">
        <v>2992</v>
      </c>
      <c r="E636" s="257"/>
      <c r="G636" s="722"/>
      <c r="H636" s="787"/>
      <c r="I636" s="786"/>
      <c r="J636" s="787"/>
      <c r="L636" s="255"/>
      <c r="M636" s="255"/>
      <c r="N636" s="255"/>
      <c r="O636" s="255"/>
      <c r="P636" s="255"/>
      <c r="V636" s="255"/>
    </row>
    <row r="637" spans="2:22" x14ac:dyDescent="0.2">
      <c r="C637" s="720"/>
      <c r="D637" s="1589" t="s">
        <v>954</v>
      </c>
      <c r="E637" s="735"/>
      <c r="H637" s="781">
        <v>307737.12</v>
      </c>
      <c r="I637" s="782"/>
      <c r="J637" s="781">
        <v>755841.27999999991</v>
      </c>
      <c r="L637" s="255"/>
      <c r="M637" s="255"/>
      <c r="N637" s="255"/>
      <c r="O637" s="255"/>
      <c r="P637" s="255"/>
      <c r="V637" s="255"/>
    </row>
    <row r="638" spans="2:22" x14ac:dyDescent="0.2">
      <c r="B638" s="719"/>
      <c r="D638" s="1589" t="s">
        <v>3142</v>
      </c>
      <c r="E638" s="735"/>
      <c r="H638" s="781">
        <v>70000</v>
      </c>
      <c r="I638" s="782"/>
      <c r="J638" s="781">
        <v>168000</v>
      </c>
      <c r="L638" s="255"/>
      <c r="M638" s="255"/>
      <c r="N638" s="255"/>
      <c r="O638" s="255"/>
      <c r="P638" s="255"/>
      <c r="V638" s="255"/>
    </row>
    <row r="639" spans="2:22" x14ac:dyDescent="0.2">
      <c r="B639" s="719"/>
      <c r="D639" s="1589" t="s">
        <v>269</v>
      </c>
      <c r="E639" s="735"/>
      <c r="F639" s="748"/>
      <c r="H639" s="781">
        <v>80329</v>
      </c>
      <c r="I639" s="782"/>
      <c r="J639" s="781">
        <v>181783.72000000003</v>
      </c>
      <c r="L639" s="255"/>
      <c r="M639" s="255"/>
      <c r="N639" s="255"/>
      <c r="O639" s="255"/>
      <c r="P639" s="255"/>
      <c r="V639" s="255"/>
    </row>
    <row r="640" spans="2:22" x14ac:dyDescent="0.2">
      <c r="B640" s="719"/>
      <c r="D640" s="1637" t="s">
        <v>4207</v>
      </c>
      <c r="E640" s="735"/>
      <c r="F640" s="748"/>
      <c r="H640" s="781">
        <v>38885.35</v>
      </c>
      <c r="I640" s="782"/>
      <c r="J640" s="781">
        <v>0</v>
      </c>
      <c r="L640" s="255"/>
      <c r="M640" s="255"/>
      <c r="N640" s="255"/>
      <c r="O640" s="255"/>
      <c r="P640" s="255"/>
      <c r="V640" s="255"/>
    </row>
    <row r="641" spans="2:22" x14ac:dyDescent="0.2">
      <c r="B641" s="719"/>
      <c r="D641" s="1589" t="s">
        <v>3715</v>
      </c>
      <c r="E641" s="735"/>
      <c r="F641" s="748"/>
      <c r="H641" s="781">
        <v>551898.93000000005</v>
      </c>
      <c r="I641" s="782"/>
      <c r="J641" s="781">
        <v>0</v>
      </c>
      <c r="L641" s="255"/>
      <c r="M641" s="255"/>
      <c r="N641" s="255"/>
      <c r="O641" s="255"/>
      <c r="P641" s="255"/>
      <c r="V641" s="255"/>
    </row>
    <row r="642" spans="2:22" ht="13.5" thickBot="1" x14ac:dyDescent="0.25">
      <c r="D642" s="1589"/>
      <c r="E642" s="735"/>
      <c r="H642" s="1456">
        <f>SUM(H637:H641)</f>
        <v>1048850.3999999999</v>
      </c>
      <c r="I642" s="782"/>
      <c r="J642" s="1456">
        <f>SUM(J637:J641)</f>
        <v>1105625</v>
      </c>
      <c r="L642" s="255"/>
      <c r="M642" s="255"/>
      <c r="N642" s="255"/>
      <c r="O642" s="255"/>
      <c r="P642" s="255"/>
      <c r="V642" s="255"/>
    </row>
    <row r="643" spans="2:22" ht="39" thickTop="1" x14ac:dyDescent="0.2">
      <c r="D643" s="1589" t="s">
        <v>3932</v>
      </c>
      <c r="E643" s="735"/>
      <c r="H643" s="787"/>
      <c r="I643" s="782"/>
      <c r="J643" s="787"/>
      <c r="L643" s="255"/>
      <c r="M643" s="255"/>
      <c r="N643" s="255"/>
      <c r="O643" s="255"/>
      <c r="P643" s="255"/>
      <c r="V643" s="255"/>
    </row>
    <row r="644" spans="2:22" x14ac:dyDescent="0.2">
      <c r="D644" s="1589"/>
      <c r="E644" s="735"/>
      <c r="H644" s="787"/>
      <c r="I644" s="782"/>
      <c r="J644" s="787"/>
      <c r="L644" s="255"/>
      <c r="M644" s="255"/>
      <c r="N644" s="255"/>
      <c r="O644" s="255"/>
      <c r="P644" s="255"/>
      <c r="V644" s="255"/>
    </row>
    <row r="645" spans="2:22" ht="25.5" x14ac:dyDescent="0.2">
      <c r="D645" s="1637" t="s">
        <v>4209</v>
      </c>
      <c r="E645" s="735"/>
      <c r="H645" s="787"/>
      <c r="I645" s="782"/>
      <c r="J645" s="787"/>
      <c r="L645" s="255"/>
      <c r="M645" s="255"/>
      <c r="N645" s="255"/>
      <c r="O645" s="255"/>
      <c r="P645" s="255"/>
      <c r="V645" s="255"/>
    </row>
    <row r="646" spans="2:22" x14ac:dyDescent="0.2">
      <c r="D646" s="1637"/>
      <c r="E646" s="735"/>
      <c r="H646" s="787"/>
      <c r="I646" s="782"/>
      <c r="J646" s="787"/>
      <c r="L646" s="255"/>
      <c r="M646" s="255"/>
      <c r="N646" s="255"/>
      <c r="O646" s="255"/>
      <c r="P646" s="255"/>
      <c r="V646" s="255"/>
    </row>
    <row r="647" spans="2:22" ht="27.75" customHeight="1" x14ac:dyDescent="0.2">
      <c r="D647" s="730" t="s">
        <v>639</v>
      </c>
      <c r="E647" s="730"/>
      <c r="G647" s="730"/>
      <c r="H647" s="796"/>
      <c r="I647" s="796"/>
      <c r="J647" s="796"/>
      <c r="L647" s="255"/>
      <c r="M647" s="255"/>
      <c r="N647" s="255"/>
      <c r="O647" s="255"/>
      <c r="P647" s="255"/>
      <c r="V647" s="255"/>
    </row>
    <row r="648" spans="2:22" x14ac:dyDescent="0.2">
      <c r="D648" s="730"/>
      <c r="E648" s="730"/>
      <c r="G648" s="730"/>
      <c r="H648" s="796"/>
      <c r="I648" s="796"/>
      <c r="J648" s="796"/>
      <c r="L648" s="255"/>
      <c r="M648" s="255"/>
      <c r="N648" s="255"/>
      <c r="O648" s="255"/>
      <c r="P648" s="255"/>
      <c r="V648" s="255"/>
    </row>
    <row r="649" spans="2:22" x14ac:dyDescent="0.2">
      <c r="B649" s="527">
        <v>24</v>
      </c>
      <c r="D649" s="532" t="s">
        <v>70</v>
      </c>
      <c r="E649" s="532"/>
      <c r="H649" s="782"/>
      <c r="I649" s="782"/>
      <c r="J649" s="782"/>
      <c r="L649" s="255"/>
      <c r="M649" s="255"/>
      <c r="N649" s="255"/>
      <c r="O649" s="255"/>
      <c r="P649" s="255"/>
      <c r="V649" s="255"/>
    </row>
    <row r="650" spans="2:22" x14ac:dyDescent="0.2">
      <c r="D650" s="532"/>
      <c r="E650" s="532"/>
      <c r="H650" s="782"/>
      <c r="I650" s="782"/>
      <c r="J650" s="782"/>
      <c r="L650" s="255"/>
      <c r="M650" s="255"/>
      <c r="N650" s="255"/>
      <c r="O650" s="255"/>
      <c r="P650" s="255"/>
      <c r="V650" s="255"/>
    </row>
    <row r="651" spans="2:22" x14ac:dyDescent="0.2">
      <c r="D651" s="1589" t="s">
        <v>71</v>
      </c>
      <c r="E651" s="735"/>
      <c r="H651" s="781">
        <v>954030</v>
      </c>
      <c r="I651" s="782"/>
      <c r="J651" s="781">
        <v>912252.23</v>
      </c>
      <c r="L651" s="255"/>
      <c r="M651" s="255"/>
      <c r="N651" s="255"/>
      <c r="O651" s="255"/>
      <c r="P651" s="255"/>
      <c r="V651" s="255"/>
    </row>
    <row r="652" spans="2:22" x14ac:dyDescent="0.2">
      <c r="D652" s="1589" t="s">
        <v>72</v>
      </c>
      <c r="E652" s="735"/>
      <c r="F652" s="726"/>
      <c r="H652" s="781">
        <v>779349</v>
      </c>
      <c r="I652" s="782"/>
      <c r="J652" s="781">
        <v>740899.99999999988</v>
      </c>
      <c r="L652" s="255"/>
      <c r="M652" s="255"/>
      <c r="N652" s="255"/>
      <c r="O652" s="255"/>
      <c r="P652" s="255"/>
      <c r="V652" s="255"/>
    </row>
    <row r="653" spans="2:22" x14ac:dyDescent="0.2">
      <c r="D653" s="1589" t="s">
        <v>74</v>
      </c>
      <c r="E653" s="735"/>
      <c r="F653" s="726"/>
      <c r="H653" s="781">
        <v>712301</v>
      </c>
      <c r="I653" s="782"/>
      <c r="J653" s="781">
        <v>676254.92</v>
      </c>
    </row>
    <row r="654" spans="2:22" x14ac:dyDescent="0.2">
      <c r="D654" s="1589" t="s">
        <v>73</v>
      </c>
      <c r="E654" s="735"/>
      <c r="H654" s="790">
        <v>6310651</v>
      </c>
      <c r="I654" s="782"/>
      <c r="J654" s="790">
        <v>5824847.8499999996</v>
      </c>
      <c r="O654" s="186"/>
    </row>
    <row r="655" spans="2:22" x14ac:dyDescent="0.2">
      <c r="D655" s="1589" t="s">
        <v>75</v>
      </c>
      <c r="E655" s="735"/>
      <c r="H655" s="781">
        <f>18263292+0.37</f>
        <v>18263292.370000001</v>
      </c>
      <c r="I655" s="782"/>
      <c r="J655" s="781">
        <v>17251380.66</v>
      </c>
      <c r="O655" s="186"/>
    </row>
    <row r="656" spans="2:22" ht="13.5" thickBot="1" x14ac:dyDescent="0.25">
      <c r="D656" s="532" t="s">
        <v>296</v>
      </c>
      <c r="E656" s="735"/>
      <c r="H656" s="1456">
        <f>SUM(H651:H655)</f>
        <v>27019623.370000001</v>
      </c>
      <c r="I656" s="782"/>
      <c r="J656" s="1456">
        <f>'TB3'!X321</f>
        <v>25405635.66</v>
      </c>
      <c r="O656" s="232"/>
    </row>
    <row r="657" spans="2:22" ht="27" customHeight="1" thickTop="1" x14ac:dyDescent="0.2">
      <c r="D657" s="730" t="s">
        <v>3831</v>
      </c>
      <c r="E657" s="730"/>
      <c r="G657" s="730"/>
      <c r="H657" s="796"/>
      <c r="I657" s="796"/>
      <c r="J657" s="796"/>
      <c r="O657" s="232"/>
    </row>
    <row r="658" spans="2:22" x14ac:dyDescent="0.2">
      <c r="D658" s="532"/>
      <c r="E658" s="735"/>
      <c r="H658" s="787"/>
      <c r="I658" s="782"/>
      <c r="J658" s="787"/>
      <c r="O658" s="232"/>
    </row>
    <row r="659" spans="2:22" x14ac:dyDescent="0.2">
      <c r="D659" s="532" t="s">
        <v>2659</v>
      </c>
      <c r="E659" s="735"/>
      <c r="H659" s="787"/>
      <c r="I659" s="782"/>
      <c r="J659" s="787"/>
      <c r="O659" s="232"/>
    </row>
    <row r="660" spans="2:22" x14ac:dyDescent="0.2">
      <c r="D660" s="532"/>
      <c r="E660" s="735"/>
      <c r="H660" s="787"/>
      <c r="I660" s="782"/>
      <c r="J660" s="787"/>
      <c r="O660" s="232"/>
    </row>
    <row r="661" spans="2:22" ht="39.75" customHeight="1" x14ac:dyDescent="0.2">
      <c r="D661" s="730" t="s">
        <v>352</v>
      </c>
      <c r="E661" s="730"/>
      <c r="G661" s="730"/>
      <c r="H661" s="796"/>
      <c r="I661" s="796"/>
      <c r="J661" s="796"/>
      <c r="O661" s="232"/>
    </row>
    <row r="662" spans="2:22" ht="27" customHeight="1" x14ac:dyDescent="0.2">
      <c r="D662" s="730" t="s">
        <v>89</v>
      </c>
      <c r="E662" s="730"/>
      <c r="G662" s="730"/>
      <c r="H662" s="796"/>
      <c r="I662" s="796"/>
      <c r="J662" s="796"/>
      <c r="O662" s="232"/>
    </row>
    <row r="663" spans="2:22" x14ac:dyDescent="0.2">
      <c r="O663" s="728"/>
      <c r="P663" s="716"/>
    </row>
    <row r="664" spans="2:22" x14ac:dyDescent="0.2">
      <c r="B664" s="527">
        <v>25</v>
      </c>
      <c r="D664" s="532" t="s">
        <v>270</v>
      </c>
      <c r="E664" s="722"/>
      <c r="F664" s="761"/>
      <c r="G664" s="722"/>
      <c r="H664" s="786"/>
      <c r="I664" s="786"/>
      <c r="J664" s="786"/>
      <c r="O664" s="255"/>
      <c r="P664" s="716"/>
    </row>
    <row r="665" spans="2:22" x14ac:dyDescent="0.2">
      <c r="D665" s="532"/>
      <c r="E665" s="722"/>
      <c r="F665" s="761"/>
      <c r="G665" s="722"/>
      <c r="H665" s="786"/>
      <c r="I665" s="786"/>
      <c r="J665" s="786"/>
      <c r="K665" s="1137"/>
      <c r="L665" s="1137"/>
      <c r="O665" s="255"/>
      <c r="P665" s="1138"/>
    </row>
    <row r="666" spans="2:22" x14ac:dyDescent="0.2">
      <c r="D666" s="1589" t="s">
        <v>898</v>
      </c>
      <c r="E666" s="714"/>
      <c r="H666" s="781">
        <v>23042.42</v>
      </c>
      <c r="I666" s="782"/>
      <c r="J666" s="781">
        <v>32444.45</v>
      </c>
      <c r="K666" s="1137"/>
      <c r="L666" s="1137"/>
      <c r="O666" s="255"/>
    </row>
    <row r="667" spans="2:22" x14ac:dyDescent="0.2">
      <c r="D667" s="1589" t="s">
        <v>1078</v>
      </c>
      <c r="E667" s="714"/>
      <c r="F667" s="725"/>
      <c r="H667" s="781">
        <v>10080860.970000001</v>
      </c>
      <c r="I667" s="782"/>
      <c r="J667" s="781">
        <f>13106579.89-184469.59</f>
        <v>12922110.300000001</v>
      </c>
      <c r="K667" s="1137"/>
      <c r="L667" s="1137"/>
      <c r="O667" s="255"/>
      <c r="V667" s="782"/>
    </row>
    <row r="668" spans="2:22" x14ac:dyDescent="0.2">
      <c r="D668" s="1589" t="s">
        <v>286</v>
      </c>
      <c r="E668" s="714"/>
      <c r="F668" s="725"/>
      <c r="H668" s="781">
        <v>23852027.190000001</v>
      </c>
      <c r="I668" s="782"/>
      <c r="J668" s="781">
        <v>25232091.5</v>
      </c>
      <c r="K668" s="1137"/>
      <c r="L668" s="1137"/>
      <c r="O668" s="255"/>
      <c r="V668" s="782"/>
    </row>
    <row r="669" spans="2:22" ht="13.5" thickBot="1" x14ac:dyDescent="0.25">
      <c r="D669" s="532" t="s">
        <v>296</v>
      </c>
      <c r="E669" s="714"/>
      <c r="H669" s="1456">
        <f>'TB3'!AD341</f>
        <v>33955930.579999998</v>
      </c>
      <c r="I669" s="782"/>
      <c r="J669" s="1456">
        <f>'TB3'!X341</f>
        <v>38186646.25</v>
      </c>
      <c r="K669" s="1137"/>
      <c r="L669" s="1137"/>
      <c r="O669" s="728"/>
      <c r="V669" s="782"/>
    </row>
    <row r="670" spans="2:22" ht="13.5" thickTop="1" x14ac:dyDescent="0.2">
      <c r="D670" s="714"/>
      <c r="E670" s="714"/>
      <c r="H670" s="781"/>
      <c r="I670" s="782"/>
      <c r="J670" s="781"/>
      <c r="K670" s="1137"/>
      <c r="L670" s="1137"/>
      <c r="O670" s="436"/>
      <c r="V670" s="782"/>
    </row>
    <row r="671" spans="2:22" x14ac:dyDescent="0.2">
      <c r="B671" s="527">
        <v>26</v>
      </c>
      <c r="D671" s="532" t="s">
        <v>76</v>
      </c>
      <c r="E671" s="714"/>
      <c r="H671" s="782"/>
      <c r="I671" s="782"/>
      <c r="J671" s="782"/>
      <c r="K671" s="1137"/>
      <c r="L671" s="1137"/>
      <c r="O671" s="436"/>
      <c r="V671" s="782"/>
    </row>
    <row r="672" spans="2:22" x14ac:dyDescent="0.2">
      <c r="D672" s="532"/>
      <c r="E672" s="714"/>
      <c r="H672" s="782"/>
      <c r="I672" s="782"/>
      <c r="J672" s="782"/>
      <c r="K672" s="790"/>
      <c r="O672" s="436"/>
      <c r="V672" s="782"/>
    </row>
    <row r="673" spans="2:22" x14ac:dyDescent="0.2">
      <c r="D673" s="1589" t="s">
        <v>321</v>
      </c>
      <c r="E673" s="714"/>
      <c r="F673" s="715"/>
      <c r="H673" s="781">
        <f>'TB3'!AD345</f>
        <v>591292281.17999995</v>
      </c>
      <c r="I673" s="782"/>
      <c r="J673" s="781">
        <f>'TB3'!X345</f>
        <v>517688732.06</v>
      </c>
      <c r="K673" s="790"/>
      <c r="O673" s="436"/>
      <c r="V673" s="782"/>
    </row>
    <row r="674" spans="2:22" x14ac:dyDescent="0.2">
      <c r="D674" s="1589" t="s">
        <v>438</v>
      </c>
      <c r="E674" s="714"/>
      <c r="F674" s="726"/>
      <c r="H674" s="781">
        <f>'TB3'!AD346+'TB3'!AD347</f>
        <v>156985869.10999998</v>
      </c>
      <c r="I674" s="782"/>
      <c r="J674" s="781">
        <f>'TB3'!X346+'TB3'!X347</f>
        <v>157206173.75999999</v>
      </c>
      <c r="O674" s="436"/>
      <c r="V674" s="782"/>
    </row>
    <row r="675" spans="2:22" ht="13.5" thickBot="1" x14ac:dyDescent="0.25">
      <c r="D675" s="532" t="s">
        <v>296</v>
      </c>
      <c r="E675" s="714"/>
      <c r="F675" s="726"/>
      <c r="H675" s="1456">
        <f>SUM(H673:H674)</f>
        <v>748278150.28999996</v>
      </c>
      <c r="I675" s="782"/>
      <c r="J675" s="1456">
        <f>SUM(J673:J674)</f>
        <v>674894905.81999993</v>
      </c>
      <c r="O675" s="436"/>
      <c r="V675" s="782"/>
    </row>
    <row r="676" spans="2:22" ht="13.5" thickTop="1" x14ac:dyDescent="0.2">
      <c r="D676" s="1589"/>
      <c r="E676" s="714"/>
      <c r="H676" s="781"/>
      <c r="I676" s="782"/>
      <c r="J676" s="781"/>
      <c r="O676" s="436"/>
      <c r="V676" s="782"/>
    </row>
    <row r="677" spans="2:22" x14ac:dyDescent="0.2">
      <c r="B677" s="527">
        <v>27</v>
      </c>
      <c r="D677" s="532" t="s">
        <v>77</v>
      </c>
      <c r="E677" s="735"/>
      <c r="G677" s="722"/>
      <c r="H677" s="786"/>
      <c r="I677" s="786"/>
      <c r="J677" s="786"/>
      <c r="O677" s="436"/>
      <c r="V677" s="782"/>
    </row>
    <row r="678" spans="2:22" x14ac:dyDescent="0.2">
      <c r="D678" s="532"/>
      <c r="E678" s="735"/>
      <c r="G678" s="722"/>
      <c r="H678" s="786"/>
      <c r="I678" s="786"/>
      <c r="J678" s="786"/>
      <c r="O678" s="255"/>
      <c r="V678" s="782"/>
    </row>
    <row r="679" spans="2:22" x14ac:dyDescent="0.2">
      <c r="D679" s="1589" t="s">
        <v>78</v>
      </c>
      <c r="E679" s="735"/>
      <c r="H679" s="781">
        <f>'TB3'!AD408</f>
        <v>480000</v>
      </c>
      <c r="I679" s="782"/>
      <c r="J679" s="781">
        <f>'TB3'!X408</f>
        <v>240000</v>
      </c>
      <c r="O679" s="255"/>
      <c r="V679" s="782"/>
    </row>
    <row r="680" spans="2:22" x14ac:dyDescent="0.2">
      <c r="D680" s="1589" t="s">
        <v>2925</v>
      </c>
      <c r="E680" s="735"/>
      <c r="F680" s="725"/>
      <c r="H680" s="781">
        <f>'TB3'!AD409</f>
        <v>16700000</v>
      </c>
      <c r="I680" s="782"/>
      <c r="J680" s="781">
        <f>'TB3'!X409</f>
        <v>6500000</v>
      </c>
      <c r="O680" s="255"/>
      <c r="V680" s="782"/>
    </row>
    <row r="681" spans="2:22" ht="13.5" thickBot="1" x14ac:dyDescent="0.25">
      <c r="D681" s="532" t="s">
        <v>296</v>
      </c>
      <c r="E681" s="735"/>
      <c r="F681" s="725"/>
      <c r="H681" s="1456">
        <f>SUM(H679:H680)</f>
        <v>17180000</v>
      </c>
      <c r="I681" s="782"/>
      <c r="J681" s="1456">
        <f>SUM(J679:J680)</f>
        <v>6740000</v>
      </c>
      <c r="O681" s="255"/>
      <c r="V681" s="782"/>
    </row>
    <row r="682" spans="2:22" ht="13.5" thickTop="1" x14ac:dyDescent="0.2">
      <c r="C682" s="720"/>
      <c r="D682" s="532"/>
      <c r="E682" s="735"/>
      <c r="H682" s="787"/>
      <c r="I682" s="782"/>
      <c r="J682" s="787"/>
      <c r="O682" s="255"/>
      <c r="V682" s="782"/>
    </row>
    <row r="683" spans="2:22" x14ac:dyDescent="0.2">
      <c r="B683" s="527">
        <v>28</v>
      </c>
      <c r="C683" s="720"/>
      <c r="D683" s="532" t="s">
        <v>640</v>
      </c>
      <c r="E683" s="735"/>
      <c r="G683" s="722"/>
      <c r="H683" s="786"/>
      <c r="I683" s="786"/>
      <c r="J683" s="787"/>
      <c r="O683" s="255"/>
    </row>
    <row r="684" spans="2:22" ht="16.5" customHeight="1" x14ac:dyDescent="0.2">
      <c r="B684" s="719"/>
      <c r="C684" s="720"/>
      <c r="D684" s="532"/>
      <c r="E684" s="735"/>
      <c r="G684" s="722"/>
      <c r="H684" s="786"/>
      <c r="I684" s="786"/>
      <c r="J684" s="787"/>
      <c r="O684" s="255"/>
    </row>
    <row r="685" spans="2:22" hidden="1" x14ac:dyDescent="0.2">
      <c r="B685" s="719"/>
      <c r="C685" s="720"/>
      <c r="D685" s="1589" t="s">
        <v>440</v>
      </c>
      <c r="E685" s="735"/>
      <c r="H685" s="782"/>
      <c r="I685" s="782"/>
      <c r="J685" s="782"/>
      <c r="O685" s="255"/>
    </row>
    <row r="686" spans="2:22" hidden="1" x14ac:dyDescent="0.2">
      <c r="B686" s="719"/>
      <c r="C686" s="720"/>
      <c r="D686" s="1589" t="s">
        <v>441</v>
      </c>
      <c r="E686" s="735"/>
      <c r="F686" s="725"/>
      <c r="H686" s="782"/>
      <c r="I686" s="782"/>
      <c r="J686" s="782"/>
      <c r="O686" s="255"/>
      <c r="P686" s="255"/>
      <c r="V686" s="255"/>
    </row>
    <row r="687" spans="2:22" hidden="1" x14ac:dyDescent="0.2">
      <c r="B687" s="719"/>
      <c r="C687" s="720"/>
      <c r="D687" s="1589" t="s">
        <v>442</v>
      </c>
      <c r="E687" s="735"/>
      <c r="F687" s="725"/>
      <c r="H687" s="782"/>
      <c r="I687" s="782"/>
      <c r="J687" s="782"/>
      <c r="O687" s="255"/>
      <c r="P687" s="255"/>
      <c r="V687" s="255"/>
    </row>
    <row r="688" spans="2:22" hidden="1" x14ac:dyDescent="0.2">
      <c r="B688" s="719"/>
      <c r="C688" s="720"/>
      <c r="D688" s="1589" t="s">
        <v>443</v>
      </c>
      <c r="E688" s="735"/>
      <c r="F688" s="726"/>
      <c r="H688" s="782"/>
      <c r="I688" s="782"/>
      <c r="J688" s="782"/>
      <c r="O688" s="255"/>
      <c r="P688" s="255"/>
      <c r="V688" s="255"/>
    </row>
    <row r="689" spans="2:22" hidden="1" x14ac:dyDescent="0.2">
      <c r="B689" s="719"/>
      <c r="C689" s="720"/>
      <c r="D689" s="1589" t="s">
        <v>444</v>
      </c>
      <c r="E689" s="735"/>
      <c r="F689" s="726"/>
      <c r="H689" s="782"/>
      <c r="I689" s="782"/>
      <c r="J689" s="782"/>
      <c r="O689" s="255"/>
      <c r="P689" s="255"/>
      <c r="V689" s="255"/>
    </row>
    <row r="690" spans="2:22" hidden="1" x14ac:dyDescent="0.2">
      <c r="B690" s="719"/>
      <c r="C690" s="720"/>
      <c r="D690" s="1589" t="s">
        <v>411</v>
      </c>
      <c r="E690" s="735"/>
      <c r="F690" s="726"/>
      <c r="H690" s="782"/>
      <c r="I690" s="782"/>
      <c r="J690" s="782"/>
      <c r="O690" s="255"/>
      <c r="P690" s="255"/>
      <c r="V690" s="255"/>
    </row>
    <row r="691" spans="2:22" hidden="1" x14ac:dyDescent="0.2">
      <c r="B691" s="719"/>
      <c r="C691" s="720"/>
      <c r="D691" s="1589" t="s">
        <v>445</v>
      </c>
      <c r="E691" s="735"/>
      <c r="F691" s="726"/>
      <c r="H691" s="782"/>
      <c r="I691" s="782"/>
      <c r="J691" s="782"/>
      <c r="O691" s="255"/>
      <c r="P691" s="255"/>
      <c r="V691" s="255"/>
    </row>
    <row r="692" spans="2:22" hidden="1" x14ac:dyDescent="0.2">
      <c r="B692" s="719"/>
      <c r="C692" s="720"/>
      <c r="D692" s="1589" t="s">
        <v>412</v>
      </c>
      <c r="E692" s="735"/>
      <c r="F692" s="726"/>
      <c r="H692" s="782"/>
      <c r="I692" s="782"/>
      <c r="J692" s="782"/>
      <c r="P692" s="255"/>
      <c r="V692" s="255"/>
    </row>
    <row r="693" spans="2:22" hidden="1" x14ac:dyDescent="0.2">
      <c r="B693" s="719"/>
      <c r="C693" s="720"/>
      <c r="D693" s="1589" t="s">
        <v>446</v>
      </c>
      <c r="E693" s="735"/>
      <c r="F693" s="726"/>
      <c r="H693" s="782"/>
      <c r="I693" s="782"/>
      <c r="J693" s="782"/>
      <c r="O693" s="255"/>
      <c r="P693" s="255"/>
      <c r="V693" s="255"/>
    </row>
    <row r="694" spans="2:22" hidden="1" x14ac:dyDescent="0.2">
      <c r="B694" s="719"/>
      <c r="C694" s="720"/>
      <c r="D694" s="1589" t="s">
        <v>447</v>
      </c>
      <c r="E694" s="735"/>
      <c r="F694" s="726"/>
      <c r="H694" s="782"/>
      <c r="I694" s="782"/>
      <c r="J694" s="782"/>
      <c r="O694" s="255"/>
      <c r="P694" s="255"/>
      <c r="V694" s="255"/>
    </row>
    <row r="695" spans="2:22" hidden="1" x14ac:dyDescent="0.2">
      <c r="B695" s="719"/>
      <c r="C695" s="720"/>
      <c r="D695" s="1589" t="s">
        <v>450</v>
      </c>
      <c r="E695" s="735"/>
      <c r="F695" s="726"/>
      <c r="H695" s="782"/>
      <c r="I695" s="782"/>
      <c r="J695" s="782"/>
      <c r="O695" s="255"/>
      <c r="P695" s="255"/>
      <c r="V695" s="255"/>
    </row>
    <row r="696" spans="2:22" hidden="1" x14ac:dyDescent="0.2">
      <c r="B696" s="719"/>
      <c r="C696" s="720"/>
      <c r="D696" s="1589" t="s">
        <v>451</v>
      </c>
      <c r="E696" s="735"/>
      <c r="F696" s="726"/>
      <c r="H696" s="782"/>
      <c r="I696" s="782"/>
      <c r="J696" s="782"/>
      <c r="O696" s="255"/>
      <c r="P696" s="255"/>
      <c r="V696" s="255"/>
    </row>
    <row r="697" spans="2:22" hidden="1" x14ac:dyDescent="0.2">
      <c r="B697" s="719"/>
      <c r="C697" s="720"/>
      <c r="D697" s="1589" t="s">
        <v>452</v>
      </c>
      <c r="E697" s="735"/>
      <c r="F697" s="726"/>
      <c r="H697" s="782"/>
      <c r="I697" s="782"/>
      <c r="J697" s="782"/>
      <c r="O697" s="255"/>
      <c r="P697" s="255"/>
      <c r="V697" s="255"/>
    </row>
    <row r="698" spans="2:22" hidden="1" x14ac:dyDescent="0.2">
      <c r="B698" s="719"/>
      <c r="C698" s="720"/>
      <c r="D698" s="1589" t="s">
        <v>453</v>
      </c>
      <c r="E698" s="735"/>
      <c r="F698" s="726"/>
      <c r="H698" s="782"/>
      <c r="I698" s="782"/>
      <c r="J698" s="782"/>
      <c r="O698" s="255"/>
      <c r="P698" s="255"/>
      <c r="V698" s="255"/>
    </row>
    <row r="699" spans="2:22" hidden="1" x14ac:dyDescent="0.2">
      <c r="B699" s="719"/>
      <c r="C699" s="720"/>
      <c r="D699" s="1589" t="s">
        <v>454</v>
      </c>
      <c r="E699" s="735"/>
      <c r="F699" s="726"/>
      <c r="H699" s="782"/>
      <c r="I699" s="782"/>
      <c r="J699" s="782"/>
      <c r="O699" s="255"/>
      <c r="P699" s="255"/>
      <c r="V699" s="255"/>
    </row>
    <row r="700" spans="2:22" hidden="1" x14ac:dyDescent="0.2">
      <c r="B700" s="719"/>
      <c r="D700" s="1589" t="s">
        <v>949</v>
      </c>
      <c r="E700" s="735"/>
      <c r="F700" s="726"/>
      <c r="H700" s="782"/>
      <c r="I700" s="782"/>
      <c r="J700" s="782"/>
      <c r="O700" s="255"/>
    </row>
    <row r="701" spans="2:22" hidden="1" x14ac:dyDescent="0.2">
      <c r="B701" s="719"/>
      <c r="C701" s="768"/>
      <c r="D701" s="1589" t="s">
        <v>948</v>
      </c>
      <c r="E701" s="735"/>
      <c r="F701" s="726"/>
      <c r="H701" s="782"/>
      <c r="I701" s="782"/>
      <c r="J701" s="782"/>
      <c r="O701" s="255"/>
    </row>
    <row r="702" spans="2:22" hidden="1" x14ac:dyDescent="0.2">
      <c r="D702" s="1589" t="s">
        <v>1494</v>
      </c>
      <c r="E702" s="735"/>
      <c r="F702" s="726"/>
      <c r="H702" s="782"/>
      <c r="I702" s="782"/>
      <c r="J702" s="782"/>
      <c r="O702" s="255"/>
      <c r="V702" s="782"/>
    </row>
    <row r="703" spans="2:22" hidden="1" x14ac:dyDescent="0.2">
      <c r="B703" s="769"/>
      <c r="C703" s="770"/>
      <c r="D703" s="1589" t="s">
        <v>353</v>
      </c>
      <c r="E703" s="735"/>
      <c r="F703" s="726"/>
      <c r="H703" s="782"/>
      <c r="I703" s="782"/>
      <c r="J703" s="782"/>
      <c r="O703" s="255"/>
      <c r="V703" s="786"/>
    </row>
    <row r="704" spans="2:22" hidden="1" x14ac:dyDescent="0.2">
      <c r="C704" s="770"/>
      <c r="D704" s="1589" t="s">
        <v>913</v>
      </c>
      <c r="E704" s="735"/>
      <c r="F704" s="726"/>
      <c r="H704" s="782"/>
      <c r="I704" s="782"/>
      <c r="J704" s="782"/>
    </row>
    <row r="705" spans="2:22" hidden="1" x14ac:dyDescent="0.2">
      <c r="B705" s="771"/>
      <c r="C705" s="770"/>
      <c r="D705" s="1589" t="s">
        <v>908</v>
      </c>
      <c r="E705" s="735"/>
      <c r="F705" s="726"/>
      <c r="H705" s="782"/>
      <c r="I705" s="782"/>
      <c r="J705" s="782"/>
    </row>
    <row r="706" spans="2:22" hidden="1" x14ac:dyDescent="0.2">
      <c r="B706" s="771"/>
      <c r="C706" s="770"/>
      <c r="D706" s="1589" t="s">
        <v>1073</v>
      </c>
      <c r="E706" s="735"/>
      <c r="F706" s="726"/>
      <c r="H706" s="782"/>
      <c r="I706" s="782"/>
      <c r="J706" s="782"/>
    </row>
    <row r="707" spans="2:22" hidden="1" x14ac:dyDescent="0.2">
      <c r="B707" s="771"/>
      <c r="C707" s="770"/>
      <c r="D707" s="1589" t="s">
        <v>1074</v>
      </c>
      <c r="E707" s="735"/>
      <c r="F707" s="726"/>
      <c r="H707" s="782"/>
      <c r="I707" s="782"/>
      <c r="J707" s="782"/>
    </row>
    <row r="708" spans="2:22" hidden="1" x14ac:dyDescent="0.2">
      <c r="B708" s="771"/>
      <c r="C708" s="770"/>
      <c r="D708" s="1589" t="s">
        <v>909</v>
      </c>
      <c r="E708" s="735"/>
      <c r="F708" s="726"/>
      <c r="H708" s="782"/>
      <c r="I708" s="782"/>
      <c r="J708" s="782"/>
    </row>
    <row r="709" spans="2:22" hidden="1" x14ac:dyDescent="0.2">
      <c r="B709" s="771"/>
      <c r="C709" s="770"/>
      <c r="D709" s="1589" t="s">
        <v>1493</v>
      </c>
      <c r="E709" s="735"/>
      <c r="F709" s="726"/>
      <c r="H709" s="782"/>
      <c r="I709" s="782"/>
      <c r="J709" s="782"/>
    </row>
    <row r="710" spans="2:22" hidden="1" x14ac:dyDescent="0.2">
      <c r="B710" s="771"/>
      <c r="C710" s="770"/>
      <c r="D710" s="1589" t="s">
        <v>910</v>
      </c>
      <c r="E710" s="735"/>
      <c r="F710" s="726"/>
      <c r="H710" s="782"/>
      <c r="I710" s="782"/>
      <c r="J710" s="782"/>
    </row>
    <row r="711" spans="2:22" hidden="1" x14ac:dyDescent="0.2">
      <c r="B711" s="771"/>
      <c r="C711" s="770"/>
      <c r="D711" s="1589" t="s">
        <v>1042</v>
      </c>
      <c r="E711" s="735"/>
      <c r="F711" s="726"/>
      <c r="H711" s="782"/>
      <c r="I711" s="782"/>
      <c r="J711" s="782"/>
      <c r="O711" s="255"/>
      <c r="P711" s="255"/>
      <c r="V711" s="255"/>
    </row>
    <row r="712" spans="2:22" hidden="1" x14ac:dyDescent="0.2">
      <c r="B712" s="771"/>
      <c r="C712" s="770"/>
      <c r="D712" s="1589" t="s">
        <v>911</v>
      </c>
      <c r="E712" s="735"/>
      <c r="F712" s="726"/>
      <c r="H712" s="782"/>
      <c r="I712" s="782"/>
      <c r="J712" s="782"/>
      <c r="O712" s="255"/>
      <c r="P712" s="255"/>
      <c r="V712" s="255"/>
    </row>
    <row r="713" spans="2:22" hidden="1" x14ac:dyDescent="0.2">
      <c r="B713" s="771"/>
      <c r="C713" s="770"/>
      <c r="D713" s="1589" t="s">
        <v>912</v>
      </c>
      <c r="E713" s="735"/>
      <c r="F713" s="726"/>
      <c r="H713" s="782"/>
      <c r="I713" s="782"/>
      <c r="J713" s="782"/>
      <c r="O713" s="255"/>
      <c r="P713" s="255"/>
      <c r="V713" s="255"/>
    </row>
    <row r="714" spans="2:22" hidden="1" x14ac:dyDescent="0.2">
      <c r="B714" s="771"/>
      <c r="C714" s="770"/>
      <c r="D714" s="318" t="s">
        <v>3008</v>
      </c>
      <c r="E714" s="735"/>
      <c r="F714" s="726"/>
      <c r="H714" s="782"/>
      <c r="I714" s="782"/>
      <c r="J714" s="782"/>
      <c r="O714" s="255"/>
      <c r="P714" s="255"/>
      <c r="V714" s="255"/>
    </row>
    <row r="715" spans="2:22" hidden="1" x14ac:dyDescent="0.2">
      <c r="B715" s="771"/>
      <c r="C715" s="770"/>
      <c r="D715" s="318" t="s">
        <v>3009</v>
      </c>
      <c r="E715" s="735"/>
      <c r="F715" s="726"/>
      <c r="H715" s="782"/>
      <c r="I715" s="782"/>
      <c r="J715" s="782"/>
      <c r="O715" s="255"/>
      <c r="P715" s="255"/>
      <c r="V715" s="255"/>
    </row>
    <row r="716" spans="2:22" hidden="1" x14ac:dyDescent="0.2">
      <c r="B716" s="771"/>
      <c r="C716" s="770"/>
      <c r="D716" s="1589" t="s">
        <v>3010</v>
      </c>
      <c r="E716" s="735"/>
      <c r="F716" s="726"/>
      <c r="H716" s="782"/>
      <c r="I716" s="782"/>
      <c r="J716" s="782"/>
      <c r="O716" s="255"/>
      <c r="P716" s="255"/>
      <c r="V716" s="255"/>
    </row>
    <row r="717" spans="2:22" hidden="1" x14ac:dyDescent="0.2">
      <c r="B717" s="771"/>
      <c r="C717" s="770"/>
      <c r="D717" s="1589" t="s">
        <v>3251</v>
      </c>
      <c r="E717" s="735"/>
      <c r="F717" s="726"/>
      <c r="H717" s="782"/>
      <c r="I717" s="782"/>
      <c r="J717" s="782"/>
      <c r="O717" s="255"/>
      <c r="P717" s="255"/>
      <c r="V717" s="255"/>
    </row>
    <row r="718" spans="2:22" hidden="1" x14ac:dyDescent="0.2">
      <c r="B718" s="771"/>
      <c r="C718" s="770"/>
      <c r="D718" s="1589" t="s">
        <v>3012</v>
      </c>
      <c r="E718" s="735"/>
      <c r="F718" s="726"/>
      <c r="H718" s="782"/>
      <c r="I718" s="782"/>
      <c r="J718" s="782"/>
      <c r="O718" s="255"/>
      <c r="P718" s="255"/>
      <c r="V718" s="255"/>
    </row>
    <row r="719" spans="2:22" hidden="1" x14ac:dyDescent="0.2">
      <c r="B719" s="771"/>
      <c r="C719" s="770"/>
      <c r="D719" s="1589" t="s">
        <v>3011</v>
      </c>
      <c r="E719" s="735"/>
      <c r="F719" s="726"/>
      <c r="H719" s="782"/>
      <c r="I719" s="782"/>
      <c r="J719" s="782"/>
      <c r="O719" s="255"/>
      <c r="P719" s="255"/>
      <c r="V719" s="255"/>
    </row>
    <row r="720" spans="2:22" hidden="1" x14ac:dyDescent="0.2">
      <c r="B720" s="771"/>
      <c r="C720" s="770"/>
      <c r="D720" s="1589" t="s">
        <v>809</v>
      </c>
      <c r="E720" s="735"/>
      <c r="F720" s="726"/>
      <c r="H720" s="782"/>
      <c r="I720" s="782"/>
      <c r="J720" s="782"/>
      <c r="O720" s="255"/>
      <c r="P720" s="255"/>
      <c r="V720" s="255"/>
    </row>
    <row r="721" spans="2:22" ht="13.5" thickBot="1" x14ac:dyDescent="0.25">
      <c r="B721" s="771"/>
      <c r="C721" s="770"/>
      <c r="D721" s="532"/>
      <c r="E721" s="1589"/>
      <c r="F721" s="726"/>
      <c r="H721" s="1456">
        <f>'TB3'!AD607</f>
        <v>586464903.8900001</v>
      </c>
      <c r="I721" s="782"/>
      <c r="J721" s="1456">
        <f>'TB3'!X607</f>
        <v>499087439.61000001</v>
      </c>
      <c r="O721" s="255"/>
      <c r="P721" s="255"/>
      <c r="V721" s="255"/>
    </row>
    <row r="722" spans="2:22" ht="13.5" thickTop="1" x14ac:dyDescent="0.2">
      <c r="B722" s="771"/>
      <c r="C722" s="770"/>
      <c r="D722" s="749" t="s">
        <v>3683</v>
      </c>
      <c r="E722" s="1589"/>
      <c r="F722" s="726"/>
      <c r="H722" s="787"/>
      <c r="I722" s="782"/>
      <c r="J722" s="787"/>
      <c r="O722" s="255"/>
      <c r="P722" s="255"/>
      <c r="V722" s="255"/>
    </row>
    <row r="723" spans="2:22" ht="12.75" hidden="1" customHeight="1" x14ac:dyDescent="0.2">
      <c r="B723" s="771"/>
      <c r="C723" s="770"/>
      <c r="D723" s="1841" t="s">
        <v>3949</v>
      </c>
      <c r="E723" s="1841"/>
      <c r="F723" s="726"/>
      <c r="H723" s="787"/>
      <c r="I723" s="782"/>
      <c r="J723" s="787"/>
      <c r="O723" s="255"/>
      <c r="P723" s="255"/>
      <c r="V723" s="255"/>
    </row>
    <row r="724" spans="2:22" hidden="1" x14ac:dyDescent="0.2">
      <c r="B724" s="771"/>
      <c r="C724" s="770"/>
      <c r="D724" s="1841"/>
      <c r="E724" s="1841"/>
      <c r="F724" s="726"/>
      <c r="H724" s="787"/>
      <c r="I724" s="782"/>
      <c r="J724" s="787"/>
      <c r="O724" s="255"/>
      <c r="P724" s="255"/>
      <c r="V724" s="255"/>
    </row>
    <row r="725" spans="2:22" hidden="1" x14ac:dyDescent="0.2">
      <c r="B725" s="771"/>
      <c r="C725" s="770"/>
      <c r="D725" s="1841"/>
      <c r="E725" s="1841"/>
      <c r="F725" s="726"/>
      <c r="H725" s="787"/>
      <c r="I725" s="782"/>
      <c r="J725" s="787"/>
      <c r="O725" s="255"/>
      <c r="P725" s="255"/>
      <c r="V725" s="255"/>
    </row>
    <row r="726" spans="2:22" hidden="1" x14ac:dyDescent="0.2">
      <c r="B726" s="771"/>
      <c r="C726" s="770"/>
      <c r="D726" s="1841"/>
      <c r="E726" s="1841"/>
      <c r="F726" s="726"/>
      <c r="H726" s="787"/>
      <c r="I726" s="782"/>
      <c r="J726" s="787"/>
      <c r="O726" s="255"/>
      <c r="P726" s="255"/>
      <c r="V726" s="255"/>
    </row>
    <row r="727" spans="2:22" ht="25.5" hidden="1" customHeight="1" x14ac:dyDescent="0.2">
      <c r="B727" s="771"/>
      <c r="C727" s="770"/>
      <c r="D727" s="1841"/>
      <c r="E727" s="1841"/>
      <c r="F727" s="726"/>
      <c r="H727" s="787"/>
      <c r="I727" s="782"/>
      <c r="J727" s="787"/>
      <c r="O727" s="255"/>
      <c r="P727" s="255"/>
      <c r="V727" s="255"/>
    </row>
    <row r="728" spans="2:22" x14ac:dyDescent="0.2">
      <c r="B728" s="771"/>
      <c r="C728" s="770"/>
      <c r="D728" s="714"/>
      <c r="E728" s="714"/>
      <c r="F728" s="726"/>
      <c r="H728" s="781"/>
      <c r="I728" s="782"/>
      <c r="J728" s="781"/>
      <c r="N728" s="716"/>
      <c r="O728" s="255"/>
      <c r="P728" s="255"/>
      <c r="V728" s="255"/>
    </row>
    <row r="729" spans="2:22" x14ac:dyDescent="0.2">
      <c r="B729" s="771">
        <v>29</v>
      </c>
      <c r="C729" s="770"/>
      <c r="D729" s="186" t="s">
        <v>3654</v>
      </c>
      <c r="E729" s="714"/>
      <c r="F729" s="715"/>
      <c r="H729" s="782"/>
      <c r="I729" s="782"/>
      <c r="J729" s="781"/>
      <c r="O729" s="255"/>
      <c r="P729" s="255"/>
      <c r="V729" s="255"/>
    </row>
    <row r="730" spans="2:22" x14ac:dyDescent="0.2">
      <c r="B730" s="771"/>
      <c r="C730" s="770"/>
      <c r="D730" s="186"/>
      <c r="E730" s="714"/>
      <c r="F730" s="715"/>
      <c r="H730" s="782"/>
      <c r="I730" s="782"/>
      <c r="J730" s="781"/>
      <c r="O730" s="255"/>
      <c r="P730" s="255"/>
      <c r="V730" s="255"/>
    </row>
    <row r="731" spans="2:22" x14ac:dyDescent="0.2">
      <c r="B731" s="255"/>
      <c r="C731" s="847" t="s">
        <v>4130</v>
      </c>
      <c r="D731" s="847" t="s">
        <v>603</v>
      </c>
      <c r="E731" s="1293"/>
      <c r="F731" s="1293"/>
      <c r="G731" s="1293"/>
      <c r="H731" s="1293"/>
      <c r="I731" s="1293"/>
      <c r="J731" s="1293"/>
      <c r="K731" s="1293"/>
      <c r="L731" s="1293"/>
      <c r="M731" s="255"/>
      <c r="N731" s="255"/>
      <c r="O731" s="255"/>
      <c r="P731" s="255"/>
      <c r="V731" s="255"/>
    </row>
    <row r="732" spans="2:22" x14ac:dyDescent="0.2">
      <c r="B732" s="255"/>
      <c r="C732" s="1293"/>
      <c r="D732" s="1840" t="s">
        <v>4131</v>
      </c>
      <c r="E732" s="1840"/>
      <c r="F732" s="1840"/>
      <c r="G732" s="1840"/>
      <c r="H732" s="1840"/>
      <c r="I732" s="1840"/>
      <c r="J732" s="1840"/>
      <c r="K732" s="1840"/>
      <c r="L732" s="1840"/>
      <c r="M732" s="255"/>
      <c r="N732" s="255"/>
      <c r="O732" s="255"/>
      <c r="P732" s="255"/>
      <c r="V732" s="255"/>
    </row>
    <row r="733" spans="2:22" x14ac:dyDescent="0.2">
      <c r="B733" s="255"/>
      <c r="C733" s="1293"/>
      <c r="D733" s="1840"/>
      <c r="E733" s="1840"/>
      <c r="F733" s="1840"/>
      <c r="G733" s="1840"/>
      <c r="H733" s="1840"/>
      <c r="I733" s="1840"/>
      <c r="J733" s="1840"/>
      <c r="K733" s="1840"/>
      <c r="L733" s="1840"/>
      <c r="M733" s="255"/>
      <c r="N733" s="255"/>
      <c r="O733" s="255"/>
      <c r="P733" s="255"/>
      <c r="V733" s="255"/>
    </row>
    <row r="734" spans="2:22" x14ac:dyDescent="0.2">
      <c r="B734" s="255"/>
      <c r="C734" s="1293"/>
      <c r="D734" s="1840"/>
      <c r="E734" s="1840"/>
      <c r="F734" s="1840"/>
      <c r="G734" s="1840"/>
      <c r="H734" s="1840"/>
      <c r="I734" s="1840"/>
      <c r="J734" s="1840"/>
      <c r="K734" s="1840"/>
      <c r="L734" s="1840"/>
      <c r="M734" s="255"/>
      <c r="N734" s="255"/>
      <c r="O734" s="255"/>
      <c r="P734" s="255"/>
      <c r="V734" s="255"/>
    </row>
    <row r="735" spans="2:22" x14ac:dyDescent="0.2">
      <c r="B735" s="255"/>
      <c r="C735" s="1293"/>
      <c r="D735" s="1293" t="s">
        <v>4132</v>
      </c>
      <c r="E735" s="1293"/>
      <c r="F735" s="1293"/>
      <c r="G735" s="1293"/>
      <c r="H735" s="1293"/>
      <c r="I735" s="1293"/>
      <c r="J735" s="1293"/>
      <c r="K735" s="1293"/>
      <c r="L735" s="1293"/>
      <c r="M735" s="255"/>
      <c r="N735" s="255"/>
      <c r="O735" s="255"/>
      <c r="P735" s="255"/>
      <c r="V735" s="255"/>
    </row>
    <row r="736" spans="2:22" x14ac:dyDescent="0.2">
      <c r="B736" s="255"/>
      <c r="C736" s="1293"/>
      <c r="D736" s="1293"/>
      <c r="E736" s="1293"/>
      <c r="F736" s="1293"/>
      <c r="G736" s="1293"/>
      <c r="H736" s="1293"/>
      <c r="I736" s="1293"/>
      <c r="J736" s="1293"/>
      <c r="K736" s="1293"/>
      <c r="L736" s="1293"/>
      <c r="M736" s="255"/>
      <c r="N736" s="255"/>
      <c r="O736" s="255"/>
      <c r="P736" s="255"/>
      <c r="V736" s="255"/>
    </row>
    <row r="737" spans="2:22" x14ac:dyDescent="0.2">
      <c r="B737" s="255"/>
      <c r="C737" s="1293"/>
      <c r="D737" s="1572" t="s">
        <v>3414</v>
      </c>
      <c r="E737" s="1293"/>
      <c r="F737" s="1293"/>
      <c r="G737" s="1293"/>
      <c r="H737" s="1293"/>
      <c r="I737" s="1293"/>
      <c r="J737" s="1293"/>
      <c r="K737" s="1293"/>
      <c r="L737" s="1293"/>
      <c r="M737" s="255"/>
      <c r="N737" s="255"/>
      <c r="O737" s="255"/>
      <c r="P737" s="255"/>
      <c r="V737" s="255"/>
    </row>
    <row r="738" spans="2:22" x14ac:dyDescent="0.2">
      <c r="B738" s="255"/>
      <c r="C738" s="1293"/>
      <c r="D738" s="1840" t="s">
        <v>4133</v>
      </c>
      <c r="E738" s="1840"/>
      <c r="F738" s="1840"/>
      <c r="G738" s="1840"/>
      <c r="H738" s="1840"/>
      <c r="I738" s="1840"/>
      <c r="J738" s="1840"/>
      <c r="K738" s="1840"/>
      <c r="L738" s="1840"/>
      <c r="M738" s="255"/>
      <c r="N738" s="255"/>
      <c r="O738" s="255"/>
      <c r="P738" s="255"/>
      <c r="V738" s="255"/>
    </row>
    <row r="739" spans="2:22" x14ac:dyDescent="0.2">
      <c r="B739" s="255"/>
      <c r="C739" s="1293"/>
      <c r="D739" s="1840"/>
      <c r="E739" s="1840"/>
      <c r="F739" s="1840"/>
      <c r="G739" s="1840"/>
      <c r="H739" s="1840"/>
      <c r="I739" s="1840"/>
      <c r="J739" s="1840"/>
      <c r="K739" s="1840"/>
      <c r="L739" s="1840"/>
      <c r="M739" s="255"/>
      <c r="N739" s="255"/>
      <c r="O739" s="255"/>
      <c r="P739" s="255"/>
      <c r="V739" s="255"/>
    </row>
    <row r="740" spans="2:22" x14ac:dyDescent="0.2">
      <c r="B740" s="255"/>
      <c r="D740" s="847"/>
      <c r="E740" s="318"/>
      <c r="F740" s="318"/>
      <c r="G740" s="848"/>
      <c r="H740" s="848"/>
      <c r="I740" s="318"/>
      <c r="J740" s="1609">
        <v>2015</v>
      </c>
      <c r="K740" s="1609">
        <v>2014</v>
      </c>
      <c r="L740" s="255"/>
      <c r="M740" s="255"/>
      <c r="N740" s="255"/>
      <c r="O740" s="255"/>
      <c r="P740" s="255"/>
      <c r="V740" s="255"/>
    </row>
    <row r="741" spans="2:22" ht="13.5" thickBot="1" x14ac:dyDescent="0.25">
      <c r="B741" s="255"/>
      <c r="D741" s="847"/>
      <c r="E741" s="318"/>
      <c r="F741" s="318"/>
      <c r="G741" s="848"/>
      <c r="H741" s="848"/>
      <c r="I741" s="318"/>
      <c r="J741" s="1610">
        <v>0</v>
      </c>
      <c r="K741" s="1610">
        <v>11021023.999999998</v>
      </c>
      <c r="L741" s="255"/>
      <c r="M741" s="255"/>
      <c r="N741" s="255"/>
      <c r="O741" s="255"/>
      <c r="P741" s="255"/>
      <c r="V741" s="255"/>
    </row>
    <row r="742" spans="2:22" ht="13.5" thickTop="1" x14ac:dyDescent="0.2">
      <c r="B742" s="255"/>
      <c r="D742" s="847"/>
      <c r="E742" s="318"/>
      <c r="F742" s="318"/>
      <c r="G742" s="848"/>
      <c r="H742" s="848"/>
      <c r="I742" s="318"/>
      <c r="J742" s="318"/>
      <c r="K742" s="714"/>
      <c r="L742" s="255"/>
      <c r="M742" s="255"/>
      <c r="N742" s="255"/>
      <c r="O742" s="255"/>
      <c r="P742" s="255"/>
      <c r="V742" s="255"/>
    </row>
    <row r="743" spans="2:22" x14ac:dyDescent="0.2">
      <c r="B743" s="255"/>
      <c r="D743" s="1572" t="s">
        <v>879</v>
      </c>
      <c r="E743" s="1293"/>
      <c r="F743" s="1293"/>
      <c r="G743" s="1293"/>
      <c r="H743" s="1293"/>
      <c r="I743" s="1293"/>
      <c r="J743" s="1293"/>
      <c r="K743" s="1293"/>
      <c r="L743" s="1293"/>
      <c r="M743" s="255"/>
      <c r="N743" s="255"/>
      <c r="O743" s="255"/>
      <c r="P743" s="255"/>
      <c r="V743" s="255"/>
    </row>
    <row r="744" spans="2:22" x14ac:dyDescent="0.2">
      <c r="B744" s="255"/>
      <c r="D744" s="1840" t="s">
        <v>4134</v>
      </c>
      <c r="E744" s="1840"/>
      <c r="F744" s="1840"/>
      <c r="G744" s="1840"/>
      <c r="H744" s="1840"/>
      <c r="I744" s="1840"/>
      <c r="J744" s="1840"/>
      <c r="K744" s="1840"/>
      <c r="L744" s="1840"/>
      <c r="M744" s="255"/>
      <c r="N744" s="255"/>
      <c r="O744" s="255"/>
      <c r="P744" s="255"/>
      <c r="V744" s="255"/>
    </row>
    <row r="745" spans="2:22" x14ac:dyDescent="0.2">
      <c r="B745" s="255"/>
      <c r="D745" s="1840"/>
      <c r="E745" s="1840"/>
      <c r="F745" s="1840"/>
      <c r="G745" s="1840"/>
      <c r="H745" s="1840"/>
      <c r="I745" s="1840"/>
      <c r="J745" s="1840"/>
      <c r="K745" s="1840"/>
      <c r="L745" s="1840"/>
      <c r="M745" s="255"/>
      <c r="N745" s="255"/>
      <c r="O745" s="255"/>
      <c r="P745" s="255"/>
      <c r="V745" s="255"/>
    </row>
    <row r="746" spans="2:22" x14ac:dyDescent="0.2">
      <c r="B746" s="255"/>
      <c r="D746" s="847"/>
      <c r="E746" s="318"/>
      <c r="F746" s="318"/>
      <c r="G746" s="848"/>
      <c r="H746" s="848"/>
      <c r="I746" s="318"/>
      <c r="J746" s="440">
        <v>2015</v>
      </c>
      <c r="K746" s="1561">
        <v>2014</v>
      </c>
      <c r="L746" s="255"/>
      <c r="M746" s="255"/>
      <c r="N746" s="255"/>
      <c r="O746" s="255"/>
      <c r="P746" s="255"/>
      <c r="V746" s="255"/>
    </row>
    <row r="747" spans="2:22" ht="13.5" thickBot="1" x14ac:dyDescent="0.25">
      <c r="B747" s="255"/>
      <c r="D747" s="1293" t="s">
        <v>4135</v>
      </c>
      <c r="E747" s="318"/>
      <c r="F747" s="318"/>
      <c r="G747" s="848"/>
      <c r="H747" s="848"/>
      <c r="I747" s="318"/>
      <c r="J747" s="1562">
        <v>0</v>
      </c>
      <c r="K747" s="1563">
        <v>2225055.7680728734</v>
      </c>
      <c r="L747" s="255"/>
      <c r="M747" s="255"/>
      <c r="N747" s="255"/>
      <c r="O747" s="255"/>
      <c r="P747" s="255"/>
      <c r="V747" s="255"/>
    </row>
    <row r="748" spans="2:22" ht="13.5" thickTop="1" x14ac:dyDescent="0.2">
      <c r="B748" s="255"/>
      <c r="D748" s="847"/>
      <c r="E748" s="318"/>
      <c r="F748" s="318"/>
      <c r="G748" s="848"/>
      <c r="H748" s="848"/>
      <c r="I748" s="318"/>
      <c r="J748" s="318"/>
      <c r="K748" s="714"/>
      <c r="L748" s="255"/>
      <c r="M748" s="255"/>
      <c r="N748" s="255"/>
      <c r="O748" s="255"/>
      <c r="P748" s="255"/>
      <c r="V748" s="255"/>
    </row>
    <row r="749" spans="2:22" x14ac:dyDescent="0.2">
      <c r="B749" s="255"/>
      <c r="D749" s="1572" t="s">
        <v>4136</v>
      </c>
      <c r="E749" s="1293"/>
      <c r="F749" s="1293"/>
      <c r="G749" s="1293"/>
      <c r="H749" s="1293"/>
      <c r="I749" s="1293"/>
      <c r="J749" s="1293"/>
      <c r="K749" s="1293"/>
      <c r="L749" s="1293"/>
      <c r="M749" s="255"/>
      <c r="N749" s="255"/>
      <c r="O749" s="255"/>
      <c r="P749" s="255"/>
      <c r="V749" s="255"/>
    </row>
    <row r="750" spans="2:22" x14ac:dyDescent="0.2">
      <c r="B750" s="255"/>
      <c r="D750" s="1839" t="s">
        <v>4137</v>
      </c>
      <c r="E750" s="1839"/>
      <c r="F750" s="1839"/>
      <c r="G750" s="1839"/>
      <c r="H750" s="1839"/>
      <c r="I750" s="1839"/>
      <c r="J750" s="1839"/>
      <c r="K750" s="1839"/>
      <c r="L750" s="1839"/>
      <c r="M750" s="255"/>
      <c r="N750" s="255"/>
      <c r="O750" s="255"/>
      <c r="P750" s="255"/>
      <c r="V750" s="255"/>
    </row>
    <row r="751" spans="2:22" x14ac:dyDescent="0.2">
      <c r="B751" s="255"/>
      <c r="D751" s="1839"/>
      <c r="E751" s="1839"/>
      <c r="F751" s="1839"/>
      <c r="G751" s="1839"/>
      <c r="H751" s="1839"/>
      <c r="I751" s="1839"/>
      <c r="J751" s="1839"/>
      <c r="K751" s="1839"/>
      <c r="L751" s="1839"/>
      <c r="M751" s="255"/>
      <c r="N751" s="255"/>
      <c r="O751" s="255"/>
      <c r="P751" s="255"/>
      <c r="V751" s="255"/>
    </row>
    <row r="752" spans="2:22" x14ac:dyDescent="0.2">
      <c r="B752" s="255"/>
      <c r="D752" s="847"/>
      <c r="E752" s="318"/>
      <c r="F752" s="318"/>
      <c r="G752" s="848"/>
      <c r="H752" s="848"/>
      <c r="I752" s="318"/>
      <c r="J752" s="440">
        <v>2015</v>
      </c>
      <c r="K752" s="1561">
        <v>2014</v>
      </c>
      <c r="L752" s="255"/>
      <c r="M752" s="255"/>
      <c r="N752" s="255"/>
      <c r="O752" s="255"/>
      <c r="P752" s="255"/>
      <c r="V752" s="255"/>
    </row>
    <row r="753" spans="2:22" ht="13.5" thickBot="1" x14ac:dyDescent="0.25">
      <c r="B753" s="255"/>
      <c r="D753" s="1293" t="s">
        <v>4135</v>
      </c>
      <c r="E753" s="318"/>
      <c r="F753" s="318"/>
      <c r="G753" s="848"/>
      <c r="H753" s="848"/>
      <c r="I753" s="318"/>
      <c r="J753" s="1562">
        <v>4070748.6816760451</v>
      </c>
      <c r="K753" s="1563">
        <v>7890.80064406991</v>
      </c>
      <c r="L753" s="255"/>
      <c r="M753" s="255"/>
      <c r="N753" s="255"/>
      <c r="O753" s="255"/>
      <c r="P753" s="255"/>
      <c r="V753" s="255"/>
    </row>
    <row r="754" spans="2:22" ht="13.5" thickTop="1" x14ac:dyDescent="0.2">
      <c r="B754" s="255"/>
      <c r="D754" s="847"/>
      <c r="E754" s="318"/>
      <c r="F754" s="318"/>
      <c r="G754" s="848"/>
      <c r="H754" s="848"/>
      <c r="I754" s="318"/>
      <c r="J754" s="318"/>
      <c r="K754" s="714"/>
      <c r="L754" s="255"/>
      <c r="M754" s="255"/>
      <c r="N754" s="255"/>
      <c r="O754" s="255"/>
      <c r="P754" s="255"/>
      <c r="V754" s="255"/>
    </row>
    <row r="755" spans="2:22" x14ac:dyDescent="0.2">
      <c r="B755" s="255"/>
      <c r="D755" s="1572" t="s">
        <v>3488</v>
      </c>
      <c r="E755" s="1293"/>
      <c r="F755" s="1293"/>
      <c r="G755" s="1293"/>
      <c r="H755" s="1293"/>
      <c r="I755" s="1293"/>
      <c r="J755" s="1293"/>
      <c r="K755" s="1293"/>
      <c r="L755" s="1293"/>
      <c r="M755" s="255"/>
      <c r="N755" s="255"/>
      <c r="O755" s="255"/>
      <c r="P755" s="255"/>
      <c r="V755" s="255"/>
    </row>
    <row r="756" spans="2:22" x14ac:dyDescent="0.2">
      <c r="B756" s="255"/>
      <c r="D756" s="1839" t="s">
        <v>4138</v>
      </c>
      <c r="E756" s="1839"/>
      <c r="F756" s="1839"/>
      <c r="G756" s="1839"/>
      <c r="H756" s="1839"/>
      <c r="I756" s="1839"/>
      <c r="J756" s="1839"/>
      <c r="K756" s="1839"/>
      <c r="L756" s="1839"/>
      <c r="M756" s="255"/>
      <c r="N756" s="255"/>
      <c r="O756" s="255"/>
      <c r="P756" s="255"/>
      <c r="V756" s="255"/>
    </row>
    <row r="757" spans="2:22" x14ac:dyDescent="0.2">
      <c r="B757" s="255"/>
      <c r="D757" s="1839"/>
      <c r="E757" s="1839"/>
      <c r="F757" s="1839"/>
      <c r="G757" s="1839"/>
      <c r="H757" s="1839"/>
      <c r="I757" s="1839"/>
      <c r="J757" s="1839"/>
      <c r="K757" s="1839"/>
      <c r="L757" s="1839"/>
      <c r="M757" s="255"/>
      <c r="N757" s="255"/>
      <c r="O757" s="255"/>
      <c r="P757" s="255"/>
      <c r="V757" s="255"/>
    </row>
    <row r="758" spans="2:22" x14ac:dyDescent="0.2">
      <c r="B758" s="255"/>
      <c r="D758" s="847"/>
      <c r="E758" s="318"/>
      <c r="F758" s="318"/>
      <c r="G758" s="848"/>
      <c r="H758" s="848"/>
      <c r="I758" s="318"/>
      <c r="J758" s="440">
        <v>2015</v>
      </c>
      <c r="K758" s="1561">
        <v>2014</v>
      </c>
      <c r="L758" s="255"/>
      <c r="M758" s="255"/>
      <c r="N758" s="255"/>
      <c r="O758" s="255"/>
      <c r="P758" s="255"/>
      <c r="V758" s="255"/>
    </row>
    <row r="759" spans="2:22" x14ac:dyDescent="0.2">
      <c r="B759" s="255"/>
      <c r="D759" s="1293" t="s">
        <v>4139</v>
      </c>
      <c r="E759" s="318"/>
      <c r="F759" s="318"/>
      <c r="G759" s="848"/>
      <c r="H759" s="848"/>
      <c r="I759" s="318"/>
      <c r="J759" s="1564">
        <v>99704.41</v>
      </c>
      <c r="K759" s="1565">
        <v>0</v>
      </c>
      <c r="L759" s="255"/>
      <c r="M759" s="255"/>
      <c r="N759" s="255"/>
      <c r="O759" s="255"/>
      <c r="P759" s="255"/>
      <c r="V759" s="255"/>
    </row>
    <row r="760" spans="2:22" x14ac:dyDescent="0.2">
      <c r="B760" s="255"/>
      <c r="D760" s="1293" t="s">
        <v>4140</v>
      </c>
      <c r="E760" s="318"/>
      <c r="F760" s="318"/>
      <c r="G760" s="848"/>
      <c r="H760" s="848"/>
      <c r="I760" s="318"/>
      <c r="J760" s="1564">
        <v>1031.0703869909048</v>
      </c>
      <c r="K760" s="1565">
        <v>0</v>
      </c>
      <c r="L760" s="255"/>
      <c r="M760" s="255"/>
      <c r="N760" s="255"/>
      <c r="O760" s="255"/>
      <c r="P760" s="255"/>
      <c r="V760" s="255"/>
    </row>
    <row r="761" spans="2:22" x14ac:dyDescent="0.2">
      <c r="B761" s="255"/>
      <c r="D761" s="1293" t="s">
        <v>4143</v>
      </c>
      <c r="E761" s="318"/>
      <c r="F761" s="318"/>
      <c r="G761" s="848"/>
      <c r="H761" s="848"/>
      <c r="I761" s="318"/>
      <c r="J761" s="1564">
        <v>2253508.0699999998</v>
      </c>
      <c r="K761" s="1565">
        <v>-87318.589991807938</v>
      </c>
      <c r="L761" s="255"/>
      <c r="M761" s="255"/>
      <c r="N761" s="255"/>
      <c r="O761" s="255"/>
      <c r="P761" s="255"/>
      <c r="V761" s="255"/>
    </row>
    <row r="762" spans="2:22" ht="13.5" thickBot="1" x14ac:dyDescent="0.25">
      <c r="B762" s="255"/>
      <c r="D762" s="847"/>
      <c r="E762" s="318"/>
      <c r="F762" s="318"/>
      <c r="G762" s="848"/>
      <c r="H762" s="848"/>
      <c r="I762" s="318"/>
      <c r="J762" s="1566">
        <f>SUM(J759:J761)</f>
        <v>2354243.5503869909</v>
      </c>
      <c r="K762" s="1566">
        <f>SUM(K759:K761)</f>
        <v>-87318.589991807938</v>
      </c>
      <c r="L762" s="255"/>
      <c r="M762" s="255"/>
      <c r="N762" s="255"/>
      <c r="O762" s="255"/>
      <c r="P762" s="255"/>
      <c r="V762" s="255"/>
    </row>
    <row r="763" spans="2:22" hidden="1" x14ac:dyDescent="0.2">
      <c r="B763" s="255"/>
      <c r="D763" s="847"/>
      <c r="E763" s="318"/>
      <c r="F763" s="318"/>
      <c r="G763" s="848"/>
      <c r="H763" s="848"/>
      <c r="I763" s="318"/>
      <c r="J763" s="318">
        <v>2354243.5503869909</v>
      </c>
      <c r="K763" s="714">
        <v>-87318.589991807938</v>
      </c>
      <c r="L763" s="255"/>
      <c r="M763" s="255"/>
      <c r="N763" s="255"/>
      <c r="O763" s="255"/>
      <c r="P763" s="255"/>
      <c r="V763" s="255"/>
    </row>
    <row r="764" spans="2:22" ht="13.5" thickTop="1" x14ac:dyDescent="0.2">
      <c r="B764" s="255"/>
      <c r="D764" s="1572" t="s">
        <v>3401</v>
      </c>
      <c r="E764" s="1293"/>
      <c r="F764" s="1293"/>
      <c r="G764" s="1293"/>
      <c r="H764" s="1293"/>
      <c r="I764" s="1293"/>
      <c r="J764" s="1293"/>
      <c r="K764" s="1293"/>
      <c r="L764" s="1293"/>
      <c r="M764" s="255"/>
      <c r="N764" s="255"/>
      <c r="O764" s="255"/>
      <c r="P764" s="255"/>
      <c r="V764" s="255"/>
    </row>
    <row r="765" spans="2:22" x14ac:dyDescent="0.2">
      <c r="B765" s="255"/>
      <c r="D765" s="1839" t="s">
        <v>4284</v>
      </c>
      <c r="E765" s="1839"/>
      <c r="F765" s="1839"/>
      <c r="G765" s="1839"/>
      <c r="H765" s="1839"/>
      <c r="I765" s="1839"/>
      <c r="J765" s="1839"/>
      <c r="K765" s="1839"/>
      <c r="L765" s="1839"/>
      <c r="M765" s="255"/>
      <c r="N765" s="255"/>
      <c r="O765" s="255"/>
      <c r="P765" s="255"/>
      <c r="V765" s="255"/>
    </row>
    <row r="766" spans="2:22" x14ac:dyDescent="0.2">
      <c r="B766" s="255"/>
      <c r="D766" s="1839"/>
      <c r="E766" s="1839"/>
      <c r="F766" s="1839"/>
      <c r="G766" s="1839"/>
      <c r="H766" s="1839"/>
      <c r="I766" s="1839"/>
      <c r="J766" s="1839"/>
      <c r="K766" s="1839"/>
      <c r="L766" s="1839"/>
      <c r="M766" s="255"/>
      <c r="N766" s="255"/>
      <c r="O766" s="255"/>
      <c r="P766" s="255"/>
      <c r="V766" s="255"/>
    </row>
    <row r="767" spans="2:22" x14ac:dyDescent="0.2">
      <c r="B767" s="255"/>
      <c r="D767" s="1839"/>
      <c r="E767" s="1839"/>
      <c r="F767" s="1839"/>
      <c r="G767" s="1839"/>
      <c r="H767" s="1839"/>
      <c r="I767" s="1839"/>
      <c r="J767" s="1839"/>
      <c r="K767" s="1839"/>
      <c r="L767" s="1839"/>
      <c r="M767" s="255"/>
      <c r="N767" s="255"/>
      <c r="O767" s="255"/>
      <c r="P767" s="255"/>
      <c r="V767" s="255"/>
    </row>
    <row r="768" spans="2:22" x14ac:dyDescent="0.2">
      <c r="B768" s="255"/>
      <c r="D768" s="1839"/>
      <c r="E768" s="1839"/>
      <c r="F768" s="1839"/>
      <c r="G768" s="1839"/>
      <c r="H768" s="1839"/>
      <c r="I768" s="1839"/>
      <c r="J768" s="1839"/>
      <c r="K768" s="1839"/>
      <c r="L768" s="1839"/>
      <c r="M768" s="255"/>
      <c r="N768" s="255"/>
      <c r="O768" s="255"/>
      <c r="P768" s="255"/>
      <c r="V768" s="255"/>
    </row>
    <row r="769" spans="2:22" x14ac:dyDescent="0.2">
      <c r="B769" s="255"/>
      <c r="D769" s="847"/>
      <c r="E769" s="318"/>
      <c r="F769" s="318"/>
      <c r="G769" s="848"/>
      <c r="H769" s="848"/>
      <c r="I769" s="318"/>
      <c r="J769" s="318"/>
      <c r="K769" s="714"/>
      <c r="L769" s="255"/>
      <c r="M769" s="255"/>
      <c r="N769" s="255"/>
      <c r="O769" s="255"/>
      <c r="P769" s="255"/>
      <c r="V769" s="255"/>
    </row>
    <row r="770" spans="2:22" s="1560" customFormat="1" x14ac:dyDescent="0.2">
      <c r="C770" s="777"/>
      <c r="D770" s="1611"/>
      <c r="E770" s="1611"/>
      <c r="F770" s="1611"/>
      <c r="G770" s="1611"/>
      <c r="H770" s="1611"/>
      <c r="I770" s="1611"/>
      <c r="J770" s="1612">
        <v>2015</v>
      </c>
      <c r="K770" s="527">
        <v>2014</v>
      </c>
    </row>
    <row r="771" spans="2:22" s="1560" customFormat="1" ht="22.5" customHeight="1" x14ac:dyDescent="0.2">
      <c r="C771" s="777"/>
      <c r="D771" s="1613" t="s">
        <v>4283</v>
      </c>
      <c r="E771" s="1611"/>
      <c r="F771" s="1611"/>
      <c r="G771" s="1611"/>
      <c r="H771" s="1611"/>
      <c r="I771" s="1611"/>
      <c r="J771" s="1614">
        <v>13618295</v>
      </c>
      <c r="K771" s="1565">
        <v>-5460172</v>
      </c>
    </row>
    <row r="772" spans="2:22" s="1560" customFormat="1" x14ac:dyDescent="0.2">
      <c r="C772" s="777"/>
      <c r="D772" s="1615" t="s">
        <v>4147</v>
      </c>
      <c r="E772" s="1615"/>
      <c r="F772" s="1615"/>
      <c r="G772" s="1615"/>
      <c r="H772" s="1615"/>
      <c r="I772" s="1615"/>
      <c r="J772" s="1616"/>
      <c r="K772" s="1565"/>
    </row>
    <row r="773" spans="2:22" s="1560" customFormat="1" x14ac:dyDescent="0.2">
      <c r="C773" s="777"/>
      <c r="D773" s="1617" t="s">
        <v>4140</v>
      </c>
      <c r="E773" s="1615"/>
      <c r="F773" s="1615"/>
      <c r="G773" s="1615"/>
      <c r="H773" s="1615"/>
      <c r="I773" s="1615"/>
      <c r="J773" s="1616">
        <v>587668.33832371235</v>
      </c>
      <c r="K773" s="1565">
        <v>7144901.1908278167</v>
      </c>
    </row>
    <row r="774" spans="2:22" hidden="1" x14ac:dyDescent="0.2">
      <c r="B774" s="255"/>
      <c r="D774" s="1293" t="s">
        <v>4144</v>
      </c>
      <c r="E774" s="1293"/>
      <c r="F774" s="1293"/>
      <c r="G774" s="1293"/>
      <c r="H774" s="1293"/>
      <c r="I774" s="1293"/>
      <c r="J774" s="1616">
        <v>0</v>
      </c>
      <c r="K774" s="1565">
        <v>0</v>
      </c>
      <c r="L774" s="255"/>
      <c r="M774" s="255"/>
      <c r="N774" s="255"/>
      <c r="O774" s="255"/>
      <c r="P774" s="255"/>
      <c r="V774" s="255"/>
    </row>
    <row r="775" spans="2:22" hidden="1" x14ac:dyDescent="0.2">
      <c r="B775" s="255"/>
      <c r="D775" s="1293" t="s">
        <v>4141</v>
      </c>
      <c r="E775" s="1293"/>
      <c r="F775" s="1293"/>
      <c r="G775" s="1293"/>
      <c r="H775" s="1293"/>
      <c r="I775" s="1293"/>
      <c r="J775" s="1616">
        <v>0</v>
      </c>
      <c r="K775" s="1565">
        <v>0</v>
      </c>
      <c r="L775" s="255"/>
      <c r="M775" s="255"/>
      <c r="N775" s="255"/>
      <c r="O775" s="255"/>
      <c r="P775" s="255"/>
      <c r="V775" s="255"/>
    </row>
    <row r="776" spans="2:22" hidden="1" x14ac:dyDescent="0.2">
      <c r="B776" s="255"/>
      <c r="D776" s="1293" t="s">
        <v>4142</v>
      </c>
      <c r="E776" s="1293"/>
      <c r="F776" s="1293"/>
      <c r="G776" s="1293"/>
      <c r="H776" s="1293"/>
      <c r="I776" s="1293"/>
      <c r="J776" s="1616">
        <v>0</v>
      </c>
      <c r="K776" s="1565">
        <v>0</v>
      </c>
      <c r="L776" s="255"/>
      <c r="M776" s="255"/>
      <c r="N776" s="255"/>
      <c r="O776" s="255"/>
      <c r="P776" s="255"/>
      <c r="V776" s="255"/>
    </row>
    <row r="777" spans="2:22" x14ac:dyDescent="0.2">
      <c r="B777" s="255"/>
      <c r="D777" s="1293" t="s">
        <v>4145</v>
      </c>
      <c r="E777" s="1293"/>
      <c r="F777" s="1293"/>
      <c r="G777" s="1293"/>
      <c r="H777" s="1293"/>
      <c r="I777" s="1293"/>
      <c r="J777" s="1616">
        <v>0</v>
      </c>
      <c r="K777" s="1565">
        <v>-6735.5</v>
      </c>
      <c r="L777" s="255"/>
      <c r="M777" s="255"/>
      <c r="N777" s="255"/>
      <c r="O777" s="255"/>
      <c r="P777" s="255"/>
      <c r="V777" s="255"/>
    </row>
    <row r="778" spans="2:22" x14ac:dyDescent="0.2">
      <c r="B778" s="255"/>
      <c r="D778" s="1293" t="s">
        <v>4143</v>
      </c>
      <c r="E778" s="1293"/>
      <c r="F778" s="1293"/>
      <c r="G778" s="1293"/>
      <c r="H778" s="1293"/>
      <c r="I778" s="1293"/>
      <c r="J778" s="1616">
        <v>-2253508.0699999998</v>
      </c>
      <c r="K778" s="1565">
        <v>85987.676352109906</v>
      </c>
      <c r="L778" s="255"/>
      <c r="M778" s="255"/>
      <c r="N778" s="255"/>
      <c r="O778" s="255"/>
      <c r="P778" s="255"/>
      <c r="V778" s="255"/>
    </row>
    <row r="779" spans="2:22" x14ac:dyDescent="0.2">
      <c r="B779" s="255"/>
      <c r="D779" s="1293" t="s">
        <v>4146</v>
      </c>
      <c r="E779" s="1293"/>
      <c r="F779" s="1293"/>
      <c r="G779" s="1293"/>
      <c r="H779" s="1293"/>
      <c r="I779" s="1293"/>
      <c r="J779" s="1616">
        <v>0</v>
      </c>
      <c r="K779" s="1565">
        <v>38080862.252316475</v>
      </c>
      <c r="L779" s="255"/>
      <c r="M779" s="255"/>
      <c r="N779" s="255"/>
      <c r="O779" s="255"/>
      <c r="P779" s="255"/>
      <c r="V779" s="255"/>
    </row>
    <row r="780" spans="2:22" ht="13.5" thickBot="1" x14ac:dyDescent="0.25">
      <c r="B780" s="255"/>
      <c r="D780" s="1293"/>
      <c r="E780" s="1293"/>
      <c r="F780" s="1293"/>
      <c r="G780" s="1293"/>
      <c r="H780" s="1293"/>
      <c r="I780" s="1293"/>
      <c r="J780" s="1618">
        <v>11952455.304056533</v>
      </c>
      <c r="K780" s="1567">
        <v>39844843.655856095</v>
      </c>
      <c r="L780" s="255"/>
      <c r="M780" s="255"/>
      <c r="N780" s="255"/>
      <c r="O780" s="255"/>
      <c r="P780" s="255"/>
      <c r="V780" s="255"/>
    </row>
    <row r="781" spans="2:22" ht="13.5" thickTop="1" x14ac:dyDescent="0.2">
      <c r="B781" s="255"/>
      <c r="D781" s="1572" t="s">
        <v>4148</v>
      </c>
      <c r="E781" s="1293"/>
      <c r="F781" s="1293"/>
      <c r="G781" s="1293"/>
      <c r="H781" s="1293"/>
      <c r="I781" s="1293"/>
      <c r="J781" s="1293"/>
      <c r="K781" s="1293"/>
      <c r="L781" s="1619"/>
      <c r="M781" s="255"/>
      <c r="N781" s="255"/>
      <c r="O781" s="255"/>
      <c r="P781" s="255"/>
      <c r="V781" s="255"/>
    </row>
    <row r="782" spans="2:22" x14ac:dyDescent="0.2">
      <c r="B782" s="255"/>
      <c r="D782" s="1840" t="s">
        <v>4149</v>
      </c>
      <c r="E782" s="1840"/>
      <c r="F782" s="1840"/>
      <c r="G782" s="1840"/>
      <c r="H782" s="1840"/>
      <c r="I782" s="1840"/>
      <c r="J782" s="1840"/>
      <c r="K782" s="1840"/>
      <c r="L782" s="1840"/>
      <c r="M782" s="255"/>
      <c r="N782" s="255"/>
      <c r="O782" s="255"/>
      <c r="P782" s="255"/>
      <c r="V782" s="255"/>
    </row>
    <row r="783" spans="2:22" x14ac:dyDescent="0.2">
      <c r="B783" s="255"/>
      <c r="D783" s="1840"/>
      <c r="E783" s="1840"/>
      <c r="F783" s="1840"/>
      <c r="G783" s="1840"/>
      <c r="H783" s="1840"/>
      <c r="I783" s="1840"/>
      <c r="J783" s="1840"/>
      <c r="K783" s="1840"/>
      <c r="L783" s="1840"/>
      <c r="M783" s="255"/>
      <c r="N783" s="255"/>
      <c r="O783" s="255"/>
      <c r="P783" s="255"/>
      <c r="V783" s="255"/>
    </row>
    <row r="784" spans="2:22" x14ac:dyDescent="0.2">
      <c r="B784" s="255"/>
      <c r="D784" s="847"/>
      <c r="E784" s="318"/>
      <c r="F784" s="318"/>
      <c r="G784" s="848"/>
      <c r="H784" s="848"/>
      <c r="I784" s="318"/>
      <c r="J784" s="1609">
        <v>2015</v>
      </c>
      <c r="K784" s="1609">
        <v>2014</v>
      </c>
      <c r="L784" s="255"/>
      <c r="M784" s="255"/>
      <c r="N784" s="255"/>
      <c r="O784" s="255"/>
      <c r="P784" s="255"/>
      <c r="V784" s="255"/>
    </row>
    <row r="785" spans="2:22" x14ac:dyDescent="0.2">
      <c r="B785" s="255"/>
      <c r="D785" s="1571" t="s">
        <v>4150</v>
      </c>
      <c r="E785" s="318"/>
      <c r="F785" s="318"/>
      <c r="G785" s="848"/>
      <c r="H785" s="848"/>
      <c r="I785" s="318"/>
      <c r="J785" s="1620"/>
      <c r="K785" s="1620"/>
      <c r="L785" s="255"/>
      <c r="M785" s="255"/>
      <c r="N785" s="255"/>
      <c r="O785" s="255"/>
      <c r="P785" s="255"/>
      <c r="V785" s="255"/>
    </row>
    <row r="786" spans="2:22" x14ac:dyDescent="0.2">
      <c r="B786" s="255"/>
      <c r="D786" s="1293" t="s">
        <v>4151</v>
      </c>
      <c r="E786" s="318"/>
      <c r="F786" s="318"/>
      <c r="G786" s="848"/>
      <c r="H786" s="848"/>
      <c r="I786" s="318"/>
      <c r="J786" s="1569">
        <v>112321.11742381752</v>
      </c>
      <c r="K786" s="1569">
        <v>-479897.29895024002</v>
      </c>
      <c r="L786" s="255"/>
      <c r="M786" s="255"/>
      <c r="N786" s="255"/>
      <c r="O786" s="255"/>
      <c r="P786" s="255"/>
      <c r="V786" s="255"/>
    </row>
    <row r="787" spans="2:22" ht="13.5" thickBot="1" x14ac:dyDescent="0.25">
      <c r="B787" s="255"/>
      <c r="D787" s="1293"/>
      <c r="E787" s="318"/>
      <c r="F787" s="318"/>
      <c r="G787" s="848"/>
      <c r="H787" s="848"/>
      <c r="I787" s="318"/>
      <c r="J787" s="1570">
        <v>112321.11742381752</v>
      </c>
      <c r="K787" s="1570">
        <v>-479897.29895024002</v>
      </c>
      <c r="L787" s="255"/>
      <c r="M787" s="255"/>
      <c r="N787" s="255"/>
      <c r="O787" s="255"/>
      <c r="P787" s="255"/>
      <c r="V787" s="255"/>
    </row>
    <row r="788" spans="2:22" ht="13.5" thickTop="1" x14ac:dyDescent="0.2">
      <c r="B788" s="255"/>
      <c r="D788" s="1571" t="s">
        <v>1083</v>
      </c>
      <c r="E788" s="318"/>
      <c r="F788" s="318"/>
      <c r="G788" s="848"/>
      <c r="H788" s="848"/>
      <c r="I788" s="318"/>
      <c r="J788" s="1293"/>
      <c r="K788" s="1293"/>
      <c r="L788" s="255"/>
      <c r="M788" s="255"/>
      <c r="N788" s="255"/>
      <c r="O788" s="255"/>
      <c r="P788" s="255"/>
      <c r="V788" s="255"/>
    </row>
    <row r="789" spans="2:22" x14ac:dyDescent="0.2">
      <c r="B789" s="255"/>
      <c r="D789" s="1293" t="s">
        <v>4151</v>
      </c>
      <c r="E789" s="318"/>
      <c r="F789" s="318"/>
      <c r="G789" s="848"/>
      <c r="H789" s="848"/>
      <c r="I789" s="318"/>
      <c r="J789" s="1569">
        <v>114127.20565374196</v>
      </c>
      <c r="K789" s="1569">
        <v>811099.01201853901</v>
      </c>
      <c r="L789" s="255"/>
      <c r="M789" s="255"/>
      <c r="N789" s="255"/>
      <c r="O789" s="255"/>
      <c r="P789" s="255"/>
      <c r="V789" s="255"/>
    </row>
    <row r="790" spans="2:22" ht="13.5" thickBot="1" x14ac:dyDescent="0.25">
      <c r="B790" s="255"/>
      <c r="D790" s="847"/>
      <c r="E790" s="318"/>
      <c r="F790" s="318"/>
      <c r="G790" s="848"/>
      <c r="H790" s="848"/>
      <c r="I790" s="318"/>
      <c r="J790" s="1570">
        <v>114127.20565374196</v>
      </c>
      <c r="K790" s="1570">
        <v>811099.01201853901</v>
      </c>
      <c r="L790" s="255"/>
      <c r="M790" s="255"/>
      <c r="N790" s="255"/>
      <c r="O790" s="255"/>
      <c r="P790" s="255"/>
      <c r="V790" s="255"/>
    </row>
    <row r="791" spans="2:22" ht="13.5" thickTop="1" x14ac:dyDescent="0.2">
      <c r="B791" s="255"/>
      <c r="D791" s="847"/>
      <c r="E791" s="318"/>
      <c r="F791" s="318"/>
      <c r="G791" s="848"/>
      <c r="H791" s="848"/>
      <c r="I791" s="318"/>
      <c r="J791" s="318"/>
      <c r="K791" s="714"/>
      <c r="L791" s="255"/>
      <c r="M791" s="255"/>
      <c r="N791" s="255"/>
      <c r="O791" s="255"/>
      <c r="P791" s="255"/>
      <c r="V791" s="255"/>
    </row>
    <row r="792" spans="2:22" x14ac:dyDescent="0.2">
      <c r="B792" s="255"/>
      <c r="D792" s="1572" t="s">
        <v>265</v>
      </c>
      <c r="E792" s="1293"/>
      <c r="F792" s="1293"/>
      <c r="G792" s="1293"/>
      <c r="H792" s="1293"/>
      <c r="I792" s="1293"/>
      <c r="J792" s="1293"/>
      <c r="K792" s="1293"/>
      <c r="L792" s="1293"/>
      <c r="M792" s="255"/>
      <c r="N792" s="255"/>
      <c r="O792" s="255"/>
      <c r="P792" s="255"/>
      <c r="V792" s="255"/>
    </row>
    <row r="793" spans="2:22" x14ac:dyDescent="0.2">
      <c r="B793" s="255"/>
      <c r="D793" s="1839" t="s">
        <v>4152</v>
      </c>
      <c r="E793" s="1839"/>
      <c r="F793" s="1839"/>
      <c r="G793" s="1839"/>
      <c r="H793" s="1839"/>
      <c r="I793" s="1839"/>
      <c r="J793" s="1839"/>
      <c r="K793" s="1839"/>
      <c r="L793" s="1839"/>
      <c r="M793" s="255"/>
      <c r="N793" s="255"/>
      <c r="O793" s="255"/>
      <c r="P793" s="255"/>
      <c r="V793" s="255"/>
    </row>
    <row r="794" spans="2:22" x14ac:dyDescent="0.2">
      <c r="B794" s="255"/>
      <c r="D794" s="1839"/>
      <c r="E794" s="1839"/>
      <c r="F794" s="1839"/>
      <c r="G794" s="1839"/>
      <c r="H794" s="1839"/>
      <c r="I794" s="1839"/>
      <c r="J794" s="1839"/>
      <c r="K794" s="1839"/>
      <c r="L794" s="1839"/>
      <c r="M794" s="255"/>
      <c r="N794" s="255"/>
      <c r="O794" s="255"/>
      <c r="P794" s="255"/>
      <c r="V794" s="255"/>
    </row>
    <row r="795" spans="2:22" x14ac:dyDescent="0.2">
      <c r="B795" s="255"/>
      <c r="D795" s="1839"/>
      <c r="E795" s="1839"/>
      <c r="F795" s="1839"/>
      <c r="G795" s="1839"/>
      <c r="H795" s="1839"/>
      <c r="I795" s="1839"/>
      <c r="J795" s="1839"/>
      <c r="K795" s="1839"/>
      <c r="L795" s="1839"/>
      <c r="M795" s="255"/>
      <c r="N795" s="255"/>
      <c r="O795" s="255"/>
      <c r="P795" s="255"/>
      <c r="V795" s="255"/>
    </row>
    <row r="796" spans="2:22" x14ac:dyDescent="0.2">
      <c r="B796" s="255"/>
      <c r="D796" s="847"/>
      <c r="E796" s="318"/>
      <c r="F796" s="318"/>
      <c r="G796" s="848"/>
      <c r="H796" s="848"/>
      <c r="I796" s="318"/>
      <c r="J796" s="459">
        <v>2015</v>
      </c>
      <c r="K796" s="722">
        <v>2014</v>
      </c>
      <c r="L796" s="255"/>
      <c r="M796" s="255"/>
      <c r="N796" s="255"/>
      <c r="O796" s="255"/>
      <c r="P796" s="255"/>
      <c r="V796" s="255"/>
    </row>
    <row r="797" spans="2:22" x14ac:dyDescent="0.2">
      <c r="B797" s="255"/>
      <c r="D797" s="1293" t="s">
        <v>4153</v>
      </c>
      <c r="E797" s="318"/>
      <c r="F797" s="318"/>
      <c r="G797" s="848"/>
      <c r="H797" s="848"/>
      <c r="I797" s="318"/>
      <c r="J797" s="463">
        <v>-99704.410000026226</v>
      </c>
      <c r="K797" s="782">
        <v>0</v>
      </c>
      <c r="L797" s="255"/>
      <c r="M797" s="255"/>
      <c r="N797" s="255"/>
      <c r="O797" s="255"/>
      <c r="P797" s="255"/>
      <c r="V797" s="255"/>
    </row>
    <row r="798" spans="2:22" x14ac:dyDescent="0.2">
      <c r="B798" s="255"/>
      <c r="D798" s="847"/>
      <c r="E798" s="318"/>
      <c r="F798" s="318"/>
      <c r="G798" s="848"/>
      <c r="H798" s="848"/>
      <c r="I798" s="318"/>
      <c r="J798" s="463"/>
      <c r="K798" s="782"/>
      <c r="L798" s="255"/>
      <c r="M798" s="255"/>
      <c r="N798" s="255"/>
      <c r="O798" s="255"/>
      <c r="P798" s="255"/>
      <c r="V798" s="255"/>
    </row>
    <row r="799" spans="2:22" x14ac:dyDescent="0.2">
      <c r="B799" s="255"/>
      <c r="D799" s="847" t="s">
        <v>4154</v>
      </c>
      <c r="E799" s="318"/>
      <c r="F799" s="318"/>
      <c r="G799" s="848"/>
      <c r="H799" s="848"/>
      <c r="I799" s="318"/>
      <c r="J799" s="463"/>
      <c r="K799" s="782"/>
      <c r="L799" s="255"/>
      <c r="M799" s="255"/>
      <c r="N799" s="255"/>
      <c r="O799" s="255"/>
      <c r="P799" s="255"/>
      <c r="V799" s="255"/>
    </row>
    <row r="800" spans="2:22" x14ac:dyDescent="0.2">
      <c r="B800" s="255"/>
      <c r="D800" s="847"/>
      <c r="E800" s="318"/>
      <c r="F800" s="318"/>
      <c r="G800" s="848"/>
      <c r="H800" s="848"/>
      <c r="I800" s="318"/>
      <c r="J800" s="463"/>
      <c r="K800" s="782"/>
      <c r="L800" s="255"/>
      <c r="M800" s="255"/>
      <c r="N800" s="255"/>
      <c r="O800" s="255"/>
      <c r="P800" s="255"/>
      <c r="V800" s="255"/>
    </row>
    <row r="801" spans="2:22" x14ac:dyDescent="0.2">
      <c r="B801" s="255"/>
      <c r="D801" s="847" t="s">
        <v>4155</v>
      </c>
      <c r="E801" s="318"/>
      <c r="F801" s="318"/>
      <c r="G801" s="848"/>
      <c r="H801" s="848"/>
      <c r="I801" s="318"/>
      <c r="J801" s="463"/>
      <c r="K801" s="782">
        <v>5590487540.5150442</v>
      </c>
      <c r="L801" s="255"/>
      <c r="M801" s="255"/>
      <c r="N801" s="255"/>
      <c r="O801" s="255"/>
      <c r="P801" s="255"/>
      <c r="V801" s="255"/>
    </row>
    <row r="802" spans="2:22" x14ac:dyDescent="0.2">
      <c r="B802" s="255"/>
      <c r="D802" s="1573" t="s">
        <v>4156</v>
      </c>
      <c r="E802" s="318"/>
      <c r="F802" s="318"/>
      <c r="G802" s="848"/>
      <c r="H802" s="848"/>
      <c r="I802" s="318"/>
      <c r="J802" s="798"/>
      <c r="K802" s="790">
        <v>11021023.999999998</v>
      </c>
      <c r="L802" s="255"/>
      <c r="M802" s="255"/>
      <c r="N802" s="255"/>
      <c r="O802" s="255"/>
      <c r="P802" s="255"/>
      <c r="V802" s="255"/>
    </row>
    <row r="803" spans="2:22" x14ac:dyDescent="0.2">
      <c r="B803" s="255"/>
      <c r="D803" s="1573" t="s">
        <v>879</v>
      </c>
      <c r="E803" s="318"/>
      <c r="F803" s="318"/>
      <c r="G803" s="848"/>
      <c r="H803" s="848"/>
      <c r="I803" s="318"/>
      <c r="J803" s="798"/>
      <c r="K803" s="790">
        <v>0</v>
      </c>
      <c r="L803" s="255"/>
      <c r="M803" s="255"/>
      <c r="N803" s="255"/>
      <c r="O803" s="255"/>
      <c r="P803" s="255"/>
      <c r="V803" s="255"/>
    </row>
    <row r="804" spans="2:22" x14ac:dyDescent="0.2">
      <c r="B804" s="255"/>
      <c r="D804" s="1573" t="s">
        <v>4157</v>
      </c>
      <c r="E804" s="318"/>
      <c r="F804" s="318"/>
      <c r="G804" s="848"/>
      <c r="H804" s="848"/>
      <c r="I804" s="318"/>
      <c r="J804" s="798"/>
      <c r="K804" s="790">
        <v>-479897.29895024002</v>
      </c>
      <c r="L804" s="255"/>
      <c r="M804" s="255"/>
      <c r="N804" s="255"/>
      <c r="O804" s="255"/>
      <c r="P804" s="255"/>
      <c r="V804" s="255"/>
    </row>
    <row r="805" spans="2:22" x14ac:dyDescent="0.2">
      <c r="B805" s="255"/>
      <c r="D805" s="1573" t="s">
        <v>4158</v>
      </c>
      <c r="E805" s="318"/>
      <c r="F805" s="318"/>
      <c r="G805" s="848"/>
      <c r="H805" s="848"/>
      <c r="I805" s="318"/>
      <c r="J805" s="798"/>
      <c r="K805" s="790">
        <v>7890.80064406991</v>
      </c>
      <c r="L805" s="255"/>
      <c r="M805" s="255"/>
      <c r="N805" s="255"/>
      <c r="O805" s="255"/>
      <c r="P805" s="255"/>
      <c r="V805" s="255"/>
    </row>
    <row r="806" spans="2:22" x14ac:dyDescent="0.2">
      <c r="B806" s="255"/>
      <c r="D806" s="1573" t="s">
        <v>4159</v>
      </c>
      <c r="E806" s="318"/>
      <c r="F806" s="318"/>
      <c r="G806" s="848"/>
      <c r="H806" s="848"/>
      <c r="I806" s="318"/>
      <c r="J806" s="798"/>
      <c r="K806" s="790">
        <v>-47536.131532788277</v>
      </c>
      <c r="L806" s="255"/>
      <c r="M806" s="255"/>
      <c r="N806" s="255"/>
      <c r="O806" s="255"/>
      <c r="P806" s="255"/>
      <c r="V806" s="255"/>
    </row>
    <row r="807" spans="2:22" x14ac:dyDescent="0.2">
      <c r="B807" s="255"/>
      <c r="D807" s="1573" t="s">
        <v>4160</v>
      </c>
      <c r="E807" s="318"/>
      <c r="F807" s="318"/>
      <c r="G807" s="848"/>
      <c r="H807" s="848"/>
      <c r="I807" s="318"/>
      <c r="J807" s="798"/>
      <c r="K807" s="790">
        <v>4057889.8549184799</v>
      </c>
      <c r="L807" s="255"/>
      <c r="M807" s="255"/>
      <c r="N807" s="255"/>
      <c r="O807" s="255"/>
      <c r="P807" s="255"/>
      <c r="V807" s="255"/>
    </row>
    <row r="808" spans="2:22" x14ac:dyDescent="0.2">
      <c r="B808" s="255"/>
      <c r="D808" s="1573" t="s">
        <v>1083</v>
      </c>
      <c r="E808" s="318"/>
      <c r="F808" s="318"/>
      <c r="G808" s="848"/>
      <c r="H808" s="848"/>
      <c r="I808" s="318"/>
      <c r="J808" s="798"/>
      <c r="K808" s="790">
        <v>811099.01201853901</v>
      </c>
      <c r="L808" s="255"/>
      <c r="M808" s="255"/>
      <c r="N808" s="255"/>
      <c r="O808" s="255"/>
      <c r="P808" s="255"/>
      <c r="V808" s="255"/>
    </row>
    <row r="809" spans="2:22" x14ac:dyDescent="0.2">
      <c r="B809" s="255"/>
      <c r="D809" s="1574" t="s">
        <v>4161</v>
      </c>
      <c r="E809" s="318"/>
      <c r="F809" s="318"/>
      <c r="G809" s="848"/>
      <c r="H809" s="848"/>
      <c r="I809" s="318"/>
      <c r="J809" s="798"/>
      <c r="K809" s="1660">
        <v>5605858010.752142</v>
      </c>
      <c r="L809" s="255"/>
      <c r="M809" s="255"/>
      <c r="N809" s="255"/>
      <c r="O809" s="255"/>
      <c r="P809" s="255"/>
      <c r="V809" s="255"/>
    </row>
    <row r="810" spans="2:22" x14ac:dyDescent="0.2">
      <c r="B810" s="255"/>
      <c r="D810" s="1573" t="s">
        <v>4156</v>
      </c>
      <c r="E810" s="318"/>
      <c r="F810" s="318"/>
      <c r="G810" s="848"/>
      <c r="H810" s="848"/>
      <c r="I810" s="318"/>
      <c r="J810" s="798"/>
      <c r="K810" s="790">
        <v>0</v>
      </c>
      <c r="L810" s="255"/>
      <c r="M810" s="255"/>
      <c r="N810" s="255"/>
      <c r="O810" s="255"/>
      <c r="P810" s="255"/>
      <c r="V810" s="255"/>
    </row>
    <row r="811" spans="2:22" x14ac:dyDescent="0.2">
      <c r="B811" s="255"/>
      <c r="D811" s="1573" t="s">
        <v>879</v>
      </c>
      <c r="E811" s="318"/>
      <c r="F811" s="318"/>
      <c r="G811" s="848"/>
      <c r="H811" s="848"/>
      <c r="I811" s="318"/>
      <c r="J811" s="798"/>
      <c r="K811" s="790">
        <v>0</v>
      </c>
      <c r="L811" s="255"/>
      <c r="M811" s="255"/>
      <c r="N811" s="255"/>
      <c r="O811" s="255"/>
      <c r="P811" s="255"/>
      <c r="V811" s="255"/>
    </row>
    <row r="812" spans="2:22" x14ac:dyDescent="0.2">
      <c r="B812" s="255"/>
      <c r="D812" s="1573" t="s">
        <v>4158</v>
      </c>
      <c r="E812" s="318"/>
      <c r="F812" s="318"/>
      <c r="G812" s="848"/>
      <c r="H812" s="848"/>
      <c r="I812" s="318"/>
      <c r="J812" s="798"/>
      <c r="K812" s="790">
        <v>4070748.6816760451</v>
      </c>
      <c r="L812" s="255"/>
      <c r="M812" s="255"/>
      <c r="N812" s="255"/>
      <c r="O812" s="255"/>
      <c r="P812" s="255"/>
      <c r="V812" s="255"/>
    </row>
    <row r="813" spans="2:22" x14ac:dyDescent="0.2">
      <c r="B813" s="255"/>
      <c r="D813" s="1573" t="s">
        <v>4157</v>
      </c>
      <c r="E813" s="318"/>
      <c r="F813" s="318"/>
      <c r="G813" s="848"/>
      <c r="H813" s="848"/>
      <c r="I813" s="318"/>
      <c r="J813" s="798"/>
      <c r="K813" s="790">
        <v>112321.11742381752</v>
      </c>
      <c r="L813" s="255"/>
      <c r="M813" s="255"/>
      <c r="N813" s="255"/>
      <c r="O813" s="255"/>
      <c r="P813" s="255"/>
      <c r="V813" s="255"/>
    </row>
    <row r="814" spans="2:22" x14ac:dyDescent="0.2">
      <c r="B814" s="255"/>
      <c r="D814" s="1573" t="s">
        <v>4159</v>
      </c>
      <c r="E814" s="318"/>
      <c r="F814" s="318"/>
      <c r="G814" s="848"/>
      <c r="H814" s="848"/>
      <c r="I814" s="318"/>
      <c r="J814" s="798"/>
      <c r="K814" s="790">
        <v>2354243.838490963</v>
      </c>
      <c r="L814" s="255"/>
      <c r="M814" s="255"/>
      <c r="N814" s="255"/>
      <c r="O814" s="255"/>
      <c r="P814" s="255"/>
      <c r="V814" s="255"/>
    </row>
    <row r="815" spans="2:22" x14ac:dyDescent="0.2">
      <c r="B815" s="255"/>
      <c r="D815" s="1573" t="s">
        <v>4160</v>
      </c>
      <c r="E815" s="318"/>
      <c r="F815" s="318"/>
      <c r="G815" s="848"/>
      <c r="H815" s="848"/>
      <c r="I815" s="318"/>
      <c r="J815" s="798"/>
      <c r="K815" s="790">
        <v>4025775.2056565285</v>
      </c>
      <c r="L815" s="255"/>
      <c r="M815" s="255"/>
      <c r="N815" s="255"/>
      <c r="O815" s="255"/>
      <c r="P815" s="255"/>
      <c r="V815" s="255"/>
    </row>
    <row r="816" spans="2:22" x14ac:dyDescent="0.2">
      <c r="B816" s="255"/>
      <c r="D816" s="1573" t="s">
        <v>1083</v>
      </c>
      <c r="E816" s="318"/>
      <c r="F816" s="318"/>
      <c r="G816" s="848"/>
      <c r="H816" s="848"/>
      <c r="I816" s="318"/>
      <c r="J816" s="798"/>
      <c r="K816" s="790">
        <v>114127.20565374196</v>
      </c>
      <c r="L816" s="255"/>
      <c r="M816" s="255"/>
      <c r="N816" s="255"/>
      <c r="O816" s="255"/>
      <c r="P816" s="255"/>
      <c r="V816" s="255"/>
    </row>
    <row r="817" spans="2:22" x14ac:dyDescent="0.2">
      <c r="B817" s="255"/>
      <c r="D817" s="1573" t="s">
        <v>265</v>
      </c>
      <c r="E817" s="318"/>
      <c r="F817" s="318"/>
      <c r="G817" s="848"/>
      <c r="H817" s="848"/>
      <c r="I817" s="318"/>
      <c r="J817" s="798"/>
      <c r="K817" s="790">
        <v>-99704.410000026226</v>
      </c>
      <c r="L817" s="255"/>
      <c r="M817" s="255"/>
      <c r="N817" s="255"/>
      <c r="O817" s="255"/>
      <c r="P817" s="255"/>
      <c r="V817" s="255"/>
    </row>
    <row r="818" spans="2:22" x14ac:dyDescent="0.2">
      <c r="B818" s="255"/>
      <c r="D818" s="1573" t="s">
        <v>4230</v>
      </c>
      <c r="E818" s="318"/>
      <c r="F818" s="318"/>
      <c r="G818" s="848"/>
      <c r="H818" s="848"/>
      <c r="I818" s="318"/>
      <c r="J818" s="798"/>
      <c r="K818" s="790">
        <v>11037776.07</v>
      </c>
      <c r="L818" s="255"/>
      <c r="M818" s="255"/>
      <c r="N818" s="255"/>
      <c r="O818" s="255"/>
      <c r="P818" s="255"/>
      <c r="V818" s="255"/>
    </row>
    <row r="819" spans="2:22" x14ac:dyDescent="0.2">
      <c r="B819" s="255"/>
      <c r="D819" s="1574" t="s">
        <v>4162</v>
      </c>
      <c r="E819" s="318"/>
      <c r="F819" s="318"/>
      <c r="G819" s="848"/>
      <c r="H819" s="848"/>
      <c r="I819" s="318"/>
      <c r="J819" s="798"/>
      <c r="K819" s="1660">
        <f>SUM(K809:K818)</f>
        <v>5627473298.4610424</v>
      </c>
      <c r="L819" s="255"/>
      <c r="M819" s="255"/>
      <c r="N819" s="255"/>
      <c r="O819" s="255"/>
      <c r="P819" s="255"/>
      <c r="V819" s="255"/>
    </row>
    <row r="820" spans="2:22" x14ac:dyDescent="0.2">
      <c r="B820" s="255"/>
      <c r="D820" s="1575" t="s">
        <v>3498</v>
      </c>
      <c r="E820" s="318"/>
      <c r="F820" s="318"/>
      <c r="G820" s="848"/>
      <c r="H820" s="848"/>
      <c r="I820" s="318"/>
      <c r="J820" s="798"/>
      <c r="K820" s="790">
        <v>15597857</v>
      </c>
      <c r="L820" s="255"/>
      <c r="M820" s="255"/>
      <c r="N820" s="255"/>
      <c r="O820" s="255"/>
      <c r="P820" s="255"/>
      <c r="V820" s="255"/>
    </row>
    <row r="821" spans="2:22" x14ac:dyDescent="0.2">
      <c r="B821" s="255"/>
      <c r="D821" s="1293" t="s">
        <v>4163</v>
      </c>
      <c r="E821" s="318"/>
      <c r="F821" s="318"/>
      <c r="G821" s="848"/>
      <c r="H821" s="848"/>
      <c r="I821" s="318"/>
      <c r="J821" s="798"/>
      <c r="K821" s="790">
        <v>-130154512</v>
      </c>
      <c r="L821" s="255"/>
      <c r="M821" s="255"/>
      <c r="N821" s="255"/>
      <c r="O821" s="255"/>
      <c r="P821" s="255"/>
      <c r="V821" s="255"/>
    </row>
    <row r="822" spans="2:22" x14ac:dyDescent="0.2">
      <c r="B822" s="255"/>
      <c r="D822" s="1574" t="s">
        <v>4164</v>
      </c>
      <c r="E822" s="318"/>
      <c r="F822" s="318"/>
      <c r="G822" s="848"/>
      <c r="H822" s="848"/>
      <c r="I822" s="318"/>
      <c r="J822" s="798"/>
      <c r="K822" s="1591">
        <f>K819+K820+K821</f>
        <v>5512916643.4610424</v>
      </c>
      <c r="L822" s="255"/>
      <c r="M822" s="255"/>
      <c r="N822" s="255"/>
      <c r="O822" s="255"/>
      <c r="P822" s="255"/>
      <c r="V822" s="255"/>
    </row>
    <row r="823" spans="2:22" x14ac:dyDescent="0.2">
      <c r="B823" s="255"/>
      <c r="D823" s="847"/>
      <c r="E823" s="318"/>
      <c r="F823" s="318"/>
      <c r="G823" s="848"/>
      <c r="H823" s="848"/>
      <c r="I823" s="318"/>
      <c r="J823" s="798"/>
      <c r="K823" s="790"/>
      <c r="L823" s="255"/>
      <c r="M823" s="255"/>
      <c r="N823" s="255"/>
      <c r="O823" s="255"/>
      <c r="P823" s="255"/>
      <c r="V823" s="255"/>
    </row>
    <row r="824" spans="2:22" x14ac:dyDescent="0.2">
      <c r="B824" s="255"/>
      <c r="D824" s="847" t="s">
        <v>4165</v>
      </c>
      <c r="E824" s="318"/>
      <c r="F824" s="318"/>
      <c r="G824" s="848"/>
      <c r="H824" s="848"/>
      <c r="I824" s="318"/>
      <c r="J824" s="798"/>
      <c r="K824" s="790"/>
      <c r="L824" s="255"/>
      <c r="M824" s="255"/>
      <c r="N824" s="255"/>
      <c r="O824" s="255"/>
      <c r="P824" s="255"/>
      <c r="V824" s="255"/>
    </row>
    <row r="825" spans="2:22" x14ac:dyDescent="0.2">
      <c r="B825" s="255"/>
      <c r="D825" s="1293" t="s">
        <v>4166</v>
      </c>
      <c r="E825" s="318"/>
      <c r="F825" s="318"/>
      <c r="G825" s="848"/>
      <c r="H825" s="848"/>
      <c r="I825" s="318"/>
      <c r="J825" s="798"/>
      <c r="K825" s="790">
        <v>-119116736.05418037</v>
      </c>
      <c r="L825" s="255"/>
      <c r="M825" s="255"/>
      <c r="N825" s="255"/>
      <c r="O825" s="255"/>
      <c r="P825" s="255"/>
      <c r="V825" s="255"/>
    </row>
    <row r="826" spans="2:22" x14ac:dyDescent="0.2">
      <c r="B826" s="255"/>
      <c r="D826" s="1306" t="s">
        <v>4167</v>
      </c>
      <c r="E826" s="318"/>
      <c r="F826" s="318"/>
      <c r="G826" s="848"/>
      <c r="H826" s="848"/>
      <c r="I826" s="318"/>
      <c r="J826" s="798"/>
      <c r="K826" s="790">
        <v>-3731850</v>
      </c>
      <c r="L826" s="255"/>
      <c r="M826" s="255">
        <v>3456647</v>
      </c>
      <c r="N826" s="255"/>
      <c r="O826" s="255"/>
      <c r="P826" s="255"/>
      <c r="V826" s="255"/>
    </row>
    <row r="827" spans="2:22" x14ac:dyDescent="0.2">
      <c r="B827" s="255"/>
      <c r="D827" s="1293" t="s">
        <v>38</v>
      </c>
      <c r="E827" s="318"/>
      <c r="F827" s="318"/>
      <c r="G827" s="848"/>
      <c r="H827" s="848"/>
      <c r="I827" s="318"/>
      <c r="J827" s="798"/>
      <c r="K827" s="790">
        <v>-9508799.5</v>
      </c>
      <c r="L827" s="255"/>
      <c r="M827" s="255"/>
      <c r="N827" s="255"/>
      <c r="O827" s="255"/>
      <c r="P827" s="255"/>
      <c r="V827" s="255"/>
    </row>
    <row r="828" spans="2:22" x14ac:dyDescent="0.2">
      <c r="B828" s="255"/>
      <c r="D828" s="1293" t="s">
        <v>54</v>
      </c>
      <c r="E828" s="318"/>
      <c r="F828" s="318"/>
      <c r="G828" s="848"/>
      <c r="H828" s="848"/>
      <c r="I828" s="318"/>
      <c r="J828" s="798"/>
      <c r="K828" s="790">
        <v>184469.58618608117</v>
      </c>
      <c r="L828" s="255"/>
      <c r="M828" s="255"/>
      <c r="N828" s="255"/>
      <c r="O828" s="255"/>
      <c r="P828" s="255"/>
      <c r="V828" s="255"/>
    </row>
    <row r="829" spans="2:22" x14ac:dyDescent="0.2">
      <c r="B829" s="255"/>
      <c r="D829" s="1293" t="s">
        <v>3123</v>
      </c>
      <c r="E829" s="318"/>
      <c r="F829" s="318"/>
      <c r="G829" s="848"/>
      <c r="H829" s="848"/>
      <c r="I829" s="318"/>
      <c r="J829" s="798"/>
      <c r="K829" s="790">
        <v>-811545.53000000119</v>
      </c>
      <c r="L829" s="255"/>
      <c r="M829" s="255"/>
      <c r="N829" s="255"/>
      <c r="O829" s="255"/>
      <c r="P829" s="255"/>
      <c r="V829" s="255"/>
    </row>
    <row r="830" spans="2:22" x14ac:dyDescent="0.2">
      <c r="B830" s="255"/>
      <c r="D830" s="1293" t="s">
        <v>275</v>
      </c>
      <c r="E830" s="318"/>
      <c r="F830" s="318"/>
      <c r="G830" s="848"/>
      <c r="H830" s="848"/>
      <c r="I830" s="318"/>
      <c r="J830" s="798"/>
      <c r="K830" s="790">
        <v>-8367310.7500000149</v>
      </c>
      <c r="L830" s="255"/>
      <c r="M830" s="255"/>
      <c r="N830" s="255"/>
      <c r="O830" s="255"/>
      <c r="P830" s="255"/>
      <c r="V830" s="255"/>
    </row>
    <row r="831" spans="2:22" x14ac:dyDescent="0.2">
      <c r="B831" s="255"/>
      <c r="D831" s="1293" t="s">
        <v>4168</v>
      </c>
      <c r="E831" s="318"/>
      <c r="F831" s="318"/>
      <c r="G831" s="848"/>
      <c r="H831" s="848"/>
      <c r="I831" s="318"/>
      <c r="J831" s="798"/>
      <c r="K831" s="790">
        <v>-2421033.8799999398</v>
      </c>
      <c r="L831" s="255"/>
      <c r="M831" s="255"/>
      <c r="N831" s="255"/>
      <c r="O831" s="255"/>
      <c r="P831" s="255"/>
      <c r="V831" s="255"/>
    </row>
    <row r="832" spans="2:22" x14ac:dyDescent="0.2">
      <c r="B832" s="255"/>
      <c r="D832" s="1293" t="s">
        <v>4229</v>
      </c>
      <c r="E832" s="318"/>
      <c r="F832" s="318"/>
      <c r="G832" s="848"/>
      <c r="H832" s="848"/>
      <c r="I832" s="318"/>
      <c r="J832" s="798"/>
      <c r="K832" s="790">
        <v>13618294</v>
      </c>
      <c r="L832" s="255"/>
      <c r="M832" s="255"/>
      <c r="N832" s="255"/>
      <c r="O832" s="255"/>
      <c r="P832" s="255"/>
      <c r="V832" s="255"/>
    </row>
    <row r="833" spans="2:22" x14ac:dyDescent="0.2">
      <c r="B833" s="255"/>
      <c r="D833" s="1574" t="s">
        <v>4169</v>
      </c>
      <c r="E833" s="318"/>
      <c r="F833" s="318"/>
      <c r="G833" s="848"/>
      <c r="H833" s="848"/>
      <c r="I833" s="318"/>
      <c r="J833" s="798"/>
      <c r="K833" s="1661">
        <f>SUM(K826:K832)</f>
        <v>-11037776.073813874</v>
      </c>
      <c r="L833" s="255"/>
      <c r="M833" s="255"/>
      <c r="N833" s="255"/>
      <c r="O833" s="255"/>
      <c r="P833" s="255"/>
      <c r="V833" s="255"/>
    </row>
    <row r="834" spans="2:22" x14ac:dyDescent="0.2">
      <c r="B834" s="255"/>
      <c r="D834" s="847" t="s">
        <v>4170</v>
      </c>
      <c r="E834" s="318"/>
      <c r="F834" s="318"/>
      <c r="G834" s="848"/>
      <c r="H834" s="848"/>
      <c r="I834" s="318"/>
      <c r="J834" s="798"/>
      <c r="K834" s="1662">
        <v>-130154512</v>
      </c>
      <c r="L834" s="255"/>
      <c r="M834" s="255"/>
      <c r="N834" s="255"/>
      <c r="O834" s="255"/>
      <c r="P834" s="255"/>
      <c r="V834" s="255"/>
    </row>
    <row r="835" spans="2:22" x14ac:dyDescent="0.2">
      <c r="B835" s="255"/>
      <c r="D835" s="847"/>
      <c r="E835" s="318"/>
      <c r="F835" s="318"/>
      <c r="G835" s="848"/>
      <c r="H835" s="1578"/>
      <c r="I835" s="1578"/>
      <c r="J835" s="1579">
        <v>2015</v>
      </c>
      <c r="K835" s="1578"/>
      <c r="L835" s="255"/>
      <c r="M835" s="255"/>
      <c r="N835" s="255"/>
      <c r="O835" s="255"/>
      <c r="P835" s="255"/>
      <c r="V835" s="255"/>
    </row>
    <row r="836" spans="2:22" x14ac:dyDescent="0.2">
      <c r="B836" s="255"/>
      <c r="D836" s="847"/>
      <c r="E836" s="318"/>
      <c r="F836" s="318"/>
      <c r="G836" s="848"/>
      <c r="H836" s="1580" t="s">
        <v>4171</v>
      </c>
      <c r="I836" s="976"/>
      <c r="J836" s="1581" t="s">
        <v>3136</v>
      </c>
      <c r="K836" s="1582" t="s">
        <v>692</v>
      </c>
      <c r="L836" s="255"/>
      <c r="M836" s="255"/>
      <c r="N836" s="255"/>
      <c r="O836" s="255"/>
      <c r="P836" s="255"/>
      <c r="V836" s="255"/>
    </row>
    <row r="837" spans="2:22" x14ac:dyDescent="0.2">
      <c r="B837" s="255"/>
      <c r="D837" s="1293" t="s">
        <v>3414</v>
      </c>
      <c r="E837" s="318"/>
      <c r="F837" s="318"/>
      <c r="G837" s="848"/>
      <c r="H837" s="1583">
        <v>4588129.25</v>
      </c>
      <c r="I837" s="928"/>
      <c r="J837" s="1584">
        <v>15609153.249999998</v>
      </c>
      <c r="K837" s="1464">
        <v>11021023.999999998</v>
      </c>
      <c r="L837" s="255"/>
      <c r="M837" s="255"/>
      <c r="N837" s="255"/>
      <c r="O837" s="255"/>
      <c r="P837" s="255"/>
      <c r="V837" s="255"/>
    </row>
    <row r="838" spans="2:22" x14ac:dyDescent="0.2">
      <c r="B838" s="255"/>
      <c r="D838" s="1293" t="s">
        <v>879</v>
      </c>
      <c r="E838" s="318"/>
      <c r="F838" s="318"/>
      <c r="G838" s="848"/>
      <c r="H838" s="1583">
        <v>168687285.33192712</v>
      </c>
      <c r="I838" s="928"/>
      <c r="J838" s="1584">
        <v>170912341.09999999</v>
      </c>
      <c r="K838" s="1464">
        <v>2225055.7680728734</v>
      </c>
      <c r="L838" s="255"/>
      <c r="M838" s="255"/>
      <c r="N838" s="255"/>
      <c r="O838" s="255"/>
      <c r="P838" s="255"/>
      <c r="V838" s="255"/>
    </row>
    <row r="839" spans="2:22" x14ac:dyDescent="0.2">
      <c r="B839" s="255"/>
      <c r="D839" s="1293" t="s">
        <v>4172</v>
      </c>
      <c r="E839" s="318"/>
      <c r="F839" s="318"/>
      <c r="G839" s="848"/>
      <c r="H839" s="1583">
        <v>46940803.527519092</v>
      </c>
      <c r="I839" s="928"/>
      <c r="J839" s="1584">
        <v>51019443.009839207</v>
      </c>
      <c r="K839" s="1464">
        <v>4078639.482320115</v>
      </c>
      <c r="L839" s="255"/>
      <c r="M839" s="255"/>
      <c r="N839" s="255"/>
      <c r="O839" s="255"/>
      <c r="P839" s="255"/>
      <c r="V839" s="255"/>
    </row>
    <row r="840" spans="2:22" x14ac:dyDescent="0.2">
      <c r="B840" s="255"/>
      <c r="D840" s="1293" t="s">
        <v>4173</v>
      </c>
      <c r="E840" s="318"/>
      <c r="F840" s="318"/>
      <c r="G840" s="848"/>
      <c r="H840" s="1583">
        <v>81091345.957427889</v>
      </c>
      <c r="I840" s="928"/>
      <c r="J840" s="1584">
        <v>80723769.775901467</v>
      </c>
      <c r="K840" s="1464">
        <v>-367576.1815264225</v>
      </c>
      <c r="L840" s="255"/>
      <c r="M840" s="255"/>
      <c r="N840" s="255"/>
      <c r="O840" s="255"/>
      <c r="P840" s="255"/>
      <c r="V840" s="255"/>
    </row>
    <row r="841" spans="2:22" x14ac:dyDescent="0.2">
      <c r="B841" s="255"/>
      <c r="D841" s="1293" t="s">
        <v>3488</v>
      </c>
      <c r="E841" s="318"/>
      <c r="F841" s="318"/>
      <c r="G841" s="848"/>
      <c r="H841" s="1583">
        <v>1549920874.5246215</v>
      </c>
      <c r="I841" s="928"/>
      <c r="J841" s="1584">
        <v>1552187799.465435</v>
      </c>
      <c r="K841" s="1464">
        <v>2266924.9408135414</v>
      </c>
      <c r="L841" s="255"/>
      <c r="M841" s="255"/>
      <c r="N841" s="255"/>
      <c r="O841" s="255"/>
      <c r="P841" s="255"/>
      <c r="V841" s="255"/>
    </row>
    <row r="842" spans="2:22" x14ac:dyDescent="0.2">
      <c r="B842" s="255"/>
      <c r="D842" s="1293" t="s">
        <v>4174</v>
      </c>
      <c r="E842" s="318"/>
      <c r="F842" s="318"/>
      <c r="G842" s="848"/>
      <c r="H842" s="1583">
        <v>6742912820.9624758</v>
      </c>
      <c r="I842" s="928"/>
      <c r="J842" s="1584">
        <v>6794710099.7966871</v>
      </c>
      <c r="K842" s="1464">
        <v>51797278.834211349</v>
      </c>
      <c r="L842" s="255"/>
      <c r="M842" s="255"/>
      <c r="N842" s="255"/>
      <c r="O842" s="255"/>
      <c r="P842" s="255"/>
      <c r="V842" s="255"/>
    </row>
    <row r="843" spans="2:22" x14ac:dyDescent="0.2">
      <c r="B843" s="255"/>
      <c r="D843" s="1293" t="s">
        <v>1083</v>
      </c>
      <c r="E843" s="318"/>
      <c r="F843" s="318"/>
      <c r="G843" s="848"/>
      <c r="H843" s="1583">
        <v>-90597800.680000007</v>
      </c>
      <c r="I843" s="928"/>
      <c r="J843" s="1584">
        <v>-89672574.462327719</v>
      </c>
      <c r="K843" s="1464">
        <v>925226.21767228842</v>
      </c>
      <c r="L843" s="255"/>
      <c r="M843" s="255"/>
      <c r="N843" s="255"/>
      <c r="O843" s="255"/>
      <c r="P843" s="255"/>
      <c r="V843" s="255"/>
    </row>
    <row r="844" spans="2:22" x14ac:dyDescent="0.2">
      <c r="B844" s="255"/>
      <c r="D844" s="1293" t="s">
        <v>265</v>
      </c>
      <c r="E844" s="318"/>
      <c r="F844" s="318"/>
      <c r="G844" s="848"/>
      <c r="H844" s="1583">
        <v>-352680831.00999999</v>
      </c>
      <c r="I844" s="928"/>
      <c r="J844" s="1584">
        <v>-352780535.42000002</v>
      </c>
      <c r="K844" s="1464">
        <v>-99704.410000026226</v>
      </c>
      <c r="L844" s="255"/>
      <c r="M844" s="255"/>
      <c r="N844" s="255"/>
      <c r="O844" s="255"/>
      <c r="P844" s="255"/>
      <c r="V844" s="255"/>
    </row>
    <row r="845" spans="2:22" x14ac:dyDescent="0.2">
      <c r="B845" s="255"/>
      <c r="D845" s="847" t="s">
        <v>4175</v>
      </c>
      <c r="E845" s="318"/>
      <c r="F845" s="318"/>
      <c r="G845" s="848"/>
      <c r="H845" s="1583"/>
      <c r="I845" s="928"/>
      <c r="J845" s="1584"/>
      <c r="K845" s="1585">
        <v>71846868.651563719</v>
      </c>
      <c r="L845" s="255"/>
      <c r="M845" s="255"/>
      <c r="N845" s="255"/>
      <c r="O845" s="255"/>
      <c r="P845" s="255"/>
      <c r="V845" s="255"/>
    </row>
    <row r="846" spans="2:22" x14ac:dyDescent="0.2">
      <c r="B846" s="255"/>
      <c r="D846" s="1293"/>
      <c r="E846" s="318"/>
      <c r="F846" s="318"/>
      <c r="G846" s="848"/>
      <c r="H846" s="848"/>
      <c r="I846" s="318"/>
      <c r="J846" s="798"/>
      <c r="K846" s="790"/>
      <c r="L846" s="255"/>
      <c r="M846" s="255"/>
      <c r="N846" s="255"/>
      <c r="O846" s="255"/>
      <c r="P846" s="255"/>
      <c r="V846" s="255"/>
    </row>
    <row r="847" spans="2:22" x14ac:dyDescent="0.2">
      <c r="B847" s="255"/>
      <c r="D847" s="1293" t="s">
        <v>4176</v>
      </c>
      <c r="E847" s="318"/>
      <c r="F847" s="318"/>
      <c r="G847" s="848"/>
      <c r="H847" s="848"/>
      <c r="I847" s="318"/>
      <c r="J847" s="798"/>
      <c r="K847" s="790"/>
      <c r="L847" s="255"/>
      <c r="M847" s="255"/>
      <c r="N847" s="255"/>
      <c r="O847" s="255"/>
      <c r="P847" s="255"/>
      <c r="V847" s="255"/>
    </row>
    <row r="848" spans="2:22" x14ac:dyDescent="0.2">
      <c r="B848" s="255"/>
      <c r="D848" s="1293" t="s">
        <v>98</v>
      </c>
      <c r="E848" s="318"/>
      <c r="F848" s="318"/>
      <c r="G848" s="848"/>
      <c r="H848" s="848"/>
      <c r="I848" s="318"/>
      <c r="J848" s="798"/>
      <c r="K848" s="1576">
        <v>45898891.300055988</v>
      </c>
      <c r="L848" s="255"/>
      <c r="M848" s="255"/>
      <c r="N848" s="255"/>
      <c r="O848" s="255"/>
      <c r="P848" s="255"/>
      <c r="V848" s="255"/>
    </row>
    <row r="849" spans="2:22" x14ac:dyDescent="0.2">
      <c r="B849" s="255"/>
      <c r="D849" s="1293" t="s">
        <v>99</v>
      </c>
      <c r="E849" s="318"/>
      <c r="F849" s="318"/>
      <c r="G849" s="848"/>
      <c r="H849" s="848"/>
      <c r="I849" s="318"/>
      <c r="J849" s="798"/>
      <c r="K849" s="1576">
        <v>25947977.351507731</v>
      </c>
      <c r="L849" s="255"/>
      <c r="M849" s="255"/>
      <c r="N849" s="255"/>
      <c r="O849" s="255"/>
      <c r="P849" s="255"/>
      <c r="V849" s="255"/>
    </row>
    <row r="850" spans="2:22" x14ac:dyDescent="0.2">
      <c r="B850" s="255"/>
      <c r="D850" s="847"/>
      <c r="E850" s="318"/>
      <c r="F850" s="318"/>
      <c r="G850" s="848"/>
      <c r="H850" s="848"/>
      <c r="I850" s="318"/>
      <c r="J850" s="798"/>
      <c r="K850" s="1577">
        <v>71846868.651563719</v>
      </c>
      <c r="L850" s="255"/>
      <c r="M850" s="255"/>
      <c r="N850" s="255"/>
      <c r="O850" s="255"/>
      <c r="P850" s="255"/>
      <c r="V850" s="255"/>
    </row>
    <row r="851" spans="2:22" ht="25.5" x14ac:dyDescent="0.2">
      <c r="B851" s="771">
        <v>30</v>
      </c>
      <c r="D851" s="532" t="s">
        <v>79</v>
      </c>
      <c r="E851" s="318"/>
      <c r="F851" s="318"/>
      <c r="G851" s="848"/>
      <c r="H851" s="798"/>
      <c r="I851" s="318"/>
      <c r="J851" s="798"/>
      <c r="K851" s="1568"/>
      <c r="L851" s="255"/>
      <c r="M851" s="255"/>
      <c r="N851" s="255"/>
      <c r="O851" s="255"/>
      <c r="P851" s="255"/>
      <c r="V851" s="255"/>
    </row>
    <row r="852" spans="2:22" x14ac:dyDescent="0.2">
      <c r="C852" s="720"/>
      <c r="D852" s="532" t="s">
        <v>371</v>
      </c>
      <c r="E852" s="1589"/>
      <c r="F852" s="726"/>
      <c r="G852" s="749"/>
      <c r="H852" s="1230">
        <f>'Changes in Net assets'!H120</f>
        <v>58058705.770000741</v>
      </c>
      <c r="I852" s="799"/>
      <c r="J852" s="1230">
        <f>'Changes in Net assets'!H93</f>
        <v>-130154512.27274664</v>
      </c>
      <c r="L852" s="255"/>
      <c r="M852" s="255"/>
      <c r="N852" s="255"/>
      <c r="O852" s="255"/>
      <c r="P852" s="255"/>
      <c r="V852" s="255"/>
    </row>
    <row r="853" spans="2:22" x14ac:dyDescent="0.2">
      <c r="C853" s="720"/>
      <c r="D853" s="532" t="s">
        <v>80</v>
      </c>
      <c r="E853" s="257"/>
      <c r="F853" s="726"/>
      <c r="G853" s="722"/>
      <c r="H853" s="1230"/>
      <c r="I853" s="782"/>
      <c r="J853" s="1230"/>
      <c r="L853" s="255"/>
      <c r="M853" s="255"/>
      <c r="N853" s="255"/>
      <c r="O853" s="255"/>
      <c r="P853" s="255"/>
      <c r="V853" s="255"/>
    </row>
    <row r="854" spans="2:22" ht="16.5" customHeight="1" x14ac:dyDescent="0.2">
      <c r="B854" s="405"/>
      <c r="C854" s="951"/>
      <c r="D854" s="1589" t="s">
        <v>67</v>
      </c>
      <c r="E854" s="1589"/>
      <c r="F854" s="726"/>
      <c r="G854" s="749"/>
      <c r="H854" s="1230">
        <f>'Changes in Net assets'!D117+'Changes in Net assets'!D119</f>
        <v>-6955960.6299999999</v>
      </c>
      <c r="I854" s="799"/>
      <c r="J854" s="1230">
        <f>'Changes in Net assets'!I91</f>
        <v>-3488480.3500000006</v>
      </c>
      <c r="L854" s="255"/>
      <c r="M854" s="255"/>
      <c r="N854" s="255"/>
      <c r="O854" s="255"/>
      <c r="P854" s="255"/>
      <c r="V854" s="255"/>
    </row>
    <row r="855" spans="2:22" ht="14.25" customHeight="1" x14ac:dyDescent="0.2">
      <c r="C855" s="758"/>
      <c r="D855" s="1589" t="s">
        <v>4192</v>
      </c>
      <c r="E855" s="1589"/>
      <c r="G855" s="749"/>
      <c r="H855" s="1230">
        <v>0</v>
      </c>
      <c r="I855" s="799"/>
      <c r="J855" s="1230">
        <v>0</v>
      </c>
      <c r="L855" s="255"/>
      <c r="M855" s="255"/>
      <c r="N855" s="255"/>
      <c r="O855" s="255"/>
      <c r="P855" s="255"/>
      <c r="V855" s="255"/>
    </row>
    <row r="856" spans="2:22" hidden="1" x14ac:dyDescent="0.2">
      <c r="B856" s="759"/>
      <c r="C856" s="720"/>
      <c r="D856" s="1306" t="s">
        <v>4167</v>
      </c>
      <c r="E856" s="1589"/>
      <c r="G856" s="749"/>
      <c r="H856" s="804"/>
      <c r="I856" s="799"/>
      <c r="J856" s="1230">
        <v>0</v>
      </c>
      <c r="L856" s="790"/>
      <c r="M856" s="255"/>
      <c r="N856" s="255"/>
      <c r="O856" s="255"/>
      <c r="P856" s="255"/>
      <c r="V856" s="255"/>
    </row>
    <row r="857" spans="2:22" x14ac:dyDescent="0.2">
      <c r="B857" s="759"/>
      <c r="C857" s="720"/>
      <c r="D857" s="1293" t="s">
        <v>38</v>
      </c>
      <c r="E857" s="1589"/>
      <c r="G857" s="749"/>
      <c r="H857" s="790">
        <v>-9508799.5</v>
      </c>
      <c r="I857" s="799"/>
      <c r="J857" s="1230"/>
      <c r="L857" s="790"/>
      <c r="M857" s="255"/>
      <c r="N857" s="255"/>
      <c r="O857" s="255"/>
      <c r="P857" s="255"/>
      <c r="V857" s="255"/>
    </row>
    <row r="858" spans="2:22" hidden="1" x14ac:dyDescent="0.2">
      <c r="B858" s="759"/>
      <c r="C858" s="720"/>
      <c r="D858" s="1293" t="s">
        <v>54</v>
      </c>
      <c r="E858" s="1589"/>
      <c r="G858" s="749"/>
      <c r="H858" s="790"/>
      <c r="I858" s="799"/>
      <c r="J858" s="1230"/>
      <c r="L858" s="790"/>
      <c r="M858" s="255"/>
      <c r="N858" s="255"/>
      <c r="O858" s="255"/>
      <c r="P858" s="255"/>
      <c r="V858" s="255"/>
    </row>
    <row r="859" spans="2:22" x14ac:dyDescent="0.2">
      <c r="B859" s="759"/>
      <c r="C859" s="720"/>
      <c r="D859" s="1293" t="s">
        <v>3123</v>
      </c>
      <c r="E859" s="1589"/>
      <c r="G859" s="749"/>
      <c r="H859" s="790">
        <v>-811545.53000000119</v>
      </c>
      <c r="I859" s="799"/>
      <c r="J859" s="1230"/>
      <c r="L859" s="790"/>
      <c r="M859" s="255"/>
      <c r="N859" s="255"/>
      <c r="O859" s="255"/>
      <c r="P859" s="255"/>
      <c r="V859" s="255"/>
    </row>
    <row r="860" spans="2:22" x14ac:dyDescent="0.2">
      <c r="B860" s="759"/>
      <c r="C860" s="720"/>
      <c r="D860" s="1293" t="s">
        <v>275</v>
      </c>
      <c r="E860" s="1589"/>
      <c r="G860" s="749"/>
      <c r="H860" s="790">
        <v>-8367310.7500000149</v>
      </c>
      <c r="I860" s="799"/>
      <c r="J860" s="1230"/>
      <c r="L860" s="790"/>
      <c r="M860" s="255"/>
      <c r="N860" s="255"/>
      <c r="O860" s="255"/>
      <c r="P860" s="255"/>
      <c r="V860" s="255"/>
    </row>
    <row r="861" spans="2:22" x14ac:dyDescent="0.2">
      <c r="B861" s="759"/>
      <c r="C861" s="720"/>
      <c r="D861" s="1293" t="s">
        <v>4168</v>
      </c>
      <c r="E861" s="1589"/>
      <c r="G861" s="749"/>
      <c r="H861" s="790">
        <v>-2421033.8799999398</v>
      </c>
      <c r="I861" s="799"/>
      <c r="J861" s="1230"/>
      <c r="L861" s="255"/>
      <c r="M861" s="255"/>
      <c r="N861" s="255"/>
      <c r="O861" s="255"/>
      <c r="P861" s="255"/>
      <c r="V861" s="255"/>
    </row>
    <row r="862" spans="2:22" hidden="1" x14ac:dyDescent="0.2">
      <c r="B862" s="759"/>
      <c r="C862" s="720"/>
      <c r="D862" s="1293" t="s">
        <v>54</v>
      </c>
      <c r="E862" s="1692"/>
      <c r="G862" s="749"/>
      <c r="H862" s="790">
        <v>0</v>
      </c>
      <c r="I862" s="799"/>
      <c r="J862" s="1230"/>
      <c r="L862" s="255"/>
      <c r="M862" s="255"/>
      <c r="N862" s="255"/>
      <c r="O862" s="255"/>
      <c r="P862" s="255"/>
      <c r="V862" s="255"/>
    </row>
    <row r="863" spans="2:22" x14ac:dyDescent="0.2">
      <c r="B863" s="759"/>
      <c r="C863" s="720"/>
      <c r="D863" s="1293" t="s">
        <v>265</v>
      </c>
      <c r="E863" s="1692"/>
      <c r="G863" s="749"/>
      <c r="H863" s="790">
        <f>99704.41+26.79+3.05</f>
        <v>99734.25</v>
      </c>
      <c r="I863" s="799"/>
      <c r="J863" s="1230"/>
      <c r="L863" s="255"/>
      <c r="M863" s="255"/>
      <c r="N863" s="255"/>
      <c r="O863" s="255"/>
      <c r="P863" s="255"/>
      <c r="V863" s="255"/>
    </row>
    <row r="864" spans="2:22" hidden="1" x14ac:dyDescent="0.2">
      <c r="B864" s="759"/>
      <c r="C864" s="720"/>
      <c r="D864" s="1293"/>
      <c r="E864" s="1692"/>
      <c r="G864" s="749"/>
      <c r="H864" s="790"/>
      <c r="I864" s="799"/>
      <c r="J864" s="1230"/>
      <c r="L864" s="255"/>
      <c r="M864" s="255"/>
      <c r="N864" s="255"/>
      <c r="O864" s="255"/>
      <c r="P864" s="255"/>
      <c r="V864" s="255"/>
    </row>
    <row r="865" spans="2:22" ht="15" customHeight="1" x14ac:dyDescent="0.2">
      <c r="B865" s="759"/>
      <c r="C865" s="720"/>
      <c r="D865" s="1589" t="s">
        <v>136</v>
      </c>
      <c r="E865" s="1589"/>
      <c r="G865" s="749"/>
      <c r="H865" s="1230">
        <f>'Statement of Financial Performa'!G28</f>
        <v>76708428.220000014</v>
      </c>
      <c r="I865" s="799"/>
      <c r="J865" s="1230">
        <f>'Statement of Financial Performa'!J28</f>
        <v>130414055.80000001</v>
      </c>
      <c r="L865" s="255"/>
      <c r="M865" s="255"/>
      <c r="N865" s="255"/>
      <c r="O865" s="255"/>
      <c r="P865" s="255"/>
      <c r="V865" s="255"/>
    </row>
    <row r="866" spans="2:22" x14ac:dyDescent="0.2">
      <c r="B866" s="759"/>
      <c r="D866" s="436" t="s">
        <v>3047</v>
      </c>
      <c r="E866" s="1589"/>
      <c r="G866" s="749"/>
      <c r="H866" s="1230">
        <f>-'Statement of Financial Performa'!G40-'Statement of Financial Performa'!G42</f>
        <v>31469827.550000004</v>
      </c>
      <c r="I866" s="799"/>
      <c r="J866" s="1230">
        <f>-'Statement of Financial Performa'!J39-'Statement of Financial Performa'!J40-'Statement of Financial Performa'!J42+2</f>
        <v>11248296.690000001</v>
      </c>
      <c r="L866" s="255"/>
      <c r="M866" s="255"/>
      <c r="N866" s="255"/>
      <c r="O866" s="255"/>
      <c r="P866" s="255"/>
      <c r="V866" s="255"/>
    </row>
    <row r="867" spans="2:22" x14ac:dyDescent="0.2">
      <c r="D867" s="436" t="s">
        <v>3642</v>
      </c>
      <c r="E867" s="1589"/>
      <c r="G867" s="749"/>
      <c r="H867" s="1230"/>
      <c r="I867" s="799"/>
      <c r="J867" s="1230">
        <f>-'Note 8.2 Assets'!D84</f>
        <v>728500</v>
      </c>
      <c r="L867" s="255"/>
      <c r="M867" s="255"/>
      <c r="N867" s="255"/>
      <c r="O867" s="255"/>
      <c r="P867" s="255"/>
      <c r="V867" s="255"/>
    </row>
    <row r="868" spans="2:22" ht="12.75" hidden="1" customHeight="1" x14ac:dyDescent="0.2">
      <c r="D868" s="1621" t="s">
        <v>4193</v>
      </c>
      <c r="E868" s="1589"/>
      <c r="G868" s="749"/>
      <c r="H868" s="1600"/>
      <c r="I868" s="799"/>
      <c r="J868" s="1230"/>
      <c r="L868" s="255"/>
      <c r="M868" s="255"/>
      <c r="N868" s="255"/>
      <c r="O868" s="255"/>
      <c r="P868" s="255"/>
      <c r="V868" s="255"/>
    </row>
    <row r="869" spans="2:22" x14ac:dyDescent="0.2">
      <c r="D869" s="1588" t="s">
        <v>81</v>
      </c>
      <c r="E869" s="1589"/>
      <c r="G869" s="749"/>
      <c r="H869" s="1230">
        <f>'Statement of Financial Performa'!G30-0.91</f>
        <v>475210189.13000005</v>
      </c>
      <c r="I869" s="799"/>
      <c r="J869" s="1230">
        <f>'Statement of Financial Performa'!J30</f>
        <v>546632072.12</v>
      </c>
      <c r="L869" s="255"/>
      <c r="M869" s="255"/>
      <c r="N869" s="255"/>
      <c r="O869" s="255"/>
      <c r="P869" s="255"/>
      <c r="V869" s="255"/>
    </row>
    <row r="870" spans="2:22" x14ac:dyDescent="0.2">
      <c r="D870" s="1293" t="s">
        <v>38</v>
      </c>
      <c r="E870" s="749"/>
      <c r="G870" s="749"/>
      <c r="H870" s="1230"/>
      <c r="I870" s="799"/>
      <c r="J870" s="1230">
        <v>-12812671.01</v>
      </c>
      <c r="L870" s="255"/>
      <c r="M870" s="255"/>
      <c r="N870" s="255"/>
      <c r="O870" s="255"/>
      <c r="P870" s="255"/>
      <c r="V870" s="255"/>
    </row>
    <row r="871" spans="2:22" x14ac:dyDescent="0.2">
      <c r="D871" s="1588" t="s">
        <v>427</v>
      </c>
      <c r="E871" s="749"/>
      <c r="G871" s="749"/>
      <c r="H871" s="1230">
        <f>-'Statement of Financial Performa'!G12</f>
        <v>-27592761.699999999</v>
      </c>
      <c r="I871" s="799"/>
      <c r="J871" s="1230">
        <f>-'Statement of Financial Performa'!J12</f>
        <v>-35720658.049999997</v>
      </c>
      <c r="L871" s="255"/>
      <c r="M871" s="255"/>
      <c r="N871" s="255"/>
      <c r="O871" s="255"/>
      <c r="P871" s="255"/>
      <c r="V871" s="255"/>
    </row>
    <row r="872" spans="2:22" x14ac:dyDescent="0.2">
      <c r="D872" s="1588" t="s">
        <v>367</v>
      </c>
      <c r="E872" s="749"/>
      <c r="G872" s="749"/>
      <c r="H872" s="1230">
        <f>+'Statement of Financial Performa'!G32</f>
        <v>33955930.579999998</v>
      </c>
      <c r="I872" s="799"/>
      <c r="J872" s="1230">
        <f>+'Statement of Financial Performa'!J32</f>
        <v>38186646.25</v>
      </c>
      <c r="L872" s="255"/>
      <c r="M872" s="255"/>
      <c r="N872" s="255"/>
      <c r="O872" s="255"/>
      <c r="P872" s="255"/>
      <c r="V872" s="255"/>
    </row>
    <row r="873" spans="2:22" x14ac:dyDescent="0.2">
      <c r="B873" s="255"/>
      <c r="D873" s="1588" t="s">
        <v>3709</v>
      </c>
      <c r="E873" s="749"/>
      <c r="G873" s="749"/>
      <c r="H873" s="1230"/>
      <c r="I873" s="799"/>
      <c r="J873" s="1230">
        <v>8217389</v>
      </c>
      <c r="L873" s="255"/>
      <c r="M873" s="255"/>
      <c r="N873" s="255"/>
      <c r="O873" s="255"/>
      <c r="P873" s="255"/>
      <c r="V873" s="255"/>
    </row>
    <row r="874" spans="2:22" x14ac:dyDescent="0.2">
      <c r="B874" s="255"/>
      <c r="D874" s="1588" t="s">
        <v>3708</v>
      </c>
      <c r="E874" s="749"/>
      <c r="G874" s="749"/>
      <c r="H874" s="1230"/>
      <c r="I874" s="1230">
        <v>8217389</v>
      </c>
      <c r="J874" s="1230">
        <v>-3000000</v>
      </c>
      <c r="L874" s="255"/>
      <c r="M874" s="255"/>
      <c r="N874" s="255"/>
      <c r="O874" s="255"/>
      <c r="P874" s="255"/>
      <c r="V874" s="255"/>
    </row>
    <row r="875" spans="2:22" x14ac:dyDescent="0.2">
      <c r="B875" s="255"/>
      <c r="D875" s="1588" t="s">
        <v>3670</v>
      </c>
      <c r="E875" s="749"/>
      <c r="G875" s="749"/>
      <c r="H875" s="1230"/>
      <c r="I875" s="1230">
        <v>-3000000</v>
      </c>
      <c r="J875" s="1230">
        <f>'TB3'!X567</f>
        <v>31088000</v>
      </c>
      <c r="L875" s="255"/>
      <c r="M875" s="255"/>
      <c r="N875" s="255"/>
      <c r="O875" s="255"/>
      <c r="P875" s="255"/>
      <c r="V875" s="255"/>
    </row>
    <row r="876" spans="2:22" x14ac:dyDescent="0.2">
      <c r="B876" s="255"/>
      <c r="D876" s="1588"/>
      <c r="E876" s="749"/>
      <c r="G876" s="749"/>
      <c r="H876" s="1546"/>
      <c r="I876" s="1230">
        <f>'TB3'!W567</f>
        <v>0</v>
      </c>
      <c r="J876" s="800"/>
      <c r="L876" s="255"/>
      <c r="M876" s="255"/>
      <c r="N876" s="255"/>
      <c r="O876" s="255"/>
      <c r="P876" s="255"/>
      <c r="V876" s="255"/>
    </row>
    <row r="877" spans="2:22" ht="15.75" customHeight="1" x14ac:dyDescent="0.2">
      <c r="B877" s="255"/>
      <c r="C877" s="720"/>
      <c r="D877" s="1588" t="s">
        <v>82</v>
      </c>
      <c r="E877" s="749"/>
      <c r="G877" s="749"/>
      <c r="H877" s="1232">
        <f>SUM(H852:H876)</f>
        <v>619845403.51000082</v>
      </c>
      <c r="I877" s="799"/>
      <c r="J877" s="1232">
        <f>SUM(J852:J876)+1</f>
        <v>581338639.17725348</v>
      </c>
      <c r="L877" s="255"/>
      <c r="M877" s="255"/>
      <c r="N877" s="255"/>
      <c r="O877" s="255"/>
      <c r="P877" s="255"/>
      <c r="V877" s="255"/>
    </row>
    <row r="878" spans="2:22" ht="15.75" customHeight="1" x14ac:dyDescent="0.2">
      <c r="B878" s="255"/>
      <c r="C878" s="720"/>
      <c r="D878" s="1588"/>
      <c r="E878" s="749"/>
      <c r="G878" s="749"/>
      <c r="H878" s="1231"/>
      <c r="I878" s="799"/>
      <c r="J878" s="1231"/>
      <c r="L878" s="255"/>
      <c r="M878" s="255"/>
      <c r="N878" s="255"/>
      <c r="O878" s="255"/>
      <c r="P878" s="255"/>
      <c r="V878" s="255"/>
    </row>
    <row r="879" spans="2:22" ht="15.75" customHeight="1" x14ac:dyDescent="0.2">
      <c r="B879" s="255"/>
      <c r="C879" s="720"/>
      <c r="D879" s="532" t="s">
        <v>83</v>
      </c>
      <c r="E879" s="749"/>
      <c r="G879" s="749"/>
      <c r="H879" s="1231"/>
      <c r="I879" s="799"/>
      <c r="J879" s="1231"/>
      <c r="L879" s="255"/>
      <c r="M879" s="255"/>
      <c r="N879" s="255"/>
      <c r="O879" s="255"/>
      <c r="P879" s="255"/>
      <c r="V879" s="255"/>
    </row>
    <row r="880" spans="2:22" x14ac:dyDescent="0.2">
      <c r="B880" s="255"/>
      <c r="D880" s="1588" t="s">
        <v>84</v>
      </c>
      <c r="E880" s="773"/>
      <c r="G880" s="773"/>
      <c r="H880" s="1230">
        <f>-'Statement of Fin Pos'!E10+'Statement of Fin Pos'!F10</f>
        <v>-3808523.6899999976</v>
      </c>
      <c r="I880" s="801">
        <f>SUM(I853:I877)</f>
        <v>5217389</v>
      </c>
      <c r="J880" s="1230">
        <v>4171701</v>
      </c>
      <c r="L880" s="255"/>
      <c r="M880" s="255"/>
      <c r="N880" s="255"/>
      <c r="O880" s="255"/>
      <c r="P880" s="255"/>
      <c r="V880" s="255"/>
    </row>
    <row r="881" spans="2:22" x14ac:dyDescent="0.2">
      <c r="B881" s="255"/>
      <c r="D881" s="1588" t="s">
        <v>301</v>
      </c>
      <c r="E881" s="1588"/>
      <c r="G881" s="749"/>
      <c r="H881" s="1230">
        <f>'Statement of Fin Pos'!F8-'Statement of Fin Pos'!E8-H865</f>
        <v>-140949193.91999984</v>
      </c>
      <c r="I881" s="1230"/>
      <c r="J881" s="1230">
        <v>-137256843</v>
      </c>
      <c r="L881" s="255"/>
      <c r="M881" s="255"/>
      <c r="N881" s="255"/>
      <c r="O881" s="255"/>
      <c r="P881" s="255"/>
      <c r="V881" s="255"/>
    </row>
    <row r="882" spans="2:22" x14ac:dyDescent="0.2">
      <c r="D882" s="1588" t="s">
        <v>302</v>
      </c>
      <c r="E882" s="1588"/>
      <c r="G882" s="749"/>
      <c r="H882" s="1230">
        <f>-'Statement of Fin Pos'!E9+'Statement of Fin Pos'!F9</f>
        <v>-13315759.030000001</v>
      </c>
      <c r="I882" s="1230"/>
      <c r="J882" s="1230">
        <v>6048174</v>
      </c>
      <c r="M882" s="255"/>
      <c r="N882" s="255"/>
      <c r="O882" s="255"/>
      <c r="P882" s="255"/>
      <c r="V882" s="255"/>
    </row>
    <row r="883" spans="2:22" x14ac:dyDescent="0.2">
      <c r="D883" s="1588" t="s">
        <v>31</v>
      </c>
      <c r="E883" s="1588"/>
      <c r="G883" s="749"/>
      <c r="H883" s="1230">
        <f>'Statement of Fin Pos'!E32-'Statement of Fin Pos'!F32</f>
        <v>-183307197.98999998</v>
      </c>
      <c r="I883" s="1230"/>
      <c r="J883" s="1230">
        <v>-79444372</v>
      </c>
      <c r="M883" s="255"/>
      <c r="N883" s="255"/>
      <c r="O883" s="255"/>
      <c r="P883" s="255"/>
      <c r="V883" s="255"/>
    </row>
    <row r="884" spans="2:22" x14ac:dyDescent="0.2">
      <c r="B884" s="255"/>
      <c r="C884" s="720"/>
      <c r="D884" s="1588" t="s">
        <v>303</v>
      </c>
      <c r="E884" s="1588"/>
      <c r="G884" s="749"/>
      <c r="H884" s="1230">
        <f>'Statement of Fin Pos'!E30-'Statement of Fin Pos'!F30-'Statement of Fin Pos'!F35</f>
        <v>17384376.780000091</v>
      </c>
      <c r="I884" s="1230"/>
      <c r="J884" s="1230">
        <v>67203898</v>
      </c>
      <c r="M884" s="255"/>
      <c r="N884" s="255"/>
      <c r="O884" s="255"/>
      <c r="P884" s="255"/>
      <c r="V884" s="255"/>
    </row>
    <row r="885" spans="2:22" x14ac:dyDescent="0.2">
      <c r="B885" s="255"/>
      <c r="D885" s="1588" t="s">
        <v>647</v>
      </c>
      <c r="E885" s="1588"/>
      <c r="G885" s="749"/>
      <c r="H885" s="1230">
        <f>'Statement of Fin Pos'!E40-'Statement of Fin Pos'!F40</f>
        <v>19371710</v>
      </c>
      <c r="I885" s="1230"/>
      <c r="J885" s="1230">
        <v>10952276</v>
      </c>
      <c r="M885" s="255"/>
      <c r="N885" s="255"/>
      <c r="O885" s="255"/>
      <c r="P885" s="255"/>
      <c r="V885" s="255"/>
    </row>
    <row r="886" spans="2:22" hidden="1" x14ac:dyDescent="0.2">
      <c r="B886" s="255"/>
      <c r="D886" s="1588" t="s">
        <v>436</v>
      </c>
      <c r="E886" s="1588"/>
      <c r="G886" s="749"/>
      <c r="H886" s="802">
        <v>0</v>
      </c>
      <c r="I886" s="1230"/>
      <c r="J886" s="802">
        <f>-50611747+50611747</f>
        <v>0</v>
      </c>
      <c r="L886" s="1002"/>
      <c r="M886" s="255"/>
      <c r="N886" s="1139"/>
      <c r="O886" s="255"/>
      <c r="P886" s="255"/>
      <c r="V886" s="255"/>
    </row>
    <row r="887" spans="2:22" ht="15.75" customHeight="1" x14ac:dyDescent="0.2">
      <c r="B887" s="255"/>
      <c r="D887" s="774" t="s">
        <v>3013</v>
      </c>
      <c r="E887" s="1588"/>
      <c r="G887" s="749"/>
      <c r="H887" s="1231">
        <f>SUM(H880:H886)</f>
        <v>-304624587.84999973</v>
      </c>
      <c r="I887" s="799"/>
      <c r="J887" s="1231">
        <f>SUM(J880:J886)</f>
        <v>-128325166</v>
      </c>
      <c r="M887" s="255"/>
      <c r="N887" s="255"/>
      <c r="O887" s="255"/>
      <c r="P887" s="255"/>
      <c r="V887" s="255"/>
    </row>
    <row r="888" spans="2:22" x14ac:dyDescent="0.2">
      <c r="B888" s="255"/>
      <c r="D888" s="1588"/>
      <c r="E888" s="1588"/>
      <c r="G888" s="749"/>
      <c r="H888" s="802"/>
      <c r="I888" s="803">
        <f>SUM(I881:I887)</f>
        <v>0</v>
      </c>
      <c r="J888" s="802"/>
      <c r="M888" s="255"/>
      <c r="N888" s="255"/>
      <c r="O888" s="255"/>
      <c r="P888" s="255"/>
      <c r="V888" s="255"/>
    </row>
    <row r="889" spans="2:22" ht="13.5" thickBot="1" x14ac:dyDescent="0.25">
      <c r="B889" s="255"/>
      <c r="D889" s="774" t="s">
        <v>304</v>
      </c>
      <c r="E889" s="1588"/>
      <c r="G889" s="749"/>
      <c r="H889" s="1233">
        <f>H877+H887</f>
        <v>315220815.6600011</v>
      </c>
      <c r="I889" s="799"/>
      <c r="J889" s="1233">
        <f>J877+J887+1</f>
        <v>453013474.17725348</v>
      </c>
      <c r="M889" s="255"/>
      <c r="N889" s="255"/>
      <c r="O889" s="255"/>
      <c r="P889" s="255"/>
      <c r="V889" s="255"/>
    </row>
    <row r="890" spans="2:22" ht="13.5" thickTop="1" x14ac:dyDescent="0.2">
      <c r="B890" s="255"/>
      <c r="E890" s="774"/>
      <c r="G890" s="773"/>
      <c r="I890" s="1231">
        <f>I880+I888</f>
        <v>5217389</v>
      </c>
      <c r="K890" s="528"/>
      <c r="M890" s="255"/>
      <c r="N890" s="255"/>
      <c r="O890" s="255"/>
      <c r="P890" s="255"/>
      <c r="V890" s="255"/>
    </row>
    <row r="891" spans="2:22" ht="38.25" x14ac:dyDescent="0.2">
      <c r="B891" s="255"/>
      <c r="D891" s="775" t="s">
        <v>413</v>
      </c>
      <c r="H891" s="799"/>
      <c r="J891" s="798"/>
      <c r="L891" s="255"/>
      <c r="M891" s="255"/>
      <c r="N891" s="255"/>
      <c r="O891" s="255"/>
      <c r="P891" s="255"/>
      <c r="V891" s="255"/>
    </row>
    <row r="892" spans="2:22" x14ac:dyDescent="0.2">
      <c r="B892" s="771">
        <v>31</v>
      </c>
      <c r="D892" s="532"/>
      <c r="E892" s="749"/>
      <c r="G892" s="749"/>
      <c r="H892" s="799"/>
      <c r="I892" s="799"/>
      <c r="J892" s="798"/>
      <c r="L892" s="255"/>
      <c r="M892" s="255"/>
      <c r="N892" s="255"/>
      <c r="O892" s="255"/>
      <c r="P892" s="255"/>
      <c r="V892" s="255"/>
    </row>
    <row r="893" spans="2:22" x14ac:dyDescent="0.2">
      <c r="B893" s="255"/>
      <c r="D893" s="532" t="s">
        <v>894</v>
      </c>
      <c r="E893" s="749"/>
      <c r="G893" s="749"/>
      <c r="H893" s="782"/>
      <c r="I893" s="799"/>
      <c r="J893" s="781"/>
      <c r="L893" s="255"/>
      <c r="M893" s="255"/>
      <c r="N893" s="255"/>
      <c r="O893" s="255"/>
      <c r="P893" s="255"/>
      <c r="V893" s="255"/>
    </row>
    <row r="894" spans="2:22" x14ac:dyDescent="0.2">
      <c r="B894" s="255"/>
      <c r="C894" s="723">
        <v>31.1</v>
      </c>
      <c r="D894" s="1589" t="s">
        <v>895</v>
      </c>
      <c r="E894" s="714"/>
      <c r="H894" s="1230">
        <v>5498603.2199999997</v>
      </c>
      <c r="I894" s="782"/>
      <c r="J894" s="1230">
        <v>4800000</v>
      </c>
      <c r="L894" s="255"/>
      <c r="M894" s="255"/>
      <c r="N894" s="255"/>
      <c r="O894" s="255"/>
      <c r="P894" s="255"/>
      <c r="V894" s="255"/>
    </row>
    <row r="895" spans="2:22" x14ac:dyDescent="0.2">
      <c r="B895" s="255"/>
      <c r="D895" s="1589" t="s">
        <v>289</v>
      </c>
      <c r="E895" s="714"/>
      <c r="F895" s="772"/>
      <c r="H895" s="1230">
        <v>-5498603.2199999997</v>
      </c>
      <c r="I895" s="782"/>
      <c r="J895" s="1230">
        <v>-4800000</v>
      </c>
      <c r="L895" s="255"/>
      <c r="M895" s="255"/>
      <c r="N895" s="255"/>
      <c r="O895" s="255"/>
      <c r="P895" s="255"/>
      <c r="V895" s="255"/>
    </row>
    <row r="896" spans="2:22" ht="13.5" thickBot="1" x14ac:dyDescent="0.25">
      <c r="B896" s="255"/>
      <c r="D896" s="532" t="s">
        <v>290</v>
      </c>
      <c r="E896" s="714"/>
      <c r="F896" s="772"/>
      <c r="H896" s="1233">
        <f>SUM(H894:H895)</f>
        <v>0</v>
      </c>
      <c r="I896" s="782"/>
      <c r="J896" s="1233">
        <f>SUM(J894:J895)</f>
        <v>0</v>
      </c>
      <c r="L896" s="255"/>
      <c r="M896" s="255"/>
      <c r="N896" s="255"/>
      <c r="O896" s="255"/>
      <c r="P896" s="255"/>
      <c r="V896" s="255"/>
    </row>
    <row r="897" spans="2:22" ht="13.5" thickTop="1" x14ac:dyDescent="0.2">
      <c r="B897" s="255"/>
      <c r="D897" s="714"/>
      <c r="E897" s="714"/>
      <c r="F897" s="726"/>
      <c r="H897" s="781"/>
      <c r="I897" s="782"/>
      <c r="J897" s="781"/>
      <c r="L897" s="255"/>
      <c r="M897" s="255"/>
      <c r="N897" s="255"/>
      <c r="O897" s="255"/>
      <c r="P897" s="255"/>
      <c r="V897" s="255"/>
    </row>
    <row r="898" spans="2:22" x14ac:dyDescent="0.2">
      <c r="B898" s="255"/>
      <c r="D898" s="532" t="s">
        <v>291</v>
      </c>
      <c r="E898" s="714"/>
      <c r="H898" s="781"/>
      <c r="I898" s="782"/>
      <c r="J898" s="781"/>
      <c r="L898" s="255"/>
      <c r="M898" s="255"/>
      <c r="N898" s="255"/>
      <c r="O898" s="255"/>
      <c r="P898" s="255"/>
      <c r="V898" s="255"/>
    </row>
    <row r="899" spans="2:22" x14ac:dyDescent="0.2">
      <c r="B899" s="255"/>
      <c r="C899" s="723">
        <v>31.2</v>
      </c>
      <c r="D899" s="1589" t="s">
        <v>292</v>
      </c>
      <c r="E899" s="714"/>
      <c r="H899" s="1230">
        <v>5354490.42</v>
      </c>
      <c r="I899" s="782"/>
      <c r="J899" s="1230">
        <v>4773532.96</v>
      </c>
      <c r="L899" s="255"/>
      <c r="M899" s="255"/>
      <c r="N899" s="255"/>
      <c r="O899" s="255"/>
      <c r="P899" s="255"/>
      <c r="V899" s="255"/>
    </row>
    <row r="900" spans="2:22" x14ac:dyDescent="0.2">
      <c r="B900" s="255"/>
      <c r="D900" s="1589" t="s">
        <v>289</v>
      </c>
      <c r="E900" s="714"/>
      <c r="H900" s="1230">
        <v>-5354490.42</v>
      </c>
      <c r="I900" s="782"/>
      <c r="J900" s="1230">
        <v>-4773532.96</v>
      </c>
      <c r="L900" s="255"/>
      <c r="M900" s="255"/>
      <c r="N900" s="255"/>
      <c r="O900" s="255"/>
      <c r="P900" s="255"/>
      <c r="V900" s="255"/>
    </row>
    <row r="901" spans="2:22" ht="13.5" thickBot="1" x14ac:dyDescent="0.25">
      <c r="B901" s="255"/>
      <c r="D901" s="532" t="s">
        <v>290</v>
      </c>
      <c r="E901" s="714"/>
      <c r="H901" s="1233">
        <f>SUM(H899:H900)</f>
        <v>0</v>
      </c>
      <c r="I901" s="782"/>
      <c r="J901" s="1233">
        <f>SUM(J899:J900)</f>
        <v>0</v>
      </c>
      <c r="L901" s="255"/>
      <c r="M901" s="255"/>
      <c r="N901" s="255"/>
      <c r="O901" s="255"/>
      <c r="P901" s="255"/>
      <c r="V901" s="255"/>
    </row>
    <row r="902" spans="2:22" ht="13.5" thickTop="1" x14ac:dyDescent="0.2">
      <c r="B902" s="255"/>
      <c r="D902" s="532"/>
      <c r="E902" s="714"/>
      <c r="H902" s="787"/>
      <c r="I902" s="782"/>
      <c r="J902" s="787"/>
      <c r="L902" s="255"/>
      <c r="M902" s="255"/>
      <c r="N902" s="255"/>
      <c r="O902" s="255"/>
      <c r="P902" s="255"/>
      <c r="V902" s="255"/>
    </row>
    <row r="903" spans="2:22" x14ac:dyDescent="0.2">
      <c r="B903" s="255"/>
      <c r="D903" s="532" t="s">
        <v>813</v>
      </c>
      <c r="E903" s="714"/>
      <c r="H903" s="781"/>
      <c r="I903" s="782"/>
      <c r="J903" s="781"/>
      <c r="L903" s="255"/>
      <c r="M903" s="255"/>
      <c r="N903" s="255"/>
      <c r="O903" s="255"/>
      <c r="P903" s="255"/>
      <c r="V903" s="255"/>
    </row>
    <row r="904" spans="2:22" ht="51" x14ac:dyDescent="0.2">
      <c r="C904" s="723">
        <v>31.3</v>
      </c>
      <c r="D904" s="730" t="s">
        <v>3768</v>
      </c>
      <c r="E904" s="714"/>
      <c r="H904" s="796"/>
      <c r="I904" s="782"/>
      <c r="J904" s="796"/>
      <c r="M904" s="255"/>
      <c r="N904" s="255"/>
      <c r="O904" s="255"/>
      <c r="P904" s="255"/>
      <c r="V904" s="255"/>
    </row>
    <row r="905" spans="2:22" x14ac:dyDescent="0.2">
      <c r="D905" s="730"/>
      <c r="E905" s="730"/>
      <c r="G905" s="730"/>
      <c r="H905" s="796"/>
      <c r="I905" s="796"/>
      <c r="J905" s="796"/>
      <c r="M905" s="255"/>
      <c r="N905" s="255"/>
      <c r="O905" s="255"/>
      <c r="P905" s="255"/>
      <c r="V905" s="255"/>
    </row>
    <row r="906" spans="2:22" x14ac:dyDescent="0.2">
      <c r="D906" s="532" t="s">
        <v>587</v>
      </c>
      <c r="E906" s="730"/>
      <c r="G906" s="730"/>
      <c r="H906" s="781"/>
      <c r="I906" s="796"/>
      <c r="J906" s="781"/>
      <c r="M906" s="255"/>
      <c r="N906" s="255"/>
      <c r="O906" s="255"/>
      <c r="P906" s="255"/>
      <c r="V906" s="255"/>
    </row>
    <row r="907" spans="2:22" x14ac:dyDescent="0.2">
      <c r="C907" s="723">
        <v>31.4</v>
      </c>
      <c r="D907" s="1589" t="s">
        <v>588</v>
      </c>
      <c r="E907" s="714"/>
      <c r="H907" s="1230">
        <v>81296499.189999998</v>
      </c>
      <c r="I907" s="782"/>
      <c r="J907" s="1230">
        <v>72800958.840000004</v>
      </c>
      <c r="M907" s="255"/>
      <c r="N907" s="255"/>
      <c r="O907" s="255"/>
      <c r="P907" s="255"/>
      <c r="V907" s="255"/>
    </row>
    <row r="908" spans="2:22" x14ac:dyDescent="0.2">
      <c r="D908" s="1589" t="s">
        <v>289</v>
      </c>
      <c r="E908" s="714"/>
      <c r="H908" s="1230">
        <v>-81296499.189999998</v>
      </c>
      <c r="I908" s="782"/>
      <c r="J908" s="1230">
        <v>-72800958.840000004</v>
      </c>
      <c r="M908" s="255"/>
      <c r="N908" s="255"/>
      <c r="O908" s="255"/>
      <c r="P908" s="255"/>
      <c r="V908" s="255"/>
    </row>
    <row r="909" spans="2:22" ht="13.5" thickBot="1" x14ac:dyDescent="0.25">
      <c r="D909" s="532" t="s">
        <v>589</v>
      </c>
      <c r="E909" s="714"/>
      <c r="H909" s="1233">
        <f>SUM(H907:H908)</f>
        <v>0</v>
      </c>
      <c r="I909" s="782"/>
      <c r="J909" s="1233">
        <f>SUM(J907:J908)</f>
        <v>0</v>
      </c>
      <c r="M909" s="255"/>
      <c r="N909" s="255"/>
      <c r="O909" s="255"/>
      <c r="P909" s="255"/>
      <c r="V909" s="255"/>
    </row>
    <row r="910" spans="2:22" ht="13.5" thickTop="1" x14ac:dyDescent="0.2">
      <c r="D910" s="532"/>
      <c r="E910" s="714"/>
      <c r="H910" s="1489"/>
      <c r="I910" s="782"/>
      <c r="J910" s="1489"/>
      <c r="M910" s="255"/>
      <c r="N910" s="255"/>
      <c r="O910" s="255"/>
      <c r="P910" s="255"/>
      <c r="V910" s="255"/>
    </row>
    <row r="911" spans="2:22" x14ac:dyDescent="0.2">
      <c r="D911" s="532" t="s">
        <v>590</v>
      </c>
      <c r="E911" s="714"/>
      <c r="H911" s="781"/>
      <c r="I911" s="782"/>
      <c r="J911" s="781"/>
      <c r="M911" s="255"/>
      <c r="N911" s="255"/>
      <c r="O911" s="255"/>
      <c r="P911" s="255"/>
      <c r="V911" s="255"/>
    </row>
    <row r="912" spans="2:22" x14ac:dyDescent="0.2">
      <c r="C912" s="723">
        <v>31.5</v>
      </c>
      <c r="D912" s="1589" t="s">
        <v>588</v>
      </c>
      <c r="E912" s="714"/>
      <c r="H912" s="1230">
        <v>5963122.2599999998</v>
      </c>
      <c r="I912" s="782"/>
      <c r="J912" s="1230">
        <v>5492364.4400000004</v>
      </c>
      <c r="M912" s="255"/>
      <c r="N912" s="255"/>
      <c r="O912" s="255"/>
      <c r="P912" s="255"/>
      <c r="V912" s="255"/>
    </row>
    <row r="913" spans="2:22" x14ac:dyDescent="0.2">
      <c r="D913" s="1589" t="s">
        <v>289</v>
      </c>
      <c r="E913" s="714"/>
      <c r="H913" s="1230">
        <v>-5963122.2599999998</v>
      </c>
      <c r="I913" s="782"/>
      <c r="J913" s="1230">
        <v>-5492364.4400000004</v>
      </c>
      <c r="M913" s="255"/>
      <c r="N913" s="255"/>
      <c r="O913" s="255"/>
      <c r="P913" s="255"/>
      <c r="V913" s="255"/>
    </row>
    <row r="914" spans="2:22" ht="13.5" thickBot="1" x14ac:dyDescent="0.25">
      <c r="D914" s="532" t="s">
        <v>589</v>
      </c>
      <c r="E914" s="714"/>
      <c r="H914" s="1233">
        <f>SUM(H912:H913)</f>
        <v>0</v>
      </c>
      <c r="I914" s="782"/>
      <c r="J914" s="1233">
        <f>SUM(J912:J913)</f>
        <v>0</v>
      </c>
      <c r="M914" s="255"/>
      <c r="N914" s="255"/>
      <c r="O914" s="255"/>
      <c r="P914" s="255"/>
      <c r="V914" s="255"/>
    </row>
    <row r="915" spans="2:22" ht="13.5" thickTop="1" x14ac:dyDescent="0.2">
      <c r="D915" s="714"/>
      <c r="E915" s="714"/>
      <c r="H915" s="781"/>
      <c r="I915" s="782"/>
      <c r="J915" s="781"/>
      <c r="M915" s="255"/>
      <c r="N915" s="255"/>
      <c r="O915" s="255"/>
      <c r="P915" s="255"/>
      <c r="V915" s="255"/>
    </row>
    <row r="916" spans="2:22" x14ac:dyDescent="0.2">
      <c r="D916" s="532" t="s">
        <v>591</v>
      </c>
      <c r="E916" s="714"/>
      <c r="H916" s="781"/>
      <c r="I916" s="782"/>
      <c r="J916" s="781"/>
      <c r="M916" s="255"/>
      <c r="N916" s="255"/>
      <c r="O916" s="255"/>
      <c r="P916" s="255"/>
      <c r="V916" s="255"/>
    </row>
    <row r="917" spans="2:22" x14ac:dyDescent="0.2">
      <c r="C917" s="723">
        <v>31.6</v>
      </c>
      <c r="D917" s="1589" t="s">
        <v>588</v>
      </c>
      <c r="E917" s="714"/>
      <c r="H917" s="1230">
        <v>39353230.829999998</v>
      </c>
      <c r="I917" s="782"/>
      <c r="J917" s="1230">
        <v>33684437.130000003</v>
      </c>
      <c r="M917" s="255"/>
      <c r="N917" s="255"/>
      <c r="O917" s="255"/>
      <c r="P917" s="255"/>
      <c r="V917" s="255"/>
    </row>
    <row r="918" spans="2:22" x14ac:dyDescent="0.2">
      <c r="D918" s="1589" t="s">
        <v>289</v>
      </c>
      <c r="E918" s="714"/>
      <c r="H918" s="1230">
        <v>-39353230.829999998</v>
      </c>
      <c r="I918" s="782"/>
      <c r="J918" s="1230">
        <v>-33684437.130000003</v>
      </c>
      <c r="M918" s="255"/>
      <c r="N918" s="255"/>
      <c r="O918" s="255"/>
      <c r="P918" s="255"/>
      <c r="V918" s="255"/>
    </row>
    <row r="919" spans="2:22" ht="13.5" thickBot="1" x14ac:dyDescent="0.25">
      <c r="B919" s="776"/>
      <c r="D919" s="532" t="s">
        <v>589</v>
      </c>
      <c r="E919" s="714"/>
      <c r="H919" s="1233">
        <f>SUM(H916:H918)</f>
        <v>0</v>
      </c>
      <c r="J919" s="1233">
        <f>SUM(J916:J918)</f>
        <v>0</v>
      </c>
      <c r="M919" s="255"/>
      <c r="N919" s="255"/>
      <c r="O919" s="255"/>
      <c r="P919" s="255"/>
      <c r="V919" s="255"/>
    </row>
    <row r="920" spans="2:22" ht="13.5" thickTop="1" x14ac:dyDescent="0.2">
      <c r="B920" s="776"/>
      <c r="D920" s="532"/>
      <c r="E920" s="714"/>
      <c r="H920" s="781"/>
      <c r="I920" s="782"/>
      <c r="J920" s="781"/>
      <c r="L920" s="255"/>
      <c r="M920" s="255"/>
      <c r="N920" s="255"/>
      <c r="O920" s="255"/>
      <c r="P920" s="255"/>
      <c r="V920" s="255"/>
    </row>
    <row r="921" spans="2:22" x14ac:dyDescent="0.2">
      <c r="B921" s="777"/>
      <c r="D921" s="532" t="s">
        <v>592</v>
      </c>
      <c r="E921" s="714"/>
      <c r="H921" s="781"/>
      <c r="I921" s="782"/>
      <c r="J921" s="781"/>
      <c r="L921" s="255"/>
      <c r="M921" s="255"/>
      <c r="N921" s="255"/>
      <c r="O921" s="255"/>
      <c r="P921" s="255"/>
      <c r="V921" s="255"/>
    </row>
    <row r="922" spans="2:22" x14ac:dyDescent="0.2">
      <c r="B922" s="723"/>
      <c r="C922" s="723">
        <v>31.7</v>
      </c>
      <c r="D922" s="1589" t="s">
        <v>588</v>
      </c>
      <c r="E922" s="714"/>
      <c r="H922" s="1230">
        <v>94543605.599999994</v>
      </c>
      <c r="I922" s="782"/>
      <c r="J922" s="1230">
        <v>77079525.629999995</v>
      </c>
      <c r="L922" s="255"/>
      <c r="M922" s="255"/>
      <c r="N922" s="255"/>
      <c r="O922" s="255"/>
      <c r="P922" s="255"/>
      <c r="V922" s="255"/>
    </row>
    <row r="923" spans="2:22" x14ac:dyDescent="0.2">
      <c r="B923" s="777"/>
      <c r="D923" s="1589" t="s">
        <v>289</v>
      </c>
      <c r="E923" s="714"/>
      <c r="H923" s="1230">
        <v>-94543605.599999994</v>
      </c>
      <c r="I923" s="782"/>
      <c r="J923" s="1230">
        <v>-77079525.629999995</v>
      </c>
      <c r="L923" s="255"/>
      <c r="M923" s="255"/>
      <c r="N923" s="255"/>
      <c r="O923" s="255"/>
      <c r="P923" s="255"/>
      <c r="V923" s="255"/>
    </row>
    <row r="924" spans="2:22" ht="13.5" thickBot="1" x14ac:dyDescent="0.25">
      <c r="B924" s="777"/>
      <c r="D924" s="532" t="s">
        <v>589</v>
      </c>
      <c r="E924" s="714"/>
      <c r="H924" s="1233">
        <f>SUM(H922:H923)</f>
        <v>0</v>
      </c>
      <c r="I924" s="782"/>
      <c r="J924" s="1233">
        <f>SUM(J922:J923)</f>
        <v>0</v>
      </c>
      <c r="L924" s="255"/>
      <c r="M924" s="255"/>
      <c r="N924" s="255"/>
      <c r="O924" s="255"/>
      <c r="P924" s="255"/>
      <c r="V924" s="255"/>
    </row>
    <row r="925" spans="2:22" ht="13.5" thickTop="1" x14ac:dyDescent="0.2">
      <c r="B925" s="777"/>
      <c r="I925" s="782"/>
      <c r="L925" s="255"/>
      <c r="M925" s="255"/>
      <c r="N925" s="255"/>
      <c r="O925" s="255"/>
      <c r="P925" s="255"/>
      <c r="V925" s="255"/>
    </row>
    <row r="926" spans="2:22" x14ac:dyDescent="0.2">
      <c r="B926" s="777"/>
      <c r="D926" s="260" t="s">
        <v>2557</v>
      </c>
      <c r="L926" s="255"/>
      <c r="M926" s="255"/>
      <c r="N926" s="255"/>
      <c r="O926" s="255"/>
      <c r="P926" s="255"/>
      <c r="V926" s="255"/>
    </row>
    <row r="927" spans="2:22" x14ac:dyDescent="0.2">
      <c r="B927" s="777"/>
      <c r="C927" s="723">
        <v>31.8</v>
      </c>
      <c r="D927" s="260"/>
      <c r="E927" s="754"/>
      <c r="G927" s="436"/>
      <c r="L927" s="255"/>
      <c r="M927" s="255"/>
      <c r="N927" s="255"/>
      <c r="O927" s="255"/>
      <c r="P927" s="255"/>
      <c r="V927" s="255"/>
    </row>
    <row r="928" spans="2:22" ht="38.25" x14ac:dyDescent="0.2">
      <c r="B928" s="777"/>
      <c r="D928" s="267" t="s">
        <v>3912</v>
      </c>
      <c r="E928" s="318"/>
      <c r="G928" s="1379" t="s">
        <v>374</v>
      </c>
      <c r="H928" s="1380" t="s">
        <v>2558</v>
      </c>
      <c r="J928" s="1380" t="s">
        <v>2559</v>
      </c>
      <c r="L928" s="255"/>
      <c r="M928" s="255"/>
      <c r="N928" s="255"/>
      <c r="O928" s="255"/>
      <c r="P928" s="255"/>
      <c r="V928" s="255"/>
    </row>
    <row r="929" spans="2:22" x14ac:dyDescent="0.2">
      <c r="B929" s="777"/>
      <c r="D929" s="318"/>
      <c r="F929" s="1378"/>
      <c r="G929" s="1382" t="s">
        <v>59</v>
      </c>
      <c r="H929" s="1383" t="s">
        <v>59</v>
      </c>
      <c r="I929" s="804"/>
      <c r="J929" s="1384" t="s">
        <v>59</v>
      </c>
      <c r="L929" s="255"/>
      <c r="M929" s="255"/>
      <c r="N929" s="255"/>
      <c r="O929" s="255"/>
      <c r="P929" s="255"/>
      <c r="V929" s="255"/>
    </row>
    <row r="930" spans="2:22" ht="15" x14ac:dyDescent="0.25">
      <c r="B930" s="777"/>
      <c r="D930" s="1490" t="s">
        <v>3952</v>
      </c>
      <c r="E930" s="528" t="s">
        <v>296</v>
      </c>
      <c r="F930" s="1381"/>
      <c r="G930" s="1493">
        <v>5580.08</v>
      </c>
      <c r="H930" s="1234">
        <v>3544.1499999999996</v>
      </c>
      <c r="I930" s="1211"/>
      <c r="J930" s="1230">
        <v>2035.9299999999998</v>
      </c>
      <c r="L930" s="255"/>
      <c r="M930" s="255"/>
      <c r="N930" s="255"/>
      <c r="O930" s="255"/>
      <c r="P930" s="255"/>
      <c r="V930" s="255"/>
    </row>
    <row r="931" spans="2:22" ht="15" x14ac:dyDescent="0.25">
      <c r="B931" s="777"/>
      <c r="D931" s="1490" t="s">
        <v>3953</v>
      </c>
      <c r="E931" s="1491"/>
      <c r="F931" s="1492"/>
      <c r="G931" s="1493">
        <v>1449.06</v>
      </c>
      <c r="H931" s="1234">
        <v>835.26</v>
      </c>
      <c r="I931" s="1234"/>
      <c r="J931" s="1230">
        <v>613.79999999999995</v>
      </c>
      <c r="L931" s="255"/>
      <c r="M931" s="255"/>
      <c r="N931" s="255"/>
      <c r="O931" s="255"/>
      <c r="P931" s="255"/>
      <c r="V931" s="255"/>
    </row>
    <row r="932" spans="2:22" ht="15" x14ac:dyDescent="0.25">
      <c r="B932" s="777"/>
      <c r="D932" s="1490" t="s">
        <v>3954</v>
      </c>
      <c r="E932" s="1491"/>
      <c r="F932" s="1492"/>
      <c r="G932" s="1493">
        <v>1572.2200000000003</v>
      </c>
      <c r="H932" s="1234">
        <v>537.84</v>
      </c>
      <c r="I932" s="1234"/>
      <c r="J932" s="1230">
        <v>1034.3800000000001</v>
      </c>
      <c r="L932" s="255"/>
      <c r="M932" s="255"/>
      <c r="N932" s="255"/>
      <c r="O932" s="255"/>
      <c r="P932" s="255"/>
      <c r="V932" s="255"/>
    </row>
    <row r="933" spans="2:22" ht="15" x14ac:dyDescent="0.25">
      <c r="B933" s="777"/>
      <c r="D933" s="424" t="s">
        <v>3955</v>
      </c>
      <c r="E933" s="1491"/>
      <c r="F933" s="1492"/>
      <c r="G933" s="1493">
        <v>983.7</v>
      </c>
      <c r="H933" s="1234">
        <v>516.6</v>
      </c>
      <c r="I933" s="1234"/>
      <c r="J933" s="1230">
        <v>467.1</v>
      </c>
      <c r="L933" s="255"/>
      <c r="M933" s="255"/>
      <c r="N933" s="255"/>
      <c r="O933" s="255"/>
      <c r="P933" s="255"/>
      <c r="V933" s="255"/>
    </row>
    <row r="934" spans="2:22" ht="15" x14ac:dyDescent="0.25">
      <c r="B934" s="777"/>
      <c r="D934" s="1490" t="s">
        <v>3959</v>
      </c>
      <c r="E934" s="1491"/>
      <c r="F934" s="1492"/>
      <c r="G934" s="1493">
        <v>263.91000000000003</v>
      </c>
      <c r="H934" s="1234">
        <v>0</v>
      </c>
      <c r="I934" s="1234"/>
      <c r="J934" s="1230">
        <v>263.91000000000003</v>
      </c>
      <c r="L934" s="255"/>
      <c r="M934" s="255"/>
      <c r="N934" s="255"/>
      <c r="O934" s="255"/>
      <c r="P934" s="255"/>
      <c r="V934" s="255"/>
    </row>
    <row r="935" spans="2:22" ht="15" x14ac:dyDescent="0.25">
      <c r="B935" s="777"/>
      <c r="D935" s="424" t="s">
        <v>3958</v>
      </c>
      <c r="E935" s="1491"/>
      <c r="F935" s="1492"/>
      <c r="G935" s="1493">
        <v>1684.01</v>
      </c>
      <c r="H935" s="1234">
        <v>263.68</v>
      </c>
      <c r="I935" s="1234"/>
      <c r="J935" s="1230">
        <v>1420.33</v>
      </c>
      <c r="L935" s="255"/>
      <c r="M935" s="255"/>
      <c r="N935" s="255"/>
      <c r="O935" s="255"/>
      <c r="P935" s="255"/>
      <c r="V935" s="255"/>
    </row>
    <row r="936" spans="2:22" ht="15" x14ac:dyDescent="0.25">
      <c r="B936" s="777"/>
      <c r="D936" s="424" t="s">
        <v>3960</v>
      </c>
      <c r="E936" s="1491"/>
      <c r="F936" s="1492"/>
      <c r="G936" s="1493">
        <v>14018.49</v>
      </c>
      <c r="H936" s="1234">
        <v>356.04</v>
      </c>
      <c r="I936" s="1234"/>
      <c r="J936" s="1230">
        <v>13662.449999999999</v>
      </c>
      <c r="L936" s="255"/>
      <c r="M936" s="255"/>
      <c r="N936" s="255"/>
      <c r="O936" s="255"/>
      <c r="P936" s="255"/>
      <c r="V936" s="255"/>
    </row>
    <row r="937" spans="2:22" ht="15" x14ac:dyDescent="0.25">
      <c r="B937" s="777"/>
      <c r="D937" s="424" t="s">
        <v>3956</v>
      </c>
      <c r="E937" s="1491"/>
      <c r="F937" s="1492"/>
      <c r="G937" s="1493">
        <v>74373.649999999994</v>
      </c>
      <c r="H937" s="1234">
        <v>2510.75</v>
      </c>
      <c r="I937" s="1234"/>
      <c r="J937" s="1230">
        <v>71862.899999999994</v>
      </c>
      <c r="L937" s="255"/>
      <c r="M937" s="255"/>
      <c r="N937" s="255"/>
      <c r="O937" s="255"/>
      <c r="P937" s="255"/>
      <c r="V937" s="255"/>
    </row>
    <row r="938" spans="2:22" ht="15" x14ac:dyDescent="0.25">
      <c r="B938" s="777"/>
      <c r="D938" s="424" t="s">
        <v>3957</v>
      </c>
      <c r="E938" s="1491"/>
      <c r="F938" s="1492"/>
      <c r="G938" s="1493">
        <v>797.6</v>
      </c>
      <c r="H938" s="1234">
        <v>230.1</v>
      </c>
      <c r="I938" s="1234"/>
      <c r="J938" s="1230">
        <v>567.5</v>
      </c>
      <c r="L938" s="255"/>
      <c r="M938" s="255"/>
      <c r="N938" s="255"/>
      <c r="O938" s="255"/>
      <c r="P938" s="255"/>
      <c r="V938" s="255"/>
    </row>
    <row r="939" spans="2:22" ht="13.5" thickBot="1" x14ac:dyDescent="0.25">
      <c r="B939" s="777"/>
      <c r="D939" s="260" t="s">
        <v>2560</v>
      </c>
      <c r="E939" s="1491"/>
      <c r="F939" s="1492"/>
      <c r="G939" s="1488">
        <f>SUM(G930:G938)</f>
        <v>100722.72</v>
      </c>
      <c r="H939" s="1233">
        <f>SUM(H930:H938)</f>
        <v>8794.42</v>
      </c>
      <c r="I939" s="1234"/>
      <c r="J939" s="1233">
        <f>SUM(J930:J938)</f>
        <v>91928.299999999988</v>
      </c>
      <c r="L939" s="255"/>
      <c r="M939" s="255"/>
      <c r="N939" s="255"/>
      <c r="O939" s="255"/>
      <c r="P939" s="255"/>
      <c r="V939" s="255"/>
    </row>
    <row r="940" spans="2:22" ht="14.25" thickTop="1" thickBot="1" x14ac:dyDescent="0.25">
      <c r="B940" s="777"/>
      <c r="D940" s="318"/>
      <c r="E940" s="263"/>
      <c r="F940" s="725"/>
      <c r="G940" s="1494"/>
      <c r="H940" s="1495"/>
      <c r="I940" s="1233">
        <f>SUM(I931:I939)</f>
        <v>0</v>
      </c>
      <c r="J940" s="1495"/>
      <c r="L940" s="255"/>
      <c r="M940" s="255"/>
      <c r="N940" s="255"/>
      <c r="O940" s="255"/>
      <c r="P940" s="255"/>
      <c r="V940" s="255"/>
    </row>
    <row r="941" spans="2:22" ht="13.5" thickTop="1" x14ac:dyDescent="0.2">
      <c r="B941" s="777"/>
      <c r="D941" s="1496" t="s">
        <v>2561</v>
      </c>
      <c r="E941" s="318"/>
      <c r="F941" s="1494"/>
      <c r="G941" s="1587"/>
      <c r="H941" s="255"/>
      <c r="J941" s="1497"/>
      <c r="L941" s="255"/>
      <c r="M941" s="255"/>
      <c r="N941" s="255"/>
      <c r="O941" s="255"/>
      <c r="P941" s="255"/>
      <c r="V941" s="255"/>
    </row>
    <row r="942" spans="2:22" x14ac:dyDescent="0.2">
      <c r="B942" s="777"/>
      <c r="D942" s="186"/>
      <c r="E942" s="318"/>
      <c r="F942" s="1587"/>
      <c r="G942" s="824" t="s">
        <v>59</v>
      </c>
      <c r="H942" s="1498" t="s">
        <v>2562</v>
      </c>
      <c r="I942" s="463"/>
      <c r="J942" s="1499"/>
      <c r="L942" s="255"/>
      <c r="M942" s="255"/>
      <c r="N942" s="255"/>
      <c r="O942" s="255"/>
      <c r="P942" s="255"/>
      <c r="V942" s="255"/>
    </row>
    <row r="943" spans="2:22" ht="15" x14ac:dyDescent="0.25">
      <c r="B943" s="777"/>
      <c r="D943" s="424" t="s">
        <v>3956</v>
      </c>
      <c r="E943" s="318"/>
      <c r="F943" s="528"/>
      <c r="G943" s="1230">
        <v>71862.899999999994</v>
      </c>
      <c r="H943" s="804" t="s">
        <v>3003</v>
      </c>
      <c r="I943" s="463"/>
      <c r="J943" s="1500"/>
      <c r="L943" s="255"/>
      <c r="M943" s="255"/>
      <c r="N943" s="255"/>
      <c r="O943" s="255"/>
      <c r="P943" s="255"/>
      <c r="V943" s="255"/>
    </row>
    <row r="944" spans="2:22" ht="15" x14ac:dyDescent="0.25">
      <c r="B944" s="777"/>
      <c r="D944" s="424" t="s">
        <v>3960</v>
      </c>
      <c r="E944" s="823"/>
      <c r="F944" s="1500"/>
      <c r="G944" s="1230">
        <v>13662.449999999999</v>
      </c>
      <c r="H944" s="804" t="s">
        <v>3003</v>
      </c>
      <c r="I944" s="834"/>
      <c r="J944" s="1492"/>
      <c r="L944" s="255"/>
      <c r="M944" s="255"/>
      <c r="N944" s="255"/>
      <c r="O944" s="255"/>
      <c r="P944" s="255"/>
      <c r="V944" s="255"/>
    </row>
    <row r="945" spans="2:22" ht="15" x14ac:dyDescent="0.25">
      <c r="B945" s="777"/>
      <c r="D945" s="1490" t="s">
        <v>3952</v>
      </c>
      <c r="E945" s="318"/>
      <c r="F945" s="1492"/>
      <c r="G945" s="1230">
        <v>3544</v>
      </c>
      <c r="H945" s="804" t="s">
        <v>3184</v>
      </c>
      <c r="I945" s="804"/>
      <c r="J945" s="1492"/>
      <c r="L945" s="255"/>
      <c r="M945" s="255"/>
      <c r="N945" s="255"/>
      <c r="O945" s="255"/>
      <c r="P945" s="255"/>
      <c r="V945" s="255"/>
    </row>
    <row r="946" spans="2:22" ht="15" x14ac:dyDescent="0.25">
      <c r="B946" s="777"/>
      <c r="D946" s="424" t="s">
        <v>3958</v>
      </c>
      <c r="E946" s="318"/>
      <c r="F946" s="1492"/>
      <c r="G946" s="1230">
        <v>1420.33</v>
      </c>
      <c r="H946" s="804" t="s">
        <v>3003</v>
      </c>
      <c r="I946" s="804"/>
      <c r="J946" s="1492"/>
      <c r="L946" s="255"/>
      <c r="M946" s="255"/>
      <c r="N946" s="255"/>
      <c r="O946" s="255"/>
      <c r="P946" s="255"/>
      <c r="V946" s="255"/>
    </row>
    <row r="947" spans="2:22" ht="15" x14ac:dyDescent="0.25">
      <c r="B947" s="777"/>
      <c r="D947" s="1490" t="s">
        <v>3954</v>
      </c>
      <c r="E947" s="318"/>
      <c r="F947" s="1492"/>
      <c r="G947" s="1230">
        <v>1034.3800000000001</v>
      </c>
      <c r="H947" s="804" t="s">
        <v>3003</v>
      </c>
      <c r="I947" s="804" t="s">
        <v>296</v>
      </c>
      <c r="J947" s="1492"/>
      <c r="L947" s="255"/>
      <c r="M947" s="255"/>
      <c r="N947" s="255"/>
      <c r="O947" s="255"/>
      <c r="P947" s="255"/>
      <c r="V947" s="255"/>
    </row>
    <row r="948" spans="2:22" ht="15" x14ac:dyDescent="0.25">
      <c r="B948" s="777"/>
      <c r="D948" s="1490" t="s">
        <v>3953</v>
      </c>
      <c r="E948" s="318"/>
      <c r="F948" s="1492"/>
      <c r="G948" s="1230">
        <v>613.79999999999995</v>
      </c>
      <c r="H948" s="804" t="s">
        <v>3003</v>
      </c>
      <c r="I948" s="804"/>
      <c r="J948" s="1492"/>
      <c r="L948" s="255"/>
      <c r="M948" s="255"/>
      <c r="N948" s="255"/>
      <c r="O948" s="255"/>
      <c r="P948" s="255"/>
      <c r="V948" s="255"/>
    </row>
    <row r="949" spans="2:22" ht="15" x14ac:dyDescent="0.25">
      <c r="B949" s="777"/>
      <c r="D949" s="424" t="s">
        <v>3957</v>
      </c>
      <c r="E949" s="318"/>
      <c r="F949" s="1492"/>
      <c r="G949" s="1230">
        <v>567.5</v>
      </c>
      <c r="H949" s="804" t="s">
        <v>3003</v>
      </c>
      <c r="I949" s="804"/>
      <c r="J949" s="1500"/>
      <c r="L949" s="255"/>
      <c r="M949" s="255"/>
      <c r="N949" s="255"/>
      <c r="O949" s="255"/>
      <c r="P949" s="255"/>
      <c r="V949" s="255"/>
    </row>
    <row r="950" spans="2:22" ht="15" x14ac:dyDescent="0.25">
      <c r="B950" s="777"/>
      <c r="D950" s="424" t="s">
        <v>3955</v>
      </c>
      <c r="E950" s="823"/>
      <c r="F950" s="1500"/>
      <c r="G950" s="1230">
        <v>467.1</v>
      </c>
      <c r="H950" s="804" t="s">
        <v>3003</v>
      </c>
      <c r="I950" s="834"/>
      <c r="J950" s="1500"/>
      <c r="L950" s="255"/>
      <c r="M950" s="255"/>
      <c r="N950" s="255"/>
      <c r="O950" s="255"/>
      <c r="P950" s="255"/>
      <c r="V950" s="255"/>
    </row>
    <row r="951" spans="2:22" ht="15" x14ac:dyDescent="0.25">
      <c r="B951" s="777"/>
      <c r="D951" s="1490" t="s">
        <v>3959</v>
      </c>
      <c r="E951" s="823"/>
      <c r="F951" s="1500"/>
      <c r="G951" s="1230">
        <v>263.91000000000003</v>
      </c>
      <c r="H951" s="804" t="s">
        <v>3003</v>
      </c>
      <c r="I951" s="834"/>
      <c r="J951" s="1500"/>
      <c r="L951" s="255"/>
      <c r="M951" s="255"/>
      <c r="N951" s="255"/>
      <c r="O951" s="255"/>
      <c r="P951" s="255"/>
      <c r="V951" s="255"/>
    </row>
    <row r="952" spans="2:22" x14ac:dyDescent="0.2">
      <c r="B952" s="777"/>
      <c r="D952" s="831"/>
      <c r="E952" s="823"/>
      <c r="F952" s="1500"/>
      <c r="G952" s="833"/>
      <c r="H952" s="834"/>
      <c r="I952" s="834"/>
      <c r="L952" s="255"/>
      <c r="M952" s="255"/>
      <c r="N952" s="255"/>
      <c r="O952" s="255"/>
      <c r="P952" s="255"/>
      <c r="V952" s="255"/>
    </row>
    <row r="953" spans="2:22" x14ac:dyDescent="0.2">
      <c r="B953" s="777"/>
      <c r="D953" s="728" t="s">
        <v>891</v>
      </c>
      <c r="E953" s="823"/>
      <c r="F953" s="832"/>
      <c r="I953" s="834"/>
      <c r="L953" s="255"/>
      <c r="M953" s="255"/>
      <c r="N953" s="255"/>
      <c r="O953" s="255"/>
      <c r="P953" s="255"/>
      <c r="V953" s="255"/>
    </row>
    <row r="954" spans="2:22" x14ac:dyDescent="0.2">
      <c r="B954" s="527">
        <v>32</v>
      </c>
      <c r="F954" s="185"/>
      <c r="L954" s="255"/>
      <c r="M954" s="255"/>
      <c r="N954" s="255"/>
      <c r="O954" s="255"/>
      <c r="P954" s="255"/>
      <c r="V954" s="255"/>
    </row>
    <row r="955" spans="2:22" x14ac:dyDescent="0.2">
      <c r="D955" s="260" t="s">
        <v>3220</v>
      </c>
      <c r="F955" s="185"/>
      <c r="H955" s="787"/>
      <c r="J955" s="787"/>
      <c r="L955" s="255"/>
      <c r="M955" s="255"/>
      <c r="N955" s="255"/>
      <c r="O955" s="255"/>
      <c r="P955" s="255"/>
      <c r="V955" s="255"/>
    </row>
    <row r="956" spans="2:22" x14ac:dyDescent="0.2">
      <c r="D956" s="185" t="s">
        <v>3551</v>
      </c>
      <c r="E956" s="728"/>
      <c r="F956" s="185"/>
      <c r="H956" s="781">
        <f>SUM(H957:H961)</f>
        <v>538854393</v>
      </c>
      <c r="I956" s="786"/>
      <c r="J956" s="781">
        <f>SUM(J957:J960)</f>
        <v>1011297942.29</v>
      </c>
      <c r="L956" s="255"/>
      <c r="M956" s="255"/>
      <c r="N956" s="255"/>
      <c r="O956" s="255"/>
      <c r="P956" s="255"/>
      <c r="V956" s="255"/>
    </row>
    <row r="957" spans="2:22" x14ac:dyDescent="0.2">
      <c r="D957" s="185" t="s">
        <v>3552</v>
      </c>
      <c r="H957" s="1458">
        <v>146887117</v>
      </c>
      <c r="I957" s="781"/>
      <c r="J957" s="1458">
        <v>344041713.75</v>
      </c>
    </row>
    <row r="958" spans="2:22" x14ac:dyDescent="0.2">
      <c r="D958" s="185" t="s">
        <v>801</v>
      </c>
      <c r="H958" s="1459">
        <v>123131218</v>
      </c>
      <c r="I958" s="782"/>
      <c r="J958" s="1459">
        <v>537321308.16999996</v>
      </c>
    </row>
    <row r="959" spans="2:22" hidden="1" x14ac:dyDescent="0.2">
      <c r="D959" s="185" t="s">
        <v>798</v>
      </c>
      <c r="H959" s="1459">
        <v>0</v>
      </c>
      <c r="I959" s="782"/>
      <c r="J959" s="1459">
        <v>0</v>
      </c>
    </row>
    <row r="960" spans="2:22" hidden="1" x14ac:dyDescent="0.2">
      <c r="D960" s="185" t="s">
        <v>809</v>
      </c>
      <c r="H960" s="1460"/>
      <c r="I960" s="782"/>
      <c r="J960" s="1460">
        <v>129934920.37</v>
      </c>
    </row>
    <row r="961" spans="2:22" x14ac:dyDescent="0.2">
      <c r="D961" s="185" t="s">
        <v>809</v>
      </c>
      <c r="H961" s="1460">
        <v>268836058</v>
      </c>
      <c r="I961" s="782"/>
      <c r="J961" s="1460">
        <v>129934920</v>
      </c>
    </row>
    <row r="962" spans="2:22" hidden="1" x14ac:dyDescent="0.2">
      <c r="D962" s="185" t="s">
        <v>3553</v>
      </c>
      <c r="H962" s="781"/>
      <c r="I962" s="782"/>
      <c r="J962" s="781">
        <v>5336812</v>
      </c>
    </row>
    <row r="963" spans="2:22" ht="13.5" thickBot="1" x14ac:dyDescent="0.25">
      <c r="D963" s="185" t="s">
        <v>3554</v>
      </c>
      <c r="H963" s="1456">
        <f>H956+H962</f>
        <v>538854393</v>
      </c>
      <c r="I963" s="786"/>
      <c r="J963" s="1456">
        <f>J956+J962</f>
        <v>1016634754.29</v>
      </c>
    </row>
    <row r="964" spans="2:22" ht="13.5" thickTop="1" x14ac:dyDescent="0.2">
      <c r="D964" s="185"/>
      <c r="H964" s="787"/>
      <c r="I964" s="782"/>
      <c r="J964" s="787"/>
    </row>
    <row r="965" spans="2:22" x14ac:dyDescent="0.2">
      <c r="D965" s="260" t="s">
        <v>892</v>
      </c>
      <c r="H965" s="1495">
        <f>H966+H967</f>
        <v>538854392</v>
      </c>
      <c r="I965" s="782"/>
      <c r="J965" s="1495">
        <f>J966+J967</f>
        <v>1016634754.28</v>
      </c>
    </row>
    <row r="966" spans="2:22" x14ac:dyDescent="0.2">
      <c r="D966" s="185" t="s">
        <v>1002</v>
      </c>
      <c r="H966" s="1458">
        <v>255941508</v>
      </c>
      <c r="I966" s="1495">
        <f>I967+I968</f>
        <v>0</v>
      </c>
      <c r="J966" s="1458">
        <v>839530499.63</v>
      </c>
    </row>
    <row r="967" spans="2:22" x14ac:dyDescent="0.2">
      <c r="D967" s="185" t="s">
        <v>3547</v>
      </c>
      <c r="H967" s="1460">
        <v>282912884</v>
      </c>
      <c r="I967" s="782"/>
      <c r="J967" s="1460">
        <f>171767442.65+J962</f>
        <v>177104254.65000001</v>
      </c>
    </row>
    <row r="968" spans="2:22" x14ac:dyDescent="0.2">
      <c r="D968" s="260"/>
      <c r="H968" s="787"/>
      <c r="I968" s="782"/>
      <c r="J968" s="787"/>
    </row>
    <row r="969" spans="2:22" hidden="1" x14ac:dyDescent="0.2">
      <c r="B969" s="255"/>
      <c r="C969" s="723">
        <v>33.200000000000003</v>
      </c>
      <c r="D969" s="318"/>
      <c r="H969" s="787"/>
      <c r="J969" s="787"/>
      <c r="L969" s="255"/>
      <c r="M969" s="255"/>
      <c r="N969" s="255"/>
      <c r="O969" s="255"/>
      <c r="P969" s="255"/>
      <c r="V969" s="255"/>
    </row>
    <row r="970" spans="2:22" ht="25.5" hidden="1" x14ac:dyDescent="0.2">
      <c r="B970" s="255"/>
      <c r="D970" s="497" t="s">
        <v>2866</v>
      </c>
      <c r="H970" s="787"/>
      <c r="J970" s="787"/>
      <c r="L970" s="255"/>
      <c r="M970" s="255"/>
      <c r="N970" s="255"/>
      <c r="O970" s="255"/>
      <c r="P970" s="255"/>
      <c r="V970" s="255"/>
    </row>
    <row r="971" spans="2:22" hidden="1" x14ac:dyDescent="0.2">
      <c r="B971" s="255"/>
      <c r="D971" s="318"/>
      <c r="H971" s="787"/>
      <c r="J971" s="787"/>
      <c r="L971" s="255"/>
      <c r="M971" s="255"/>
      <c r="N971" s="255"/>
      <c r="O971" s="255"/>
      <c r="P971" s="255"/>
      <c r="V971" s="255"/>
    </row>
    <row r="972" spans="2:22" ht="38.25" hidden="1" x14ac:dyDescent="0.2">
      <c r="B972" s="255"/>
      <c r="D972" s="497" t="s">
        <v>2563</v>
      </c>
      <c r="H972" s="787"/>
      <c r="J972" s="787"/>
      <c r="L972" s="255"/>
      <c r="M972" s="255"/>
      <c r="N972" s="255"/>
      <c r="O972" s="255"/>
      <c r="P972" s="255"/>
      <c r="V972" s="255"/>
    </row>
    <row r="973" spans="2:22" hidden="1" x14ac:dyDescent="0.2">
      <c r="B973" s="255"/>
      <c r="D973" s="185"/>
      <c r="H973" s="787"/>
      <c r="J973" s="787"/>
      <c r="L973" s="255"/>
      <c r="M973" s="255"/>
      <c r="N973" s="255"/>
      <c r="O973" s="255"/>
      <c r="P973" s="255"/>
      <c r="V973" s="255"/>
    </row>
    <row r="974" spans="2:22" hidden="1" x14ac:dyDescent="0.2">
      <c r="B974" s="255"/>
      <c r="D974" s="260" t="s">
        <v>2564</v>
      </c>
      <c r="H974" s="787"/>
      <c r="J974" s="787"/>
      <c r="L974" s="255"/>
      <c r="M974" s="255"/>
      <c r="N974" s="255"/>
      <c r="O974" s="255"/>
      <c r="P974" s="255"/>
      <c r="V974" s="255"/>
    </row>
    <row r="975" spans="2:22" hidden="1" x14ac:dyDescent="0.2">
      <c r="B975" s="255"/>
      <c r="D975" s="185"/>
      <c r="H975" s="787"/>
      <c r="J975" s="787"/>
      <c r="L975" s="255"/>
      <c r="M975" s="255"/>
      <c r="N975" s="255"/>
      <c r="O975" s="255"/>
      <c r="P975" s="255"/>
      <c r="V975" s="255"/>
    </row>
    <row r="976" spans="2:22" hidden="1" x14ac:dyDescent="0.2">
      <c r="B976" s="255"/>
      <c r="D976" s="185" t="s">
        <v>2565</v>
      </c>
      <c r="H976" s="787"/>
      <c r="J976" s="787"/>
      <c r="L976" s="255"/>
      <c r="M976" s="255"/>
      <c r="N976" s="255"/>
      <c r="O976" s="255"/>
      <c r="P976" s="255"/>
      <c r="V976" s="255"/>
    </row>
    <row r="977" spans="2:22" hidden="1" x14ac:dyDescent="0.2">
      <c r="B977" s="255"/>
      <c r="D977" s="185" t="s">
        <v>2566</v>
      </c>
      <c r="H977" s="787"/>
      <c r="J977" s="787"/>
      <c r="L977" s="255"/>
      <c r="M977" s="255"/>
      <c r="N977" s="255"/>
      <c r="O977" s="255"/>
      <c r="P977" s="255"/>
      <c r="V977" s="255"/>
    </row>
    <row r="978" spans="2:22" hidden="1" x14ac:dyDescent="0.2">
      <c r="B978" s="255"/>
      <c r="D978" s="185" t="s">
        <v>2567</v>
      </c>
      <c r="H978" s="787"/>
      <c r="J978" s="787"/>
      <c r="L978" s="255"/>
      <c r="M978" s="255"/>
      <c r="N978" s="255"/>
      <c r="O978" s="255"/>
      <c r="P978" s="255"/>
      <c r="V978" s="255"/>
    </row>
    <row r="979" spans="2:22" ht="13.5" hidden="1" thickBot="1" x14ac:dyDescent="0.25">
      <c r="B979" s="255"/>
      <c r="D979" s="260" t="s">
        <v>374</v>
      </c>
      <c r="H979" s="1456"/>
      <c r="J979" s="1456"/>
      <c r="L979" s="255"/>
      <c r="M979" s="255"/>
      <c r="N979" s="255"/>
      <c r="O979" s="255"/>
      <c r="P979" s="255"/>
      <c r="V979" s="255"/>
    </row>
    <row r="980" spans="2:22" hidden="1" x14ac:dyDescent="0.2">
      <c r="B980" s="255"/>
      <c r="D980" s="185"/>
      <c r="H980" s="787"/>
      <c r="J980" s="787"/>
      <c r="L980" s="255"/>
      <c r="M980" s="255"/>
      <c r="N980" s="255"/>
      <c r="O980" s="255"/>
      <c r="P980" s="255"/>
      <c r="V980" s="255"/>
    </row>
    <row r="981" spans="2:22" ht="25.5" hidden="1" x14ac:dyDescent="0.2">
      <c r="B981" s="255"/>
      <c r="D981" s="778" t="s">
        <v>2568</v>
      </c>
      <c r="H981" s="787"/>
      <c r="J981" s="787"/>
      <c r="L981" s="255"/>
      <c r="M981" s="255"/>
      <c r="N981" s="255"/>
      <c r="O981" s="255"/>
      <c r="P981" s="255"/>
      <c r="V981" s="255"/>
    </row>
    <row r="982" spans="2:22" hidden="1" x14ac:dyDescent="0.2">
      <c r="B982" s="255"/>
      <c r="D982" s="185"/>
      <c r="H982" s="787"/>
      <c r="J982" s="787"/>
      <c r="L982" s="255"/>
      <c r="M982" s="255"/>
      <c r="N982" s="255"/>
      <c r="O982" s="255"/>
      <c r="P982" s="255"/>
      <c r="V982" s="255"/>
    </row>
    <row r="983" spans="2:22" hidden="1" x14ac:dyDescent="0.2">
      <c r="B983" s="255"/>
      <c r="D983" s="185" t="s">
        <v>2569</v>
      </c>
      <c r="H983" s="787"/>
      <c r="J983" s="787"/>
      <c r="L983" s="255"/>
      <c r="M983" s="255"/>
      <c r="N983" s="255"/>
      <c r="O983" s="255"/>
      <c r="P983" s="255"/>
      <c r="V983" s="255"/>
    </row>
    <row r="984" spans="2:22" ht="76.5" hidden="1" x14ac:dyDescent="0.2">
      <c r="B984" s="255"/>
      <c r="D984" s="779" t="s">
        <v>2570</v>
      </c>
      <c r="H984" s="787"/>
      <c r="J984" s="787"/>
      <c r="L984" s="255"/>
      <c r="M984" s="255"/>
      <c r="N984" s="255"/>
      <c r="O984" s="255"/>
      <c r="P984" s="255"/>
      <c r="V984" s="255"/>
    </row>
    <row r="985" spans="2:22" hidden="1" x14ac:dyDescent="0.2">
      <c r="D985" s="318"/>
      <c r="H985" s="787"/>
      <c r="J985" s="787"/>
      <c r="L985" s="255"/>
      <c r="M985" s="255"/>
      <c r="N985" s="255"/>
      <c r="O985" s="255"/>
      <c r="P985" s="255"/>
      <c r="V985" s="255"/>
    </row>
    <row r="986" spans="2:22" hidden="1" x14ac:dyDescent="0.2">
      <c r="D986" s="260" t="s">
        <v>2571</v>
      </c>
      <c r="H986" s="787"/>
      <c r="J986" s="787"/>
      <c r="L986" s="255"/>
      <c r="M986" s="255"/>
      <c r="N986" s="255"/>
      <c r="O986" s="255"/>
      <c r="P986" s="255"/>
      <c r="V986" s="255"/>
    </row>
    <row r="987" spans="2:22" hidden="1" x14ac:dyDescent="0.2">
      <c r="D987" s="185"/>
      <c r="H987" s="787"/>
      <c r="J987" s="787"/>
      <c r="L987" s="255"/>
      <c r="M987" s="255"/>
      <c r="N987" s="255"/>
      <c r="O987" s="255"/>
      <c r="P987" s="255"/>
      <c r="V987" s="255"/>
    </row>
    <row r="988" spans="2:22" hidden="1" x14ac:dyDescent="0.2">
      <c r="D988" s="260" t="s">
        <v>2572</v>
      </c>
      <c r="H988" s="787"/>
      <c r="J988" s="787"/>
      <c r="L988" s="255"/>
      <c r="M988" s="255"/>
      <c r="N988" s="255"/>
      <c r="O988" s="255"/>
      <c r="P988" s="255"/>
      <c r="V988" s="255"/>
    </row>
    <row r="989" spans="2:22" hidden="1" x14ac:dyDescent="0.2">
      <c r="D989" s="185" t="s">
        <v>2565</v>
      </c>
      <c r="H989" s="787"/>
      <c r="J989" s="787"/>
      <c r="L989" s="255"/>
      <c r="M989" s="255"/>
      <c r="N989" s="255"/>
      <c r="O989" s="255"/>
      <c r="P989" s="255"/>
      <c r="V989" s="255"/>
    </row>
    <row r="990" spans="2:22" hidden="1" x14ac:dyDescent="0.2">
      <c r="D990" s="185" t="s">
        <v>2573</v>
      </c>
      <c r="H990" s="787"/>
      <c r="J990" s="787"/>
      <c r="L990" s="255"/>
      <c r="M990" s="255"/>
      <c r="N990" s="255"/>
      <c r="O990" s="255"/>
      <c r="P990" s="255"/>
      <c r="V990" s="255"/>
    </row>
    <row r="991" spans="2:22" hidden="1" x14ac:dyDescent="0.2">
      <c r="D991" s="185" t="s">
        <v>2567</v>
      </c>
      <c r="H991" s="787"/>
      <c r="J991" s="787"/>
      <c r="L991" s="255"/>
      <c r="M991" s="255"/>
      <c r="N991" s="255"/>
      <c r="O991" s="255"/>
      <c r="P991" s="255"/>
      <c r="V991" s="255"/>
    </row>
    <row r="992" spans="2:22" ht="13.5" hidden="1" thickBot="1" x14ac:dyDescent="0.25">
      <c r="D992" s="186" t="s">
        <v>374</v>
      </c>
      <c r="H992" s="1456"/>
      <c r="J992" s="1456"/>
      <c r="L992" s="255"/>
      <c r="M992" s="255"/>
      <c r="N992" s="255"/>
      <c r="O992" s="255"/>
      <c r="P992" s="255"/>
      <c r="V992" s="255"/>
    </row>
    <row r="993" spans="2:22" hidden="1" x14ac:dyDescent="0.2">
      <c r="D993" s="232"/>
      <c r="H993" s="787"/>
      <c r="J993" s="787"/>
      <c r="L993" s="255"/>
      <c r="M993" s="255"/>
      <c r="N993" s="255"/>
      <c r="O993" s="255"/>
      <c r="P993" s="255"/>
      <c r="V993" s="255"/>
    </row>
    <row r="994" spans="2:22" hidden="1" x14ac:dyDescent="0.2">
      <c r="D994" s="185" t="s">
        <v>2569</v>
      </c>
      <c r="H994" s="787"/>
      <c r="J994" s="787"/>
      <c r="L994" s="255"/>
      <c r="M994" s="255"/>
      <c r="N994" s="255"/>
      <c r="O994" s="255"/>
      <c r="P994" s="255"/>
      <c r="V994" s="255"/>
    </row>
    <row r="995" spans="2:22" ht="89.25" hidden="1" x14ac:dyDescent="0.2">
      <c r="D995" s="779" t="s">
        <v>2574</v>
      </c>
      <c r="H995" s="787"/>
      <c r="J995" s="787"/>
      <c r="L995" s="255"/>
      <c r="M995" s="255"/>
      <c r="N995" s="255"/>
      <c r="O995" s="255"/>
      <c r="P995" s="255"/>
      <c r="V995" s="255"/>
    </row>
    <row r="996" spans="2:22" hidden="1" x14ac:dyDescent="0.2">
      <c r="L996" s="255"/>
      <c r="M996" s="255"/>
      <c r="N996" s="255"/>
      <c r="O996" s="255"/>
      <c r="P996" s="255"/>
      <c r="V996" s="255"/>
    </row>
    <row r="997" spans="2:22" x14ac:dyDescent="0.2">
      <c r="H997" s="1501">
        <f>'Annexure G'!F49</f>
        <v>22401722</v>
      </c>
      <c r="J997" s="789">
        <v>15274154</v>
      </c>
    </row>
    <row r="998" spans="2:22" ht="13.5" thickBot="1" x14ac:dyDescent="0.25">
      <c r="H998" s="1502">
        <f>SUM(H997)</f>
        <v>22401722</v>
      </c>
      <c r="J998" s="1456">
        <f>SUM(J997)</f>
        <v>15274154</v>
      </c>
      <c r="L998" s="255"/>
      <c r="M998" s="255"/>
      <c r="N998" s="255"/>
      <c r="O998" s="255"/>
      <c r="P998" s="255"/>
      <c r="V998" s="255"/>
    </row>
    <row r="999" spans="2:22" ht="13.5" thickTop="1" x14ac:dyDescent="0.2">
      <c r="H999" s="483"/>
      <c r="L999" s="255"/>
      <c r="M999" s="255"/>
      <c r="N999" s="255"/>
      <c r="O999" s="255"/>
      <c r="P999" s="255"/>
      <c r="V999" s="255"/>
    </row>
    <row r="1000" spans="2:22" x14ac:dyDescent="0.2">
      <c r="H1000" s="483"/>
      <c r="J1000" s="255"/>
      <c r="L1000" s="255"/>
      <c r="M1000" s="255"/>
      <c r="N1000" s="255"/>
      <c r="O1000" s="255"/>
      <c r="P1000" s="255"/>
      <c r="V1000" s="255"/>
    </row>
    <row r="1001" spans="2:22" x14ac:dyDescent="0.2">
      <c r="B1001" s="527">
        <v>33</v>
      </c>
      <c r="D1001" s="728" t="s">
        <v>641</v>
      </c>
      <c r="I1001" s="255"/>
      <c r="J1001" s="255"/>
      <c r="L1001" s="255"/>
      <c r="M1001" s="255"/>
      <c r="N1001" s="255"/>
      <c r="O1001" s="255"/>
      <c r="P1001" s="255"/>
      <c r="V1001" s="255"/>
    </row>
    <row r="1002" spans="2:22" x14ac:dyDescent="0.2">
      <c r="I1002" s="255"/>
      <c r="L1002" s="255"/>
      <c r="M1002" s="255"/>
      <c r="N1002" s="255"/>
      <c r="O1002" s="255"/>
      <c r="P1002" s="255"/>
      <c r="V1002" s="255"/>
    </row>
    <row r="1003" spans="2:22" x14ac:dyDescent="0.2">
      <c r="D1003" s="255" t="s">
        <v>3046</v>
      </c>
    </row>
    <row r="1005" spans="2:22" ht="25.5" x14ac:dyDescent="0.2">
      <c r="B1005" s="255"/>
      <c r="C1005" s="255"/>
      <c r="D1005" s="780" t="s">
        <v>2890</v>
      </c>
    </row>
  </sheetData>
  <mergeCells count="14">
    <mergeCell ref="D723:E727"/>
    <mergeCell ref="D277:D278"/>
    <mergeCell ref="D418:E418"/>
    <mergeCell ref="D389:E389"/>
    <mergeCell ref="D399:E399"/>
    <mergeCell ref="D409:E409"/>
    <mergeCell ref="D765:L768"/>
    <mergeCell ref="D782:L783"/>
    <mergeCell ref="D793:L795"/>
    <mergeCell ref="D732:L734"/>
    <mergeCell ref="D738:L739"/>
    <mergeCell ref="D744:L745"/>
    <mergeCell ref="D750:L751"/>
    <mergeCell ref="D756:L757"/>
  </mergeCells>
  <phoneticPr fontId="0" type="noConversion"/>
  <conditionalFormatting sqref="D942">
    <cfRule type="cellIs" dxfId="0" priority="1" stopIfTrue="1" operator="equal">
      <formula>"input financial year in cover sheet"</formula>
    </cfRule>
  </conditionalFormatting>
  <printOptions horizontalCentered="1"/>
  <pageMargins left="0.35433070866141736" right="0.55118110236220474" top="1.1811023622047245" bottom="0.39370078740157483" header="0.31496062992125984" footer="0.31496062992125984"/>
  <pageSetup paperSize="9" scale="52" firstPageNumber="45" fitToHeight="0" orientation="portrait" useFirstPageNumber="1" horizontalDpi="300" verticalDpi="300" r:id="rId1"/>
  <headerFooter>
    <oddHeader>&amp;C
&amp;"Calibri,Bold"&amp;12POLOKWANE MUNICIPALITY&amp;"Calibri,Regular"&amp;11
&amp;"Calibri,Bold"&amp;12NOTES TO THE FINANCIAL STATEMENTS FOR THE YEAR ENDED 30 JUNE 2016</oddHeader>
    <oddFooter>&amp;C&amp;P</oddFooter>
  </headerFooter>
  <rowBreaks count="9" manualBreakCount="9">
    <brk id="88" min="1" max="10" man="1"/>
    <brk id="170" min="1" max="10" man="1"/>
    <brk id="317" min="1" max="10" man="1"/>
    <brk id="397" min="1" max="10" man="1"/>
    <brk id="477" min="1" max="10" man="1"/>
    <brk id="557" min="1" max="10" man="1"/>
    <brk id="662" min="1" max="10" man="1"/>
    <brk id="730" min="1" max="10" man="1"/>
    <brk id="926" min="1"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593"/>
  <sheetViews>
    <sheetView zoomScaleSheetLayoutView="90" workbookViewId="0">
      <selection activeCell="D410" sqref="D410"/>
    </sheetView>
  </sheetViews>
  <sheetFormatPr defaultColWidth="9" defaultRowHeight="12.75" x14ac:dyDescent="0.2"/>
  <cols>
    <col min="1" max="1" width="5.85546875" style="258" customWidth="1"/>
    <col min="2" max="2" width="8.28515625" style="258" customWidth="1"/>
    <col min="3" max="3" width="61" style="185" customWidth="1"/>
    <col min="4" max="4" width="12.140625" style="185" bestFit="1" customWidth="1"/>
    <col min="5" max="5" width="22.42578125" style="185" customWidth="1"/>
    <col min="6" max="6" width="25.5703125" style="185" customWidth="1"/>
    <col min="7" max="7" width="0.140625" style="258" customWidth="1"/>
    <col min="8" max="8" width="15.5703125" style="258" customWidth="1"/>
    <col min="9" max="9" width="17.7109375" style="258" customWidth="1"/>
    <col min="10" max="10" width="11.42578125" style="258" customWidth="1"/>
    <col min="11" max="11" width="28.7109375" style="258" customWidth="1"/>
    <col min="12" max="12" width="21.140625" style="258" customWidth="1"/>
    <col min="13" max="16384" width="9" style="258"/>
  </cols>
  <sheetData>
    <row r="1" spans="1:8" ht="41.25" customHeight="1" x14ac:dyDescent="0.2">
      <c r="A1" s="824">
        <v>34</v>
      </c>
      <c r="B1" s="525"/>
      <c r="C1" s="257" t="s">
        <v>462</v>
      </c>
      <c r="D1" s="317"/>
      <c r="E1" s="453"/>
      <c r="F1" s="453"/>
      <c r="G1" s="185"/>
      <c r="H1" s="185"/>
    </row>
    <row r="2" spans="1:8" x14ac:dyDescent="0.2">
      <c r="A2" s="185"/>
      <c r="B2" s="459"/>
      <c r="C2" s="318"/>
      <c r="D2" s="1308"/>
      <c r="E2" s="1309">
        <v>2016</v>
      </c>
      <c r="F2" s="1309">
        <v>2015</v>
      </c>
      <c r="G2" s="185"/>
      <c r="H2" s="185"/>
    </row>
    <row r="3" spans="1:8" x14ac:dyDescent="0.2">
      <c r="A3" s="185"/>
      <c r="B3" s="459">
        <v>34.1</v>
      </c>
      <c r="C3" s="459" t="s">
        <v>2891</v>
      </c>
      <c r="D3" s="1308"/>
      <c r="E3" s="1310" t="s">
        <v>59</v>
      </c>
      <c r="F3" s="1310" t="s">
        <v>59</v>
      </c>
      <c r="G3" s="185"/>
      <c r="H3" s="185"/>
    </row>
    <row r="4" spans="1:8" x14ac:dyDescent="0.2">
      <c r="A4" s="185"/>
      <c r="B4" s="459"/>
      <c r="C4" s="1311"/>
      <c r="D4" s="1308"/>
      <c r="E4" s="1312"/>
      <c r="F4" s="1313" t="s">
        <v>3136</v>
      </c>
      <c r="G4" s="185"/>
      <c r="H4" s="185"/>
    </row>
    <row r="5" spans="1:8" x14ac:dyDescent="0.2">
      <c r="A5" s="185"/>
      <c r="B5" s="459"/>
      <c r="C5" s="318" t="s">
        <v>2892</v>
      </c>
      <c r="D5" s="1308"/>
      <c r="E5" s="1312"/>
      <c r="F5" s="1312"/>
      <c r="G5" s="185"/>
      <c r="H5" s="185"/>
    </row>
    <row r="6" spans="1:8" x14ac:dyDescent="0.2">
      <c r="A6" s="185"/>
      <c r="B6" s="459"/>
      <c r="C6" s="318"/>
      <c r="D6" s="1308"/>
      <c r="E6" s="1312"/>
      <c r="F6" s="1312"/>
      <c r="G6" s="185"/>
      <c r="H6" s="232"/>
    </row>
    <row r="7" spans="1:8" x14ac:dyDescent="0.2">
      <c r="A7" s="185"/>
      <c r="B7" s="459"/>
      <c r="C7" s="318" t="s">
        <v>463</v>
      </c>
      <c r="D7" s="1308"/>
      <c r="E7" s="1312">
        <f>F11</f>
        <v>602557118</v>
      </c>
      <c r="F7" s="1312">
        <v>370784431</v>
      </c>
      <c r="G7" s="185"/>
      <c r="H7" s="232"/>
    </row>
    <row r="8" spans="1:8" x14ac:dyDescent="0.2">
      <c r="A8" s="185"/>
      <c r="B8" s="459"/>
      <c r="C8" s="318" t="s">
        <v>2893</v>
      </c>
      <c r="D8" s="1308"/>
      <c r="E8" s="1312">
        <v>26708428.219999999</v>
      </c>
      <c r="F8" s="1312">
        <f>519041770-287269083</f>
        <v>231772687</v>
      </c>
      <c r="G8" s="185"/>
      <c r="H8" s="232"/>
    </row>
    <row r="9" spans="1:8" x14ac:dyDescent="0.2">
      <c r="A9" s="185"/>
      <c r="B9" s="459"/>
      <c r="C9" s="318" t="s">
        <v>464</v>
      </c>
      <c r="D9" s="1308"/>
      <c r="E9" s="1312">
        <v>0</v>
      </c>
      <c r="F9" s="1312">
        <v>0</v>
      </c>
      <c r="G9" s="185"/>
      <c r="H9" s="232"/>
    </row>
    <row r="10" spans="1:8" x14ac:dyDescent="0.2">
      <c r="A10" s="185"/>
      <c r="B10" s="459"/>
      <c r="C10" s="318" t="s">
        <v>465</v>
      </c>
      <c r="D10" s="1308"/>
      <c r="E10" s="1312">
        <v>0</v>
      </c>
      <c r="F10" s="1312">
        <v>0</v>
      </c>
      <c r="G10" s="185"/>
      <c r="H10" s="185"/>
    </row>
    <row r="11" spans="1:8" ht="13.5" thickBot="1" x14ac:dyDescent="0.25">
      <c r="A11" s="185"/>
      <c r="B11" s="459"/>
      <c r="C11" s="318" t="s">
        <v>2894</v>
      </c>
      <c r="D11" s="1308"/>
      <c r="E11" s="1314">
        <f>SUM(E7:E10)</f>
        <v>629265546.22000003</v>
      </c>
      <c r="F11" s="1314">
        <f>SUM(F7:F10)</f>
        <v>602557118</v>
      </c>
      <c r="G11" s="185"/>
      <c r="H11" s="185"/>
    </row>
    <row r="12" spans="1:8" ht="13.5" thickTop="1" x14ac:dyDescent="0.2">
      <c r="A12" s="185"/>
      <c r="B12" s="459"/>
      <c r="C12" s="318"/>
      <c r="D12" s="1308"/>
      <c r="E12" s="1312"/>
      <c r="F12" s="1312"/>
      <c r="G12" s="185"/>
      <c r="H12" s="185"/>
    </row>
    <row r="13" spans="1:8" x14ac:dyDescent="0.2">
      <c r="A13" s="185"/>
      <c r="B13" s="459"/>
      <c r="C13" s="318" t="s">
        <v>3484</v>
      </c>
      <c r="D13" s="1308"/>
      <c r="E13" s="1312"/>
      <c r="F13" s="1312"/>
      <c r="G13" s="185"/>
      <c r="H13" s="185"/>
    </row>
    <row r="14" spans="1:8" x14ac:dyDescent="0.2">
      <c r="A14" s="185"/>
      <c r="B14" s="459"/>
      <c r="C14" s="318" t="s">
        <v>4238</v>
      </c>
      <c r="D14" s="1308"/>
      <c r="E14" s="1312"/>
      <c r="F14" s="1312"/>
      <c r="G14" s="185"/>
      <c r="H14" s="185"/>
    </row>
    <row r="15" spans="1:8" hidden="1" x14ac:dyDescent="0.2">
      <c r="A15" s="185"/>
      <c r="B15" s="459"/>
      <c r="C15" s="318" t="s">
        <v>365</v>
      </c>
      <c r="D15" s="1308"/>
      <c r="E15" s="1312"/>
      <c r="F15" s="1312"/>
      <c r="G15" s="185"/>
      <c r="H15" s="185"/>
    </row>
    <row r="16" spans="1:8" hidden="1" x14ac:dyDescent="0.2">
      <c r="A16" s="185"/>
      <c r="B16" s="459"/>
      <c r="C16" s="318" t="s">
        <v>4239</v>
      </c>
      <c r="D16" s="1308"/>
      <c r="E16" s="1312"/>
      <c r="F16" s="1312"/>
      <c r="G16" s="185"/>
      <c r="H16" s="185"/>
    </row>
    <row r="17" spans="1:8" hidden="1" x14ac:dyDescent="0.2">
      <c r="A17" s="185"/>
      <c r="B17" s="459"/>
      <c r="C17" s="318" t="s">
        <v>4235</v>
      </c>
      <c r="D17" s="1308"/>
      <c r="E17" s="1312"/>
      <c r="F17" s="1312"/>
      <c r="G17" s="185"/>
      <c r="H17" s="185"/>
    </row>
    <row r="18" spans="1:8" x14ac:dyDescent="0.2">
      <c r="A18" s="185"/>
      <c r="B18" s="459"/>
      <c r="C18" s="318" t="s">
        <v>136</v>
      </c>
      <c r="D18" s="1308"/>
      <c r="E18" s="1312"/>
      <c r="F18" s="1312"/>
      <c r="G18" s="185"/>
      <c r="H18" s="185"/>
    </row>
    <row r="19" spans="1:8" hidden="1" x14ac:dyDescent="0.2">
      <c r="A19" s="185"/>
      <c r="B19" s="459"/>
      <c r="C19" s="318" t="s">
        <v>4236</v>
      </c>
      <c r="D19" s="1308"/>
      <c r="E19" s="1312"/>
      <c r="F19" s="1312"/>
      <c r="G19" s="185"/>
      <c r="H19" s="185"/>
    </row>
    <row r="20" spans="1:8" hidden="1" x14ac:dyDescent="0.2">
      <c r="A20" s="185"/>
      <c r="B20" s="459"/>
      <c r="C20" s="318" t="s">
        <v>4237</v>
      </c>
      <c r="D20" s="1308"/>
      <c r="E20" s="1312"/>
      <c r="F20" s="1312"/>
      <c r="G20" s="185"/>
      <c r="H20" s="185"/>
    </row>
    <row r="21" spans="1:8" ht="51" x14ac:dyDescent="0.2">
      <c r="A21" s="185"/>
      <c r="B21" s="459"/>
      <c r="C21" s="497" t="s">
        <v>4241</v>
      </c>
      <c r="D21" s="1308"/>
      <c r="E21" s="1312"/>
      <c r="F21" s="1312"/>
      <c r="G21" s="185"/>
      <c r="H21" s="185"/>
    </row>
    <row r="22" spans="1:8" x14ac:dyDescent="0.2">
      <c r="A22" s="185"/>
      <c r="B22" s="459"/>
      <c r="C22" s="318"/>
      <c r="D22" s="1308"/>
      <c r="E22" s="1312"/>
      <c r="F22" s="1312"/>
      <c r="G22" s="185"/>
      <c r="H22" s="185"/>
    </row>
    <row r="23" spans="1:8" x14ac:dyDescent="0.2">
      <c r="A23" s="185"/>
      <c r="B23" s="459"/>
      <c r="C23" s="318"/>
      <c r="D23" s="1308"/>
      <c r="E23" s="1312"/>
      <c r="F23" s="1312"/>
      <c r="G23" s="185"/>
      <c r="H23" s="185"/>
    </row>
    <row r="24" spans="1:8" x14ac:dyDescent="0.2">
      <c r="A24" s="185"/>
      <c r="B24" s="459"/>
      <c r="C24" s="318"/>
      <c r="D24" s="1308"/>
      <c r="E24" s="1312"/>
      <c r="F24" s="1312"/>
      <c r="G24" s="185"/>
      <c r="H24" s="185"/>
    </row>
    <row r="25" spans="1:8" x14ac:dyDescent="0.2">
      <c r="A25" s="185"/>
      <c r="B25" s="459">
        <v>34.200000000000003</v>
      </c>
      <c r="C25" s="459" t="s">
        <v>466</v>
      </c>
      <c r="D25" s="1315"/>
      <c r="E25" s="1316"/>
      <c r="F25" s="1316"/>
      <c r="G25" s="185"/>
      <c r="H25" s="185"/>
    </row>
    <row r="26" spans="1:8" x14ac:dyDescent="0.2">
      <c r="A26" s="185"/>
      <c r="B26" s="459"/>
      <c r="C26" s="318"/>
      <c r="D26" s="1308"/>
      <c r="E26" s="1316"/>
      <c r="F26" s="1316"/>
      <c r="G26" s="185"/>
      <c r="H26" s="185"/>
    </row>
    <row r="27" spans="1:8" x14ac:dyDescent="0.2">
      <c r="A27" s="185"/>
      <c r="B27" s="459"/>
      <c r="C27" s="318" t="s">
        <v>883</v>
      </c>
      <c r="D27" s="1308"/>
      <c r="E27" s="1312"/>
      <c r="F27" s="1312"/>
      <c r="G27" s="185"/>
      <c r="H27" s="185"/>
    </row>
    <row r="28" spans="1:8" x14ac:dyDescent="0.2">
      <c r="A28" s="185"/>
      <c r="B28" s="459"/>
      <c r="C28" s="318"/>
      <c r="D28" s="1308"/>
      <c r="E28" s="1312"/>
      <c r="F28" s="1312"/>
      <c r="G28" s="185"/>
      <c r="H28" s="185"/>
    </row>
    <row r="29" spans="1:8" x14ac:dyDescent="0.2">
      <c r="A29" s="185"/>
      <c r="B29" s="459"/>
      <c r="C29" s="318" t="s">
        <v>884</v>
      </c>
      <c r="D29" s="1308"/>
      <c r="E29" s="1312">
        <f>F36</f>
        <v>1603456.6099999999</v>
      </c>
      <c r="F29" s="1312"/>
      <c r="G29" s="185"/>
      <c r="H29" s="185"/>
    </row>
    <row r="30" spans="1:8" x14ac:dyDescent="0.2">
      <c r="A30" s="185"/>
      <c r="B30" s="459"/>
      <c r="C30" s="1695" t="s">
        <v>4204</v>
      </c>
      <c r="D30" s="1308"/>
      <c r="E30" s="1312">
        <v>0</v>
      </c>
      <c r="F30" s="1312"/>
      <c r="G30" s="185"/>
      <c r="H30" s="185"/>
    </row>
    <row r="31" spans="1:8" hidden="1" x14ac:dyDescent="0.2">
      <c r="A31" s="185"/>
      <c r="B31" s="459"/>
      <c r="C31" s="1695" t="s">
        <v>2927</v>
      </c>
      <c r="D31" s="1308"/>
      <c r="E31" s="1312">
        <v>0</v>
      </c>
      <c r="F31" s="1312">
        <v>0</v>
      </c>
      <c r="G31" s="185"/>
      <c r="H31" s="185"/>
    </row>
    <row r="32" spans="1:8" hidden="1" x14ac:dyDescent="0.2">
      <c r="A32" s="185"/>
      <c r="B32" s="459"/>
      <c r="C32" s="1695" t="s">
        <v>2938</v>
      </c>
      <c r="D32" s="1308"/>
      <c r="E32" s="1312">
        <v>0</v>
      </c>
      <c r="F32" s="1312">
        <v>0</v>
      </c>
      <c r="G32" s="185"/>
      <c r="H32" s="185"/>
    </row>
    <row r="33" spans="1:8" hidden="1" x14ac:dyDescent="0.2">
      <c r="A33" s="185"/>
      <c r="B33" s="459"/>
      <c r="C33" s="1695" t="s">
        <v>4205</v>
      </c>
      <c r="D33" s="1308"/>
      <c r="E33" s="486">
        <v>0</v>
      </c>
      <c r="F33" s="1312">
        <v>0</v>
      </c>
      <c r="G33" s="185"/>
      <c r="H33" s="185"/>
    </row>
    <row r="34" spans="1:8" ht="15" x14ac:dyDescent="0.25">
      <c r="A34" s="185"/>
      <c r="B34" s="459"/>
      <c r="C34" s="318" t="s">
        <v>4206</v>
      </c>
      <c r="D34" s="211"/>
      <c r="E34" s="439">
        <v>0</v>
      </c>
      <c r="F34" s="439">
        <v>44332.41</v>
      </c>
      <c r="G34" s="185"/>
      <c r="H34" s="185"/>
    </row>
    <row r="35" spans="1:8" x14ac:dyDescent="0.2">
      <c r="A35" s="185"/>
      <c r="B35" s="459"/>
      <c r="C35" s="318" t="s">
        <v>3859</v>
      </c>
      <c r="D35" s="1318"/>
      <c r="E35" s="1312">
        <v>0</v>
      </c>
      <c r="F35" s="1312">
        <v>1559124.2</v>
      </c>
      <c r="G35" s="185"/>
      <c r="H35" s="185"/>
    </row>
    <row r="36" spans="1:8" ht="13.5" thickBot="1" x14ac:dyDescent="0.25">
      <c r="A36" s="185"/>
      <c r="B36" s="459"/>
      <c r="C36" s="459" t="s">
        <v>3860</v>
      </c>
      <c r="D36" s="318"/>
      <c r="E36" s="1314">
        <v>1603456.6099999999</v>
      </c>
      <c r="F36" s="1314">
        <f>SUM(F31:F35)</f>
        <v>1603456.6099999999</v>
      </c>
      <c r="G36" s="185"/>
      <c r="H36" s="185"/>
    </row>
    <row r="37" spans="1:8" ht="13.5" thickTop="1" x14ac:dyDescent="0.2">
      <c r="A37" s="185"/>
      <c r="B37" s="459"/>
      <c r="C37" s="318"/>
      <c r="D37" s="1318"/>
      <c r="E37" s="1312"/>
      <c r="F37" s="1312"/>
      <c r="G37" s="185"/>
      <c r="H37" s="185"/>
    </row>
    <row r="38" spans="1:8" hidden="1" x14ac:dyDescent="0.2">
      <c r="A38" s="185"/>
      <c r="B38" s="459"/>
      <c r="C38" s="1373"/>
      <c r="D38" s="1318"/>
      <c r="E38" s="1312"/>
      <c r="F38" s="1312"/>
      <c r="G38" s="185"/>
      <c r="H38" s="185"/>
    </row>
    <row r="39" spans="1:8" ht="13.5" hidden="1" thickBot="1" x14ac:dyDescent="0.25">
      <c r="A39" s="185"/>
      <c r="B39" s="459"/>
      <c r="C39" s="1373" t="s">
        <v>3860</v>
      </c>
      <c r="D39" s="1318"/>
      <c r="E39" s="1321"/>
      <c r="F39" s="1321"/>
      <c r="G39" s="185"/>
      <c r="H39" s="185"/>
    </row>
    <row r="40" spans="1:8" ht="13.5" hidden="1" thickTop="1" x14ac:dyDescent="0.2">
      <c r="A40" s="185"/>
      <c r="B40" s="459"/>
      <c r="C40" s="318"/>
      <c r="D40" s="1318"/>
      <c r="E40" s="1312"/>
      <c r="F40" s="1312"/>
      <c r="G40" s="185"/>
      <c r="H40" s="185"/>
    </row>
    <row r="41" spans="1:8" hidden="1" x14ac:dyDescent="0.2">
      <c r="A41" s="185"/>
      <c r="B41" s="459"/>
      <c r="C41" s="318"/>
      <c r="D41" s="1318"/>
      <c r="E41" s="1312"/>
      <c r="F41" s="1312"/>
      <c r="G41" s="185"/>
      <c r="H41" s="185"/>
    </row>
    <row r="42" spans="1:8" hidden="1" x14ac:dyDescent="0.2">
      <c r="A42" s="185"/>
      <c r="B42" s="459"/>
      <c r="C42" s="318"/>
      <c r="D42" s="1308"/>
      <c r="E42" s="1312"/>
      <c r="F42" s="1312"/>
      <c r="G42" s="185"/>
      <c r="H42" s="185"/>
    </row>
    <row r="43" spans="1:8" x14ac:dyDescent="0.2">
      <c r="A43" s="185"/>
      <c r="B43" s="459">
        <v>34.299999999999997</v>
      </c>
      <c r="C43" s="459" t="s">
        <v>579</v>
      </c>
      <c r="D43" s="1308"/>
      <c r="E43" s="1312"/>
      <c r="F43" s="1312"/>
      <c r="G43" s="185"/>
      <c r="H43" s="185"/>
    </row>
    <row r="44" spans="1:8" x14ac:dyDescent="0.2">
      <c r="A44" s="185"/>
      <c r="B44" s="459"/>
      <c r="C44" s="318"/>
      <c r="D44" s="1308"/>
      <c r="E44" s="1312"/>
      <c r="F44" s="1312"/>
      <c r="G44" s="185"/>
      <c r="H44" s="185"/>
    </row>
    <row r="45" spans="1:8" x14ac:dyDescent="0.2">
      <c r="A45" s="185"/>
      <c r="B45" s="459"/>
      <c r="C45" s="318" t="s">
        <v>580</v>
      </c>
      <c r="D45" s="1308"/>
      <c r="E45" s="1312"/>
      <c r="F45" s="1312"/>
      <c r="G45" s="185"/>
      <c r="H45" s="185"/>
    </row>
    <row r="46" spans="1:8" x14ac:dyDescent="0.2">
      <c r="A46" s="185"/>
      <c r="B46" s="459"/>
      <c r="C46" s="318"/>
      <c r="D46" s="1308"/>
      <c r="E46" s="1312"/>
      <c r="F46" s="1312"/>
      <c r="G46" s="185"/>
      <c r="H46" s="185"/>
    </row>
    <row r="47" spans="1:8" x14ac:dyDescent="0.2">
      <c r="A47" s="185"/>
      <c r="B47" s="459"/>
      <c r="C47" s="318" t="s">
        <v>680</v>
      </c>
      <c r="D47" s="1308"/>
      <c r="E47" s="1312">
        <f>F58</f>
        <v>616559974</v>
      </c>
      <c r="F47" s="1312">
        <v>565375342</v>
      </c>
      <c r="G47" s="185"/>
      <c r="H47" s="185"/>
    </row>
    <row r="48" spans="1:8" x14ac:dyDescent="0.2">
      <c r="A48" s="185"/>
      <c r="B48" s="459"/>
      <c r="C48" s="441" t="s">
        <v>3417</v>
      </c>
      <c r="D48" s="1308"/>
      <c r="E48" s="486">
        <v>8452473.4800000004</v>
      </c>
      <c r="F48" s="1312">
        <v>297567685</v>
      </c>
      <c r="G48" s="185"/>
      <c r="H48" s="185"/>
    </row>
    <row r="49" spans="1:8" hidden="1" x14ac:dyDescent="0.2">
      <c r="A49" s="185"/>
      <c r="B49" s="459"/>
      <c r="C49" s="441" t="s">
        <v>3862</v>
      </c>
      <c r="D49" s="1308"/>
      <c r="E49" s="1312">
        <f>SUM(E47:E48)</f>
        <v>625012447.48000002</v>
      </c>
      <c r="F49" s="1312"/>
      <c r="G49" s="185"/>
      <c r="H49" s="185"/>
    </row>
    <row r="50" spans="1:8" hidden="1" x14ac:dyDescent="0.2">
      <c r="A50" s="185"/>
      <c r="B50" s="459"/>
      <c r="C50" s="497" t="s">
        <v>2947</v>
      </c>
      <c r="D50" s="1308"/>
      <c r="E50" s="318"/>
      <c r="F50" s="1312"/>
      <c r="G50" s="185"/>
      <c r="H50" s="185"/>
    </row>
    <row r="51" spans="1:8" hidden="1" x14ac:dyDescent="0.2">
      <c r="A51" s="185"/>
      <c r="B51" s="459"/>
      <c r="C51" s="441" t="s">
        <v>3417</v>
      </c>
      <c r="D51" s="1308"/>
      <c r="E51" s="1317">
        <v>425427939.66000003</v>
      </c>
      <c r="F51" s="1312">
        <v>96273322</v>
      </c>
      <c r="G51" s="185"/>
      <c r="H51" s="185"/>
    </row>
    <row r="52" spans="1:8" hidden="1" x14ac:dyDescent="0.2">
      <c r="A52" s="185"/>
      <c r="B52" s="459"/>
      <c r="C52" s="441" t="s">
        <v>2923</v>
      </c>
      <c r="D52" s="1308"/>
      <c r="E52" s="1312"/>
      <c r="F52" s="1312">
        <v>0</v>
      </c>
      <c r="G52" s="185"/>
      <c r="H52" s="185"/>
    </row>
    <row r="53" spans="1:8" hidden="1" x14ac:dyDescent="0.2">
      <c r="A53" s="185"/>
      <c r="B53" s="459"/>
      <c r="C53" s="318" t="s">
        <v>3861</v>
      </c>
      <c r="D53" s="1308"/>
      <c r="E53" s="1312">
        <v>990803281.66000009</v>
      </c>
      <c r="F53" s="1312"/>
      <c r="G53" s="185"/>
      <c r="H53" s="185"/>
    </row>
    <row r="54" spans="1:8" ht="15.75" customHeight="1" x14ac:dyDescent="0.2">
      <c r="A54" s="185"/>
      <c r="B54" s="459"/>
      <c r="C54" s="318" t="s">
        <v>3884</v>
      </c>
      <c r="D54" s="1308"/>
      <c r="E54" s="1317">
        <v>-616559974</v>
      </c>
      <c r="F54" s="1312">
        <v>-246383053</v>
      </c>
      <c r="G54" s="185"/>
      <c r="H54" s="185"/>
    </row>
    <row r="55" spans="1:8" hidden="1" x14ac:dyDescent="0.2">
      <c r="A55" s="185"/>
      <c r="B55" s="459"/>
      <c r="C55" s="1336"/>
      <c r="D55" s="1308"/>
      <c r="E55" s="1312">
        <v>751314627.7700001</v>
      </c>
      <c r="F55" s="1312">
        <v>0</v>
      </c>
      <c r="G55" s="185"/>
      <c r="H55" s="185"/>
    </row>
    <row r="56" spans="1:8" hidden="1" x14ac:dyDescent="0.2">
      <c r="A56" s="185"/>
      <c r="B56" s="459"/>
      <c r="C56" s="1336"/>
      <c r="D56" s="1308"/>
      <c r="E56" s="1312">
        <f>E49+E54</f>
        <v>8452473.4800000191</v>
      </c>
      <c r="F56" s="1312"/>
      <c r="G56" s="185"/>
      <c r="H56" s="185"/>
    </row>
    <row r="57" spans="1:8" hidden="1" x14ac:dyDescent="0.2">
      <c r="A57" s="185"/>
      <c r="B57" s="459"/>
      <c r="C57" s="318"/>
      <c r="D57" s="1308"/>
      <c r="E57" s="1312">
        <v>0</v>
      </c>
      <c r="F57" s="1312">
        <v>0</v>
      </c>
      <c r="G57" s="185"/>
      <c r="H57" s="185"/>
    </row>
    <row r="58" spans="1:8" ht="13.5" thickBot="1" x14ac:dyDescent="0.25">
      <c r="A58" s="185"/>
      <c r="B58" s="459"/>
      <c r="C58" s="1336" t="s">
        <v>1070</v>
      </c>
      <c r="D58" s="1308"/>
      <c r="E58" s="1314">
        <f>E56+E57</f>
        <v>8452473.4800000191</v>
      </c>
      <c r="F58" s="1314">
        <f>F47+F48+F54</f>
        <v>616559974</v>
      </c>
      <c r="G58" s="185"/>
      <c r="H58" s="185"/>
    </row>
    <row r="59" spans="1:8" ht="13.5" thickTop="1" x14ac:dyDescent="0.2">
      <c r="A59" s="185"/>
      <c r="B59" s="459"/>
      <c r="C59" s="1336"/>
      <c r="D59" s="1308"/>
      <c r="E59" s="930"/>
      <c r="F59" s="930"/>
      <c r="G59" s="185"/>
      <c r="H59" s="185"/>
    </row>
    <row r="60" spans="1:8" ht="38.25" x14ac:dyDescent="0.2">
      <c r="A60" s="185"/>
      <c r="B60" s="459"/>
      <c r="C60" s="1335" t="s">
        <v>4242</v>
      </c>
      <c r="D60" s="1308"/>
      <c r="E60" s="930"/>
      <c r="F60" s="930"/>
      <c r="G60" s="185"/>
      <c r="H60" s="185"/>
    </row>
    <row r="61" spans="1:8" x14ac:dyDescent="0.2">
      <c r="A61" s="185"/>
      <c r="B61" s="459"/>
      <c r="C61" s="1336"/>
      <c r="D61" s="1308"/>
      <c r="E61" s="930"/>
      <c r="F61" s="930"/>
      <c r="G61" s="185"/>
      <c r="H61" s="185"/>
    </row>
    <row r="62" spans="1:8" x14ac:dyDescent="0.2">
      <c r="A62" s="185"/>
      <c r="B62" s="459"/>
      <c r="C62" s="1336" t="s">
        <v>944</v>
      </c>
      <c r="D62" s="1308"/>
      <c r="E62" s="486">
        <f>F70</f>
        <v>249735177</v>
      </c>
      <c r="F62" s="930"/>
      <c r="G62" s="185"/>
      <c r="H62" s="185"/>
    </row>
    <row r="63" spans="1:8" ht="15" x14ac:dyDescent="0.25">
      <c r="A63" s="185"/>
      <c r="B63" s="459"/>
      <c r="C63" s="318" t="s">
        <v>3893</v>
      </c>
      <c r="D63" s="211"/>
      <c r="E63" s="930"/>
      <c r="F63" s="930"/>
      <c r="G63" s="185"/>
      <c r="H63" s="185"/>
    </row>
    <row r="64" spans="1:8" ht="25.5" x14ac:dyDescent="0.2">
      <c r="A64" s="185"/>
      <c r="B64" s="459"/>
      <c r="C64" s="1503" t="s">
        <v>3894</v>
      </c>
      <c r="D64" s="187"/>
      <c r="E64" s="1504"/>
      <c r="F64" s="1639">
        <v>171059810</v>
      </c>
      <c r="G64" s="185"/>
      <c r="H64" s="185"/>
    </row>
    <row r="65" spans="1:8" ht="25.5" x14ac:dyDescent="0.2">
      <c r="A65" s="185"/>
      <c r="B65" s="459"/>
      <c r="C65" s="1503" t="s">
        <v>3969</v>
      </c>
      <c r="D65" s="187"/>
      <c r="E65" s="1844"/>
      <c r="F65" s="1847">
        <v>78675367</v>
      </c>
      <c r="G65" s="185"/>
      <c r="H65" s="185"/>
    </row>
    <row r="66" spans="1:8" x14ac:dyDescent="0.2">
      <c r="A66" s="185"/>
      <c r="B66" s="459"/>
      <c r="C66" s="438" t="s">
        <v>3895</v>
      </c>
      <c r="D66" s="187"/>
      <c r="E66" s="1844"/>
      <c r="F66" s="1847"/>
      <c r="G66" s="185"/>
      <c r="H66" s="185"/>
    </row>
    <row r="67" spans="1:8" x14ac:dyDescent="0.2">
      <c r="A67" s="185"/>
      <c r="B67" s="1319"/>
      <c r="C67" s="1505"/>
      <c r="D67" s="187"/>
      <c r="E67" s="436"/>
      <c r="F67" s="1592"/>
      <c r="G67" s="185"/>
      <c r="H67" s="185"/>
    </row>
    <row r="68" spans="1:8" ht="25.5" x14ac:dyDescent="0.2">
      <c r="A68" s="185"/>
      <c r="B68" s="1320"/>
      <c r="C68" s="1503" t="s">
        <v>3896</v>
      </c>
      <c r="D68" s="187"/>
      <c r="E68" s="1506"/>
      <c r="F68" s="1640" t="s">
        <v>4203</v>
      </c>
      <c r="G68" s="185"/>
      <c r="H68" s="185"/>
    </row>
    <row r="69" spans="1:8" ht="38.25" hidden="1" customHeight="1" x14ac:dyDescent="0.25">
      <c r="A69" s="185"/>
      <c r="B69" s="1320"/>
      <c r="C69" s="211"/>
      <c r="D69" s="258"/>
      <c r="E69" s="211"/>
      <c r="F69" s="1320"/>
      <c r="G69" s="185"/>
      <c r="H69" s="185"/>
    </row>
    <row r="70" spans="1:8" ht="15.75" thickBot="1" x14ac:dyDescent="0.3">
      <c r="C70" s="236" t="s">
        <v>942</v>
      </c>
      <c r="D70" s="258"/>
      <c r="E70" s="1696">
        <f>SUM(E62:E69)</f>
        <v>249735177</v>
      </c>
      <c r="F70" s="1641">
        <f>SUM(F64:F69)</f>
        <v>249735177</v>
      </c>
    </row>
    <row r="71" spans="1:8" ht="15.75" thickTop="1" x14ac:dyDescent="0.25">
      <c r="C71" s="211"/>
      <c r="D71" s="211"/>
    </row>
    <row r="72" spans="1:8" s="260" customFormat="1" x14ac:dyDescent="0.2">
      <c r="A72" s="824">
        <v>35</v>
      </c>
      <c r="C72" s="260" t="s">
        <v>811</v>
      </c>
      <c r="D72" s="185"/>
    </row>
    <row r="74" spans="1:8" x14ac:dyDescent="0.2">
      <c r="B74" s="260">
        <v>35.1</v>
      </c>
      <c r="C74" s="260" t="s">
        <v>353</v>
      </c>
      <c r="E74" s="455"/>
      <c r="F74" s="455"/>
    </row>
    <row r="75" spans="1:8" x14ac:dyDescent="0.2">
      <c r="C75" s="185" t="s">
        <v>514</v>
      </c>
      <c r="E75" s="455">
        <f>F79</f>
        <v>52438945</v>
      </c>
      <c r="F75" s="463">
        <v>47563668.869999997</v>
      </c>
      <c r="G75" s="187"/>
      <c r="H75" s="187"/>
    </row>
    <row r="76" spans="1:8" x14ac:dyDescent="0.2">
      <c r="C76" s="185" t="s">
        <v>4104</v>
      </c>
      <c r="E76" s="455">
        <v>2699718</v>
      </c>
      <c r="F76" s="463">
        <v>4875276.13</v>
      </c>
      <c r="G76" s="187"/>
      <c r="H76" s="187"/>
    </row>
    <row r="77" spans="1:8" x14ac:dyDescent="0.2">
      <c r="C77" s="185" t="s">
        <v>4105</v>
      </c>
      <c r="E77" s="455">
        <v>5374992</v>
      </c>
      <c r="F77" s="463"/>
      <c r="G77" s="187"/>
    </row>
    <row r="78" spans="1:8" hidden="1" x14ac:dyDescent="0.2">
      <c r="C78" s="185" t="s">
        <v>516</v>
      </c>
      <c r="E78" s="1507">
        <v>0</v>
      </c>
      <c r="F78" s="1507">
        <v>0</v>
      </c>
      <c r="G78" s="187"/>
    </row>
    <row r="79" spans="1:8" x14ac:dyDescent="0.2">
      <c r="C79" s="185" t="s">
        <v>517</v>
      </c>
      <c r="E79" s="1508">
        <f>-'TB4'!X93</f>
        <v>60513655</v>
      </c>
      <c r="F79" s="1508">
        <f>-'TB4'!U93</f>
        <v>52438945</v>
      </c>
      <c r="G79" s="187"/>
    </row>
    <row r="80" spans="1:8" x14ac:dyDescent="0.2">
      <c r="C80" s="260"/>
      <c r="E80" s="455"/>
      <c r="F80" s="455"/>
    </row>
    <row r="81" spans="2:9" x14ac:dyDescent="0.2">
      <c r="C81" s="185" t="s">
        <v>519</v>
      </c>
      <c r="E81" s="455"/>
      <c r="F81" s="455"/>
    </row>
    <row r="82" spans="2:9" x14ac:dyDescent="0.2">
      <c r="C82" s="185" t="s">
        <v>520</v>
      </c>
      <c r="E82" s="455"/>
      <c r="F82" s="455"/>
    </row>
    <row r="83" spans="2:9" x14ac:dyDescent="0.2">
      <c r="C83" s="185" t="s">
        <v>86</v>
      </c>
      <c r="E83" s="455"/>
      <c r="F83" s="455"/>
    </row>
    <row r="84" spans="2:9" x14ac:dyDescent="0.2">
      <c r="C84" s="185" t="s">
        <v>3671</v>
      </c>
      <c r="E84" s="455"/>
      <c r="F84" s="455"/>
    </row>
    <row r="85" spans="2:9" x14ac:dyDescent="0.2">
      <c r="E85" s="58"/>
    </row>
    <row r="86" spans="2:9" hidden="1" x14ac:dyDescent="0.2">
      <c r="B86" s="260">
        <v>35.200000000000003</v>
      </c>
      <c r="C86" s="260" t="s">
        <v>3260</v>
      </c>
      <c r="E86" s="58"/>
    </row>
    <row r="87" spans="2:9" hidden="1" x14ac:dyDescent="0.2">
      <c r="C87" s="185" t="s">
        <v>514</v>
      </c>
      <c r="E87" s="453">
        <f>F90</f>
        <v>14536586</v>
      </c>
      <c r="F87" s="453">
        <v>14645730</v>
      </c>
    </row>
    <row r="88" spans="2:9" hidden="1" x14ac:dyDescent="0.2">
      <c r="C88" s="185" t="s">
        <v>515</v>
      </c>
      <c r="E88" s="453">
        <f>14726109.76-0.3</f>
        <v>14726109.459999999</v>
      </c>
      <c r="F88" s="453">
        <v>9557190</v>
      </c>
    </row>
    <row r="89" spans="2:9" hidden="1" x14ac:dyDescent="0.2">
      <c r="C89" s="185" t="s">
        <v>516</v>
      </c>
      <c r="E89" s="453">
        <v>-1091895</v>
      </c>
      <c r="F89" s="453">
        <v>-9666334</v>
      </c>
    </row>
    <row r="90" spans="2:9" hidden="1" x14ac:dyDescent="0.2">
      <c r="C90" s="185" t="s">
        <v>517</v>
      </c>
      <c r="E90" s="1322">
        <f>SUM(E87:E89)</f>
        <v>28170800.460000001</v>
      </c>
      <c r="F90" s="1322">
        <f>SUM(F87:F89)</f>
        <v>14536586</v>
      </c>
      <c r="H90" s="258">
        <v>0</v>
      </c>
      <c r="I90" s="258">
        <v>0</v>
      </c>
    </row>
    <row r="91" spans="2:9" x14ac:dyDescent="0.2">
      <c r="C91" s="185" t="s">
        <v>3757</v>
      </c>
      <c r="E91" s="453"/>
      <c r="F91" s="453"/>
    </row>
    <row r="92" spans="2:9" x14ac:dyDescent="0.2">
      <c r="C92" s="185" t="s">
        <v>3968</v>
      </c>
      <c r="E92" s="453"/>
      <c r="F92" s="453"/>
    </row>
    <row r="93" spans="2:9" x14ac:dyDescent="0.2">
      <c r="E93" s="453"/>
      <c r="F93" s="453"/>
    </row>
    <row r="94" spans="2:9" x14ac:dyDescent="0.2">
      <c r="C94" s="185" t="s">
        <v>3872</v>
      </c>
      <c r="E94" s="453"/>
      <c r="F94" s="453"/>
    </row>
    <row r="95" spans="2:9" x14ac:dyDescent="0.2">
      <c r="C95" s="185" t="s">
        <v>3873</v>
      </c>
      <c r="E95" s="453"/>
      <c r="F95" s="453"/>
    </row>
    <row r="96" spans="2:9" ht="15" x14ac:dyDescent="0.25">
      <c r="C96" s="1509"/>
      <c r="E96" s="453"/>
      <c r="F96" s="453"/>
    </row>
    <row r="97" spans="2:19" x14ac:dyDescent="0.2">
      <c r="C97" s="185" t="s">
        <v>3758</v>
      </c>
      <c r="E97" s="453"/>
      <c r="F97" s="453"/>
    </row>
    <row r="98" spans="2:19" x14ac:dyDescent="0.2">
      <c r="E98" s="453"/>
      <c r="F98" s="453"/>
    </row>
    <row r="99" spans="2:19" x14ac:dyDescent="0.2">
      <c r="E99" s="453"/>
      <c r="F99" s="453"/>
    </row>
    <row r="100" spans="2:19" s="211" customFormat="1" ht="15" x14ac:dyDescent="0.25">
      <c r="B100" s="260">
        <v>35.200000000000003</v>
      </c>
      <c r="C100" s="265" t="s">
        <v>1009</v>
      </c>
      <c r="D100" s="185"/>
      <c r="E100" s="185"/>
      <c r="F100" s="58"/>
      <c r="M100" s="266"/>
      <c r="N100" s="266"/>
    </row>
    <row r="101" spans="2:19" s="211" customFormat="1" ht="15" x14ac:dyDescent="0.25">
      <c r="B101" s="258"/>
      <c r="C101" s="267"/>
      <c r="D101" s="185"/>
      <c r="E101" s="185"/>
      <c r="F101" s="58"/>
      <c r="M101" s="266"/>
      <c r="N101" s="266"/>
    </row>
    <row r="102" spans="2:19" s="211" customFormat="1" ht="15" x14ac:dyDescent="0.25">
      <c r="B102" s="258"/>
      <c r="C102" s="267" t="s">
        <v>1010</v>
      </c>
      <c r="D102" s="185"/>
      <c r="E102" s="274">
        <v>0</v>
      </c>
      <c r="F102" s="274">
        <v>0</v>
      </c>
      <c r="M102" s="266"/>
      <c r="N102" s="266"/>
    </row>
    <row r="103" spans="2:19" s="211" customFormat="1" ht="15.75" thickBot="1" x14ac:dyDescent="0.3">
      <c r="B103" s="258"/>
      <c r="C103" s="267" t="s">
        <v>1011</v>
      </c>
      <c r="D103" s="185"/>
      <c r="E103" s="1510">
        <f>-'TB4'!X92</f>
        <v>162094000</v>
      </c>
      <c r="F103" s="1510">
        <f>-'TB4'!U92</f>
        <v>155576000</v>
      </c>
      <c r="G103" s="268"/>
      <c r="R103" s="266"/>
      <c r="S103" s="266"/>
    </row>
    <row r="104" spans="2:19" s="211" customFormat="1" ht="15" x14ac:dyDescent="0.25">
      <c r="B104" s="258"/>
      <c r="C104" s="265" t="s">
        <v>1012</v>
      </c>
      <c r="D104" s="185"/>
      <c r="E104" s="1511">
        <f>SUM(E102:E103)</f>
        <v>162094000</v>
      </c>
      <c r="F104" s="1511">
        <f>SUM(F102:F103)</f>
        <v>155576000</v>
      </c>
      <c r="G104" s="268"/>
      <c r="L104" s="270"/>
      <c r="R104" s="266"/>
      <c r="S104" s="266"/>
    </row>
    <row r="105" spans="2:19" hidden="1" x14ac:dyDescent="0.2">
      <c r="C105" s="185" t="s">
        <v>2895</v>
      </c>
      <c r="E105" s="274">
        <v>0</v>
      </c>
      <c r="F105" s="274">
        <v>0</v>
      </c>
    </row>
    <row r="106" spans="2:19" hidden="1" x14ac:dyDescent="0.2">
      <c r="C106" s="185" t="s">
        <v>1013</v>
      </c>
      <c r="E106" s="274">
        <v>0</v>
      </c>
      <c r="F106" s="274">
        <v>0</v>
      </c>
      <c r="J106" s="185"/>
    </row>
    <row r="107" spans="2:19" hidden="1" x14ac:dyDescent="0.2">
      <c r="C107" s="185" t="s">
        <v>1014</v>
      </c>
      <c r="E107" s="274">
        <v>0</v>
      </c>
      <c r="F107" s="274">
        <v>0</v>
      </c>
    </row>
    <row r="108" spans="2:19" ht="13.5" thickBot="1" x14ac:dyDescent="0.25">
      <c r="C108" s="185" t="s">
        <v>1015</v>
      </c>
      <c r="E108" s="259">
        <f>SUM(E104:E107)</f>
        <v>162094000</v>
      </c>
      <c r="F108" s="259">
        <f>SUM(F104:F107)</f>
        <v>155576000</v>
      </c>
      <c r="G108" s="271"/>
    </row>
    <row r="109" spans="2:19" ht="13.5" thickTop="1" x14ac:dyDescent="0.2">
      <c r="E109" s="274"/>
      <c r="F109" s="274"/>
      <c r="I109" s="185"/>
    </row>
    <row r="110" spans="2:19" x14ac:dyDescent="0.2">
      <c r="C110" s="185" t="s">
        <v>1016</v>
      </c>
      <c r="I110" s="185"/>
      <c r="J110" s="185"/>
      <c r="L110" s="271"/>
    </row>
    <row r="111" spans="2:19" hidden="1" x14ac:dyDescent="0.2">
      <c r="I111" s="185"/>
      <c r="J111" s="185"/>
      <c r="L111" s="271"/>
    </row>
    <row r="112" spans="2:19" x14ac:dyDescent="0.2">
      <c r="I112" s="185"/>
      <c r="J112" s="185"/>
    </row>
    <row r="113" spans="3:12" x14ac:dyDescent="0.2">
      <c r="C113" s="260" t="s">
        <v>1012</v>
      </c>
    </row>
    <row r="114" spans="3:12" x14ac:dyDescent="0.2">
      <c r="K114" s="185"/>
    </row>
    <row r="115" spans="3:12" x14ac:dyDescent="0.2">
      <c r="C115" s="185" t="s">
        <v>1017</v>
      </c>
      <c r="E115" s="274">
        <f>F124</f>
        <v>155576000</v>
      </c>
      <c r="F115" s="274">
        <v>151027000</v>
      </c>
      <c r="I115" s="185"/>
    </row>
    <row r="116" spans="3:12" ht="15" x14ac:dyDescent="0.25">
      <c r="C116" s="185" t="s">
        <v>1018</v>
      </c>
      <c r="E116" s="274">
        <v>5589000</v>
      </c>
      <c r="F116" s="274">
        <v>5573000</v>
      </c>
      <c r="I116" s="185"/>
      <c r="J116" s="211"/>
      <c r="L116" s="264"/>
    </row>
    <row r="117" spans="3:12" x14ac:dyDescent="0.2">
      <c r="C117" s="185" t="s">
        <v>1019</v>
      </c>
      <c r="E117" s="274">
        <v>14243000</v>
      </c>
      <c r="F117" s="274">
        <v>13492000</v>
      </c>
    </row>
    <row r="118" spans="3:12" hidden="1" x14ac:dyDescent="0.2">
      <c r="C118" s="185" t="s">
        <v>1020</v>
      </c>
      <c r="E118" s="274"/>
      <c r="F118" s="274"/>
      <c r="J118" s="185"/>
      <c r="L118" s="271"/>
    </row>
    <row r="119" spans="3:12" x14ac:dyDescent="0.2">
      <c r="C119" s="185" t="s">
        <v>2896</v>
      </c>
      <c r="E119" s="274">
        <v>-7662331</v>
      </c>
      <c r="F119" s="274">
        <v>-9279759</v>
      </c>
    </row>
    <row r="120" spans="3:12" hidden="1" x14ac:dyDescent="0.2">
      <c r="C120" s="185" t="s">
        <v>1021</v>
      </c>
      <c r="E120" s="274"/>
      <c r="F120" s="274"/>
    </row>
    <row r="121" spans="3:12" hidden="1" x14ac:dyDescent="0.2">
      <c r="C121" s="185" t="s">
        <v>1022</v>
      </c>
      <c r="E121" s="274"/>
      <c r="F121" s="274"/>
    </row>
    <row r="122" spans="3:12" ht="15" x14ac:dyDescent="0.25">
      <c r="C122" s="185" t="s">
        <v>1036</v>
      </c>
      <c r="E122" s="274">
        <v>-5651669</v>
      </c>
      <c r="F122" s="274">
        <v>-5236241</v>
      </c>
      <c r="G122" s="269"/>
      <c r="I122" s="185"/>
    </row>
    <row r="123" spans="3:12" hidden="1" x14ac:dyDescent="0.2">
      <c r="C123" s="185" t="s">
        <v>1023</v>
      </c>
      <c r="E123" s="274">
        <v>0</v>
      </c>
      <c r="F123" s="274">
        <v>0</v>
      </c>
    </row>
    <row r="124" spans="3:12" ht="13.5" thickBot="1" x14ac:dyDescent="0.25">
      <c r="C124" s="260" t="s">
        <v>943</v>
      </c>
      <c r="E124" s="259">
        <f>SUM(E115:E123)</f>
        <v>162094000</v>
      </c>
      <c r="F124" s="259">
        <f>SUM(F115:F123)</f>
        <v>155576000</v>
      </c>
    </row>
    <row r="125" spans="3:12" ht="13.5" thickTop="1" x14ac:dyDescent="0.2">
      <c r="C125" s="185" t="s">
        <v>1024</v>
      </c>
    </row>
    <row r="127" spans="3:12" x14ac:dyDescent="0.2">
      <c r="C127" s="185" t="s">
        <v>1017</v>
      </c>
      <c r="E127" s="274">
        <f>F141</f>
        <v>155576000</v>
      </c>
      <c r="F127" s="274">
        <v>151027000</v>
      </c>
    </row>
    <row r="128" spans="3:12" x14ac:dyDescent="0.2">
      <c r="C128" s="185" t="s">
        <v>1018</v>
      </c>
      <c r="E128" s="274">
        <f>E116</f>
        <v>5589000</v>
      </c>
      <c r="F128" s="274">
        <f>F116</f>
        <v>5573000</v>
      </c>
    </row>
    <row r="129" spans="3:6" x14ac:dyDescent="0.2">
      <c r="C129" s="185" t="s">
        <v>1025</v>
      </c>
      <c r="E129" s="274">
        <f>E117</f>
        <v>14243000</v>
      </c>
      <c r="F129" s="274">
        <f>F117</f>
        <v>13492000</v>
      </c>
    </row>
    <row r="130" spans="3:6" hidden="1" x14ac:dyDescent="0.2">
      <c r="C130" s="185" t="s">
        <v>1020</v>
      </c>
      <c r="E130" s="274"/>
      <c r="F130" s="274"/>
    </row>
    <row r="131" spans="3:6" hidden="1" x14ac:dyDescent="0.2">
      <c r="C131" s="185" t="s">
        <v>1026</v>
      </c>
      <c r="E131" s="274"/>
      <c r="F131" s="274"/>
    </row>
    <row r="132" spans="3:6" x14ac:dyDescent="0.2">
      <c r="C132" s="185" t="s">
        <v>3027</v>
      </c>
      <c r="E132" s="274">
        <f>E119</f>
        <v>-7662331</v>
      </c>
      <c r="F132" s="274">
        <f>F119</f>
        <v>-9279759</v>
      </c>
    </row>
    <row r="133" spans="3:6" hidden="1" x14ac:dyDescent="0.2">
      <c r="C133" s="185" t="s">
        <v>1027</v>
      </c>
      <c r="E133" s="274">
        <v>0</v>
      </c>
      <c r="F133" s="274">
        <v>0</v>
      </c>
    </row>
    <row r="134" spans="3:6" ht="13.5" hidden="1" thickBot="1" x14ac:dyDescent="0.25">
      <c r="C134" s="185" t="s">
        <v>1022</v>
      </c>
      <c r="E134" s="1510">
        <v>0</v>
      </c>
      <c r="F134" s="1510">
        <v>0</v>
      </c>
    </row>
    <row r="135" spans="3:6" x14ac:dyDescent="0.2">
      <c r="C135" s="260" t="s">
        <v>2897</v>
      </c>
      <c r="E135" s="1511">
        <f>SUM(E127:E134)</f>
        <v>167745669</v>
      </c>
      <c r="F135" s="1511">
        <f>SUM(F127:F134)</f>
        <v>160812241</v>
      </c>
    </row>
    <row r="136" spans="3:6" x14ac:dyDescent="0.2">
      <c r="C136" s="185" t="s">
        <v>1037</v>
      </c>
      <c r="E136" s="274">
        <f>E122</f>
        <v>-5651669</v>
      </c>
      <c r="F136" s="274">
        <f>F122</f>
        <v>-5236241</v>
      </c>
    </row>
    <row r="137" spans="3:6" hidden="1" x14ac:dyDescent="0.2">
      <c r="C137" s="185" t="s">
        <v>1026</v>
      </c>
      <c r="E137" s="274">
        <v>0</v>
      </c>
      <c r="F137" s="274">
        <v>0</v>
      </c>
    </row>
    <row r="138" spans="3:6" hidden="1" x14ac:dyDescent="0.2">
      <c r="C138" s="185" t="s">
        <v>1023</v>
      </c>
      <c r="E138" s="274">
        <v>0</v>
      </c>
      <c r="F138" s="274">
        <v>0</v>
      </c>
    </row>
    <row r="139" spans="3:6" hidden="1" x14ac:dyDescent="0.2">
      <c r="C139" s="185" t="s">
        <v>1035</v>
      </c>
      <c r="E139" s="274">
        <v>0</v>
      </c>
      <c r="F139" s="274">
        <v>0</v>
      </c>
    </row>
    <row r="140" spans="3:6" hidden="1" x14ac:dyDescent="0.2">
      <c r="C140" s="185" t="s">
        <v>1029</v>
      </c>
      <c r="E140" s="274">
        <v>0</v>
      </c>
      <c r="F140" s="274">
        <v>0</v>
      </c>
    </row>
    <row r="141" spans="3:6" ht="13.5" thickBot="1" x14ac:dyDescent="0.25">
      <c r="C141" s="260" t="s">
        <v>943</v>
      </c>
      <c r="E141" s="259">
        <f>SUM(E135:E140)</f>
        <v>162094000</v>
      </c>
      <c r="F141" s="259">
        <f>SUM(F135:F140)</f>
        <v>155576000</v>
      </c>
    </row>
    <row r="142" spans="3:6" ht="13.5" thickTop="1" x14ac:dyDescent="0.2"/>
    <row r="143" spans="3:6" x14ac:dyDescent="0.2">
      <c r="C143" s="260" t="s">
        <v>3879</v>
      </c>
    </row>
    <row r="144" spans="3:6" ht="38.25" x14ac:dyDescent="0.2">
      <c r="C144" s="1512" t="s">
        <v>3874</v>
      </c>
    </row>
    <row r="145" spans="3:6" ht="13.5" x14ac:dyDescent="0.25">
      <c r="C145" s="1513"/>
    </row>
    <row r="146" spans="3:6" x14ac:dyDescent="0.2">
      <c r="C146" s="1514" t="s">
        <v>3875</v>
      </c>
    </row>
    <row r="147" spans="3:6" ht="165.75" x14ac:dyDescent="0.2">
      <c r="C147" s="1512" t="s">
        <v>3876</v>
      </c>
    </row>
    <row r="148" spans="3:6" x14ac:dyDescent="0.2">
      <c r="C148" s="1512" t="s">
        <v>3880</v>
      </c>
    </row>
    <row r="149" spans="3:6" x14ac:dyDescent="0.2">
      <c r="C149" s="1515" t="s">
        <v>3882</v>
      </c>
    </row>
    <row r="150" spans="3:6" ht="11.25" customHeight="1" x14ac:dyDescent="0.2">
      <c r="C150" s="1512" t="s">
        <v>3883</v>
      </c>
    </row>
    <row r="151" spans="3:6" x14ac:dyDescent="0.2">
      <c r="C151" s="258" t="s">
        <v>3881</v>
      </c>
    </row>
    <row r="152" spans="3:6" ht="13.5" x14ac:dyDescent="0.25">
      <c r="C152" s="1513"/>
    </row>
    <row r="153" spans="3:6" x14ac:dyDescent="0.2">
      <c r="C153" s="1514" t="s">
        <v>3877</v>
      </c>
    </row>
    <row r="154" spans="3:6" ht="51" x14ac:dyDescent="0.2">
      <c r="C154" s="497" t="s">
        <v>3878</v>
      </c>
    </row>
    <row r="157" spans="3:6" x14ac:dyDescent="0.2">
      <c r="C157" s="267" t="s">
        <v>1030</v>
      </c>
    </row>
    <row r="159" spans="3:6" x14ac:dyDescent="0.2">
      <c r="C159" s="185" t="s">
        <v>1031</v>
      </c>
      <c r="E159" s="1033" t="s">
        <v>3625</v>
      </c>
      <c r="F159" s="1033" t="s">
        <v>3625</v>
      </c>
    </row>
    <row r="160" spans="3:6" ht="42.75" x14ac:dyDescent="0.2">
      <c r="C160" s="185" t="s">
        <v>3769</v>
      </c>
      <c r="D160" s="456"/>
      <c r="E160" s="1516" t="s">
        <v>3770</v>
      </c>
      <c r="F160" s="1516" t="s">
        <v>3770</v>
      </c>
    </row>
    <row r="161" spans="2:12" x14ac:dyDescent="0.2">
      <c r="C161" s="185" t="s">
        <v>1032</v>
      </c>
      <c r="E161" s="1033" t="s">
        <v>3626</v>
      </c>
      <c r="F161" s="1033" t="s">
        <v>3626</v>
      </c>
    </row>
    <row r="162" spans="2:12" x14ac:dyDescent="0.2">
      <c r="C162" s="442" t="s">
        <v>2595</v>
      </c>
      <c r="E162" s="1033" t="s">
        <v>3625</v>
      </c>
      <c r="F162" s="1033" t="s">
        <v>3625</v>
      </c>
    </row>
    <row r="163" spans="2:12" ht="42.75" x14ac:dyDescent="0.2">
      <c r="C163" s="185" t="s">
        <v>3769</v>
      </c>
      <c r="D163" s="456"/>
      <c r="E163" s="1516" t="s">
        <v>3770</v>
      </c>
      <c r="F163" s="1516" t="s">
        <v>3770</v>
      </c>
    </row>
    <row r="164" spans="2:12" s="211" customFormat="1" ht="15" x14ac:dyDescent="0.25">
      <c r="B164" s="260">
        <v>35.299999999999997</v>
      </c>
      <c r="C164" s="265" t="s">
        <v>1033</v>
      </c>
      <c r="D164" s="185"/>
      <c r="E164" s="185"/>
      <c r="F164" s="58"/>
      <c r="K164" s="270"/>
      <c r="L164" s="270"/>
    </row>
    <row r="165" spans="2:12" s="211" customFormat="1" ht="15" x14ac:dyDescent="0.25">
      <c r="B165" s="258"/>
      <c r="C165" s="267"/>
      <c r="D165" s="185"/>
      <c r="E165" s="185"/>
      <c r="F165" s="58"/>
      <c r="K165" s="270"/>
      <c r="L165" s="270"/>
    </row>
    <row r="166" spans="2:12" s="211" customFormat="1" ht="14.25" hidden="1" customHeight="1" x14ac:dyDescent="0.25">
      <c r="B166" s="258"/>
      <c r="C166" s="267" t="s">
        <v>1010</v>
      </c>
      <c r="D166" s="185"/>
      <c r="E166" s="274">
        <v>0</v>
      </c>
      <c r="F166" s="274">
        <v>0</v>
      </c>
      <c r="K166" s="270"/>
      <c r="L166" s="270"/>
    </row>
    <row r="167" spans="2:12" s="211" customFormat="1" ht="15" customHeight="1" thickBot="1" x14ac:dyDescent="0.3">
      <c r="B167" s="258"/>
      <c r="C167" s="267" t="s">
        <v>1011</v>
      </c>
      <c r="D167" s="185"/>
      <c r="E167" s="1510">
        <f>-'TB4'!X95</f>
        <v>31892000</v>
      </c>
      <c r="F167" s="1510">
        <f>-'TB4'!U95</f>
        <v>27867000</v>
      </c>
      <c r="K167" s="270"/>
      <c r="L167" s="270"/>
    </row>
    <row r="168" spans="2:12" s="211" customFormat="1" ht="14.25" customHeight="1" x14ac:dyDescent="0.25">
      <c r="B168" s="258"/>
      <c r="C168" s="265" t="s">
        <v>1012</v>
      </c>
      <c r="D168" s="185"/>
      <c r="E168" s="1511">
        <f>SUM(E166:E167)</f>
        <v>31892000</v>
      </c>
      <c r="F168" s="1511">
        <f>SUM(F166:F167)</f>
        <v>27867000</v>
      </c>
      <c r="K168" s="270"/>
      <c r="L168" s="270"/>
    </row>
    <row r="169" spans="2:12" s="211" customFormat="1" ht="15" hidden="1" x14ac:dyDescent="0.25">
      <c r="B169" s="258"/>
      <c r="C169" s="185" t="s">
        <v>2895</v>
      </c>
      <c r="D169" s="185"/>
      <c r="E169" s="274">
        <v>0</v>
      </c>
      <c r="F169" s="274">
        <v>0</v>
      </c>
      <c r="K169" s="270"/>
      <c r="L169" s="270"/>
    </row>
    <row r="170" spans="2:12" s="211" customFormat="1" ht="15" hidden="1" x14ac:dyDescent="0.25">
      <c r="B170" s="258"/>
      <c r="C170" s="185" t="s">
        <v>1013</v>
      </c>
      <c r="D170" s="185"/>
      <c r="E170" s="274">
        <v>0</v>
      </c>
      <c r="F170" s="274">
        <v>0</v>
      </c>
      <c r="K170" s="270"/>
      <c r="L170" s="270"/>
    </row>
    <row r="171" spans="2:12" s="211" customFormat="1" ht="15" hidden="1" x14ac:dyDescent="0.25">
      <c r="B171" s="258"/>
      <c r="C171" s="185" t="s">
        <v>1014</v>
      </c>
      <c r="D171" s="185"/>
      <c r="E171" s="274">
        <v>0</v>
      </c>
      <c r="F171" s="274">
        <v>0</v>
      </c>
      <c r="K171" s="270"/>
      <c r="L171" s="270"/>
    </row>
    <row r="172" spans="2:12" s="211" customFormat="1" ht="15.75" thickBot="1" x14ac:dyDescent="0.3">
      <c r="B172" s="258"/>
      <c r="C172" s="185" t="s">
        <v>1015</v>
      </c>
      <c r="D172" s="185"/>
      <c r="E172" s="259">
        <f>SUM(E168:E171)</f>
        <v>31892000</v>
      </c>
      <c r="F172" s="259">
        <f>SUM(F168:F171)</f>
        <v>27867000</v>
      </c>
      <c r="H172" s="273"/>
      <c r="K172" s="270"/>
      <c r="L172" s="270"/>
    </row>
    <row r="173" spans="2:12" s="211" customFormat="1" ht="12" customHeight="1" thickTop="1" x14ac:dyDescent="0.25">
      <c r="B173" s="258"/>
      <c r="C173" s="185"/>
      <c r="D173" s="185"/>
      <c r="E173" s="274"/>
      <c r="F173" s="274"/>
      <c r="K173" s="270"/>
      <c r="L173" s="270"/>
    </row>
    <row r="174" spans="2:12" s="211" customFormat="1" ht="15" x14ac:dyDescent="0.25">
      <c r="B174" s="258"/>
      <c r="C174" s="185" t="s">
        <v>1016</v>
      </c>
      <c r="D174" s="185"/>
      <c r="E174" s="185"/>
      <c r="F174" s="185"/>
      <c r="K174" s="270"/>
      <c r="L174" s="270"/>
    </row>
    <row r="175" spans="2:12" s="211" customFormat="1" ht="11.25" customHeight="1" x14ac:dyDescent="0.25">
      <c r="B175" s="258"/>
      <c r="C175" s="272"/>
      <c r="D175" s="185"/>
      <c r="E175" s="185"/>
      <c r="F175" s="185"/>
      <c r="K175" s="270"/>
      <c r="L175" s="270"/>
    </row>
    <row r="176" spans="2:12" s="211" customFormat="1" ht="15" x14ac:dyDescent="0.25">
      <c r="B176" s="258"/>
      <c r="C176" s="260" t="s">
        <v>1012</v>
      </c>
      <c r="D176" s="185"/>
      <c r="E176" s="185"/>
      <c r="F176" s="185"/>
      <c r="K176" s="270"/>
      <c r="L176" s="270"/>
    </row>
    <row r="177" spans="2:12" s="211" customFormat="1" ht="11.25" customHeight="1" x14ac:dyDescent="0.25">
      <c r="B177" s="258"/>
      <c r="C177" s="185"/>
      <c r="D177" s="185"/>
      <c r="E177" s="185"/>
      <c r="F177" s="185"/>
      <c r="K177" s="270"/>
      <c r="L177" s="270"/>
    </row>
    <row r="178" spans="2:12" s="211" customFormat="1" ht="15" x14ac:dyDescent="0.25">
      <c r="B178" s="258"/>
      <c r="C178" s="185" t="s">
        <v>1017</v>
      </c>
      <c r="D178" s="185"/>
      <c r="E178" s="274">
        <f>F187</f>
        <v>27867000</v>
      </c>
      <c r="F178" s="274">
        <v>26932000</v>
      </c>
      <c r="K178" s="270"/>
      <c r="L178" s="270"/>
    </row>
    <row r="179" spans="2:12" s="211" customFormat="1" ht="15" x14ac:dyDescent="0.25">
      <c r="B179" s="258"/>
      <c r="C179" s="185" t="s">
        <v>1018</v>
      </c>
      <c r="D179" s="185"/>
      <c r="E179" s="274">
        <v>3009000</v>
      </c>
      <c r="F179" s="274">
        <v>2746000</v>
      </c>
      <c r="K179" s="270"/>
      <c r="L179" s="270"/>
    </row>
    <row r="180" spans="2:12" s="211" customFormat="1" ht="15" x14ac:dyDescent="0.25">
      <c r="B180" s="258"/>
      <c r="C180" s="185" t="s">
        <v>1019</v>
      </c>
      <c r="D180" s="185"/>
      <c r="E180" s="274">
        <v>2416000</v>
      </c>
      <c r="F180" s="274">
        <v>2204000</v>
      </c>
      <c r="K180" s="270"/>
      <c r="L180" s="270"/>
    </row>
    <row r="181" spans="2:12" s="211" customFormat="1" ht="15" hidden="1" x14ac:dyDescent="0.25">
      <c r="B181" s="258"/>
      <c r="C181" s="185" t="s">
        <v>1020</v>
      </c>
      <c r="D181" s="185"/>
      <c r="E181" s="274"/>
      <c r="F181" s="274"/>
      <c r="K181" s="270"/>
      <c r="L181" s="270"/>
    </row>
    <row r="182" spans="2:12" s="211" customFormat="1" ht="15" x14ac:dyDescent="0.25">
      <c r="B182" s="258"/>
      <c r="C182" s="580" t="s">
        <v>2896</v>
      </c>
      <c r="D182" s="185"/>
      <c r="E182" s="274">
        <v>-114307</v>
      </c>
      <c r="F182" s="274">
        <v>-2701825</v>
      </c>
      <c r="K182" s="270"/>
      <c r="L182" s="270"/>
    </row>
    <row r="183" spans="2:12" s="211" customFormat="1" ht="15" hidden="1" x14ac:dyDescent="0.25">
      <c r="B183" s="258"/>
      <c r="C183" s="272" t="s">
        <v>1021</v>
      </c>
      <c r="D183" s="185"/>
      <c r="E183" s="274"/>
      <c r="F183" s="274"/>
      <c r="K183" s="270"/>
      <c r="L183" s="270"/>
    </row>
    <row r="184" spans="2:12" s="211" customFormat="1" ht="15" hidden="1" x14ac:dyDescent="0.25">
      <c r="B184" s="258"/>
      <c r="C184" s="272" t="s">
        <v>1022</v>
      </c>
      <c r="D184" s="185"/>
      <c r="E184" s="274"/>
      <c r="F184" s="274"/>
      <c r="K184" s="270"/>
      <c r="L184" s="270"/>
    </row>
    <row r="185" spans="2:12" s="211" customFormat="1" ht="15" x14ac:dyDescent="0.25">
      <c r="B185" s="258"/>
      <c r="C185" s="580" t="s">
        <v>1036</v>
      </c>
      <c r="D185" s="185"/>
      <c r="E185" s="274">
        <v>-1285693</v>
      </c>
      <c r="F185" s="274">
        <v>-1313175</v>
      </c>
      <c r="G185" s="269"/>
      <c r="K185" s="270"/>
      <c r="L185" s="270"/>
    </row>
    <row r="186" spans="2:12" s="211" customFormat="1" ht="15" hidden="1" x14ac:dyDescent="0.25">
      <c r="B186" s="258"/>
      <c r="C186" s="185" t="s">
        <v>1023</v>
      </c>
      <c r="D186" s="185"/>
      <c r="E186" s="274">
        <v>0</v>
      </c>
      <c r="F186" s="274">
        <v>0</v>
      </c>
      <c r="K186" s="270"/>
      <c r="L186" s="270"/>
    </row>
    <row r="187" spans="2:12" s="211" customFormat="1" ht="15.75" thickBot="1" x14ac:dyDescent="0.3">
      <c r="B187" s="258"/>
      <c r="C187" s="260" t="s">
        <v>943</v>
      </c>
      <c r="D187" s="185"/>
      <c r="E187" s="259">
        <f>SUM(E178:E186)</f>
        <v>31892000</v>
      </c>
      <c r="F187" s="259">
        <f>SUM(F178:F186)</f>
        <v>27867000</v>
      </c>
      <c r="K187" s="270"/>
      <c r="L187" s="270"/>
    </row>
    <row r="188" spans="2:12" s="211" customFormat="1" ht="15.75" thickTop="1" x14ac:dyDescent="0.25">
      <c r="B188" s="258"/>
      <c r="C188" s="185" t="s">
        <v>1024</v>
      </c>
      <c r="D188" s="185"/>
      <c r="E188" s="185"/>
      <c r="F188" s="185"/>
      <c r="K188" s="270"/>
      <c r="L188" s="270"/>
    </row>
    <row r="189" spans="2:12" s="211" customFormat="1" ht="15" x14ac:dyDescent="0.25">
      <c r="B189" s="258"/>
      <c r="C189" s="185"/>
      <c r="D189" s="185"/>
      <c r="E189" s="185"/>
      <c r="F189" s="185"/>
      <c r="K189" s="270"/>
      <c r="L189" s="270"/>
    </row>
    <row r="190" spans="2:12" s="211" customFormat="1" ht="15" x14ac:dyDescent="0.25">
      <c r="B190" s="258"/>
      <c r="C190" s="185" t="s">
        <v>1017</v>
      </c>
      <c r="D190" s="185"/>
      <c r="E190" s="274">
        <f>F204</f>
        <v>27867000</v>
      </c>
      <c r="F190" s="274">
        <v>26932000</v>
      </c>
      <c r="K190" s="270"/>
      <c r="L190" s="270"/>
    </row>
    <row r="191" spans="2:12" s="211" customFormat="1" ht="15" x14ac:dyDescent="0.25">
      <c r="B191" s="258"/>
      <c r="C191" s="185" t="s">
        <v>1018</v>
      </c>
      <c r="D191" s="185"/>
      <c r="E191" s="274">
        <f>E179</f>
        <v>3009000</v>
      </c>
      <c r="F191" s="274">
        <f>F179</f>
        <v>2746000</v>
      </c>
      <c r="K191" s="270"/>
      <c r="L191" s="270"/>
    </row>
    <row r="192" spans="2:12" s="211" customFormat="1" ht="15" x14ac:dyDescent="0.25">
      <c r="B192" s="258"/>
      <c r="C192" s="185" t="s">
        <v>1019</v>
      </c>
      <c r="D192" s="185"/>
      <c r="E192" s="274">
        <f>E180</f>
        <v>2416000</v>
      </c>
      <c r="F192" s="274">
        <f>F180</f>
        <v>2204000</v>
      </c>
      <c r="K192" s="270"/>
      <c r="L192" s="270"/>
    </row>
    <row r="193" spans="2:12" s="211" customFormat="1" ht="15" hidden="1" x14ac:dyDescent="0.25">
      <c r="B193" s="258"/>
      <c r="C193" s="185" t="s">
        <v>1020</v>
      </c>
      <c r="D193" s="185"/>
      <c r="E193" s="274"/>
      <c r="F193" s="274">
        <v>0</v>
      </c>
      <c r="K193" s="270"/>
      <c r="L193" s="270"/>
    </row>
    <row r="194" spans="2:12" s="211" customFormat="1" ht="15" hidden="1" x14ac:dyDescent="0.25">
      <c r="B194" s="258"/>
      <c r="C194" s="185" t="s">
        <v>1026</v>
      </c>
      <c r="D194" s="185"/>
      <c r="E194" s="274"/>
      <c r="F194" s="274">
        <v>0</v>
      </c>
      <c r="K194" s="270"/>
      <c r="L194" s="270"/>
    </row>
    <row r="195" spans="2:12" s="211" customFormat="1" ht="15" x14ac:dyDescent="0.25">
      <c r="B195" s="258"/>
      <c r="C195" s="185" t="s">
        <v>3027</v>
      </c>
      <c r="D195" s="185"/>
      <c r="E195" s="274">
        <f>E182</f>
        <v>-114307</v>
      </c>
      <c r="F195" s="274">
        <f>F182</f>
        <v>-2701825</v>
      </c>
      <c r="K195" s="270"/>
      <c r="L195" s="270"/>
    </row>
    <row r="196" spans="2:12" s="211" customFormat="1" ht="15" hidden="1" x14ac:dyDescent="0.25">
      <c r="B196" s="258"/>
      <c r="C196" s="185" t="s">
        <v>1027</v>
      </c>
      <c r="D196" s="185"/>
      <c r="E196" s="274">
        <v>0</v>
      </c>
      <c r="F196" s="274">
        <v>0</v>
      </c>
      <c r="K196" s="270"/>
      <c r="L196" s="270"/>
    </row>
    <row r="197" spans="2:12" s="211" customFormat="1" ht="15.75" hidden="1" thickBot="1" x14ac:dyDescent="0.3">
      <c r="B197" s="258"/>
      <c r="C197" s="185" t="s">
        <v>1022</v>
      </c>
      <c r="D197" s="185"/>
      <c r="E197" s="1510">
        <v>0</v>
      </c>
      <c r="F197" s="1510">
        <v>0</v>
      </c>
      <c r="K197" s="270"/>
      <c r="L197" s="270"/>
    </row>
    <row r="198" spans="2:12" s="211" customFormat="1" ht="15" x14ac:dyDescent="0.25">
      <c r="B198" s="258"/>
      <c r="C198" s="260" t="s">
        <v>3026</v>
      </c>
      <c r="D198" s="185"/>
      <c r="E198" s="1511">
        <f>SUM(E190:E197)</f>
        <v>33177693</v>
      </c>
      <c r="F198" s="1511">
        <f>SUM(F190:F197)</f>
        <v>29180175</v>
      </c>
      <c r="K198" s="270"/>
      <c r="L198" s="270"/>
    </row>
    <row r="199" spans="2:12" s="211" customFormat="1" ht="15" x14ac:dyDescent="0.25">
      <c r="B199" s="258"/>
      <c r="C199" s="185" t="s">
        <v>1037</v>
      </c>
      <c r="D199" s="185"/>
      <c r="E199" s="274">
        <f>E185</f>
        <v>-1285693</v>
      </c>
      <c r="F199" s="274">
        <f>F185</f>
        <v>-1313175</v>
      </c>
      <c r="K199" s="270"/>
      <c r="L199" s="270"/>
    </row>
    <row r="200" spans="2:12" s="211" customFormat="1" ht="15" hidden="1" x14ac:dyDescent="0.25">
      <c r="B200" s="258"/>
      <c r="C200" s="185" t="s">
        <v>1026</v>
      </c>
      <c r="D200" s="185"/>
      <c r="E200" s="274">
        <v>0</v>
      </c>
      <c r="F200" s="274">
        <v>0</v>
      </c>
      <c r="K200" s="270"/>
      <c r="L200" s="270"/>
    </row>
    <row r="201" spans="2:12" s="211" customFormat="1" ht="15" hidden="1" x14ac:dyDescent="0.25">
      <c r="B201" s="258"/>
      <c r="C201" s="185" t="s">
        <v>1023</v>
      </c>
      <c r="D201" s="185"/>
      <c r="E201" s="274">
        <v>0</v>
      </c>
      <c r="F201" s="274">
        <v>0</v>
      </c>
      <c r="K201" s="270"/>
      <c r="L201" s="270"/>
    </row>
    <row r="202" spans="2:12" s="211" customFormat="1" ht="15" hidden="1" x14ac:dyDescent="0.25">
      <c r="B202" s="258"/>
      <c r="C202" s="185" t="s">
        <v>1028</v>
      </c>
      <c r="D202" s="185"/>
      <c r="E202" s="274">
        <v>0</v>
      </c>
      <c r="F202" s="274">
        <v>0</v>
      </c>
      <c r="K202" s="270"/>
      <c r="L202" s="270"/>
    </row>
    <row r="203" spans="2:12" s="211" customFormat="1" ht="15" hidden="1" x14ac:dyDescent="0.25">
      <c r="B203" s="258"/>
      <c r="C203" s="185" t="s">
        <v>1029</v>
      </c>
      <c r="D203" s="185"/>
      <c r="E203" s="274">
        <v>0</v>
      </c>
      <c r="F203" s="274">
        <v>0</v>
      </c>
      <c r="K203" s="270"/>
      <c r="L203" s="270"/>
    </row>
    <row r="204" spans="2:12" s="211" customFormat="1" ht="15.75" thickBot="1" x14ac:dyDescent="0.3">
      <c r="B204" s="258"/>
      <c r="C204" s="260" t="s">
        <v>943</v>
      </c>
      <c r="D204" s="185"/>
      <c r="E204" s="259">
        <f>SUM(E198:E203)</f>
        <v>31892000</v>
      </c>
      <c r="F204" s="259">
        <f>SUM(F198:F203)</f>
        <v>27867000</v>
      </c>
      <c r="K204" s="270"/>
      <c r="L204" s="270"/>
    </row>
    <row r="205" spans="2:12" s="211" customFormat="1" ht="15.75" thickTop="1" x14ac:dyDescent="0.25">
      <c r="B205" s="258"/>
      <c r="C205" s="185"/>
      <c r="D205" s="185"/>
      <c r="E205" s="185"/>
      <c r="F205" s="185"/>
      <c r="K205" s="270"/>
      <c r="L205" s="270"/>
    </row>
    <row r="206" spans="2:12" x14ac:dyDescent="0.2">
      <c r="C206" s="185" t="s">
        <v>518</v>
      </c>
    </row>
    <row r="207" spans="2:12" ht="25.5" x14ac:dyDescent="0.2">
      <c r="C207" s="1517" t="s">
        <v>3924</v>
      </c>
    </row>
    <row r="208" spans="2:12" ht="25.5" x14ac:dyDescent="0.2">
      <c r="C208" s="267" t="s">
        <v>2898</v>
      </c>
    </row>
    <row r="209" spans="2:12" s="211" customFormat="1" ht="15" x14ac:dyDescent="0.25">
      <c r="C209" s="456"/>
      <c r="D209" s="456"/>
      <c r="E209" s="456"/>
      <c r="F209" s="456"/>
      <c r="K209" s="270"/>
      <c r="L209" s="270"/>
    </row>
    <row r="210" spans="2:12" s="211" customFormat="1" ht="15" x14ac:dyDescent="0.25">
      <c r="C210" s="267" t="s">
        <v>1030</v>
      </c>
      <c r="D210" s="456"/>
      <c r="E210" s="456"/>
      <c r="F210" s="456"/>
      <c r="K210" s="270"/>
      <c r="L210" s="270"/>
    </row>
    <row r="211" spans="2:12" s="211" customFormat="1" ht="15" x14ac:dyDescent="0.25">
      <c r="C211" s="185"/>
      <c r="D211" s="456"/>
      <c r="E211" s="456"/>
      <c r="F211" s="456"/>
      <c r="K211" s="270"/>
      <c r="L211" s="270"/>
    </row>
    <row r="212" spans="2:12" s="211" customFormat="1" ht="15" x14ac:dyDescent="0.25">
      <c r="C212" s="185" t="s">
        <v>1031</v>
      </c>
      <c r="D212" s="456"/>
      <c r="E212" s="1518" t="s">
        <v>3625</v>
      </c>
      <c r="F212" s="1518" t="s">
        <v>3625</v>
      </c>
      <c r="K212" s="270"/>
      <c r="L212" s="270"/>
    </row>
    <row r="213" spans="2:12" s="211" customFormat="1" ht="43.5" x14ac:dyDescent="0.25">
      <c r="C213" s="185" t="s">
        <v>3769</v>
      </c>
      <c r="D213" s="456"/>
      <c r="E213" s="1516" t="s">
        <v>3770</v>
      </c>
      <c r="F213" s="1516" t="s">
        <v>3770</v>
      </c>
      <c r="K213" s="270"/>
      <c r="L213" s="270"/>
    </row>
    <row r="214" spans="2:12" s="211" customFormat="1" ht="15" x14ac:dyDescent="0.25">
      <c r="C214" s="442" t="s">
        <v>3771</v>
      </c>
      <c r="D214" s="456"/>
      <c r="E214" s="1519" t="s">
        <v>3772</v>
      </c>
      <c r="F214" s="1519" t="s">
        <v>3772</v>
      </c>
      <c r="K214" s="270"/>
      <c r="L214" s="270"/>
    </row>
    <row r="215" spans="2:12" s="211" customFormat="1" ht="15" x14ac:dyDescent="0.25">
      <c r="C215" s="456" t="s">
        <v>2595</v>
      </c>
      <c r="D215" s="456"/>
      <c r="E215" s="1518" t="s">
        <v>3773</v>
      </c>
      <c r="F215" s="1518" t="s">
        <v>3773</v>
      </c>
      <c r="K215" s="270"/>
      <c r="L215" s="270"/>
    </row>
    <row r="216" spans="2:12" s="211" customFormat="1" ht="15" x14ac:dyDescent="0.25">
      <c r="C216" s="456"/>
      <c r="D216" s="456"/>
      <c r="E216" s="456"/>
      <c r="F216" s="456"/>
      <c r="K216" s="270"/>
      <c r="L216" s="270"/>
    </row>
    <row r="217" spans="2:12" s="211" customFormat="1" ht="15" x14ac:dyDescent="0.25">
      <c r="B217" s="260">
        <v>35.4</v>
      </c>
      <c r="C217" s="265" t="s">
        <v>1034</v>
      </c>
      <c r="D217" s="185"/>
      <c r="E217" s="185"/>
      <c r="F217" s="58"/>
      <c r="K217" s="270"/>
      <c r="L217" s="270"/>
    </row>
    <row r="218" spans="2:12" s="211" customFormat="1" ht="15" x14ac:dyDescent="0.25">
      <c r="B218" s="258"/>
      <c r="C218" s="267"/>
      <c r="D218" s="185"/>
      <c r="E218" s="185"/>
      <c r="F218" s="58"/>
      <c r="K218" s="270"/>
      <c r="L218" s="270"/>
    </row>
    <row r="219" spans="2:12" s="211" customFormat="1" ht="15" x14ac:dyDescent="0.25">
      <c r="B219" s="258"/>
      <c r="C219" s="267" t="s">
        <v>1010</v>
      </c>
      <c r="D219" s="185"/>
      <c r="E219" s="274">
        <v>0</v>
      </c>
      <c r="F219" s="274">
        <v>0</v>
      </c>
      <c r="K219" s="270"/>
      <c r="L219" s="270"/>
    </row>
    <row r="220" spans="2:12" s="211" customFormat="1" ht="15.75" thickBot="1" x14ac:dyDescent="0.3">
      <c r="B220" s="258"/>
      <c r="C220" s="267" t="s">
        <v>1011</v>
      </c>
      <c r="D220" s="185"/>
      <c r="E220" s="1510">
        <f>-'TB4'!X96</f>
        <v>9585000</v>
      </c>
      <c r="F220" s="1510">
        <f>-'TB4'!U96</f>
        <v>8831000</v>
      </c>
      <c r="K220" s="270"/>
      <c r="L220" s="270"/>
    </row>
    <row r="221" spans="2:12" s="211" customFormat="1" ht="15" x14ac:dyDescent="0.25">
      <c r="B221" s="258"/>
      <c r="C221" s="265" t="s">
        <v>1012</v>
      </c>
      <c r="D221" s="185"/>
      <c r="E221" s="1511">
        <f>SUM(E219:E220)</f>
        <v>9585000</v>
      </c>
      <c r="F221" s="1511">
        <f>SUM(F219:F220)</f>
        <v>8831000</v>
      </c>
      <c r="K221" s="270"/>
      <c r="L221" s="270"/>
    </row>
    <row r="222" spans="2:12" s="211" customFormat="1" ht="15" hidden="1" x14ac:dyDescent="0.25">
      <c r="B222" s="258"/>
      <c r="C222" s="185" t="s">
        <v>2895</v>
      </c>
      <c r="D222" s="185"/>
      <c r="E222" s="274">
        <v>0</v>
      </c>
      <c r="F222" s="274">
        <v>0</v>
      </c>
      <c r="K222" s="270"/>
      <c r="L222" s="270"/>
    </row>
    <row r="223" spans="2:12" s="211" customFormat="1" ht="15" hidden="1" x14ac:dyDescent="0.25">
      <c r="B223" s="258"/>
      <c r="C223" s="185" t="s">
        <v>1013</v>
      </c>
      <c r="D223" s="185"/>
      <c r="E223" s="274">
        <v>0</v>
      </c>
      <c r="F223" s="274">
        <v>0</v>
      </c>
      <c r="K223" s="270"/>
      <c r="L223" s="270"/>
    </row>
    <row r="224" spans="2:12" s="211" customFormat="1" ht="15" hidden="1" x14ac:dyDescent="0.25">
      <c r="B224" s="258"/>
      <c r="C224" s="185" t="s">
        <v>1014</v>
      </c>
      <c r="D224" s="185"/>
      <c r="E224" s="274">
        <v>0</v>
      </c>
      <c r="F224" s="274">
        <v>0</v>
      </c>
      <c r="I224" s="273"/>
      <c r="K224" s="270"/>
      <c r="L224" s="270"/>
    </row>
    <row r="225" spans="2:12" s="211" customFormat="1" ht="15.75" thickBot="1" x14ac:dyDescent="0.3">
      <c r="B225" s="258"/>
      <c r="C225" s="185" t="s">
        <v>1015</v>
      </c>
      <c r="D225" s="185"/>
      <c r="E225" s="259">
        <f>SUM(E221:E224)</f>
        <v>9585000</v>
      </c>
      <c r="F225" s="259">
        <f>SUM(F221:F224)</f>
        <v>8831000</v>
      </c>
      <c r="K225" s="270"/>
      <c r="L225" s="270"/>
    </row>
    <row r="226" spans="2:12" s="211" customFormat="1" ht="15.75" thickTop="1" x14ac:dyDescent="0.25">
      <c r="B226" s="258"/>
      <c r="C226" s="185"/>
      <c r="D226" s="185"/>
      <c r="E226" s="743"/>
      <c r="F226" s="743"/>
      <c r="K226" s="270"/>
      <c r="L226" s="270"/>
    </row>
    <row r="227" spans="2:12" x14ac:dyDescent="0.2">
      <c r="C227" s="185" t="s">
        <v>3931</v>
      </c>
    </row>
    <row r="228" spans="2:12" ht="25.5" customHeight="1" x14ac:dyDescent="0.2">
      <c r="C228" s="1517" t="s">
        <v>3923</v>
      </c>
    </row>
    <row r="229" spans="2:12" x14ac:dyDescent="0.2">
      <c r="C229" s="1520"/>
    </row>
    <row r="230" spans="2:12" s="211" customFormat="1" ht="15" x14ac:dyDescent="0.25">
      <c r="B230" s="258"/>
      <c r="C230" s="185" t="s">
        <v>1016</v>
      </c>
      <c r="D230" s="185"/>
      <c r="E230" s="185"/>
      <c r="F230" s="185"/>
      <c r="K230" s="270"/>
      <c r="L230" s="270"/>
    </row>
    <row r="231" spans="2:12" s="211" customFormat="1" ht="15" x14ac:dyDescent="0.25">
      <c r="B231" s="258"/>
      <c r="C231" s="185"/>
      <c r="D231" s="185"/>
      <c r="E231" s="185"/>
      <c r="F231" s="185"/>
      <c r="I231" s="273"/>
      <c r="J231" s="273"/>
      <c r="K231" s="275"/>
      <c r="L231" s="270"/>
    </row>
    <row r="232" spans="2:12" s="211" customFormat="1" ht="15" x14ac:dyDescent="0.25">
      <c r="B232" s="258"/>
      <c r="C232" s="260" t="s">
        <v>1012</v>
      </c>
      <c r="D232" s="185"/>
      <c r="E232" s="185"/>
      <c r="F232" s="185"/>
      <c r="K232" s="270"/>
      <c r="L232" s="270"/>
    </row>
    <row r="233" spans="2:12" s="211" customFormat="1" ht="15" x14ac:dyDescent="0.25">
      <c r="B233" s="258"/>
      <c r="C233" s="185"/>
      <c r="D233" s="185"/>
      <c r="E233" s="185"/>
      <c r="F233" s="185"/>
      <c r="K233" s="270"/>
      <c r="L233" s="270"/>
    </row>
    <row r="234" spans="2:12" s="211" customFormat="1" ht="15" x14ac:dyDescent="0.25">
      <c r="B234" s="258"/>
      <c r="C234" s="185" t="s">
        <v>1017</v>
      </c>
      <c r="D234" s="185"/>
      <c r="E234" s="274">
        <f>F243</f>
        <v>8831000</v>
      </c>
      <c r="F234" s="274">
        <v>8238000</v>
      </c>
      <c r="K234" s="270"/>
      <c r="L234" s="270"/>
    </row>
    <row r="235" spans="2:12" s="211" customFormat="1" ht="15" x14ac:dyDescent="0.25">
      <c r="B235" s="258"/>
      <c r="C235" s="185" t="s">
        <v>1018</v>
      </c>
      <c r="D235" s="185"/>
      <c r="E235" s="274">
        <v>884000</v>
      </c>
      <c r="F235" s="274">
        <v>789000</v>
      </c>
      <c r="K235" s="270"/>
      <c r="L235" s="270"/>
    </row>
    <row r="236" spans="2:12" s="211" customFormat="1" ht="15" x14ac:dyDescent="0.25">
      <c r="B236" s="258"/>
      <c r="C236" s="185" t="s">
        <v>1019</v>
      </c>
      <c r="D236" s="185"/>
      <c r="E236" s="274">
        <v>835000</v>
      </c>
      <c r="F236" s="274">
        <v>662000</v>
      </c>
      <c r="I236" s="273"/>
      <c r="J236" s="273"/>
      <c r="K236" s="275"/>
      <c r="L236" s="270"/>
    </row>
    <row r="237" spans="2:12" s="211" customFormat="1" ht="15" hidden="1" x14ac:dyDescent="0.25">
      <c r="B237" s="258"/>
      <c r="C237" s="185" t="s">
        <v>1020</v>
      </c>
      <c r="D237" s="185"/>
      <c r="E237" s="274"/>
      <c r="F237" s="274"/>
      <c r="K237" s="270"/>
      <c r="L237" s="270"/>
    </row>
    <row r="238" spans="2:12" s="211" customFormat="1" ht="15" x14ac:dyDescent="0.25">
      <c r="B238" s="258"/>
      <c r="C238" s="185" t="s">
        <v>2896</v>
      </c>
      <c r="D238" s="185"/>
      <c r="E238" s="274">
        <v>-216000</v>
      </c>
      <c r="F238" s="274">
        <v>-246263</v>
      </c>
      <c r="K238" s="270"/>
      <c r="L238" s="270"/>
    </row>
    <row r="239" spans="2:12" s="211" customFormat="1" ht="15" hidden="1" x14ac:dyDescent="0.25">
      <c r="B239" s="258"/>
      <c r="C239" s="185" t="s">
        <v>1021</v>
      </c>
      <c r="D239" s="185"/>
      <c r="E239" s="274"/>
      <c r="F239" s="274"/>
      <c r="K239" s="270"/>
      <c r="L239" s="270"/>
    </row>
    <row r="240" spans="2:12" s="211" customFormat="1" ht="15" hidden="1" x14ac:dyDescent="0.25">
      <c r="B240" s="258"/>
      <c r="C240" s="185" t="s">
        <v>1022</v>
      </c>
      <c r="D240" s="185"/>
      <c r="E240" s="274"/>
      <c r="F240" s="274"/>
      <c r="K240" s="270"/>
      <c r="L240" s="270"/>
    </row>
    <row r="241" spans="2:12" s="211" customFormat="1" ht="15" x14ac:dyDescent="0.25">
      <c r="B241" s="258"/>
      <c r="C241" s="185" t="s">
        <v>3967</v>
      </c>
      <c r="D241" s="185"/>
      <c r="E241" s="274">
        <v>-749000</v>
      </c>
      <c r="F241" s="274">
        <v>-611737</v>
      </c>
      <c r="G241" s="269"/>
      <c r="K241" s="270"/>
      <c r="L241" s="270"/>
    </row>
    <row r="242" spans="2:12" s="211" customFormat="1" ht="15" hidden="1" x14ac:dyDescent="0.25">
      <c r="B242" s="258"/>
      <c r="C242" s="185" t="s">
        <v>1023</v>
      </c>
      <c r="D242" s="185"/>
      <c r="E242" s="274">
        <v>0</v>
      </c>
      <c r="F242" s="274">
        <v>0</v>
      </c>
      <c r="K242" s="270"/>
      <c r="L242" s="270"/>
    </row>
    <row r="243" spans="2:12" s="211" customFormat="1" ht="15.75" thickBot="1" x14ac:dyDescent="0.3">
      <c r="B243" s="258"/>
      <c r="C243" s="260" t="s">
        <v>943</v>
      </c>
      <c r="D243" s="185"/>
      <c r="E243" s="259">
        <f>SUM(E234:E242)</f>
        <v>9585000</v>
      </c>
      <c r="F243" s="259">
        <f>SUM(F234:F242)</f>
        <v>8831000</v>
      </c>
      <c r="K243" s="270"/>
      <c r="L243" s="270"/>
    </row>
    <row r="244" spans="2:12" s="211" customFormat="1" ht="15.75" thickTop="1" x14ac:dyDescent="0.25">
      <c r="B244" s="258"/>
      <c r="C244" s="185" t="s">
        <v>1024</v>
      </c>
      <c r="D244" s="185"/>
      <c r="E244" s="1511"/>
      <c r="F244" s="1511"/>
      <c r="K244" s="270"/>
      <c r="L244" s="270"/>
    </row>
    <row r="245" spans="2:12" s="211" customFormat="1" ht="15" x14ac:dyDescent="0.25">
      <c r="B245" s="258"/>
      <c r="C245" s="272"/>
      <c r="D245" s="185"/>
      <c r="E245" s="185"/>
      <c r="F245" s="185"/>
      <c r="K245" s="270"/>
      <c r="L245" s="270"/>
    </row>
    <row r="246" spans="2:12" s="211" customFormat="1" ht="15" x14ac:dyDescent="0.25">
      <c r="B246" s="258"/>
      <c r="C246" s="185" t="s">
        <v>1017</v>
      </c>
      <c r="D246" s="185"/>
      <c r="E246" s="274">
        <f>F260</f>
        <v>8831000</v>
      </c>
      <c r="F246" s="274">
        <v>8238000</v>
      </c>
      <c r="K246" s="270"/>
      <c r="L246" s="270"/>
    </row>
    <row r="247" spans="2:12" s="211" customFormat="1" ht="15" x14ac:dyDescent="0.25">
      <c r="B247" s="258"/>
      <c r="C247" s="185" t="s">
        <v>1018</v>
      </c>
      <c r="D247" s="185"/>
      <c r="E247" s="274">
        <f>E235</f>
        <v>884000</v>
      </c>
      <c r="F247" s="274">
        <f>F235</f>
        <v>789000</v>
      </c>
      <c r="K247" s="270"/>
      <c r="L247" s="270"/>
    </row>
    <row r="248" spans="2:12" s="211" customFormat="1" ht="15" x14ac:dyDescent="0.25">
      <c r="B248" s="258"/>
      <c r="C248" s="185" t="s">
        <v>1025</v>
      </c>
      <c r="D248" s="185"/>
      <c r="E248" s="274">
        <f>E236</f>
        <v>835000</v>
      </c>
      <c r="F248" s="274">
        <f>F236</f>
        <v>662000</v>
      </c>
      <c r="K248" s="270"/>
      <c r="L248" s="270"/>
    </row>
    <row r="249" spans="2:12" s="211" customFormat="1" ht="15" hidden="1" x14ac:dyDescent="0.25">
      <c r="B249" s="258"/>
      <c r="C249" s="185" t="s">
        <v>1020</v>
      </c>
      <c r="D249" s="185"/>
      <c r="E249" s="274"/>
      <c r="F249" s="274">
        <v>0</v>
      </c>
      <c r="K249" s="270"/>
      <c r="L249" s="270"/>
    </row>
    <row r="250" spans="2:12" s="211" customFormat="1" ht="15" hidden="1" x14ac:dyDescent="0.25">
      <c r="B250" s="258"/>
      <c r="C250" s="185" t="s">
        <v>1026</v>
      </c>
      <c r="D250" s="185"/>
      <c r="E250" s="274"/>
      <c r="F250" s="274">
        <v>0</v>
      </c>
      <c r="K250" s="270"/>
      <c r="L250" s="270"/>
    </row>
    <row r="251" spans="2:12" s="211" customFormat="1" ht="15" x14ac:dyDescent="0.25">
      <c r="B251" s="258"/>
      <c r="C251" s="185" t="s">
        <v>3027</v>
      </c>
      <c r="D251" s="185"/>
      <c r="E251" s="274">
        <f>E238</f>
        <v>-216000</v>
      </c>
      <c r="F251" s="274">
        <f>F238</f>
        <v>-246263</v>
      </c>
      <c r="K251" s="270"/>
      <c r="L251" s="270"/>
    </row>
    <row r="252" spans="2:12" s="211" customFormat="1" ht="15" hidden="1" x14ac:dyDescent="0.25">
      <c r="B252" s="258"/>
      <c r="C252" s="185" t="s">
        <v>1027</v>
      </c>
      <c r="D252" s="185"/>
      <c r="E252" s="274">
        <v>0</v>
      </c>
      <c r="F252" s="274">
        <v>0</v>
      </c>
      <c r="K252" s="270"/>
      <c r="L252" s="270"/>
    </row>
    <row r="253" spans="2:12" s="211" customFormat="1" ht="15.75" hidden="1" thickBot="1" x14ac:dyDescent="0.3">
      <c r="B253" s="258"/>
      <c r="C253" s="185" t="s">
        <v>1022</v>
      </c>
      <c r="D253" s="185"/>
      <c r="E253" s="1510">
        <v>0</v>
      </c>
      <c r="F253" s="1510">
        <v>0</v>
      </c>
      <c r="K253" s="270"/>
      <c r="L253" s="270"/>
    </row>
    <row r="254" spans="2:12" s="211" customFormat="1" ht="15" x14ac:dyDescent="0.25">
      <c r="B254" s="258"/>
      <c r="C254" s="260" t="s">
        <v>3028</v>
      </c>
      <c r="D254" s="185"/>
      <c r="E254" s="1511">
        <f>SUM(E246:E253)</f>
        <v>10334000</v>
      </c>
      <c r="F254" s="1511">
        <f>SUM(F246:F253)</f>
        <v>9442737</v>
      </c>
      <c r="K254" s="270"/>
      <c r="L254" s="270"/>
    </row>
    <row r="255" spans="2:12" s="211" customFormat="1" ht="15" x14ac:dyDescent="0.25">
      <c r="B255" s="258"/>
      <c r="C255" s="185" t="s">
        <v>3970</v>
      </c>
      <c r="D255" s="185"/>
      <c r="E255" s="274">
        <f>E241</f>
        <v>-749000</v>
      </c>
      <c r="F255" s="274">
        <f>F241</f>
        <v>-611737</v>
      </c>
      <c r="K255" s="270"/>
      <c r="L255" s="270"/>
    </row>
    <row r="256" spans="2:12" s="211" customFormat="1" ht="15" hidden="1" x14ac:dyDescent="0.25">
      <c r="B256" s="258"/>
      <c r="C256" s="185" t="s">
        <v>1026</v>
      </c>
      <c r="D256" s="185"/>
      <c r="E256" s="274">
        <v>0</v>
      </c>
      <c r="F256" s="274">
        <v>0</v>
      </c>
      <c r="K256" s="270"/>
      <c r="L256" s="270"/>
    </row>
    <row r="257" spans="1:19" s="211" customFormat="1" ht="15" hidden="1" x14ac:dyDescent="0.25">
      <c r="B257" s="258"/>
      <c r="C257" s="185" t="s">
        <v>1023</v>
      </c>
      <c r="D257" s="185"/>
      <c r="E257" s="274">
        <v>0</v>
      </c>
      <c r="F257" s="274">
        <v>0</v>
      </c>
      <c r="K257" s="270"/>
      <c r="L257" s="270"/>
    </row>
    <row r="258" spans="1:19" s="211" customFormat="1" ht="15" hidden="1" x14ac:dyDescent="0.25">
      <c r="B258" s="258"/>
      <c r="C258" s="185" t="s">
        <v>1028</v>
      </c>
      <c r="D258" s="185"/>
      <c r="E258" s="274">
        <v>0</v>
      </c>
      <c r="F258" s="274">
        <v>0</v>
      </c>
      <c r="K258" s="270"/>
      <c r="L258" s="270"/>
    </row>
    <row r="259" spans="1:19" s="211" customFormat="1" ht="15" hidden="1" x14ac:dyDescent="0.25">
      <c r="B259" s="258"/>
      <c r="C259" s="185" t="s">
        <v>1029</v>
      </c>
      <c r="D259" s="185"/>
      <c r="E259" s="274">
        <v>0</v>
      </c>
      <c r="F259" s="274">
        <v>0</v>
      </c>
      <c r="K259" s="270"/>
      <c r="L259" s="270"/>
    </row>
    <row r="260" spans="1:19" s="211" customFormat="1" ht="15.75" thickBot="1" x14ac:dyDescent="0.3">
      <c r="B260" s="258"/>
      <c r="C260" s="260" t="s">
        <v>943</v>
      </c>
      <c r="D260" s="185"/>
      <c r="E260" s="259">
        <f>SUM(E254:E259)</f>
        <v>9585000</v>
      </c>
      <c r="F260" s="259">
        <f>SUM(F254:F259)</f>
        <v>8831000</v>
      </c>
      <c r="K260" s="270"/>
      <c r="L260" s="270"/>
    </row>
    <row r="261" spans="1:19" s="211" customFormat="1" ht="15.75" thickTop="1" x14ac:dyDescent="0.25">
      <c r="B261" s="258"/>
      <c r="C261" s="185"/>
      <c r="D261" s="185"/>
      <c r="E261" s="185"/>
      <c r="F261" s="185"/>
      <c r="K261" s="270"/>
      <c r="L261" s="270"/>
    </row>
    <row r="262" spans="1:19" s="211" customFormat="1" ht="15.75" thickBot="1" x14ac:dyDescent="0.3">
      <c r="B262" s="258"/>
      <c r="C262" s="260" t="s">
        <v>1040</v>
      </c>
      <c r="D262" s="185"/>
      <c r="E262" s="276">
        <f>E79+E104+E168+E221</f>
        <v>264084655</v>
      </c>
      <c r="F262" s="276">
        <f>F79+F104+F168+F221</f>
        <v>244712945</v>
      </c>
      <c r="K262" s="270"/>
      <c r="L262" s="270"/>
    </row>
    <row r="263" spans="1:19" s="211" customFormat="1" ht="15.75" thickTop="1" x14ac:dyDescent="0.25">
      <c r="B263" s="258"/>
      <c r="C263" s="260"/>
      <c r="D263" s="185"/>
      <c r="E263" s="540"/>
      <c r="F263" s="540"/>
      <c r="K263" s="270"/>
      <c r="L263" s="270"/>
    </row>
    <row r="264" spans="1:19" s="211" customFormat="1" ht="15" x14ac:dyDescent="0.25">
      <c r="B264" s="258"/>
      <c r="C264" s="185"/>
      <c r="D264" s="185"/>
      <c r="E264" s="185"/>
      <c r="F264" s="185"/>
      <c r="K264" s="270"/>
      <c r="L264" s="270"/>
    </row>
    <row r="265" spans="1:19" s="211" customFormat="1" ht="15" x14ac:dyDescent="0.25">
      <c r="A265" s="260">
        <v>36</v>
      </c>
      <c r="C265" s="260" t="s">
        <v>967</v>
      </c>
      <c r="D265" s="185"/>
      <c r="E265" s="185"/>
      <c r="F265" s="58"/>
      <c r="G265" s="268"/>
      <c r="R265" s="266"/>
      <c r="S265" s="266"/>
    </row>
    <row r="266" spans="1:19" s="211" customFormat="1" ht="15" x14ac:dyDescent="0.25">
      <c r="B266" s="258"/>
      <c r="C266" s="260"/>
      <c r="D266" s="185"/>
      <c r="E266" s="185"/>
      <c r="F266" s="58"/>
      <c r="G266" s="268"/>
      <c r="R266" s="266"/>
      <c r="S266" s="266"/>
    </row>
    <row r="267" spans="1:19" s="211" customFormat="1" ht="15" x14ac:dyDescent="0.25">
      <c r="B267" s="260">
        <v>36.1</v>
      </c>
      <c r="C267" s="260" t="s">
        <v>3840</v>
      </c>
      <c r="D267" s="185"/>
      <c r="E267" s="185"/>
      <c r="F267" s="58"/>
      <c r="G267" s="268"/>
      <c r="R267" s="266"/>
      <c r="S267" s="266"/>
    </row>
    <row r="268" spans="1:19" s="211" customFormat="1" ht="64.5" x14ac:dyDescent="0.25">
      <c r="B268" s="258"/>
      <c r="C268" s="267" t="s">
        <v>3841</v>
      </c>
      <c r="D268" s="185"/>
      <c r="E268" s="185"/>
      <c r="F268" s="58"/>
      <c r="G268" s="268"/>
      <c r="R268" s="266"/>
      <c r="S268" s="266"/>
    </row>
    <row r="269" spans="1:19" s="211" customFormat="1" ht="15" x14ac:dyDescent="0.25">
      <c r="B269" s="258"/>
      <c r="C269" s="185" t="s">
        <v>3842</v>
      </c>
      <c r="D269" s="185"/>
      <c r="E269" s="185"/>
      <c r="F269" s="58"/>
      <c r="G269" s="268"/>
      <c r="R269" s="266"/>
      <c r="S269" s="266"/>
    </row>
    <row r="270" spans="1:19" s="211" customFormat="1" ht="26.25" x14ac:dyDescent="0.25">
      <c r="B270" s="258"/>
      <c r="C270" s="267" t="s">
        <v>3843</v>
      </c>
      <c r="D270" s="185"/>
      <c r="E270" s="185"/>
      <c r="F270" s="58"/>
      <c r="G270" s="268"/>
      <c r="R270" s="266"/>
      <c r="S270" s="266"/>
    </row>
    <row r="271" spans="1:19" s="211" customFormat="1" ht="15" x14ac:dyDescent="0.25">
      <c r="B271" s="258"/>
      <c r="C271" s="185"/>
      <c r="D271" s="185"/>
      <c r="E271" s="185"/>
      <c r="F271" s="58"/>
      <c r="G271" s="268"/>
      <c r="R271" s="266"/>
      <c r="S271" s="266"/>
    </row>
    <row r="272" spans="1:19" s="211" customFormat="1" ht="15" x14ac:dyDescent="0.25">
      <c r="B272" s="258"/>
      <c r="C272" s="185" t="s">
        <v>3844</v>
      </c>
      <c r="D272" s="185"/>
      <c r="E272" s="185"/>
      <c r="F272" s="58"/>
      <c r="G272" s="268"/>
      <c r="R272" s="266"/>
      <c r="S272" s="266"/>
    </row>
    <row r="273" spans="2:19" s="211" customFormat="1" ht="39" x14ac:dyDescent="0.25">
      <c r="B273" s="258"/>
      <c r="C273" s="267" t="s">
        <v>3845</v>
      </c>
      <c r="D273" s="185"/>
      <c r="E273" s="185"/>
      <c r="F273" s="58"/>
      <c r="G273" s="268"/>
      <c r="R273" s="266"/>
      <c r="S273" s="266"/>
    </row>
    <row r="274" spans="2:19" s="211" customFormat="1" ht="15" x14ac:dyDescent="0.25">
      <c r="B274" s="258"/>
      <c r="C274" s="185"/>
      <c r="D274" s="185"/>
      <c r="E274" s="185"/>
      <c r="F274" s="58"/>
      <c r="G274" s="268"/>
      <c r="R274" s="266"/>
      <c r="S274" s="266"/>
    </row>
    <row r="275" spans="2:19" s="211" customFormat="1" ht="15" x14ac:dyDescent="0.25">
      <c r="B275" s="258"/>
      <c r="C275" s="185" t="s">
        <v>3846</v>
      </c>
      <c r="D275" s="185"/>
      <c r="E275" s="185"/>
      <c r="F275" s="58"/>
      <c r="G275" s="268"/>
      <c r="R275" s="266"/>
      <c r="S275" s="266"/>
    </row>
    <row r="276" spans="2:19" s="211" customFormat="1" ht="55.5" customHeight="1" x14ac:dyDescent="0.25">
      <c r="B276" s="258"/>
      <c r="C276" s="267" t="s">
        <v>3847</v>
      </c>
      <c r="D276" s="185"/>
      <c r="E276" s="185"/>
      <c r="F276" s="58"/>
      <c r="G276" s="268"/>
      <c r="R276" s="266"/>
      <c r="S276" s="266"/>
    </row>
    <row r="277" spans="2:19" s="211" customFormat="1" ht="15" x14ac:dyDescent="0.25">
      <c r="B277" s="258"/>
      <c r="C277" s="185"/>
      <c r="D277" s="185"/>
      <c r="E277" s="185"/>
      <c r="F277" s="58"/>
      <c r="G277" s="268"/>
      <c r="R277" s="266"/>
      <c r="S277" s="266"/>
    </row>
    <row r="278" spans="2:19" s="211" customFormat="1" ht="15" x14ac:dyDescent="0.25">
      <c r="B278" s="258"/>
      <c r="C278" s="185"/>
      <c r="D278" s="185"/>
      <c r="E278" s="1301" t="s">
        <v>3842</v>
      </c>
      <c r="F278" s="1301" t="s">
        <v>3842</v>
      </c>
      <c r="G278" s="268"/>
      <c r="H278" s="424"/>
      <c r="R278" s="266"/>
      <c r="S278" s="266"/>
    </row>
    <row r="279" spans="2:19" s="211" customFormat="1" ht="15" x14ac:dyDescent="0.25">
      <c r="B279" s="258"/>
      <c r="C279" s="185" t="s">
        <v>606</v>
      </c>
      <c r="D279" s="185"/>
      <c r="E279" s="1305">
        <v>0</v>
      </c>
      <c r="F279" s="1305">
        <v>0</v>
      </c>
      <c r="G279" s="268"/>
      <c r="H279" s="424"/>
      <c r="R279" s="266"/>
      <c r="S279" s="266"/>
    </row>
    <row r="280" spans="2:19" s="211" customFormat="1" ht="15" x14ac:dyDescent="0.25">
      <c r="B280" s="258"/>
      <c r="C280" s="185" t="s">
        <v>564</v>
      </c>
      <c r="D280" s="185"/>
      <c r="E280" s="804">
        <f>'Statement of Fin Pos'!E7</f>
        <v>86328671.160000011</v>
      </c>
      <c r="F280" s="804">
        <f>'Statement of Fin Pos'!F7</f>
        <v>322963447.28000003</v>
      </c>
      <c r="G280" s="268"/>
      <c r="H280" s="424"/>
      <c r="R280" s="266"/>
      <c r="S280" s="266"/>
    </row>
    <row r="281" spans="2:19" s="211" customFormat="1" ht="15" x14ac:dyDescent="0.25">
      <c r="B281" s="258"/>
      <c r="C281" s="185"/>
      <c r="D281" s="185"/>
      <c r="E281" s="945"/>
      <c r="F281" s="804"/>
      <c r="G281" s="268"/>
      <c r="H281" s="424"/>
      <c r="R281" s="266"/>
      <c r="S281" s="266"/>
    </row>
    <row r="282" spans="2:19" s="211" customFormat="1" ht="15" x14ac:dyDescent="0.25">
      <c r="B282" s="258"/>
      <c r="C282" s="185"/>
      <c r="D282" s="185"/>
      <c r="E282" s="1301" t="s">
        <v>3844</v>
      </c>
      <c r="F282" s="1301" t="s">
        <v>3844</v>
      </c>
      <c r="G282" s="268"/>
      <c r="H282" s="424"/>
      <c r="R282" s="266"/>
      <c r="S282" s="266"/>
    </row>
    <row r="283" spans="2:19" s="211" customFormat="1" ht="15" x14ac:dyDescent="0.25">
      <c r="B283" s="258"/>
      <c r="C283" s="185" t="s">
        <v>606</v>
      </c>
      <c r="D283" s="185"/>
      <c r="E283" s="804">
        <f>'Statement of Fin Pos'!E19</f>
        <v>59000800</v>
      </c>
      <c r="F283" s="804">
        <f>'Statement of Fin Pos'!F19</f>
        <v>59000800</v>
      </c>
      <c r="G283" s="268"/>
      <c r="H283" s="424"/>
      <c r="R283" s="266"/>
      <c r="S283" s="266"/>
    </row>
    <row r="284" spans="2:19" s="211" customFormat="1" ht="15" x14ac:dyDescent="0.25">
      <c r="B284" s="258"/>
      <c r="C284" s="185" t="s">
        <v>564</v>
      </c>
      <c r="D284" s="185"/>
      <c r="E284" s="1305">
        <v>0</v>
      </c>
      <c r="F284" s="1305">
        <v>0</v>
      </c>
      <c r="G284" s="268"/>
      <c r="H284" s="424"/>
      <c r="R284" s="266"/>
      <c r="S284" s="266"/>
    </row>
    <row r="285" spans="2:19" s="211" customFormat="1" ht="15" x14ac:dyDescent="0.25">
      <c r="B285" s="258"/>
      <c r="C285" s="185"/>
      <c r="D285" s="185"/>
      <c r="E285" s="945"/>
      <c r="F285" s="804"/>
      <c r="G285" s="268"/>
      <c r="H285" s="424"/>
      <c r="R285" s="266"/>
      <c r="S285" s="266"/>
    </row>
    <row r="286" spans="2:19" s="211" customFormat="1" ht="15" x14ac:dyDescent="0.25">
      <c r="B286" s="258"/>
      <c r="C286" s="185"/>
      <c r="D286" s="185"/>
      <c r="E286" s="1301" t="s">
        <v>3846</v>
      </c>
      <c r="F286" s="1301" t="s">
        <v>3846</v>
      </c>
      <c r="G286" s="268"/>
      <c r="H286" s="424"/>
      <c r="R286" s="266"/>
      <c r="S286" s="266"/>
    </row>
    <row r="287" spans="2:19" s="211" customFormat="1" ht="15" x14ac:dyDescent="0.25">
      <c r="B287" s="258"/>
      <c r="C287" s="185" t="s">
        <v>606</v>
      </c>
      <c r="D287" s="185"/>
      <c r="E287" s="1234">
        <v>1000</v>
      </c>
      <c r="F287" s="1234">
        <v>1000</v>
      </c>
      <c r="G287" s="268"/>
      <c r="H287" s="424"/>
      <c r="R287" s="266"/>
      <c r="S287" s="266"/>
    </row>
    <row r="288" spans="2:19" s="211" customFormat="1" ht="15" x14ac:dyDescent="0.25">
      <c r="B288" s="258"/>
      <c r="C288" s="185" t="s">
        <v>564</v>
      </c>
      <c r="D288" s="185"/>
      <c r="E288" s="1305">
        <v>0</v>
      </c>
      <c r="F288" s="1305">
        <v>0</v>
      </c>
      <c r="G288" s="268"/>
      <c r="H288" s="424"/>
      <c r="R288" s="266"/>
      <c r="S288" s="266"/>
    </row>
    <row r="289" spans="2:19" s="211" customFormat="1" ht="15" x14ac:dyDescent="0.25">
      <c r="B289" s="258"/>
      <c r="C289" s="185"/>
      <c r="D289" s="185"/>
      <c r="E289" s="945"/>
      <c r="F289" s="804"/>
      <c r="G289" s="268"/>
      <c r="H289" s="424"/>
      <c r="R289" s="266"/>
      <c r="S289" s="266"/>
    </row>
    <row r="290" spans="2:19" s="211" customFormat="1" ht="15" x14ac:dyDescent="0.25">
      <c r="B290" s="258"/>
      <c r="C290" s="185"/>
      <c r="D290" s="185"/>
      <c r="E290" s="1301" t="s">
        <v>374</v>
      </c>
      <c r="F290" s="1301" t="s">
        <v>374</v>
      </c>
      <c r="G290" s="268"/>
      <c r="R290" s="266"/>
      <c r="S290" s="266"/>
    </row>
    <row r="291" spans="2:19" s="211" customFormat="1" ht="15" x14ac:dyDescent="0.25">
      <c r="B291" s="258"/>
      <c r="C291" s="185" t="s">
        <v>606</v>
      </c>
      <c r="D291" s="185"/>
      <c r="E291" s="1234">
        <f>E279+E283+E287</f>
        <v>59001800</v>
      </c>
      <c r="F291" s="1234">
        <f>F279+F283+F287</f>
        <v>59001800</v>
      </c>
      <c r="G291" s="268"/>
      <c r="R291" s="266"/>
      <c r="S291" s="266"/>
    </row>
    <row r="292" spans="2:19" s="211" customFormat="1" ht="15" x14ac:dyDescent="0.25">
      <c r="B292" s="258"/>
      <c r="C292" s="185" t="s">
        <v>564</v>
      </c>
      <c r="D292" s="185"/>
      <c r="E292" s="1234">
        <f>E280+E284+E288</f>
        <v>86328671.160000011</v>
      </c>
      <c r="F292" s="1234">
        <f>F280+F284+F288</f>
        <v>322963447.28000003</v>
      </c>
      <c r="G292" s="268"/>
      <c r="R292" s="266"/>
      <c r="S292" s="266"/>
    </row>
    <row r="293" spans="2:19" s="211" customFormat="1" ht="15" x14ac:dyDescent="0.25">
      <c r="B293" s="258"/>
      <c r="C293" s="185"/>
      <c r="D293" s="185"/>
      <c r="E293" s="185"/>
      <c r="F293" s="58"/>
      <c r="G293" s="268"/>
      <c r="R293" s="266"/>
      <c r="S293" s="266"/>
    </row>
    <row r="294" spans="2:19" s="211" customFormat="1" ht="15" x14ac:dyDescent="0.25">
      <c r="B294" s="260">
        <v>36.200000000000003</v>
      </c>
      <c r="C294" s="260" t="s">
        <v>3832</v>
      </c>
      <c r="D294" s="185"/>
      <c r="E294" s="185"/>
      <c r="F294" s="58"/>
      <c r="G294" s="268"/>
      <c r="R294" s="266"/>
      <c r="S294" s="266"/>
    </row>
    <row r="295" spans="2:19" s="211" customFormat="1" ht="13.5" customHeight="1" x14ac:dyDescent="0.25">
      <c r="B295" s="258"/>
      <c r="C295" s="260"/>
      <c r="D295" s="185"/>
      <c r="E295" s="185"/>
      <c r="F295" s="58"/>
      <c r="G295" s="268"/>
      <c r="R295" s="266"/>
      <c r="S295" s="266"/>
    </row>
    <row r="296" spans="2:19" s="484" customFormat="1" ht="51.75" customHeight="1" x14ac:dyDescent="0.25">
      <c r="B296" s="185"/>
      <c r="C296" s="267" t="s">
        <v>3833</v>
      </c>
      <c r="D296" s="185"/>
      <c r="E296" s="185"/>
      <c r="F296" s="58"/>
      <c r="G296" s="1299"/>
      <c r="R296" s="319"/>
      <c r="S296" s="319"/>
    </row>
    <row r="297" spans="2:19" s="484" customFormat="1" ht="12" customHeight="1" x14ac:dyDescent="0.25">
      <c r="B297" s="185"/>
      <c r="C297" s="185"/>
      <c r="D297" s="185"/>
      <c r="E297" s="185"/>
      <c r="F297" s="58"/>
      <c r="G297" s="1299"/>
      <c r="R297" s="319"/>
      <c r="S297" s="319"/>
    </row>
    <row r="298" spans="2:19" s="484" customFormat="1" ht="42" customHeight="1" x14ac:dyDescent="0.25">
      <c r="B298" s="185"/>
      <c r="C298" s="267" t="s">
        <v>3834</v>
      </c>
      <c r="D298" s="185"/>
      <c r="E298" s="185"/>
      <c r="F298" s="58"/>
      <c r="G298" s="1299"/>
      <c r="R298" s="319"/>
      <c r="S298" s="319"/>
    </row>
    <row r="299" spans="2:19" s="484" customFormat="1" ht="12" customHeight="1" x14ac:dyDescent="0.25">
      <c r="B299" s="185"/>
      <c r="C299" s="185"/>
      <c r="D299" s="185"/>
      <c r="E299" s="185"/>
      <c r="F299" s="58"/>
      <c r="G299" s="1299"/>
      <c r="R299" s="319"/>
      <c r="S299" s="319"/>
    </row>
    <row r="300" spans="2:19" s="211" customFormat="1" ht="15" x14ac:dyDescent="0.25">
      <c r="B300" s="258"/>
      <c r="C300" s="267" t="s">
        <v>3848</v>
      </c>
      <c r="D300" s="185"/>
      <c r="E300" s="453">
        <f>'Note 9-33'!H7</f>
        <v>58999800</v>
      </c>
      <c r="F300" s="453">
        <f>'Note 9-33'!J7</f>
        <v>58999800</v>
      </c>
      <c r="G300" s="268"/>
      <c r="R300" s="266"/>
      <c r="S300" s="266"/>
    </row>
    <row r="301" spans="2:19" s="211" customFormat="1" ht="15" x14ac:dyDescent="0.25">
      <c r="B301" s="258"/>
      <c r="C301" s="267" t="s">
        <v>564</v>
      </c>
      <c r="D301" s="185"/>
      <c r="E301" s="453">
        <f>'Statement of Fin Pos'!E7</f>
        <v>86328671.160000011</v>
      </c>
      <c r="F301" s="453">
        <f>'Statement of Fin Pos'!F7</f>
        <v>322963447.28000003</v>
      </c>
      <c r="G301" s="268"/>
      <c r="R301" s="266"/>
      <c r="S301" s="266"/>
    </row>
    <row r="302" spans="2:19" s="211" customFormat="1" ht="15" x14ac:dyDescent="0.25">
      <c r="B302" s="258"/>
      <c r="C302" s="267" t="s">
        <v>914</v>
      </c>
      <c r="D302" s="185"/>
      <c r="E302" s="453">
        <f>'Statement of Fin Pos'!E8+'Statement of Fin Pos'!E9</f>
        <v>464192926.2699998</v>
      </c>
      <c r="F302" s="453">
        <f>'Statement of Fin Pos'!F8+'Statement of Fin Pos'!F9</f>
        <v>386636401.53999996</v>
      </c>
      <c r="G302" s="268"/>
      <c r="R302" s="266"/>
      <c r="S302" s="266"/>
    </row>
    <row r="303" spans="2:19" s="211" customFormat="1" ht="15.75" thickBot="1" x14ac:dyDescent="0.3">
      <c r="B303" s="258"/>
      <c r="C303" s="267"/>
      <c r="D303" s="185"/>
      <c r="E303" s="231">
        <f>SUM(E300:E302)</f>
        <v>609521397.42999983</v>
      </c>
      <c r="F303" s="231">
        <f>SUM(F300:F302)</f>
        <v>768599648.81999993</v>
      </c>
      <c r="G303" s="268"/>
      <c r="R303" s="266"/>
      <c r="S303" s="266"/>
    </row>
    <row r="304" spans="2:19" s="211" customFormat="1" ht="24.75" customHeight="1" thickTop="1" x14ac:dyDescent="0.25">
      <c r="B304" s="258"/>
      <c r="C304" s="265" t="s">
        <v>3850</v>
      </c>
      <c r="D304" s="185"/>
      <c r="E304" s="185"/>
      <c r="F304" s="58"/>
      <c r="G304" s="268"/>
      <c r="R304" s="266"/>
      <c r="S304" s="266"/>
    </row>
    <row r="305" spans="2:19" s="211" customFormat="1" ht="64.5" x14ac:dyDescent="0.25">
      <c r="B305" s="258"/>
      <c r="C305" s="267" t="s">
        <v>3851</v>
      </c>
      <c r="D305" s="185"/>
      <c r="E305" s="185"/>
      <c r="F305" s="58"/>
      <c r="G305" s="268"/>
      <c r="R305" s="266"/>
      <c r="S305" s="266"/>
    </row>
    <row r="306" spans="2:19" s="211" customFormat="1" ht="15" x14ac:dyDescent="0.25">
      <c r="B306" s="258"/>
      <c r="C306" s="267"/>
      <c r="D306" s="185"/>
      <c r="E306" s="185"/>
      <c r="F306" s="58"/>
      <c r="G306" s="268"/>
      <c r="R306" s="266"/>
      <c r="S306" s="266"/>
    </row>
    <row r="307" spans="2:19" s="211" customFormat="1" ht="15" x14ac:dyDescent="0.25">
      <c r="B307" s="258"/>
      <c r="C307" s="265" t="s">
        <v>3852</v>
      </c>
      <c r="D307" s="185"/>
      <c r="E307" s="185"/>
      <c r="F307" s="58"/>
      <c r="G307" s="268"/>
      <c r="R307" s="266"/>
      <c r="S307" s="266"/>
    </row>
    <row r="308" spans="2:19" s="211" customFormat="1" ht="77.25" x14ac:dyDescent="0.25">
      <c r="B308" s="258"/>
      <c r="C308" s="267" t="s">
        <v>3853</v>
      </c>
      <c r="D308" s="185"/>
      <c r="E308" s="185"/>
      <c r="F308" s="58"/>
      <c r="G308" s="268"/>
      <c r="R308" s="266"/>
      <c r="S308" s="266"/>
    </row>
    <row r="309" spans="2:19" s="211" customFormat="1" ht="26.25" x14ac:dyDescent="0.25">
      <c r="B309" s="258"/>
      <c r="C309" s="267" t="s">
        <v>3854</v>
      </c>
      <c r="D309" s="185"/>
      <c r="E309" s="185"/>
      <c r="F309" s="58"/>
      <c r="G309" s="268"/>
      <c r="R309" s="266"/>
      <c r="S309" s="266"/>
    </row>
    <row r="310" spans="2:19" s="211" customFormat="1" ht="15" x14ac:dyDescent="0.25">
      <c r="B310" s="258"/>
      <c r="C310" s="267"/>
      <c r="D310" s="185"/>
      <c r="E310" s="185"/>
      <c r="F310" s="58"/>
      <c r="G310" s="268"/>
      <c r="R310" s="266"/>
      <c r="S310" s="266"/>
    </row>
    <row r="311" spans="2:19" s="211" customFormat="1" ht="15" x14ac:dyDescent="0.25">
      <c r="B311" s="260">
        <v>36.299999999999997</v>
      </c>
      <c r="C311" s="265" t="s">
        <v>631</v>
      </c>
      <c r="D311" s="185"/>
      <c r="E311" s="185"/>
      <c r="F311" s="58"/>
      <c r="G311" s="268"/>
      <c r="R311" s="266"/>
      <c r="S311" s="266"/>
    </row>
    <row r="312" spans="2:19" s="211" customFormat="1" ht="15" x14ac:dyDescent="0.25">
      <c r="B312" s="258"/>
      <c r="C312" s="265"/>
      <c r="D312" s="185"/>
      <c r="E312" s="185"/>
      <c r="F312" s="58"/>
      <c r="G312" s="268"/>
      <c r="R312" s="266"/>
      <c r="S312" s="266"/>
    </row>
    <row r="313" spans="2:19" s="211" customFormat="1" ht="39" x14ac:dyDescent="0.25">
      <c r="B313" s="258"/>
      <c r="C313" s="267" t="s">
        <v>632</v>
      </c>
      <c r="D313" s="185"/>
      <c r="E313" s="185"/>
      <c r="F313" s="58"/>
      <c r="G313" s="268"/>
      <c r="R313" s="266"/>
      <c r="S313" s="266"/>
    </row>
    <row r="314" spans="2:19" s="211" customFormat="1" ht="26.25" x14ac:dyDescent="0.25">
      <c r="B314" s="258"/>
      <c r="C314" s="267" t="s">
        <v>633</v>
      </c>
      <c r="D314" s="185"/>
      <c r="E314" s="185"/>
      <c r="F314" s="58"/>
      <c r="G314" s="268"/>
      <c r="R314" s="266"/>
      <c r="S314" s="266"/>
    </row>
    <row r="315" spans="2:19" s="211" customFormat="1" ht="64.5" x14ac:dyDescent="0.25">
      <c r="B315" s="258"/>
      <c r="C315" s="457" t="s">
        <v>159</v>
      </c>
      <c r="D315" s="185"/>
      <c r="E315" s="185"/>
      <c r="F315" s="185"/>
      <c r="M315" s="266"/>
      <c r="N315" s="266"/>
    </row>
    <row r="316" spans="2:19" s="211" customFormat="1" ht="15" x14ac:dyDescent="0.25">
      <c r="B316" s="258"/>
      <c r="C316" s="457"/>
      <c r="D316" s="185"/>
      <c r="E316" s="185"/>
      <c r="F316" s="185"/>
      <c r="M316" s="266"/>
      <c r="N316" s="266"/>
    </row>
    <row r="317" spans="2:19" s="211" customFormat="1" ht="15" x14ac:dyDescent="0.25">
      <c r="B317" s="258"/>
      <c r="C317" s="1300" t="s">
        <v>3835</v>
      </c>
      <c r="D317" s="185"/>
      <c r="E317" s="185"/>
      <c r="F317" s="185"/>
      <c r="M317" s="266"/>
      <c r="N317" s="266"/>
    </row>
    <row r="318" spans="2:19" s="211" customFormat="1" ht="15" x14ac:dyDescent="0.25">
      <c r="B318" s="258"/>
      <c r="C318" s="457"/>
      <c r="D318" s="185"/>
      <c r="E318" s="185"/>
      <c r="F318" s="185"/>
      <c r="M318" s="266"/>
      <c r="N318" s="266"/>
    </row>
    <row r="319" spans="2:19" s="211" customFormat="1" ht="15" x14ac:dyDescent="0.25">
      <c r="B319" s="258"/>
      <c r="C319" s="457" t="s">
        <v>160</v>
      </c>
      <c r="D319" s="185"/>
      <c r="E319" s="185"/>
      <c r="F319" s="185"/>
      <c r="M319" s="266"/>
      <c r="N319" s="266"/>
    </row>
    <row r="320" spans="2:19" s="211" customFormat="1" ht="15" x14ac:dyDescent="0.25">
      <c r="B320" s="258"/>
      <c r="C320" s="457"/>
      <c r="D320" s="185"/>
      <c r="E320" s="1301" t="s">
        <v>3836</v>
      </c>
      <c r="F320" s="1301" t="s">
        <v>3836</v>
      </c>
      <c r="M320" s="266"/>
      <c r="N320" s="266"/>
    </row>
    <row r="321" spans="2:14" s="211" customFormat="1" ht="15" x14ac:dyDescent="0.25">
      <c r="B321" s="258"/>
      <c r="C321" s="457" t="s">
        <v>3837</v>
      </c>
      <c r="D321" s="185"/>
      <c r="E321" s="804">
        <v>65065520.640000001</v>
      </c>
      <c r="F321" s="804">
        <v>37263987</v>
      </c>
      <c r="M321" s="266"/>
      <c r="N321" s="266"/>
    </row>
    <row r="322" spans="2:14" s="211" customFormat="1" ht="15" x14ac:dyDescent="0.25">
      <c r="B322" s="258"/>
      <c r="C322" s="457" t="s">
        <v>1025</v>
      </c>
      <c r="D322" s="185"/>
      <c r="E322" s="804">
        <v>18115833.890000001</v>
      </c>
      <c r="F322" s="804">
        <v>20339631</v>
      </c>
      <c r="M322" s="266"/>
      <c r="N322" s="266"/>
    </row>
    <row r="323" spans="2:14" s="211" customFormat="1" ht="15" x14ac:dyDescent="0.25">
      <c r="B323" s="258"/>
      <c r="C323" s="457"/>
      <c r="D323" s="185"/>
      <c r="E323" s="1211">
        <f>SUM(E321:E322)</f>
        <v>83181354.530000001</v>
      </c>
      <c r="F323" s="1211">
        <f>SUM(F321:F322)</f>
        <v>57603618</v>
      </c>
      <c r="M323" s="266"/>
      <c r="N323" s="266"/>
    </row>
    <row r="324" spans="2:14" s="211" customFormat="1" ht="15" x14ac:dyDescent="0.25">
      <c r="B324" s="258"/>
      <c r="C324" s="457"/>
      <c r="D324" s="185"/>
      <c r="E324" s="804"/>
      <c r="F324" s="804"/>
      <c r="M324" s="266"/>
      <c r="N324" s="266"/>
    </row>
    <row r="325" spans="2:14" s="211" customFormat="1" ht="15" x14ac:dyDescent="0.25">
      <c r="B325" s="258"/>
      <c r="C325" s="457"/>
      <c r="D325" s="185"/>
      <c r="E325" s="1302" t="s">
        <v>3838</v>
      </c>
      <c r="F325" s="1302" t="s">
        <v>3838</v>
      </c>
      <c r="M325" s="266"/>
      <c r="N325" s="266"/>
    </row>
    <row r="326" spans="2:14" s="211" customFormat="1" ht="15" x14ac:dyDescent="0.25">
      <c r="B326" s="258"/>
      <c r="C326" s="457" t="s">
        <v>3837</v>
      </c>
      <c r="D326" s="185"/>
      <c r="E326" s="804">
        <v>165622037.94</v>
      </c>
      <c r="F326" s="804">
        <v>188024388</v>
      </c>
      <c r="M326" s="266"/>
      <c r="N326" s="266"/>
    </row>
    <row r="327" spans="2:14" s="211" customFormat="1" ht="15" x14ac:dyDescent="0.25">
      <c r="B327" s="258"/>
      <c r="C327" s="457" t="s">
        <v>1025</v>
      </c>
      <c r="D327" s="185"/>
      <c r="E327" s="804">
        <v>30947758.379999999</v>
      </c>
      <c r="F327" s="804">
        <v>47535549</v>
      </c>
      <c r="M327" s="266"/>
      <c r="N327" s="266"/>
    </row>
    <row r="328" spans="2:14" s="211" customFormat="1" ht="15" x14ac:dyDescent="0.25">
      <c r="B328" s="258"/>
      <c r="C328" s="457"/>
      <c r="D328" s="185"/>
      <c r="E328" s="1211">
        <f>SUM(E326:E327)</f>
        <v>196569796.31999999</v>
      </c>
      <c r="F328" s="1211">
        <f>SUM(F326:F327)</f>
        <v>235559937</v>
      </c>
      <c r="M328" s="266"/>
      <c r="N328" s="266"/>
    </row>
    <row r="329" spans="2:14" s="211" customFormat="1" ht="15" x14ac:dyDescent="0.25">
      <c r="B329" s="258"/>
      <c r="C329" s="457"/>
      <c r="D329" s="185"/>
      <c r="E329" s="1211"/>
      <c r="F329" s="1211"/>
      <c r="M329" s="266"/>
      <c r="N329" s="266"/>
    </row>
    <row r="330" spans="2:14" s="211" customFormat="1" ht="15" x14ac:dyDescent="0.25">
      <c r="B330" s="258"/>
      <c r="C330" s="457"/>
      <c r="D330" s="185"/>
      <c r="E330" s="1303" t="s">
        <v>3839</v>
      </c>
      <c r="F330" s="1303" t="s">
        <v>3839</v>
      </c>
      <c r="M330" s="266"/>
      <c r="N330" s="266"/>
    </row>
    <row r="331" spans="2:14" s="211" customFormat="1" ht="15" x14ac:dyDescent="0.25">
      <c r="B331" s="258"/>
      <c r="C331" s="457" t="s">
        <v>3837</v>
      </c>
      <c r="D331" s="185"/>
      <c r="E331" s="804">
        <v>0</v>
      </c>
      <c r="F331" s="804">
        <v>0</v>
      </c>
      <c r="M331" s="266"/>
      <c r="N331" s="266"/>
    </row>
    <row r="332" spans="2:14" s="211" customFormat="1" ht="15" x14ac:dyDescent="0.25">
      <c r="B332" s="258"/>
      <c r="C332" s="457" t="s">
        <v>1025</v>
      </c>
      <c r="D332" s="185"/>
      <c r="E332" s="804">
        <v>0</v>
      </c>
      <c r="F332" s="804">
        <v>0</v>
      </c>
      <c r="M332" s="266"/>
      <c r="N332" s="266"/>
    </row>
    <row r="333" spans="2:14" s="211" customFormat="1" ht="15" x14ac:dyDescent="0.25">
      <c r="B333" s="258"/>
      <c r="C333" s="457"/>
      <c r="D333" s="185"/>
      <c r="E333" s="1211">
        <f>SUM(E331:E332)</f>
        <v>0</v>
      </c>
      <c r="F333" s="1211">
        <f>SUM(F331:F332)</f>
        <v>0</v>
      </c>
      <c r="M333" s="266"/>
      <c r="N333" s="266"/>
    </row>
    <row r="334" spans="2:14" s="211" customFormat="1" ht="15" x14ac:dyDescent="0.25">
      <c r="B334" s="258"/>
      <c r="C334" s="457"/>
      <c r="D334" s="185"/>
      <c r="E334" s="1211"/>
      <c r="F334" s="1211"/>
      <c r="M334" s="266"/>
      <c r="N334" s="266"/>
    </row>
    <row r="335" spans="2:14" s="211" customFormat="1" ht="15" x14ac:dyDescent="0.25">
      <c r="B335" s="258"/>
      <c r="C335" s="457"/>
      <c r="D335" s="185"/>
      <c r="E335" s="1211" t="s">
        <v>374</v>
      </c>
      <c r="F335" s="1211" t="s">
        <v>374</v>
      </c>
      <c r="M335" s="266"/>
      <c r="N335" s="266"/>
    </row>
    <row r="336" spans="2:14" s="211" customFormat="1" ht="15" x14ac:dyDescent="0.25">
      <c r="B336" s="258"/>
      <c r="C336" s="457" t="s">
        <v>3837</v>
      </c>
      <c r="D336" s="185"/>
      <c r="E336" s="804">
        <f>E321+E326+E331</f>
        <v>230687558.57999998</v>
      </c>
      <c r="F336" s="804">
        <f>F321+F326+F331</f>
        <v>225288375</v>
      </c>
      <c r="M336" s="266"/>
      <c r="N336" s="266"/>
    </row>
    <row r="337" spans="1:14" s="211" customFormat="1" ht="15" x14ac:dyDescent="0.25">
      <c r="B337" s="258"/>
      <c r="C337" s="457" t="s">
        <v>1025</v>
      </c>
      <c r="D337" s="185"/>
      <c r="E337" s="804">
        <f>E322+E327+E332</f>
        <v>49063592.269999996</v>
      </c>
      <c r="F337" s="804">
        <f>F322+F327+F332</f>
        <v>67875180</v>
      </c>
      <c r="M337" s="266"/>
      <c r="N337" s="266"/>
    </row>
    <row r="338" spans="1:14" s="211" customFormat="1" ht="15" x14ac:dyDescent="0.25">
      <c r="B338" s="258"/>
      <c r="C338" s="457"/>
      <c r="D338" s="185"/>
      <c r="E338" s="1211">
        <f>SUM(E336:E337)</f>
        <v>279751150.84999996</v>
      </c>
      <c r="F338" s="1211">
        <f>SUM(F336:F337)</f>
        <v>293163555</v>
      </c>
      <c r="M338" s="266"/>
      <c r="N338" s="266"/>
    </row>
    <row r="339" spans="1:14" s="211" customFormat="1" ht="15" x14ac:dyDescent="0.25">
      <c r="B339" s="258"/>
      <c r="C339" s="457"/>
      <c r="D339" s="185"/>
      <c r="E339" s="1211"/>
      <c r="F339" s="1211"/>
      <c r="M339" s="266"/>
      <c r="N339" s="266"/>
    </row>
    <row r="340" spans="1:14" s="211" customFormat="1" ht="15" x14ac:dyDescent="0.25">
      <c r="B340" s="258"/>
      <c r="C340" s="457"/>
      <c r="D340" s="185"/>
      <c r="E340" s="1211"/>
      <c r="F340" s="1211"/>
      <c r="M340" s="266"/>
      <c r="N340" s="266"/>
    </row>
    <row r="341" spans="1:14" s="211" customFormat="1" ht="15" x14ac:dyDescent="0.25">
      <c r="B341" s="258"/>
      <c r="C341" s="457"/>
      <c r="D341" s="185"/>
      <c r="E341" s="1211"/>
      <c r="F341" s="1211"/>
      <c r="M341" s="266"/>
      <c r="N341" s="266"/>
    </row>
    <row r="342" spans="1:14" s="211" customFormat="1" ht="15" x14ac:dyDescent="0.25">
      <c r="B342" s="258"/>
      <c r="C342" s="457"/>
      <c r="D342" s="185"/>
      <c r="E342" s="1301" t="s">
        <v>3836</v>
      </c>
      <c r="F342" s="1301" t="s">
        <v>3836</v>
      </c>
      <c r="M342" s="266"/>
      <c r="N342" s="266"/>
    </row>
    <row r="343" spans="1:14" s="211" customFormat="1" ht="15" x14ac:dyDescent="0.25">
      <c r="B343" s="258"/>
      <c r="C343" s="267" t="s">
        <v>265</v>
      </c>
      <c r="D343" s="185"/>
      <c r="E343" s="453">
        <f>'Notes 2 - 7'!G81</f>
        <v>370164912.20000005</v>
      </c>
      <c r="F343" s="453">
        <f>'Notes 2 - 7'!I81</f>
        <v>352780535.41999996</v>
      </c>
      <c r="M343" s="266"/>
      <c r="N343" s="266"/>
    </row>
    <row r="344" spans="1:14" s="211" customFormat="1" ht="15.75" thickBot="1" x14ac:dyDescent="0.3">
      <c r="B344" s="258"/>
      <c r="C344" s="267"/>
      <c r="D344" s="185"/>
      <c r="E344" s="231">
        <f>SUM(E343:E343)</f>
        <v>370164912.20000005</v>
      </c>
      <c r="F344" s="231">
        <f>SUM(F343:F343)</f>
        <v>352780535.41999996</v>
      </c>
      <c r="M344" s="266"/>
      <c r="N344" s="266"/>
    </row>
    <row r="345" spans="1:14" s="211" customFormat="1" ht="15.75" thickTop="1" x14ac:dyDescent="0.25">
      <c r="B345" s="258"/>
      <c r="C345" s="267"/>
      <c r="D345" s="185"/>
      <c r="E345" s="185"/>
      <c r="F345" s="58"/>
      <c r="M345" s="266"/>
      <c r="N345" s="266"/>
    </row>
    <row r="346" spans="1:14" s="211" customFormat="1" ht="26.25" x14ac:dyDescent="0.25">
      <c r="A346" s="260">
        <v>37</v>
      </c>
      <c r="C346" s="265" t="s">
        <v>2863</v>
      </c>
      <c r="D346" s="185"/>
      <c r="E346" s="185"/>
      <c r="F346" s="58"/>
      <c r="M346" s="266"/>
      <c r="N346" s="266"/>
    </row>
    <row r="347" spans="1:14" s="211" customFormat="1" ht="53.25" customHeight="1" thickBot="1" x14ac:dyDescent="0.3">
      <c r="A347" s="258"/>
      <c r="C347" s="267" t="s">
        <v>535</v>
      </c>
      <c r="D347" s="185"/>
      <c r="E347" s="1521">
        <v>80329059</v>
      </c>
      <c r="F347" s="1521">
        <v>43087399.670000002</v>
      </c>
      <c r="M347" s="266"/>
      <c r="N347" s="266"/>
    </row>
    <row r="348" spans="1:14" s="211" customFormat="1" ht="12" customHeight="1" thickTop="1" x14ac:dyDescent="0.25">
      <c r="A348" s="258"/>
      <c r="C348" s="267"/>
      <c r="D348" s="185"/>
      <c r="E348" s="185"/>
      <c r="F348" s="58"/>
      <c r="M348" s="266"/>
      <c r="N348" s="266"/>
    </row>
    <row r="349" spans="1:14" s="185" customFormat="1" x14ac:dyDescent="0.2">
      <c r="A349" s="260">
        <v>38</v>
      </c>
      <c r="C349" s="260" t="s">
        <v>2864</v>
      </c>
    </row>
    <row r="350" spans="1:14" s="185" customFormat="1" x14ac:dyDescent="0.2"/>
    <row r="351" spans="1:14" s="185" customFormat="1" ht="25.5" x14ac:dyDescent="0.2">
      <c r="C351" s="267" t="s">
        <v>3147</v>
      </c>
    </row>
    <row r="352" spans="1:14" s="185" customFormat="1" x14ac:dyDescent="0.2">
      <c r="C352" s="185" t="s">
        <v>1060</v>
      </c>
    </row>
    <row r="353" spans="3:6" s="185" customFormat="1" x14ac:dyDescent="0.2">
      <c r="C353" s="185" t="s">
        <v>3253</v>
      </c>
      <c r="E353" s="459"/>
      <c r="F353" s="459"/>
    </row>
    <row r="354" spans="3:6" s="185" customFormat="1" x14ac:dyDescent="0.2">
      <c r="C354" s="185" t="s">
        <v>2572</v>
      </c>
      <c r="E354" s="318"/>
      <c r="F354" s="318"/>
    </row>
    <row r="355" spans="3:6" s="185" customFormat="1" x14ac:dyDescent="0.2">
      <c r="C355" s="185" t="s">
        <v>3254</v>
      </c>
      <c r="E355" s="1376">
        <v>35405263.456800021</v>
      </c>
      <c r="F355" s="1376">
        <v>35405263.456800021</v>
      </c>
    </row>
    <row r="356" spans="3:6" s="185" customFormat="1" x14ac:dyDescent="0.2">
      <c r="C356" s="185" t="s">
        <v>3255</v>
      </c>
      <c r="E356" s="1376">
        <v>66981804.624400012</v>
      </c>
      <c r="F356" s="1376">
        <v>102387068.08120003</v>
      </c>
    </row>
    <row r="357" spans="3:6" s="185" customFormat="1" x14ac:dyDescent="0.2">
      <c r="C357" s="185" t="s">
        <v>3256</v>
      </c>
      <c r="E357" s="1235">
        <v>0</v>
      </c>
      <c r="F357" s="1235">
        <v>0</v>
      </c>
    </row>
    <row r="358" spans="3:6" s="185" customFormat="1" x14ac:dyDescent="0.2">
      <c r="E358" s="463">
        <f>SUM(E355:E357)</f>
        <v>102387068.08120003</v>
      </c>
      <c r="F358" s="463">
        <f>SUM(F355:F357)</f>
        <v>137792331.53800005</v>
      </c>
    </row>
    <row r="359" spans="3:6" s="185" customFormat="1" x14ac:dyDescent="0.2">
      <c r="C359" s="185" t="s">
        <v>3257</v>
      </c>
      <c r="E359" s="1377">
        <v>19405860.382559191</v>
      </c>
      <c r="F359" s="1377">
        <v>32327970.686373118</v>
      </c>
    </row>
    <row r="360" spans="3:6" s="185" customFormat="1" x14ac:dyDescent="0.2">
      <c r="C360" s="185" t="s">
        <v>3258</v>
      </c>
      <c r="E360" s="1034">
        <f>E358-E359</f>
        <v>82981207.698640838</v>
      </c>
      <c r="F360" s="1034">
        <f>F358-F359</f>
        <v>105464360.85162693</v>
      </c>
    </row>
    <row r="361" spans="3:6" s="185" customFormat="1" x14ac:dyDescent="0.2">
      <c r="E361" s="463"/>
      <c r="F361" s="463"/>
    </row>
    <row r="362" spans="3:6" s="185" customFormat="1" x14ac:dyDescent="0.2">
      <c r="C362" s="185" t="s">
        <v>3258</v>
      </c>
      <c r="E362" s="463"/>
      <c r="F362" s="864">
        <v>0</v>
      </c>
    </row>
    <row r="363" spans="3:6" s="185" customFormat="1" x14ac:dyDescent="0.2">
      <c r="C363" s="185" t="s">
        <v>3254</v>
      </c>
      <c r="E363" s="1376">
        <v>25324402.487756707</v>
      </c>
      <c r="F363" s="1376">
        <v>22483153.152986091</v>
      </c>
    </row>
    <row r="364" spans="3:6" s="185" customFormat="1" x14ac:dyDescent="0.2">
      <c r="C364" s="185" t="s">
        <v>3255</v>
      </c>
      <c r="E364" s="1376">
        <v>57656805.210884109</v>
      </c>
      <c r="F364" s="1376">
        <v>82981207.698640823</v>
      </c>
    </row>
    <row r="365" spans="3:6" s="185" customFormat="1" x14ac:dyDescent="0.2">
      <c r="C365" s="185" t="s">
        <v>3256</v>
      </c>
      <c r="E365" s="1235">
        <v>0</v>
      </c>
      <c r="F365" s="1235">
        <v>0</v>
      </c>
    </row>
    <row r="366" spans="3:6" s="185" customFormat="1" x14ac:dyDescent="0.2">
      <c r="E366" s="1034">
        <f>SUM(E363:E365)</f>
        <v>82981207.698640823</v>
      </c>
      <c r="F366" s="1034">
        <f>SUM(F363:F365)</f>
        <v>105464360.85162692</v>
      </c>
    </row>
    <row r="367" spans="3:6" s="185" customFormat="1" x14ac:dyDescent="0.2">
      <c r="E367" s="463"/>
      <c r="F367" s="463"/>
    </row>
    <row r="368" spans="3:6" s="185" customFormat="1" x14ac:dyDescent="0.2">
      <c r="C368" s="185" t="s">
        <v>3259</v>
      </c>
      <c r="E368" s="1376">
        <v>28942908.52</v>
      </c>
      <c r="F368" s="1376">
        <v>54267311.009999998</v>
      </c>
    </row>
    <row r="369" spans="3:6" s="185" customFormat="1" x14ac:dyDescent="0.2">
      <c r="C369" s="185" t="s">
        <v>1085</v>
      </c>
      <c r="E369" s="1377">
        <v>35405263.450000003</v>
      </c>
      <c r="F369" s="1377">
        <v>35405263.460000001</v>
      </c>
    </row>
    <row r="370" spans="3:6" s="185" customFormat="1" x14ac:dyDescent="0.2">
      <c r="E370" s="1035">
        <f>SUM(E368:E369)</f>
        <v>64348171.969999999</v>
      </c>
      <c r="F370" s="1035">
        <f>SUM(F368:F369)</f>
        <v>89672574.469999999</v>
      </c>
    </row>
    <row r="371" spans="3:6" s="185" customFormat="1" x14ac:dyDescent="0.2">
      <c r="F371" s="232"/>
    </row>
    <row r="372" spans="3:6" s="185" customFormat="1" hidden="1" x14ac:dyDescent="0.2"/>
    <row r="373" spans="3:6" s="185" customFormat="1" hidden="1" x14ac:dyDescent="0.2"/>
    <row r="374" spans="3:6" s="185" customFormat="1" hidden="1" x14ac:dyDescent="0.2"/>
    <row r="375" spans="3:6" s="185" customFormat="1" ht="39" hidden="1" thickBot="1" x14ac:dyDescent="0.25">
      <c r="D375" s="805" t="s">
        <v>1061</v>
      </c>
      <c r="E375" s="806" t="s">
        <v>54</v>
      </c>
      <c r="F375" s="806" t="s">
        <v>1062</v>
      </c>
    </row>
    <row r="376" spans="3:6" s="185" customFormat="1" hidden="1" x14ac:dyDescent="0.2">
      <c r="C376" s="308">
        <v>2014</v>
      </c>
      <c r="D376" s="274"/>
      <c r="E376" s="274"/>
      <c r="F376" s="274"/>
    </row>
    <row r="377" spans="3:6" s="185" customFormat="1" hidden="1" x14ac:dyDescent="0.2">
      <c r="C377" s="309" t="s">
        <v>1085</v>
      </c>
      <c r="D377" s="274"/>
      <c r="E377" s="274"/>
      <c r="F377" s="274"/>
    </row>
    <row r="378" spans="3:6" s="185" customFormat="1" hidden="1" x14ac:dyDescent="0.2">
      <c r="C378" s="185" t="s">
        <v>1063</v>
      </c>
      <c r="D378" s="274">
        <v>0</v>
      </c>
      <c r="E378" s="274"/>
      <c r="F378" s="274">
        <f>D378+E378</f>
        <v>0</v>
      </c>
    </row>
    <row r="379" spans="3:6" s="185" customFormat="1" hidden="1" x14ac:dyDescent="0.2">
      <c r="C379" s="185" t="s">
        <v>1064</v>
      </c>
      <c r="D379" s="274">
        <v>23767551.239999998</v>
      </c>
      <c r="E379" s="274"/>
      <c r="F379" s="274">
        <f>D379+E379</f>
        <v>23767551.239999998</v>
      </c>
    </row>
    <row r="380" spans="3:6" s="185" customFormat="1" ht="13.5" hidden="1" thickBot="1" x14ac:dyDescent="0.25">
      <c r="D380" s="259">
        <f>SUM(D378:D379)</f>
        <v>23767551.239999998</v>
      </c>
      <c r="E380" s="259">
        <f>SUM(E378:E379)</f>
        <v>0</v>
      </c>
      <c r="F380" s="259">
        <f>SUM(F378:F379)</f>
        <v>23767551.239999998</v>
      </c>
    </row>
    <row r="381" spans="3:6" s="185" customFormat="1" hidden="1" x14ac:dyDescent="0.2">
      <c r="D381" s="735"/>
      <c r="E381" s="735"/>
      <c r="F381" s="735"/>
    </row>
    <row r="382" spans="3:6" s="185" customFormat="1" hidden="1" x14ac:dyDescent="0.2">
      <c r="C382" s="308">
        <v>2013</v>
      </c>
      <c r="D382" s="274"/>
      <c r="E382" s="274"/>
      <c r="F382" s="274"/>
    </row>
    <row r="383" spans="3:6" s="185" customFormat="1" hidden="1" x14ac:dyDescent="0.2">
      <c r="C383" s="309" t="s">
        <v>1085</v>
      </c>
      <c r="D383" s="274"/>
      <c r="E383" s="274"/>
      <c r="F383" s="274"/>
    </row>
    <row r="384" spans="3:6" s="185" customFormat="1" hidden="1" x14ac:dyDescent="0.2">
      <c r="C384" s="185" t="s">
        <v>1063</v>
      </c>
      <c r="D384" s="274">
        <v>4422667</v>
      </c>
      <c r="E384" s="274"/>
      <c r="F384" s="58">
        <v>2498679</v>
      </c>
    </row>
    <row r="385" spans="1:6" s="185" customFormat="1" hidden="1" x14ac:dyDescent="0.2">
      <c r="C385" s="185" t="s">
        <v>1064</v>
      </c>
      <c r="D385" s="274">
        <v>26454229</v>
      </c>
      <c r="E385" s="274"/>
      <c r="F385" s="58">
        <v>21268872</v>
      </c>
    </row>
    <row r="386" spans="1:6" s="185" customFormat="1" ht="13.5" hidden="1" thickBot="1" x14ac:dyDescent="0.25">
      <c r="D386" s="259">
        <f>SUM(D384:D385)</f>
        <v>30876896</v>
      </c>
      <c r="E386" s="259">
        <f>SUM(E384:E385)</f>
        <v>0</v>
      </c>
      <c r="F386" s="259">
        <f>SUM(F384:F385)</f>
        <v>23767551</v>
      </c>
    </row>
    <row r="387" spans="1:6" s="185" customFormat="1" hidden="1" x14ac:dyDescent="0.2">
      <c r="D387" s="274"/>
      <c r="E387" s="274"/>
      <c r="F387" s="274"/>
    </row>
    <row r="388" spans="1:6" s="185" customFormat="1" hidden="1" x14ac:dyDescent="0.2">
      <c r="C388" s="308">
        <v>2012</v>
      </c>
      <c r="D388" s="274"/>
      <c r="E388" s="274"/>
      <c r="F388" s="274"/>
    </row>
    <row r="389" spans="1:6" s="185" customFormat="1" hidden="1" x14ac:dyDescent="0.2">
      <c r="C389" s="185" t="s">
        <v>1063</v>
      </c>
      <c r="D389" s="274">
        <v>2690373</v>
      </c>
      <c r="E389" s="274">
        <v>93369</v>
      </c>
      <c r="F389" s="274">
        <f>D389-E389</f>
        <v>2597004</v>
      </c>
    </row>
    <row r="390" spans="1:6" s="185" customFormat="1" hidden="1" x14ac:dyDescent="0.2">
      <c r="C390" s="185" t="s">
        <v>1064</v>
      </c>
      <c r="D390" s="274">
        <v>0</v>
      </c>
      <c r="E390" s="274">
        <v>0</v>
      </c>
      <c r="F390" s="274">
        <f>D390-E390</f>
        <v>0</v>
      </c>
    </row>
    <row r="391" spans="1:6" s="185" customFormat="1" ht="13.5" hidden="1" thickBot="1" x14ac:dyDescent="0.25">
      <c r="D391" s="259">
        <f>SUM(D389:D390)</f>
        <v>2690373</v>
      </c>
      <c r="E391" s="259">
        <f>SUM(E389:E390)</f>
        <v>93369</v>
      </c>
      <c r="F391" s="259">
        <f>SUM(F389:F390)</f>
        <v>2597004</v>
      </c>
    </row>
    <row r="392" spans="1:6" s="185" customFormat="1" ht="15" hidden="1" customHeight="1" x14ac:dyDescent="0.2"/>
    <row r="393" spans="1:6" s="185" customFormat="1" ht="55.5" customHeight="1" x14ac:dyDescent="0.2">
      <c r="C393" s="497" t="s">
        <v>3321</v>
      </c>
    </row>
    <row r="394" spans="1:6" s="185" customFormat="1" hidden="1" x14ac:dyDescent="0.2"/>
    <row r="395" spans="1:6" s="185" customFormat="1" ht="60" hidden="1" customHeight="1" x14ac:dyDescent="0.25">
      <c r="C395" s="807" t="s">
        <v>3148</v>
      </c>
    </row>
    <row r="396" spans="1:6" s="185" customFormat="1" hidden="1" x14ac:dyDescent="0.2"/>
    <row r="397" spans="1:6" s="185" customFormat="1" x14ac:dyDescent="0.2"/>
    <row r="398" spans="1:6" s="185" customFormat="1" ht="14.25" x14ac:dyDescent="0.2">
      <c r="A398" s="260">
        <v>39</v>
      </c>
      <c r="C398" s="260" t="s">
        <v>1065</v>
      </c>
      <c r="D398" s="456"/>
      <c r="E398" s="456"/>
      <c r="F398" s="456"/>
    </row>
    <row r="399" spans="1:6" s="185" customFormat="1" ht="14.25" x14ac:dyDescent="0.2">
      <c r="B399" s="260"/>
      <c r="C399" s="260"/>
      <c r="D399" s="456"/>
      <c r="E399" s="456"/>
      <c r="F399" s="456"/>
    </row>
    <row r="400" spans="1:6" s="185" customFormat="1" ht="14.25" x14ac:dyDescent="0.2">
      <c r="B400" s="260"/>
      <c r="C400" s="459" t="s">
        <v>2918</v>
      </c>
      <c r="D400" s="456"/>
      <c r="E400" s="317"/>
      <c r="F400" s="317"/>
    </row>
    <row r="401" spans="2:19" s="185" customFormat="1" ht="44.25" customHeight="1" x14ac:dyDescent="0.2">
      <c r="B401" s="260"/>
      <c r="C401" s="535" t="s">
        <v>1066</v>
      </c>
      <c r="D401" s="456"/>
      <c r="E401" s="1834" t="s">
        <v>3681</v>
      </c>
      <c r="F401" s="1834"/>
    </row>
    <row r="402" spans="2:19" s="185" customFormat="1" ht="15" customHeight="1" x14ac:dyDescent="0.2">
      <c r="B402" s="260"/>
      <c r="C402" s="497" t="s">
        <v>1072</v>
      </c>
      <c r="D402" s="318"/>
      <c r="E402" s="1845" t="s">
        <v>1082</v>
      </c>
      <c r="F402" s="1845"/>
    </row>
    <row r="403" spans="2:19" s="185" customFormat="1" ht="14.25" x14ac:dyDescent="0.2">
      <c r="B403" s="260"/>
      <c r="C403" s="262"/>
      <c r="D403" s="456"/>
      <c r="E403" s="458"/>
      <c r="F403" s="458"/>
    </row>
    <row r="404" spans="2:19" s="185" customFormat="1" x14ac:dyDescent="0.2">
      <c r="C404" s="260" t="s">
        <v>2919</v>
      </c>
    </row>
    <row r="405" spans="2:19" s="185" customFormat="1" ht="45" customHeight="1" x14ac:dyDescent="0.2">
      <c r="C405" s="311" t="s">
        <v>3022</v>
      </c>
      <c r="E405" s="1834" t="s">
        <v>3682</v>
      </c>
      <c r="F405" s="1834"/>
    </row>
    <row r="406" spans="2:19" s="211" customFormat="1" ht="26.25" hidden="1" x14ac:dyDescent="0.25">
      <c r="B406" s="260"/>
      <c r="C406" s="497" t="s">
        <v>1071</v>
      </c>
      <c r="D406" s="318"/>
      <c r="E406" s="1845" t="s">
        <v>2939</v>
      </c>
      <c r="F406" s="1845"/>
      <c r="G406" s="268"/>
      <c r="R406" s="319"/>
      <c r="S406" s="319"/>
    </row>
    <row r="407" spans="2:19" s="211" customFormat="1" ht="15" x14ac:dyDescent="0.25">
      <c r="B407" s="260"/>
      <c r="C407" s="497"/>
      <c r="D407" s="318"/>
      <c r="E407" s="1638"/>
      <c r="F407" s="1638"/>
      <c r="G407" s="268"/>
      <c r="R407" s="319"/>
      <c r="S407" s="319"/>
    </row>
    <row r="408" spans="2:19" s="211" customFormat="1" ht="15" x14ac:dyDescent="0.25">
      <c r="B408" s="260"/>
      <c r="C408" s="497" t="s">
        <v>4213</v>
      </c>
      <c r="D408" s="318"/>
      <c r="E408" s="1638">
        <v>0</v>
      </c>
      <c r="F408" s="454">
        <v>457438</v>
      </c>
      <c r="G408" s="268"/>
      <c r="R408" s="319"/>
      <c r="S408" s="319"/>
    </row>
    <row r="409" spans="2:19" s="211" customFormat="1" ht="15" x14ac:dyDescent="0.25">
      <c r="B409" s="260"/>
      <c r="C409" s="497"/>
      <c r="D409" s="318"/>
      <c r="E409" s="1638"/>
      <c r="F409" s="1638"/>
      <c r="G409" s="268"/>
      <c r="R409" s="319"/>
      <c r="S409" s="319"/>
    </row>
    <row r="410" spans="2:19" s="211" customFormat="1" ht="51.75" customHeight="1" x14ac:dyDescent="0.25">
      <c r="B410" s="260"/>
      <c r="C410" s="497"/>
      <c r="D410" s="318"/>
      <c r="E410" s="1848" t="s">
        <v>4214</v>
      </c>
      <c r="F410" s="1848"/>
      <c r="G410" s="268"/>
      <c r="R410" s="319"/>
      <c r="S410" s="319"/>
    </row>
    <row r="411" spans="2:19" s="211" customFormat="1" ht="15" x14ac:dyDescent="0.25">
      <c r="B411" s="260"/>
      <c r="C411" s="497"/>
      <c r="D411" s="318"/>
      <c r="E411" s="1638"/>
      <c r="F411" s="1638"/>
      <c r="G411" s="268"/>
      <c r="R411" s="319"/>
      <c r="S411" s="319"/>
    </row>
    <row r="412" spans="2:19" s="211" customFormat="1" ht="15" x14ac:dyDescent="0.25">
      <c r="B412" s="260"/>
      <c r="C412" s="497" t="s">
        <v>3858</v>
      </c>
      <c r="D412" s="318"/>
      <c r="E412" s="454">
        <f>'TB3'!AD409</f>
        <v>16700000</v>
      </c>
      <c r="F412" s="454">
        <v>6500000</v>
      </c>
      <c r="G412" s="268"/>
      <c r="R412" s="319"/>
      <c r="S412" s="319"/>
    </row>
    <row r="413" spans="2:19" s="211" customFormat="1" ht="15" x14ac:dyDescent="0.25">
      <c r="B413" s="260"/>
      <c r="C413" s="497"/>
      <c r="D413" s="318"/>
      <c r="E413" s="454"/>
      <c r="F413" s="454"/>
      <c r="G413" s="268"/>
      <c r="R413" s="319"/>
      <c r="S413" s="319"/>
    </row>
    <row r="414" spans="2:19" s="211" customFormat="1" ht="31.5" customHeight="1" x14ac:dyDescent="0.25">
      <c r="B414" s="260"/>
      <c r="C414" s="497"/>
      <c r="D414" s="318"/>
      <c r="E414" s="1849" t="s">
        <v>4215</v>
      </c>
      <c r="F414" s="1849"/>
      <c r="G414" s="268"/>
      <c r="R414" s="319"/>
      <c r="S414" s="319"/>
    </row>
    <row r="415" spans="2:19" s="211" customFormat="1" ht="15" x14ac:dyDescent="0.25">
      <c r="B415" s="260"/>
      <c r="C415" s="497"/>
      <c r="D415" s="318"/>
      <c r="E415" s="454"/>
      <c r="F415" s="454"/>
      <c r="G415" s="268"/>
      <c r="R415" s="319"/>
      <c r="S415" s="319"/>
    </row>
    <row r="417" spans="1:7" s="185" customFormat="1" x14ac:dyDescent="0.2">
      <c r="A417" s="260">
        <f>A398+1</f>
        <v>40</v>
      </c>
      <c r="C417" s="260" t="s">
        <v>1067</v>
      </c>
    </row>
    <row r="418" spans="1:7" s="185" customFormat="1" x14ac:dyDescent="0.2"/>
    <row r="419" spans="1:7" s="185" customFormat="1" ht="25.5" x14ac:dyDescent="0.2">
      <c r="C419" s="267" t="s">
        <v>3322</v>
      </c>
    </row>
    <row r="420" spans="1:7" s="185" customFormat="1" x14ac:dyDescent="0.2"/>
    <row r="421" spans="1:7" s="185" customFormat="1" x14ac:dyDescent="0.2">
      <c r="C421" s="185" t="s">
        <v>2899</v>
      </c>
      <c r="E421" s="483" t="s">
        <v>3951</v>
      </c>
      <c r="F421" s="483" t="s">
        <v>3892</v>
      </c>
    </row>
    <row r="422" spans="1:7" s="185" customFormat="1" x14ac:dyDescent="0.2">
      <c r="C422" s="185" t="s">
        <v>1068</v>
      </c>
      <c r="E422" s="483" t="s">
        <v>3950</v>
      </c>
      <c r="F422" s="483" t="s">
        <v>3961</v>
      </c>
    </row>
    <row r="423" spans="1:7" x14ac:dyDescent="0.2">
      <c r="A423" s="185"/>
      <c r="B423" s="185"/>
    </row>
    <row r="424" spans="1:7" x14ac:dyDescent="0.2">
      <c r="A424" s="185"/>
      <c r="B424" s="185"/>
      <c r="C424" s="185" t="s">
        <v>2942</v>
      </c>
    </row>
    <row r="425" spans="1:7" x14ac:dyDescent="0.2">
      <c r="A425" s="185"/>
      <c r="B425" s="185"/>
      <c r="C425" s="185" t="s">
        <v>2943</v>
      </c>
      <c r="E425" s="481">
        <v>72815047</v>
      </c>
      <c r="F425" s="481">
        <v>49075131</v>
      </c>
      <c r="G425" s="185"/>
    </row>
    <row r="426" spans="1:7" x14ac:dyDescent="0.2">
      <c r="A426" s="185"/>
      <c r="B426" s="185"/>
      <c r="C426" s="185" t="s">
        <v>2944</v>
      </c>
      <c r="E426" s="481">
        <v>57361080.719999999</v>
      </c>
      <c r="F426" s="481">
        <v>71888945.579999998</v>
      </c>
    </row>
    <row r="427" spans="1:7" ht="13.5" thickBot="1" x14ac:dyDescent="0.25">
      <c r="A427" s="185"/>
      <c r="B427" s="185"/>
      <c r="E427" s="482">
        <f>SUM(E425:E426)</f>
        <v>130176127.72</v>
      </c>
      <c r="F427" s="482">
        <f>SUM(F425:F426)</f>
        <v>120964076.58</v>
      </c>
    </row>
    <row r="428" spans="1:7" x14ac:dyDescent="0.2">
      <c r="E428" s="1307"/>
      <c r="F428" s="1307"/>
    </row>
    <row r="429" spans="1:7" x14ac:dyDescent="0.2">
      <c r="E429" s="1307"/>
      <c r="F429" s="1307"/>
    </row>
    <row r="430" spans="1:7" x14ac:dyDescent="0.2">
      <c r="A430" s="260">
        <v>41</v>
      </c>
      <c r="C430" s="260" t="s">
        <v>2575</v>
      </c>
    </row>
    <row r="431" spans="1:7" x14ac:dyDescent="0.2">
      <c r="C431" s="260"/>
    </row>
    <row r="432" spans="1:7" ht="28.5" customHeight="1" x14ac:dyDescent="0.2">
      <c r="C432" s="267" t="s">
        <v>3150</v>
      </c>
    </row>
    <row r="434" spans="1:11" x14ac:dyDescent="0.2">
      <c r="A434" s="260">
        <v>42</v>
      </c>
      <c r="C434" s="260" t="s">
        <v>2556</v>
      </c>
    </row>
    <row r="436" spans="1:11" s="211" customFormat="1" ht="10.5" customHeight="1" x14ac:dyDescent="0.25">
      <c r="C436" s="1846" t="s">
        <v>3649</v>
      </c>
      <c r="D436" s="1846"/>
      <c r="E436" s="1846"/>
      <c r="F436" s="311"/>
      <c r="G436" s="311"/>
      <c r="H436" s="267"/>
    </row>
    <row r="437" spans="1:11" s="211" customFormat="1" ht="18" customHeight="1" x14ac:dyDescent="0.25">
      <c r="C437" s="1846"/>
      <c r="D437" s="1846"/>
      <c r="E437" s="1846"/>
      <c r="F437" s="311"/>
      <c r="G437" s="311"/>
      <c r="H437" s="267"/>
    </row>
    <row r="438" spans="1:11" s="211" customFormat="1" ht="10.5" customHeight="1" x14ac:dyDescent="0.25">
      <c r="C438" s="1846"/>
      <c r="D438" s="1846"/>
      <c r="E438" s="1846"/>
      <c r="F438" s="311"/>
      <c r="G438" s="311"/>
      <c r="H438" s="267"/>
    </row>
    <row r="439" spans="1:11" x14ac:dyDescent="0.2">
      <c r="C439" s="311"/>
      <c r="D439" s="311"/>
      <c r="E439" s="311"/>
      <c r="F439" s="311"/>
      <c r="G439" s="311"/>
    </row>
    <row r="440" spans="1:11" ht="15" x14ac:dyDescent="0.25">
      <c r="C440" s="211"/>
      <c r="D440" s="943"/>
      <c r="E440" s="728" t="s">
        <v>3414</v>
      </c>
      <c r="F440" s="728"/>
      <c r="G440" s="211"/>
      <c r="H440" s="850"/>
      <c r="I440" s="850"/>
      <c r="J440" s="850"/>
      <c r="K440" s="850"/>
    </row>
    <row r="441" spans="1:11" ht="15" x14ac:dyDescent="0.25">
      <c r="C441" s="211"/>
      <c r="D441" s="728"/>
      <c r="E441" s="728"/>
      <c r="F441" s="528"/>
      <c r="G441" s="528"/>
      <c r="H441" s="851"/>
      <c r="I441" s="851"/>
      <c r="J441" s="851"/>
      <c r="K441" s="851"/>
    </row>
    <row r="442" spans="1:11" x14ac:dyDescent="0.2">
      <c r="C442" s="944" t="s">
        <v>3478</v>
      </c>
      <c r="D442" s="728"/>
      <c r="E442" s="728"/>
      <c r="F442" s="528"/>
      <c r="G442" s="528"/>
      <c r="H442" s="850"/>
      <c r="I442" s="850"/>
      <c r="J442" s="850"/>
      <c r="K442" s="850"/>
    </row>
    <row r="443" spans="1:11" x14ac:dyDescent="0.2">
      <c r="C443" s="987" t="s">
        <v>3565</v>
      </c>
      <c r="D443" s="728"/>
      <c r="E443" s="936">
        <f>+E444+E445</f>
        <v>4588129.25</v>
      </c>
      <c r="F443" s="936">
        <v>4588129.25</v>
      </c>
      <c r="G443" s="528"/>
      <c r="H443" s="850"/>
      <c r="I443" s="850"/>
      <c r="J443" s="850"/>
      <c r="K443" s="850"/>
    </row>
    <row r="444" spans="1:11" x14ac:dyDescent="0.2">
      <c r="C444" s="988" t="s">
        <v>816</v>
      </c>
      <c r="D444" s="936"/>
      <c r="E444" s="991">
        <v>4588129.25</v>
      </c>
      <c r="F444" s="991">
        <v>4588129.25</v>
      </c>
      <c r="G444" s="947"/>
      <c r="H444" s="850"/>
      <c r="I444" s="850"/>
      <c r="J444" s="850"/>
      <c r="K444" s="850"/>
    </row>
    <row r="445" spans="1:11" x14ac:dyDescent="0.2">
      <c r="C445" s="988" t="s">
        <v>3566</v>
      </c>
      <c r="D445" s="947"/>
      <c r="E445" s="992">
        <v>0</v>
      </c>
      <c r="F445" s="992">
        <v>0</v>
      </c>
      <c r="G445" s="947"/>
      <c r="H445" s="850"/>
      <c r="I445" s="850"/>
      <c r="J445" s="850"/>
      <c r="K445" s="850"/>
    </row>
    <row r="446" spans="1:11" x14ac:dyDescent="0.2">
      <c r="C446" s="988"/>
      <c r="D446" s="947"/>
      <c r="E446" s="936"/>
      <c r="F446" s="936"/>
      <c r="G446" s="947"/>
      <c r="H446" s="850"/>
      <c r="I446" s="850"/>
      <c r="J446" s="850"/>
      <c r="K446" s="850"/>
    </row>
    <row r="447" spans="1:11" x14ac:dyDescent="0.2">
      <c r="C447" s="987" t="s">
        <v>3568</v>
      </c>
      <c r="D447" s="936"/>
      <c r="E447" s="936">
        <f>+E448+E449</f>
        <v>3671704.1100000003</v>
      </c>
      <c r="F447" s="936">
        <v>3671704.1100000003</v>
      </c>
      <c r="G447" s="947"/>
      <c r="H447" s="850"/>
      <c r="I447" s="850"/>
      <c r="J447" s="850"/>
      <c r="K447" s="850"/>
    </row>
    <row r="448" spans="1:11" x14ac:dyDescent="0.2">
      <c r="B448" s="945" t="s">
        <v>3567</v>
      </c>
      <c r="C448" s="988" t="s">
        <v>816</v>
      </c>
      <c r="D448" s="936"/>
      <c r="E448" s="991">
        <f>+'TB4'!R124</f>
        <v>3671704.1100000003</v>
      </c>
      <c r="F448" s="991">
        <v>3671704.1100000003</v>
      </c>
      <c r="G448" s="947"/>
      <c r="H448" s="850"/>
      <c r="I448" s="850"/>
      <c r="J448" s="850"/>
      <c r="K448" s="850"/>
    </row>
    <row r="449" spans="1:11" x14ac:dyDescent="0.2">
      <c r="B449" s="946"/>
      <c r="C449" s="988" t="s">
        <v>3566</v>
      </c>
      <c r="D449" s="947"/>
      <c r="E449" s="992">
        <v>0</v>
      </c>
      <c r="F449" s="992">
        <v>0</v>
      </c>
      <c r="G449" s="947"/>
      <c r="H449" s="850"/>
      <c r="I449" s="850"/>
      <c r="J449" s="850"/>
      <c r="K449" s="850"/>
    </row>
    <row r="450" spans="1:11" x14ac:dyDescent="0.2">
      <c r="B450" s="946"/>
      <c r="C450" s="988"/>
      <c r="D450" s="947"/>
      <c r="E450" s="936"/>
      <c r="F450" s="936"/>
      <c r="G450" s="947"/>
      <c r="H450" s="850"/>
      <c r="I450" s="850"/>
      <c r="J450" s="850"/>
      <c r="K450" s="850"/>
    </row>
    <row r="451" spans="1:11" x14ac:dyDescent="0.2">
      <c r="B451" s="946"/>
      <c r="C451" s="989" t="s">
        <v>3569</v>
      </c>
      <c r="D451" s="936"/>
      <c r="E451" s="993">
        <f>+E443-E447</f>
        <v>916425.13999999966</v>
      </c>
      <c r="F451" s="993">
        <v>916425.13999999966</v>
      </c>
      <c r="G451" s="947"/>
      <c r="H451" s="850"/>
      <c r="I451" s="850"/>
      <c r="J451" s="850"/>
      <c r="K451" s="850"/>
    </row>
    <row r="452" spans="1:11" ht="15" x14ac:dyDescent="0.25">
      <c r="B452" s="945" t="s">
        <v>3567</v>
      </c>
      <c r="C452" s="211"/>
      <c r="D452" s="936"/>
      <c r="E452" s="936"/>
      <c r="F452" s="936"/>
      <c r="G452" s="947"/>
      <c r="H452" s="850"/>
      <c r="I452" s="850"/>
      <c r="J452" s="850"/>
      <c r="K452" s="850"/>
    </row>
    <row r="453" spans="1:11" x14ac:dyDescent="0.2">
      <c r="C453" s="944" t="s">
        <v>3481</v>
      </c>
      <c r="D453" s="936"/>
      <c r="E453" s="936"/>
      <c r="F453" s="936"/>
      <c r="G453" s="947"/>
      <c r="H453" s="850"/>
      <c r="I453" s="850"/>
      <c r="J453" s="850"/>
      <c r="K453" s="850"/>
    </row>
    <row r="454" spans="1:11" x14ac:dyDescent="0.2">
      <c r="C454" s="988" t="s">
        <v>3650</v>
      </c>
      <c r="D454" s="947"/>
      <c r="E454" s="993">
        <v>0</v>
      </c>
      <c r="F454" s="993">
        <v>0</v>
      </c>
      <c r="G454" s="947"/>
      <c r="H454" s="850"/>
      <c r="I454" s="850"/>
      <c r="J454" s="850"/>
      <c r="K454" s="850"/>
    </row>
    <row r="455" spans="1:11" x14ac:dyDescent="0.2">
      <c r="C455" s="990"/>
      <c r="D455" s="936"/>
      <c r="E455" s="936"/>
      <c r="F455" s="936"/>
      <c r="G455" s="947"/>
      <c r="H455" s="850"/>
      <c r="I455" s="850"/>
      <c r="J455" s="850"/>
      <c r="K455" s="850"/>
    </row>
    <row r="456" spans="1:11" x14ac:dyDescent="0.2">
      <c r="C456" s="944" t="s">
        <v>3479</v>
      </c>
      <c r="D456" s="936"/>
      <c r="E456" s="936"/>
      <c r="F456" s="936"/>
      <c r="G456" s="947"/>
      <c r="H456" s="850"/>
      <c r="I456" s="850"/>
      <c r="J456" s="850"/>
      <c r="K456" s="850"/>
    </row>
    <row r="457" spans="1:11" x14ac:dyDescent="0.2">
      <c r="C457" s="988" t="s">
        <v>3651</v>
      </c>
      <c r="D457" s="936"/>
      <c r="E457" s="936">
        <f>+E451</f>
        <v>916425.13999999966</v>
      </c>
      <c r="F457" s="936">
        <v>916425.13999999966</v>
      </c>
      <c r="G457" s="936"/>
      <c r="H457" s="850"/>
      <c r="I457" s="850"/>
      <c r="J457" s="850"/>
      <c r="K457" s="850"/>
    </row>
    <row r="458" spans="1:11" ht="14.25" x14ac:dyDescent="0.2">
      <c r="C458" s="456"/>
      <c r="E458" s="936"/>
    </row>
    <row r="459" spans="1:11" x14ac:dyDescent="0.2">
      <c r="A459" s="260">
        <v>43</v>
      </c>
      <c r="B459" s="260"/>
      <c r="C459" s="260" t="s">
        <v>3082</v>
      </c>
      <c r="E459" s="936"/>
    </row>
    <row r="460" spans="1:11" x14ac:dyDescent="0.2">
      <c r="C460" s="260"/>
    </row>
    <row r="461" spans="1:11" ht="12.75" customHeight="1" x14ac:dyDescent="0.2">
      <c r="C461" s="185" t="s">
        <v>2611</v>
      </c>
      <c r="E461" s="538">
        <v>-6190029.3399999999</v>
      </c>
      <c r="F461" s="538">
        <f>-'TB3'!X610</f>
        <v>-1626750</v>
      </c>
    </row>
    <row r="462" spans="1:11" ht="12.75" customHeight="1" x14ac:dyDescent="0.2">
      <c r="C462" s="185" t="s">
        <v>3384</v>
      </c>
      <c r="E462" s="1522">
        <v>24304533.010000002</v>
      </c>
      <c r="F462" s="1522"/>
    </row>
    <row r="463" spans="1:11" ht="12.75" customHeight="1" thickBot="1" x14ac:dyDescent="0.25">
      <c r="E463" s="539">
        <f>SUM(E461:E462)</f>
        <v>18114503.670000002</v>
      </c>
      <c r="F463" s="539">
        <f>SUM(F461:F462)</f>
        <v>-1626750</v>
      </c>
    </row>
    <row r="464" spans="1:11" ht="12.75" customHeight="1" thickTop="1" x14ac:dyDescent="0.2">
      <c r="C464" s="185" t="s">
        <v>3494</v>
      </c>
      <c r="E464" s="542"/>
      <c r="F464" s="543"/>
    </row>
    <row r="465" spans="1:6" hidden="1" x14ac:dyDescent="0.2">
      <c r="B465" s="260">
        <v>45</v>
      </c>
      <c r="E465" s="542"/>
      <c r="F465" s="543"/>
    </row>
    <row r="466" spans="1:6" hidden="1" x14ac:dyDescent="0.2">
      <c r="C466" s="260" t="s">
        <v>2916</v>
      </c>
    </row>
    <row r="467" spans="1:6" hidden="1" x14ac:dyDescent="0.2">
      <c r="C467" s="260"/>
    </row>
    <row r="468" spans="1:6" ht="12.75" hidden="1" customHeight="1" x14ac:dyDescent="0.2">
      <c r="C468" s="459" t="s">
        <v>2549</v>
      </c>
    </row>
    <row r="469" spans="1:6" ht="12.75" hidden="1" customHeight="1" x14ac:dyDescent="0.2">
      <c r="C469" s="185" t="s">
        <v>3080</v>
      </c>
      <c r="E469" s="1036">
        <f>'TB3'!R567</f>
        <v>0</v>
      </c>
      <c r="F469" s="58">
        <f>'TB3'!L567</f>
        <v>0</v>
      </c>
    </row>
    <row r="470" spans="1:6" ht="12.75" hidden="1" customHeight="1" x14ac:dyDescent="0.2">
      <c r="E470" s="1037"/>
      <c r="F470" s="58"/>
    </row>
    <row r="471" spans="1:6" ht="12.75" hidden="1" customHeight="1" thickBot="1" x14ac:dyDescent="0.25">
      <c r="C471" s="260" t="s">
        <v>2917</v>
      </c>
      <c r="E471" s="541">
        <f>E469</f>
        <v>0</v>
      </c>
      <c r="F471" s="276">
        <f>F469</f>
        <v>0</v>
      </c>
    </row>
    <row r="472" spans="1:6" ht="15" hidden="1" customHeight="1" thickTop="1" x14ac:dyDescent="0.2">
      <c r="C472" s="260"/>
      <c r="E472" s="879"/>
      <c r="F472" s="540"/>
    </row>
    <row r="473" spans="1:6" ht="38.25" hidden="1" x14ac:dyDescent="0.2">
      <c r="C473" s="497" t="s">
        <v>3081</v>
      </c>
    </row>
    <row r="474" spans="1:6" x14ac:dyDescent="0.2">
      <c r="C474" s="497"/>
    </row>
    <row r="475" spans="1:6" x14ac:dyDescent="0.2">
      <c r="B475" s="260"/>
      <c r="D475" s="318"/>
    </row>
    <row r="476" spans="1:6" x14ac:dyDescent="0.2">
      <c r="A476" s="260">
        <v>44</v>
      </c>
      <c r="B476" s="185"/>
      <c r="C476" s="440" t="s">
        <v>2865</v>
      </c>
      <c r="D476" s="318"/>
      <c r="E476" s="318"/>
      <c r="F476" s="1237"/>
    </row>
    <row r="477" spans="1:6" x14ac:dyDescent="0.2">
      <c r="B477" s="185"/>
      <c r="C477" s="440"/>
      <c r="D477" s="318"/>
      <c r="E477" s="318"/>
      <c r="F477" s="318"/>
    </row>
    <row r="478" spans="1:6" x14ac:dyDescent="0.2">
      <c r="B478" s="185"/>
      <c r="C478" s="440" t="s">
        <v>2576</v>
      </c>
      <c r="D478" s="318"/>
      <c r="E478" s="318"/>
      <c r="F478" s="318"/>
    </row>
    <row r="479" spans="1:6" x14ac:dyDescent="0.2">
      <c r="B479" s="185"/>
      <c r="C479" s="440"/>
      <c r="D479" s="318"/>
      <c r="E479" s="318"/>
      <c r="F479" s="318"/>
    </row>
    <row r="480" spans="1:6" ht="38.25" x14ac:dyDescent="0.2">
      <c r="B480" s="185"/>
      <c r="C480" s="441" t="s">
        <v>2577</v>
      </c>
      <c r="D480" s="318"/>
      <c r="E480" s="318"/>
      <c r="F480" s="318"/>
    </row>
    <row r="481" spans="2:6" x14ac:dyDescent="0.2">
      <c r="B481" s="185"/>
      <c r="C481" s="442"/>
      <c r="D481" s="318"/>
      <c r="E481" s="318"/>
      <c r="F481" s="318"/>
    </row>
    <row r="482" spans="2:6" ht="89.25" x14ac:dyDescent="0.2">
      <c r="B482" s="185"/>
      <c r="C482" s="441" t="s">
        <v>2993</v>
      </c>
      <c r="D482" s="318"/>
      <c r="E482" s="318"/>
      <c r="F482" s="318"/>
    </row>
    <row r="483" spans="2:6" x14ac:dyDescent="0.2">
      <c r="B483" s="185"/>
      <c r="C483" s="442"/>
      <c r="D483" s="318"/>
      <c r="E483" s="318"/>
      <c r="F483" s="318"/>
    </row>
    <row r="484" spans="2:6" ht="38.25" x14ac:dyDescent="0.2">
      <c r="B484" s="185"/>
      <c r="C484" s="443" t="s">
        <v>3174</v>
      </c>
      <c r="D484" s="318"/>
      <c r="E484" s="318"/>
      <c r="F484" s="318"/>
    </row>
    <row r="485" spans="2:6" x14ac:dyDescent="0.2">
      <c r="B485" s="185"/>
      <c r="C485" s="440"/>
      <c r="D485" s="318"/>
      <c r="E485" s="1344">
        <v>2016</v>
      </c>
      <c r="F485" s="1344">
        <v>2015</v>
      </c>
    </row>
    <row r="486" spans="2:6" x14ac:dyDescent="0.2">
      <c r="B486" s="185"/>
      <c r="C486" s="442" t="s">
        <v>2578</v>
      </c>
      <c r="D486" s="318"/>
      <c r="E486" s="462">
        <v>2344748.04</v>
      </c>
      <c r="F486" s="462">
        <v>2414051.67</v>
      </c>
    </row>
    <row r="487" spans="2:6" x14ac:dyDescent="0.2">
      <c r="B487" s="185"/>
      <c r="C487" s="442" t="s">
        <v>2988</v>
      </c>
      <c r="D487" s="318"/>
      <c r="E487" s="462">
        <v>4656928.47</v>
      </c>
      <c r="F487" s="462">
        <v>3911418.59</v>
      </c>
    </row>
    <row r="488" spans="2:6" ht="15" x14ac:dyDescent="0.25">
      <c r="B488" s="185"/>
      <c r="C488" s="522" t="s">
        <v>2987</v>
      </c>
      <c r="D488" s="318"/>
      <c r="E488" s="462">
        <v>1996628.51</v>
      </c>
      <c r="F488" s="462">
        <v>2080083.56</v>
      </c>
    </row>
    <row r="489" spans="2:6" x14ac:dyDescent="0.2">
      <c r="B489" s="185"/>
      <c r="C489" s="442" t="s">
        <v>2579</v>
      </c>
      <c r="D489" s="318"/>
      <c r="E489" s="462">
        <v>42188471.560000002</v>
      </c>
      <c r="F489" s="462">
        <v>35261569.609999999</v>
      </c>
    </row>
    <row r="490" spans="2:6" x14ac:dyDescent="0.2">
      <c r="B490" s="185"/>
      <c r="C490" s="442" t="s">
        <v>3937</v>
      </c>
      <c r="D490" s="318"/>
      <c r="E490" s="462">
        <v>20662131.73</v>
      </c>
      <c r="F490" s="462">
        <v>17250695.5</v>
      </c>
    </row>
    <row r="491" spans="2:6" x14ac:dyDescent="0.2">
      <c r="B491" s="185"/>
      <c r="C491" s="442" t="s">
        <v>2867</v>
      </c>
      <c r="D491" s="318"/>
      <c r="E491" s="462">
        <v>9258269.9100000001</v>
      </c>
      <c r="F491" s="462">
        <v>8889970.5299999993</v>
      </c>
    </row>
    <row r="492" spans="2:6" x14ac:dyDescent="0.2">
      <c r="B492" s="185"/>
      <c r="C492" s="442" t="s">
        <v>2868</v>
      </c>
      <c r="D492" s="318"/>
      <c r="E492" s="462">
        <f>11049546.08+2386880.3</f>
        <v>13436426.379999999</v>
      </c>
      <c r="F492" s="462">
        <v>7271736.1699999999</v>
      </c>
    </row>
    <row r="493" spans="2:6" ht="13.5" thickBot="1" x14ac:dyDescent="0.25">
      <c r="B493" s="185"/>
      <c r="C493" s="442"/>
      <c r="D493" s="318"/>
      <c r="E493" s="446">
        <f>SUM(E486:E492)</f>
        <v>94543604.599999994</v>
      </c>
      <c r="F493" s="446">
        <f>SUM(F486:F492)</f>
        <v>77079525.629999995</v>
      </c>
    </row>
    <row r="494" spans="2:6" ht="13.5" thickTop="1" x14ac:dyDescent="0.2">
      <c r="B494" s="185"/>
      <c r="C494" s="440"/>
      <c r="D494" s="318"/>
      <c r="E494" s="318"/>
      <c r="F494" s="318"/>
    </row>
    <row r="495" spans="2:6" x14ac:dyDescent="0.2">
      <c r="B495" s="185"/>
      <c r="C495" s="440" t="s">
        <v>2580</v>
      </c>
      <c r="D495" s="318"/>
      <c r="E495" s="318"/>
      <c r="F495" s="318"/>
    </row>
    <row r="496" spans="2:6" x14ac:dyDescent="0.2">
      <c r="B496" s="185"/>
      <c r="C496" s="440"/>
      <c r="D496" s="318"/>
      <c r="E496" s="318"/>
      <c r="F496" s="318"/>
    </row>
    <row r="497" spans="2:6" ht="63.75" x14ac:dyDescent="0.2">
      <c r="B497" s="185"/>
      <c r="C497" s="443" t="s">
        <v>3030</v>
      </c>
      <c r="D497" s="318"/>
      <c r="E497" s="318"/>
      <c r="F497" s="318"/>
    </row>
    <row r="498" spans="2:6" x14ac:dyDescent="0.2">
      <c r="B498" s="185"/>
      <c r="C498" s="442"/>
      <c r="D498" s="318"/>
      <c r="E498" s="318"/>
      <c r="F498" s="318"/>
    </row>
    <row r="499" spans="2:6" ht="38.25" x14ac:dyDescent="0.2">
      <c r="B499" s="185"/>
      <c r="C499" s="443" t="s">
        <v>3620</v>
      </c>
      <c r="D499" s="318"/>
      <c r="E499" s="318"/>
      <c r="F499" s="318"/>
    </row>
    <row r="500" spans="2:6" ht="25.5" x14ac:dyDescent="0.2">
      <c r="B500" s="185"/>
      <c r="C500" s="443" t="s">
        <v>3627</v>
      </c>
      <c r="D500" s="318"/>
      <c r="E500" s="318"/>
      <c r="F500" s="318"/>
    </row>
    <row r="501" spans="2:6" x14ac:dyDescent="0.2">
      <c r="B501" s="185"/>
      <c r="C501" s="442"/>
      <c r="D501" s="318"/>
      <c r="E501" s="318"/>
      <c r="F501" s="318"/>
    </row>
    <row r="502" spans="2:6" ht="25.5" x14ac:dyDescent="0.2">
      <c r="B502" s="185"/>
      <c r="C502" s="443" t="s">
        <v>3621</v>
      </c>
      <c r="D502" s="318"/>
      <c r="E502" s="318"/>
      <c r="F502" s="318"/>
    </row>
    <row r="503" spans="2:6" x14ac:dyDescent="0.2">
      <c r="B503" s="185"/>
      <c r="C503" s="440"/>
      <c r="D503" s="318"/>
      <c r="E503" s="318"/>
      <c r="F503" s="318"/>
    </row>
    <row r="504" spans="2:6" x14ac:dyDescent="0.2">
      <c r="B504" s="185"/>
      <c r="C504" s="440" t="s">
        <v>3618</v>
      </c>
      <c r="D504" s="318"/>
      <c r="E504" s="318"/>
      <c r="F504" s="318"/>
    </row>
    <row r="505" spans="2:6" x14ac:dyDescent="0.2">
      <c r="B505" s="185"/>
      <c r="C505" s="440"/>
      <c r="D505" s="318"/>
      <c r="E505" s="1241">
        <v>2016</v>
      </c>
      <c r="F505" s="1241">
        <v>2015</v>
      </c>
    </row>
    <row r="506" spans="2:6" x14ac:dyDescent="0.2">
      <c r="B506" s="185"/>
      <c r="C506" s="442" t="s">
        <v>680</v>
      </c>
      <c r="D506" s="318"/>
      <c r="E506" s="538">
        <f>F513</f>
        <v>155576000</v>
      </c>
      <c r="F506" s="538">
        <v>151027000</v>
      </c>
    </row>
    <row r="507" spans="2:6" x14ac:dyDescent="0.2">
      <c r="B507" s="185"/>
      <c r="C507" s="442" t="s">
        <v>2581</v>
      </c>
      <c r="D507" s="318"/>
      <c r="E507" s="538">
        <f>E128</f>
        <v>5589000</v>
      </c>
      <c r="F507" s="538">
        <v>5573000</v>
      </c>
    </row>
    <row r="508" spans="2:6" x14ac:dyDescent="0.2">
      <c r="B508" s="185"/>
      <c r="C508" s="442" t="s">
        <v>2582</v>
      </c>
      <c r="D508" s="318"/>
      <c r="E508" s="538">
        <f>E129</f>
        <v>14243000</v>
      </c>
      <c r="F508" s="538">
        <v>13492000</v>
      </c>
    </row>
    <row r="509" spans="2:6" x14ac:dyDescent="0.2">
      <c r="B509" s="185"/>
      <c r="C509" s="442" t="s">
        <v>1037</v>
      </c>
      <c r="D509" s="459"/>
      <c r="E509" s="538">
        <f>E136</f>
        <v>-5651669</v>
      </c>
      <c r="F509" s="538">
        <v>-5236241</v>
      </c>
    </row>
    <row r="510" spans="2:6" x14ac:dyDescent="0.2">
      <c r="B510" s="185"/>
      <c r="C510" s="440" t="s">
        <v>2583</v>
      </c>
      <c r="D510" s="318"/>
      <c r="E510" s="1236">
        <f>SUM(E506:E509)</f>
        <v>169756331</v>
      </c>
      <c r="F510" s="1236">
        <f>SUM(F506:F509)</f>
        <v>164855759</v>
      </c>
    </row>
    <row r="511" spans="2:6" x14ac:dyDescent="0.2">
      <c r="B511" s="185"/>
      <c r="C511" s="442" t="s">
        <v>2584</v>
      </c>
      <c r="D511" s="318"/>
      <c r="E511" s="538">
        <f>E132</f>
        <v>-7662331</v>
      </c>
      <c r="F511" s="538">
        <v>-9279759</v>
      </c>
    </row>
    <row r="512" spans="2:6" x14ac:dyDescent="0.2">
      <c r="B512" s="185"/>
      <c r="C512" s="442"/>
      <c r="D512" s="318"/>
      <c r="E512" s="445"/>
      <c r="F512" s="445">
        <v>0</v>
      </c>
    </row>
    <row r="513" spans="2:6" ht="13.5" thickBot="1" x14ac:dyDescent="0.25">
      <c r="B513" s="185"/>
      <c r="C513" s="440" t="s">
        <v>2585</v>
      </c>
      <c r="D513" s="318"/>
      <c r="E513" s="539">
        <f>E510+E511</f>
        <v>162094000</v>
      </c>
      <c r="F513" s="539">
        <f>F510+F511</f>
        <v>155576000</v>
      </c>
    </row>
    <row r="514" spans="2:6" ht="13.5" thickTop="1" x14ac:dyDescent="0.2">
      <c r="B514" s="185"/>
      <c r="C514" s="440"/>
      <c r="D514" s="318"/>
      <c r="E514" s="318"/>
      <c r="F514" s="318"/>
    </row>
    <row r="515" spans="2:6" ht="25.5" x14ac:dyDescent="0.2">
      <c r="B515" s="185"/>
      <c r="C515" s="444" t="s">
        <v>2586</v>
      </c>
      <c r="D515" s="318"/>
      <c r="E515" s="318"/>
      <c r="F515" s="318"/>
    </row>
    <row r="516" spans="2:6" x14ac:dyDescent="0.2">
      <c r="B516" s="185"/>
      <c r="C516" s="440"/>
      <c r="D516" s="318"/>
      <c r="E516" s="318"/>
      <c r="F516" s="318"/>
    </row>
    <row r="517" spans="2:6" x14ac:dyDescent="0.2">
      <c r="B517" s="185"/>
      <c r="C517" s="440" t="s">
        <v>2587</v>
      </c>
      <c r="D517" s="318"/>
      <c r="E517" s="318"/>
      <c r="F517" s="318"/>
    </row>
    <row r="518" spans="2:6" x14ac:dyDescent="0.2">
      <c r="B518" s="185"/>
      <c r="C518" s="440"/>
      <c r="D518" s="318"/>
      <c r="E518" s="318"/>
      <c r="F518" s="318"/>
    </row>
    <row r="519" spans="2:6" x14ac:dyDescent="0.2">
      <c r="B519" s="185"/>
      <c r="C519" s="442" t="s">
        <v>2588</v>
      </c>
      <c r="D519" s="318"/>
      <c r="E519" s="318"/>
      <c r="F519" s="318"/>
    </row>
    <row r="520" spans="2:6" x14ac:dyDescent="0.2">
      <c r="B520" s="185"/>
      <c r="C520" s="442" t="s">
        <v>2589</v>
      </c>
      <c r="D520" s="318"/>
      <c r="E520" s="447">
        <f>E513</f>
        <v>162094000</v>
      </c>
      <c r="F520" s="447">
        <v>-155576000</v>
      </c>
    </row>
    <row r="521" spans="2:6" x14ac:dyDescent="0.2">
      <c r="B521" s="185"/>
      <c r="C521" s="442"/>
      <c r="D521" s="318"/>
      <c r="E521" s="448"/>
      <c r="F521" s="448"/>
    </row>
    <row r="522" spans="2:6" x14ac:dyDescent="0.2">
      <c r="B522" s="185"/>
      <c r="C522" s="440" t="s">
        <v>2590</v>
      </c>
      <c r="D522" s="318"/>
      <c r="E522" s="448"/>
      <c r="F522" s="448"/>
    </row>
    <row r="523" spans="2:6" x14ac:dyDescent="0.2">
      <c r="B523" s="185"/>
      <c r="C523" s="440"/>
      <c r="D523" s="318"/>
      <c r="E523" s="448"/>
      <c r="F523" s="448"/>
    </row>
    <row r="524" spans="2:6" x14ac:dyDescent="0.2">
      <c r="B524" s="185"/>
      <c r="C524" s="442" t="s">
        <v>680</v>
      </c>
      <c r="D524" s="318"/>
      <c r="E524" s="447">
        <v>-155576000</v>
      </c>
      <c r="F524" s="447">
        <v>-151027000</v>
      </c>
    </row>
    <row r="525" spans="2:6" x14ac:dyDescent="0.2">
      <c r="B525" s="185"/>
      <c r="C525" s="442" t="s">
        <v>2591</v>
      </c>
      <c r="D525" s="318"/>
      <c r="E525" s="447">
        <v>-6518000</v>
      </c>
      <c r="F525" s="447">
        <v>-4549000</v>
      </c>
    </row>
    <row r="526" spans="2:6" x14ac:dyDescent="0.2">
      <c r="B526" s="185"/>
      <c r="C526" s="442"/>
      <c r="D526" s="318"/>
      <c r="E526" s="448"/>
      <c r="F526" s="448"/>
    </row>
    <row r="527" spans="2:6" x14ac:dyDescent="0.2">
      <c r="B527" s="185"/>
      <c r="C527" s="440" t="s">
        <v>2592</v>
      </c>
      <c r="D527" s="318"/>
      <c r="E527" s="449">
        <f>E520</f>
        <v>162094000</v>
      </c>
      <c r="F527" s="449">
        <f>F520</f>
        <v>-155576000</v>
      </c>
    </row>
    <row r="528" spans="2:6" x14ac:dyDescent="0.2">
      <c r="B528" s="185"/>
      <c r="C528" s="440"/>
      <c r="D528" s="318"/>
      <c r="E528" s="318"/>
      <c r="F528" s="318"/>
    </row>
    <row r="529" spans="2:6" x14ac:dyDescent="0.2">
      <c r="B529" s="185"/>
      <c r="C529" s="440"/>
      <c r="D529" s="318"/>
      <c r="E529" s="318"/>
      <c r="F529" s="318"/>
    </row>
    <row r="530" spans="2:6" x14ac:dyDescent="0.2">
      <c r="B530" s="185"/>
      <c r="C530" s="440" t="s">
        <v>2593</v>
      </c>
      <c r="D530" s="318"/>
      <c r="E530" s="318"/>
      <c r="F530" s="318"/>
    </row>
    <row r="531" spans="2:6" x14ac:dyDescent="0.2">
      <c r="B531" s="185"/>
      <c r="C531" s="440"/>
      <c r="D531" s="318"/>
      <c r="E531" s="318"/>
      <c r="F531" s="318"/>
    </row>
    <row r="532" spans="2:6" ht="51" x14ac:dyDescent="0.2">
      <c r="B532" s="185"/>
      <c r="C532" s="443" t="s">
        <v>3971</v>
      </c>
      <c r="D532" s="318"/>
      <c r="E532" s="318"/>
      <c r="F532" s="318"/>
    </row>
    <row r="533" spans="2:6" x14ac:dyDescent="0.2">
      <c r="B533" s="185"/>
      <c r="C533" s="442"/>
      <c r="D533" s="318"/>
      <c r="E533" s="318"/>
      <c r="F533" s="318"/>
    </row>
    <row r="534" spans="2:6" x14ac:dyDescent="0.2">
      <c r="B534" s="185"/>
      <c r="C534" s="442" t="s">
        <v>3972</v>
      </c>
      <c r="D534" s="318"/>
      <c r="E534" s="318"/>
      <c r="F534" s="318"/>
    </row>
    <row r="535" spans="2:6" x14ac:dyDescent="0.2">
      <c r="B535" s="185"/>
      <c r="C535" s="442"/>
      <c r="D535" s="318"/>
      <c r="E535" s="318"/>
      <c r="F535" s="318"/>
    </row>
    <row r="536" spans="2:6" x14ac:dyDescent="0.2">
      <c r="B536" s="185"/>
      <c r="C536" s="442" t="s">
        <v>2594</v>
      </c>
      <c r="D536" s="318"/>
      <c r="E536" s="1033" t="str">
        <f>E159</f>
        <v>Yield Curve</v>
      </c>
      <c r="F536" s="1033" t="str">
        <f>F159</f>
        <v>Yield Curve</v>
      </c>
    </row>
    <row r="537" spans="2:6" x14ac:dyDescent="0.2">
      <c r="B537" s="185"/>
      <c r="C537" s="442" t="s">
        <v>3641</v>
      </c>
      <c r="D537" s="318"/>
      <c r="E537" s="1033" t="str">
        <f>E161</f>
        <v>CPI +1%</v>
      </c>
      <c r="F537" s="1033" t="str">
        <f>F161</f>
        <v>CPI +1%</v>
      </c>
    </row>
    <row r="538" spans="2:6" x14ac:dyDescent="0.2">
      <c r="B538" s="185"/>
      <c r="C538" s="442" t="s">
        <v>2595</v>
      </c>
      <c r="D538" s="318"/>
      <c r="E538" s="1038" t="str">
        <f>E162</f>
        <v>Yield Curve</v>
      </c>
      <c r="F538" s="1038" t="str">
        <f>F162</f>
        <v>Yield Curve</v>
      </c>
    </row>
    <row r="539" spans="2:6" x14ac:dyDescent="0.2">
      <c r="B539" s="185"/>
      <c r="C539" s="442"/>
      <c r="D539" s="318"/>
      <c r="E539" s="318"/>
      <c r="F539" s="318"/>
    </row>
    <row r="540" spans="2:6" ht="25.5" x14ac:dyDescent="0.2">
      <c r="B540" s="185"/>
      <c r="C540" s="443" t="s">
        <v>3031</v>
      </c>
      <c r="D540" s="318"/>
      <c r="E540" s="318"/>
      <c r="F540" s="318"/>
    </row>
    <row r="541" spans="2:6" x14ac:dyDescent="0.2">
      <c r="B541" s="185"/>
      <c r="C541" s="442"/>
      <c r="D541" s="318"/>
      <c r="E541" s="318"/>
      <c r="F541" s="318"/>
    </row>
    <row r="542" spans="2:6" x14ac:dyDescent="0.2">
      <c r="B542" s="185"/>
      <c r="C542" s="440" t="s">
        <v>2596</v>
      </c>
      <c r="D542" s="318"/>
      <c r="E542" s="318"/>
      <c r="F542" s="318"/>
    </row>
    <row r="543" spans="2:6" x14ac:dyDescent="0.2">
      <c r="B543" s="185"/>
      <c r="C543" s="440"/>
      <c r="D543" s="318"/>
      <c r="E543" s="318"/>
      <c r="F543" s="318"/>
    </row>
    <row r="544" spans="2:6" ht="25.5" x14ac:dyDescent="0.2">
      <c r="B544" s="185"/>
      <c r="C544" s="443" t="s">
        <v>2597</v>
      </c>
      <c r="D544" s="318"/>
      <c r="E544" s="318"/>
      <c r="F544" s="318"/>
    </row>
    <row r="545" spans="2:11" x14ac:dyDescent="0.2">
      <c r="B545" s="185"/>
      <c r="C545" s="442"/>
      <c r="D545" s="318"/>
      <c r="E545" s="318"/>
      <c r="F545" s="318"/>
    </row>
    <row r="546" spans="2:11" x14ac:dyDescent="0.2">
      <c r="B546" s="185"/>
      <c r="C546" s="440" t="s">
        <v>2598</v>
      </c>
      <c r="D546" s="318"/>
      <c r="E546" s="318"/>
      <c r="F546" s="318"/>
    </row>
    <row r="547" spans="2:11" x14ac:dyDescent="0.2">
      <c r="B547" s="185"/>
      <c r="C547" s="440"/>
      <c r="D547" s="318"/>
      <c r="E547" s="318"/>
      <c r="F547" s="318"/>
      <c r="K547" s="462"/>
    </row>
    <row r="548" spans="2:11" x14ac:dyDescent="0.2">
      <c r="B548" s="185"/>
      <c r="C548" s="450" t="s">
        <v>2599</v>
      </c>
      <c r="D548" s="318"/>
      <c r="E548" s="462">
        <v>162094000</v>
      </c>
      <c r="F548" s="462">
        <v>155576000</v>
      </c>
      <c r="K548" s="462"/>
    </row>
    <row r="549" spans="2:11" x14ac:dyDescent="0.2">
      <c r="B549" s="185"/>
      <c r="C549" s="451">
        <v>-0.01</v>
      </c>
      <c r="D549" s="318"/>
      <c r="E549" s="462">
        <v>160473000</v>
      </c>
      <c r="F549" s="462">
        <v>142855000</v>
      </c>
      <c r="K549" s="462"/>
    </row>
    <row r="550" spans="2:11" x14ac:dyDescent="0.2">
      <c r="B550" s="185"/>
      <c r="C550" s="451">
        <v>0.01</v>
      </c>
      <c r="D550" s="452" t="s">
        <v>296</v>
      </c>
      <c r="E550" s="445">
        <v>163715000</v>
      </c>
      <c r="F550" s="445">
        <v>169509000</v>
      </c>
    </row>
    <row r="551" spans="2:11" ht="13.5" thickBot="1" x14ac:dyDescent="0.25">
      <c r="B551" s="185"/>
      <c r="C551" s="318" t="s">
        <v>296</v>
      </c>
      <c r="D551" s="318"/>
      <c r="E551" s="446">
        <f>SUM(E548:E550)</f>
        <v>486282000</v>
      </c>
      <c r="F551" s="446">
        <f>SUM(F548:F550)</f>
        <v>467940000</v>
      </c>
    </row>
    <row r="552" spans="2:11" ht="13.5" thickTop="1" x14ac:dyDescent="0.2">
      <c r="B552" s="185"/>
      <c r="C552" s="440"/>
      <c r="D552" s="318"/>
      <c r="E552" s="318"/>
      <c r="F552" s="318"/>
    </row>
    <row r="553" spans="2:11" ht="25.5" x14ac:dyDescent="0.2">
      <c r="B553" s="185"/>
      <c r="C553" s="443" t="s">
        <v>2600</v>
      </c>
      <c r="D553" s="318"/>
      <c r="E553" s="318"/>
      <c r="F553" s="318"/>
    </row>
    <row r="554" spans="2:11" x14ac:dyDescent="0.2">
      <c r="B554" s="185"/>
      <c r="C554" s="318"/>
      <c r="D554" s="318"/>
      <c r="E554" s="1241">
        <v>2016</v>
      </c>
      <c r="F554" s="1241">
        <v>2015</v>
      </c>
    </row>
    <row r="555" spans="2:11" x14ac:dyDescent="0.2">
      <c r="B555" s="185"/>
      <c r="C555" s="450" t="s">
        <v>2601</v>
      </c>
      <c r="D555" s="318"/>
      <c r="E555" s="463">
        <v>12080851.310000001</v>
      </c>
      <c r="F555" s="463">
        <v>10265105.029999999</v>
      </c>
    </row>
    <row r="556" spans="2:11" x14ac:dyDescent="0.2">
      <c r="B556" s="185"/>
      <c r="C556" s="450" t="s">
        <v>2602</v>
      </c>
      <c r="D556" s="318"/>
      <c r="E556" s="463">
        <v>5630020.5800000001</v>
      </c>
      <c r="F556" s="463">
        <v>4947481.83</v>
      </c>
    </row>
    <row r="557" spans="2:11" x14ac:dyDescent="0.2">
      <c r="B557" s="185"/>
      <c r="C557" s="450" t="s">
        <v>2603</v>
      </c>
      <c r="D557" s="318"/>
      <c r="E557" s="463">
        <v>8266806.4800000004</v>
      </c>
      <c r="F557" s="463">
        <v>8890886.3000000007</v>
      </c>
    </row>
    <row r="558" spans="2:11" x14ac:dyDescent="0.2">
      <c r="B558" s="185"/>
      <c r="C558" s="450" t="s">
        <v>2604</v>
      </c>
      <c r="D558" s="318"/>
      <c r="E558" s="463">
        <v>5790132.3399999999</v>
      </c>
      <c r="F558" s="463">
        <v>4001958</v>
      </c>
    </row>
    <row r="559" spans="2:11" x14ac:dyDescent="0.2">
      <c r="B559" s="185"/>
      <c r="C559" s="450" t="s">
        <v>2605</v>
      </c>
      <c r="D559" s="318"/>
      <c r="E559" s="463">
        <v>6932081.1200000001</v>
      </c>
      <c r="F559" s="463">
        <v>4918277.97</v>
      </c>
    </row>
    <row r="560" spans="2:11" x14ac:dyDescent="0.2">
      <c r="B560" s="185"/>
      <c r="C560" s="489" t="s">
        <v>2986</v>
      </c>
      <c r="D560" s="318"/>
      <c r="E560" s="463">
        <v>14504</v>
      </c>
      <c r="F560" s="463">
        <v>19943</v>
      </c>
    </row>
    <row r="561" spans="1:6" x14ac:dyDescent="0.2">
      <c r="B561" s="185"/>
      <c r="C561" s="489" t="s">
        <v>2989</v>
      </c>
      <c r="D561" s="318"/>
      <c r="E561" s="463">
        <v>638835</v>
      </c>
      <c r="F561" s="463">
        <v>640785</v>
      </c>
    </row>
    <row r="562" spans="1:6" ht="13.5" thickBot="1" x14ac:dyDescent="0.25">
      <c r="B562" s="185"/>
      <c r="C562" s="440" t="s">
        <v>374</v>
      </c>
      <c r="E562" s="464">
        <f>SUM(E555:E561)</f>
        <v>39353230.829999998</v>
      </c>
      <c r="F562" s="464">
        <f>SUM(F555:F561)</f>
        <v>33684437.129999995</v>
      </c>
    </row>
    <row r="563" spans="1:6" ht="13.5" thickTop="1" x14ac:dyDescent="0.2"/>
    <row r="564" spans="1:6" ht="15" x14ac:dyDescent="0.25">
      <c r="A564" s="260">
        <v>45</v>
      </c>
      <c r="C564" s="1642" t="s">
        <v>4216</v>
      </c>
    </row>
    <row r="566" spans="1:6" x14ac:dyDescent="0.2">
      <c r="C566" s="260" t="s">
        <v>4217</v>
      </c>
    </row>
    <row r="568" spans="1:6" ht="63.75" x14ac:dyDescent="0.2">
      <c r="C568" s="267" t="s">
        <v>4227</v>
      </c>
    </row>
    <row r="570" spans="1:6" x14ac:dyDescent="0.2">
      <c r="C570" s="260" t="s">
        <v>3077</v>
      </c>
    </row>
    <row r="572" spans="1:6" ht="63.75" x14ac:dyDescent="0.2">
      <c r="C572" s="267" t="s">
        <v>4218</v>
      </c>
    </row>
    <row r="574" spans="1:6" x14ac:dyDescent="0.2">
      <c r="A574" s="260">
        <v>46</v>
      </c>
      <c r="C574" s="260" t="s">
        <v>1518</v>
      </c>
    </row>
    <row r="576" spans="1:6" x14ac:dyDescent="0.2">
      <c r="C576" s="267" t="s">
        <v>4126</v>
      </c>
    </row>
    <row r="577" spans="1:6" x14ac:dyDescent="0.2">
      <c r="C577" s="497"/>
    </row>
    <row r="578" spans="1:6" ht="25.5" x14ac:dyDescent="0.2">
      <c r="C578" s="267" t="s">
        <v>4202</v>
      </c>
      <c r="D578" s="258"/>
      <c r="E578" s="258"/>
      <c r="F578" s="258"/>
    </row>
    <row r="579" spans="1:6" x14ac:dyDescent="0.2">
      <c r="C579" s="497"/>
      <c r="D579" s="258"/>
      <c r="E579" s="258"/>
      <c r="F579" s="258"/>
    </row>
    <row r="580" spans="1:6" x14ac:dyDescent="0.2">
      <c r="C580" s="497"/>
      <c r="D580" s="258"/>
      <c r="E580" s="258"/>
      <c r="F580" s="258"/>
    </row>
    <row r="582" spans="1:6" x14ac:dyDescent="0.2">
      <c r="A582" s="260">
        <v>47</v>
      </c>
      <c r="C582" s="260" t="s">
        <v>2660</v>
      </c>
      <c r="D582" s="258"/>
      <c r="E582" s="258"/>
      <c r="F582" s="258"/>
    </row>
    <row r="584" spans="1:6" x14ac:dyDescent="0.2">
      <c r="C584" s="318" t="s">
        <v>1706</v>
      </c>
      <c r="D584" s="258"/>
      <c r="E584" s="258"/>
      <c r="F584" s="258"/>
    </row>
    <row r="585" spans="1:6" x14ac:dyDescent="0.2">
      <c r="C585" s="318" t="s">
        <v>3329</v>
      </c>
      <c r="D585" s="258"/>
      <c r="E585" s="258"/>
      <c r="F585" s="258"/>
    </row>
    <row r="586" spans="1:6" x14ac:dyDescent="0.2">
      <c r="C586" s="318" t="s">
        <v>3486</v>
      </c>
      <c r="D586" s="258"/>
      <c r="E586" s="258"/>
      <c r="F586" s="258"/>
    </row>
    <row r="587" spans="1:6" x14ac:dyDescent="0.2">
      <c r="C587" s="318" t="s">
        <v>1707</v>
      </c>
      <c r="D587" s="258"/>
      <c r="E587" s="258"/>
      <c r="F587" s="258"/>
    </row>
    <row r="588" spans="1:6" x14ac:dyDescent="0.2">
      <c r="C588" s="318" t="s">
        <v>1708</v>
      </c>
      <c r="D588" s="258"/>
      <c r="E588" s="258"/>
      <c r="F588" s="258"/>
    </row>
    <row r="589" spans="1:6" ht="14.25" x14ac:dyDescent="0.2">
      <c r="C589" s="456"/>
      <c r="D589" s="258"/>
      <c r="E589" s="258"/>
      <c r="F589" s="258"/>
    </row>
    <row r="590" spans="1:6" x14ac:dyDescent="0.2">
      <c r="C590" s="1032" t="s">
        <v>3732</v>
      </c>
      <c r="D590" s="258"/>
      <c r="E590" s="258"/>
      <c r="F590" s="258"/>
    </row>
    <row r="591" spans="1:6" x14ac:dyDescent="0.2">
      <c r="B591" s="185"/>
      <c r="C591" s="309" t="s">
        <v>3731</v>
      </c>
      <c r="D591" s="258"/>
      <c r="E591" s="258"/>
      <c r="F591" s="258"/>
    </row>
    <row r="592" spans="1:6" x14ac:dyDescent="0.2">
      <c r="C592" s="1523" t="s">
        <v>3729</v>
      </c>
      <c r="D592" s="258"/>
      <c r="E592" s="258"/>
      <c r="F592" s="258"/>
    </row>
    <row r="593" spans="3:6" x14ac:dyDescent="0.2">
      <c r="C593" s="1524" t="s">
        <v>3730</v>
      </c>
      <c r="D593" s="258"/>
      <c r="E593" s="258"/>
      <c r="F593" s="258"/>
    </row>
  </sheetData>
  <mergeCells count="9">
    <mergeCell ref="E65:E66"/>
    <mergeCell ref="E402:F402"/>
    <mergeCell ref="E406:F406"/>
    <mergeCell ref="C436:E438"/>
    <mergeCell ref="E401:F401"/>
    <mergeCell ref="E405:F405"/>
    <mergeCell ref="F65:F66"/>
    <mergeCell ref="E410:F410"/>
    <mergeCell ref="E414:F414"/>
  </mergeCells>
  <phoneticPr fontId="15" type="noConversion"/>
  <pageMargins left="0.70866141732283472" right="0.70866141732283472" top="0.74803149606299213" bottom="0.74803149606299213" header="0.31496062992125984" footer="0.31496062992125984"/>
  <pageSetup paperSize="9" scale="52" firstPageNumber="55" fitToHeight="0" orientation="portrait" useFirstPageNumber="1" r:id="rId1"/>
  <headerFooter differentFirst="1" alignWithMargins="0">
    <oddHeader xml:space="preserve">&amp;C&amp;"-,Bold"POLOKWANE MUNICIPALITY
NOTES TO THE FINANCIAL STATEMENTS ENDED 30 JUNE 2015
</oddHeader>
    <oddFooter>&amp;C&amp;P</oddFooter>
    <firstHeader xml:space="preserve">&amp;C&amp;"-,Bold"POLOKWANE MUNICIPALITY
NOTES TO THE FINANCIAL STATEMENTS ENDED 30 JUNE 2016
</firstHeader>
    <firstFooter>&amp;C&amp;P</firstFooter>
  </headerFooter>
  <rowBreaks count="6" manualBreakCount="6">
    <brk id="125" max="5" man="1"/>
    <brk id="231" max="5" man="1"/>
    <brk id="310" max="5" man="1"/>
    <brk id="397" max="5" man="1"/>
    <brk id="474" max="5" man="1"/>
    <brk id="573"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5"/>
  <sheetViews>
    <sheetView showGridLines="0" workbookViewId="0">
      <selection activeCell="G39" sqref="G39"/>
    </sheetView>
  </sheetViews>
  <sheetFormatPr defaultRowHeight="12.75" x14ac:dyDescent="0.2"/>
  <cols>
    <col min="1" max="1" width="1.42578125" style="5" customWidth="1"/>
    <col min="2" max="2" width="23.28515625" style="5" customWidth="1"/>
    <col min="3" max="3" width="11.140625" style="11" bestFit="1" customWidth="1"/>
    <col min="4" max="4" width="12.7109375" style="5" customWidth="1"/>
    <col min="5" max="5" width="21" style="13" customWidth="1"/>
    <col min="6" max="6" width="14.5703125" style="13" hidden="1" customWidth="1"/>
    <col min="7" max="7" width="19.85546875" style="13" customWidth="1"/>
    <col min="8" max="8" width="18.140625" style="13" customWidth="1"/>
    <col min="9" max="9" width="17" style="13" customWidth="1"/>
    <col min="10" max="10" width="7.140625" style="5" customWidth="1"/>
    <col min="11" max="16384" width="9.140625" style="5"/>
  </cols>
  <sheetData>
    <row r="1" spans="1:10" x14ac:dyDescent="0.2">
      <c r="B1" s="1850" t="s">
        <v>19</v>
      </c>
      <c r="C1" s="1850"/>
      <c r="D1" s="1850"/>
      <c r="E1" s="1850"/>
      <c r="F1" s="1850"/>
      <c r="G1" s="1850"/>
      <c r="H1" s="1850"/>
      <c r="I1" s="1850"/>
      <c r="J1" s="1850"/>
    </row>
    <row r="2" spans="1:10" x14ac:dyDescent="0.2">
      <c r="B2" s="1851" t="s">
        <v>3902</v>
      </c>
      <c r="C2" s="1850"/>
      <c r="D2" s="1850"/>
      <c r="E2" s="1850"/>
      <c r="F2" s="1850"/>
      <c r="G2" s="1850"/>
      <c r="H2" s="1850"/>
      <c r="I2" s="1850"/>
      <c r="J2" s="1850"/>
    </row>
    <row r="3" spans="1:10" ht="13.5" thickBot="1" x14ac:dyDescent="0.25"/>
    <row r="4" spans="1:10" ht="38.25" x14ac:dyDescent="0.2">
      <c r="A4" s="647"/>
      <c r="B4" s="648" t="s">
        <v>21</v>
      </c>
      <c r="C4" s="649" t="s">
        <v>22</v>
      </c>
      <c r="D4" s="648" t="s">
        <v>23</v>
      </c>
      <c r="E4" s="650" t="s">
        <v>3913</v>
      </c>
      <c r="F4" s="650" t="s">
        <v>24</v>
      </c>
      <c r="G4" s="650" t="s">
        <v>25</v>
      </c>
      <c r="H4" s="650" t="s">
        <v>20</v>
      </c>
      <c r="I4" s="650" t="s">
        <v>3914</v>
      </c>
      <c r="J4" s="651"/>
    </row>
    <row r="5" spans="1:10" s="3" customFormat="1" ht="12.75" customHeight="1" x14ac:dyDescent="0.2">
      <c r="A5" s="652"/>
      <c r="B5" s="15"/>
      <c r="C5" s="17"/>
      <c r="D5" s="15"/>
      <c r="E5" s="18" t="s">
        <v>59</v>
      </c>
      <c r="F5" s="18" t="s">
        <v>59</v>
      </c>
      <c r="G5" s="18" t="s">
        <v>59</v>
      </c>
      <c r="H5" s="18" t="s">
        <v>59</v>
      </c>
      <c r="I5" s="18" t="s">
        <v>59</v>
      </c>
      <c r="J5" s="653"/>
    </row>
    <row r="6" spans="1:10" s="3" customFormat="1" x14ac:dyDescent="0.2">
      <c r="A6" s="652"/>
      <c r="B6" s="14"/>
      <c r="C6" s="19"/>
      <c r="D6" s="14"/>
      <c r="E6" s="16"/>
      <c r="F6" s="16"/>
      <c r="G6" s="20"/>
      <c r="H6" s="16"/>
      <c r="I6" s="16"/>
      <c r="J6" s="654"/>
    </row>
    <row r="7" spans="1:10" s="3" customFormat="1" ht="12.75" customHeight="1" x14ac:dyDescent="0.2">
      <c r="A7" s="652"/>
      <c r="B7" s="17" t="s">
        <v>50</v>
      </c>
      <c r="C7" s="19"/>
      <c r="D7" s="14"/>
      <c r="E7" s="16"/>
      <c r="F7" s="16"/>
      <c r="G7" s="20"/>
      <c r="H7" s="569"/>
      <c r="I7" s="16"/>
      <c r="J7" s="654"/>
    </row>
    <row r="8" spans="1:10" s="3" customFormat="1" hidden="1" x14ac:dyDescent="0.2">
      <c r="A8" s="652"/>
      <c r="B8" s="188" t="s">
        <v>51</v>
      </c>
      <c r="C8" s="188">
        <v>510</v>
      </c>
      <c r="D8" s="209" t="s">
        <v>531</v>
      </c>
      <c r="E8" s="189">
        <v>0</v>
      </c>
      <c r="F8" s="190"/>
      <c r="G8" s="191"/>
      <c r="H8" s="566"/>
      <c r="I8" s="190">
        <f t="shared" ref="I8:I21" si="0">+E8-H8</f>
        <v>0</v>
      </c>
      <c r="J8" s="654"/>
    </row>
    <row r="9" spans="1:10" s="3" customFormat="1" hidden="1" x14ac:dyDescent="0.2">
      <c r="A9" s="652"/>
      <c r="B9" s="188" t="s">
        <v>51</v>
      </c>
      <c r="C9" s="188">
        <v>511</v>
      </c>
      <c r="D9" s="209" t="s">
        <v>531</v>
      </c>
      <c r="E9" s="189">
        <v>0</v>
      </c>
      <c r="F9" s="190"/>
      <c r="G9" s="191"/>
      <c r="H9" s="566"/>
      <c r="I9" s="190">
        <f t="shared" si="0"/>
        <v>0</v>
      </c>
      <c r="J9" s="654"/>
    </row>
    <row r="10" spans="1:10" s="3" customFormat="1" hidden="1" x14ac:dyDescent="0.2">
      <c r="A10" s="652"/>
      <c r="B10" s="188" t="s">
        <v>51</v>
      </c>
      <c r="C10" s="188">
        <v>512</v>
      </c>
      <c r="D10" s="209" t="s">
        <v>531</v>
      </c>
      <c r="E10" s="189">
        <v>0</v>
      </c>
      <c r="F10" s="190"/>
      <c r="G10" s="191"/>
      <c r="H10" s="566"/>
      <c r="I10" s="190">
        <f t="shared" si="0"/>
        <v>0</v>
      </c>
      <c r="J10" s="654"/>
    </row>
    <row r="11" spans="1:10" s="3" customFormat="1" hidden="1" x14ac:dyDescent="0.2">
      <c r="A11" s="652"/>
      <c r="B11" s="188" t="s">
        <v>51</v>
      </c>
      <c r="C11" s="188">
        <v>514</v>
      </c>
      <c r="D11" s="209" t="s">
        <v>532</v>
      </c>
      <c r="E11" s="189">
        <v>0</v>
      </c>
      <c r="F11" s="190"/>
      <c r="G11" s="191"/>
      <c r="H11" s="566">
        <v>0</v>
      </c>
      <c r="I11" s="190">
        <f t="shared" si="0"/>
        <v>0</v>
      </c>
      <c r="J11" s="654"/>
    </row>
    <row r="12" spans="1:10" s="3" customFormat="1" hidden="1" x14ac:dyDescent="0.2">
      <c r="A12" s="652"/>
      <c r="B12" s="188" t="s">
        <v>51</v>
      </c>
      <c r="C12" s="188">
        <v>515</v>
      </c>
      <c r="D12" s="209" t="s">
        <v>532</v>
      </c>
      <c r="E12" s="189">
        <v>0</v>
      </c>
      <c r="F12" s="190"/>
      <c r="G12" s="191"/>
      <c r="H12" s="566">
        <v>0</v>
      </c>
      <c r="I12" s="190">
        <f t="shared" si="0"/>
        <v>0</v>
      </c>
      <c r="J12" s="654"/>
    </row>
    <row r="13" spans="1:10" s="3" customFormat="1" hidden="1" x14ac:dyDescent="0.2">
      <c r="A13" s="652"/>
      <c r="B13" s="188" t="s">
        <v>51</v>
      </c>
      <c r="C13" s="188">
        <v>516</v>
      </c>
      <c r="D13" s="209" t="s">
        <v>532</v>
      </c>
      <c r="E13" s="189">
        <v>0</v>
      </c>
      <c r="F13" s="190"/>
      <c r="G13" s="191"/>
      <c r="H13" s="566">
        <v>0</v>
      </c>
      <c r="I13" s="190">
        <f t="shared" si="0"/>
        <v>0</v>
      </c>
      <c r="J13" s="654"/>
    </row>
    <row r="14" spans="1:10" s="3" customFormat="1" hidden="1" x14ac:dyDescent="0.2">
      <c r="A14" s="652"/>
      <c r="B14" s="188" t="s">
        <v>51</v>
      </c>
      <c r="C14" s="188">
        <v>517</v>
      </c>
      <c r="D14" s="209" t="s">
        <v>532</v>
      </c>
      <c r="E14" s="189">
        <v>0</v>
      </c>
      <c r="F14" s="190"/>
      <c r="G14" s="191"/>
      <c r="H14" s="566">
        <v>0</v>
      </c>
      <c r="I14" s="190">
        <f t="shared" si="0"/>
        <v>0</v>
      </c>
      <c r="J14" s="654"/>
    </row>
    <row r="15" spans="1:10" s="3" customFormat="1" hidden="1" x14ac:dyDescent="0.2">
      <c r="A15" s="652"/>
      <c r="B15" s="188" t="s">
        <v>51</v>
      </c>
      <c r="C15" s="188">
        <v>523</v>
      </c>
      <c r="D15" s="209" t="s">
        <v>532</v>
      </c>
      <c r="E15" s="189">
        <v>0</v>
      </c>
      <c r="F15" s="190"/>
      <c r="G15" s="191"/>
      <c r="H15" s="566"/>
      <c r="I15" s="190">
        <f>+E15-H15</f>
        <v>0</v>
      </c>
      <c r="J15" s="654"/>
    </row>
    <row r="16" spans="1:10" s="3" customFormat="1" x14ac:dyDescent="0.2">
      <c r="A16" s="652"/>
      <c r="B16" s="188" t="s">
        <v>51</v>
      </c>
      <c r="C16" s="188">
        <v>518</v>
      </c>
      <c r="D16" s="209" t="s">
        <v>533</v>
      </c>
      <c r="E16" s="189">
        <v>7798.98</v>
      </c>
      <c r="F16" s="190"/>
      <c r="G16" s="191"/>
      <c r="H16" s="566">
        <v>7798.98</v>
      </c>
      <c r="I16" s="190">
        <f t="shared" si="0"/>
        <v>0</v>
      </c>
      <c r="J16" s="654"/>
    </row>
    <row r="17" spans="1:10" s="3" customFormat="1" hidden="1" x14ac:dyDescent="0.2">
      <c r="A17" s="652"/>
      <c r="B17" s="188" t="s">
        <v>51</v>
      </c>
      <c r="C17" s="188">
        <v>519</v>
      </c>
      <c r="D17" s="209" t="s">
        <v>533</v>
      </c>
      <c r="E17" s="189">
        <v>0</v>
      </c>
      <c r="F17" s="190"/>
      <c r="G17" s="191"/>
      <c r="H17" s="566">
        <v>0</v>
      </c>
      <c r="I17" s="190">
        <f t="shared" si="0"/>
        <v>0</v>
      </c>
      <c r="J17" s="654"/>
    </row>
    <row r="18" spans="1:10" s="3" customFormat="1" x14ac:dyDescent="0.2">
      <c r="A18" s="652"/>
      <c r="B18" s="188" t="s">
        <v>51</v>
      </c>
      <c r="C18" s="188">
        <v>520</v>
      </c>
      <c r="D18" s="209" t="s">
        <v>533</v>
      </c>
      <c r="E18" s="189">
        <v>40000</v>
      </c>
      <c r="F18" s="190"/>
      <c r="G18" s="191"/>
      <c r="H18" s="566">
        <v>40000</v>
      </c>
      <c r="I18" s="190">
        <f t="shared" si="0"/>
        <v>0</v>
      </c>
      <c r="J18" s="654"/>
    </row>
    <row r="19" spans="1:10" s="3" customFormat="1" x14ac:dyDescent="0.2">
      <c r="A19" s="652"/>
      <c r="B19" s="188" t="s">
        <v>51</v>
      </c>
      <c r="C19" s="188">
        <v>522</v>
      </c>
      <c r="D19" s="209" t="s">
        <v>533</v>
      </c>
      <c r="E19" s="189">
        <v>6828.91</v>
      </c>
      <c r="F19" s="190"/>
      <c r="G19" s="191"/>
      <c r="H19" s="566">
        <v>6828.91</v>
      </c>
      <c r="I19" s="190">
        <f t="shared" si="0"/>
        <v>0</v>
      </c>
      <c r="J19" s="654"/>
    </row>
    <row r="20" spans="1:10" s="3" customFormat="1" x14ac:dyDescent="0.2">
      <c r="A20" s="652"/>
      <c r="B20" s="188" t="s">
        <v>51</v>
      </c>
      <c r="C20" s="188">
        <v>524</v>
      </c>
      <c r="D20" s="209" t="s">
        <v>533</v>
      </c>
      <c r="E20" s="189">
        <v>90000</v>
      </c>
      <c r="F20" s="190"/>
      <c r="G20" s="191"/>
      <c r="H20" s="566">
        <v>90000</v>
      </c>
      <c r="I20" s="190">
        <f t="shared" si="0"/>
        <v>0</v>
      </c>
      <c r="J20" s="654"/>
    </row>
    <row r="21" spans="1:10" s="3" customFormat="1" x14ac:dyDescent="0.2">
      <c r="A21" s="652"/>
      <c r="B21" s="188" t="s">
        <v>51</v>
      </c>
      <c r="C21" s="188">
        <v>527</v>
      </c>
      <c r="D21" s="210" t="s">
        <v>533</v>
      </c>
      <c r="E21" s="192">
        <v>20000</v>
      </c>
      <c r="F21" s="193"/>
      <c r="G21" s="194"/>
      <c r="H21" s="935">
        <v>20000</v>
      </c>
      <c r="I21" s="193">
        <f t="shared" si="0"/>
        <v>0</v>
      </c>
      <c r="J21" s="654"/>
    </row>
    <row r="22" spans="1:10" s="3" customFormat="1" ht="12.75" customHeight="1" x14ac:dyDescent="0.2">
      <c r="A22" s="652"/>
      <c r="B22" s="188"/>
      <c r="C22" s="188"/>
      <c r="D22" s="188"/>
      <c r="E22" s="195">
        <f>SUM(E8:E21)</f>
        <v>164627.89000000001</v>
      </c>
      <c r="F22" s="196"/>
      <c r="G22" s="199">
        <f>SUM(G8:G21)</f>
        <v>0</v>
      </c>
      <c r="H22" s="199">
        <f>SUM(H8:H21)</f>
        <v>164627.89000000001</v>
      </c>
      <c r="I22" s="195">
        <f>SUM(I8:I21)</f>
        <v>0</v>
      </c>
      <c r="J22" s="654"/>
    </row>
    <row r="23" spans="1:10" s="3" customFormat="1" ht="12.75" customHeight="1" x14ac:dyDescent="0.2">
      <c r="A23" s="652"/>
      <c r="B23" s="73" t="s">
        <v>52</v>
      </c>
      <c r="C23" s="73"/>
      <c r="D23" s="73"/>
      <c r="E23" s="74"/>
      <c r="F23" s="75"/>
      <c r="G23" s="568"/>
      <c r="H23" s="568"/>
      <c r="I23" s="122"/>
      <c r="J23" s="654"/>
    </row>
    <row r="24" spans="1:10" s="3" customFormat="1" ht="12.75" customHeight="1" x14ac:dyDescent="0.2">
      <c r="A24" s="652"/>
      <c r="B24" s="188" t="s">
        <v>4248</v>
      </c>
      <c r="C24" s="188">
        <v>61000907</v>
      </c>
      <c r="D24" s="209" t="s">
        <v>534</v>
      </c>
      <c r="E24" s="198">
        <v>31823617.199999999</v>
      </c>
      <c r="F24" s="190"/>
      <c r="G24" s="566">
        <v>0</v>
      </c>
      <c r="H24" s="566">
        <v>5019500.09</v>
      </c>
      <c r="I24" s="190">
        <f>+E24+G24-H24</f>
        <v>26804117.109999999</v>
      </c>
      <c r="J24" s="654"/>
    </row>
    <row r="25" spans="1:10" s="3" customFormat="1" ht="12.75" customHeight="1" x14ac:dyDescent="0.2">
      <c r="A25" s="652"/>
      <c r="B25" s="188" t="s">
        <v>4247</v>
      </c>
      <c r="C25" s="188">
        <v>61006782</v>
      </c>
      <c r="D25" s="210" t="s">
        <v>218</v>
      </c>
      <c r="E25" s="198">
        <v>193300129.59999999</v>
      </c>
      <c r="F25" s="190"/>
      <c r="G25" s="566">
        <v>0</v>
      </c>
      <c r="H25" s="566">
        <v>32216688.280000001</v>
      </c>
      <c r="I25" s="190">
        <f>+E25+G25-H25</f>
        <v>161083441.31999999</v>
      </c>
      <c r="J25" s="654"/>
    </row>
    <row r="26" spans="1:10" s="3" customFormat="1" ht="12.75" customHeight="1" x14ac:dyDescent="0.2">
      <c r="A26" s="652"/>
      <c r="B26" s="188" t="s">
        <v>4246</v>
      </c>
      <c r="C26" s="188">
        <v>61007274</v>
      </c>
      <c r="D26" s="210" t="s">
        <v>3915</v>
      </c>
      <c r="E26" s="198">
        <v>0</v>
      </c>
      <c r="F26" s="190"/>
      <c r="G26" s="566">
        <v>42800000</v>
      </c>
      <c r="H26" s="566"/>
      <c r="I26" s="190">
        <f>+E26+G26-H26</f>
        <v>42800000</v>
      </c>
      <c r="J26" s="654"/>
    </row>
    <row r="27" spans="1:10" s="3" customFormat="1" ht="12.75" customHeight="1" x14ac:dyDescent="0.2">
      <c r="A27" s="652"/>
      <c r="B27" s="188"/>
      <c r="C27" s="188"/>
      <c r="D27" s="188"/>
      <c r="E27" s="224">
        <f>SUM(E24:E26)</f>
        <v>225123746.79999998</v>
      </c>
      <c r="F27" s="224">
        <f>SUM(F24:F26)</f>
        <v>0</v>
      </c>
      <c r="G27" s="567">
        <f>SUM(G24:G26)</f>
        <v>42800000</v>
      </c>
      <c r="H27" s="567">
        <f>SUM(H24:H26)</f>
        <v>37236188.370000005</v>
      </c>
      <c r="I27" s="224">
        <f>SUM(I24:I26)</f>
        <v>230687558.43000001</v>
      </c>
      <c r="J27" s="654"/>
    </row>
    <row r="28" spans="1:10" s="3" customFormat="1" x14ac:dyDescent="0.2">
      <c r="A28" s="652"/>
      <c r="B28" s="14"/>
      <c r="C28" s="14"/>
      <c r="D28" s="21"/>
      <c r="E28" s="16"/>
      <c r="F28" s="16"/>
      <c r="G28" s="569"/>
      <c r="H28" s="569"/>
      <c r="I28" s="16"/>
      <c r="J28" s="654"/>
    </row>
    <row r="29" spans="1:10" s="3" customFormat="1" ht="12.75" customHeight="1" thickBot="1" x14ac:dyDescent="0.25">
      <c r="A29" s="652"/>
      <c r="B29" s="1852" t="s">
        <v>287</v>
      </c>
      <c r="C29" s="1852"/>
      <c r="D29" s="15"/>
      <c r="E29" s="77">
        <f>+E22+E27</f>
        <v>225288374.68999997</v>
      </c>
      <c r="F29" s="76">
        <f>+F22+F27</f>
        <v>0</v>
      </c>
      <c r="G29" s="1347">
        <f>+G22+G27</f>
        <v>42800000</v>
      </c>
      <c r="H29" s="570">
        <f>+H22+H27</f>
        <v>37400816.260000005</v>
      </c>
      <c r="I29" s="77">
        <f>+I22+I27</f>
        <v>230687558.43000001</v>
      </c>
      <c r="J29" s="655"/>
    </row>
    <row r="30" spans="1:10" ht="14.25" thickTop="1" thickBot="1" x14ac:dyDescent="0.25">
      <c r="A30" s="656"/>
      <c r="B30" s="657"/>
      <c r="C30" s="657"/>
      <c r="D30" s="657"/>
      <c r="E30" s="658"/>
      <c r="F30" s="658"/>
      <c r="G30" s="658"/>
      <c r="H30" s="658"/>
      <c r="I30" s="659"/>
      <c r="J30" s="660"/>
    </row>
    <row r="33" spans="9:9" s="5" customFormat="1" x14ac:dyDescent="0.2">
      <c r="I33" s="12"/>
    </row>
    <row r="34" spans="9:9" s="5" customFormat="1" x14ac:dyDescent="0.2">
      <c r="I34" s="12"/>
    </row>
    <row r="35" spans="9:9" s="5" customFormat="1" x14ac:dyDescent="0.2">
      <c r="I35" s="12"/>
    </row>
  </sheetData>
  <mergeCells count="3">
    <mergeCell ref="B1:J1"/>
    <mergeCell ref="B2:J2"/>
    <mergeCell ref="B29:C29"/>
  </mergeCells>
  <phoneticPr fontId="0" type="noConversion"/>
  <pageMargins left="0.70866141732283472" right="0.70866141732283472" top="0.74803149606299213" bottom="0.74803149606299213" header="0.31496062992125984" footer="0.31496062992125984"/>
  <pageSetup paperSize="9" scale="85" firstPageNumber="61" orientation="landscape" useFirstPageNumber="1" horizontalDpi="300"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37"/>
  <sheetViews>
    <sheetView workbookViewId="0">
      <selection activeCell="C6" sqref="C6"/>
    </sheetView>
  </sheetViews>
  <sheetFormatPr defaultColWidth="9" defaultRowHeight="15" x14ac:dyDescent="0.25"/>
  <cols>
    <col min="1" max="1" width="28.42578125" customWidth="1"/>
    <col min="2" max="2" width="3.5703125" customWidth="1"/>
    <col min="3" max="3" width="65.5703125" customWidth="1"/>
    <col min="4" max="4" width="3.5703125" customWidth="1"/>
  </cols>
  <sheetData>
    <row r="1" spans="2:4" x14ac:dyDescent="0.25">
      <c r="B1" s="1251"/>
      <c r="C1" s="1252"/>
      <c r="D1" s="1253"/>
    </row>
    <row r="2" spans="2:4" x14ac:dyDescent="0.25">
      <c r="B2" s="1254"/>
      <c r="C2" s="68"/>
      <c r="D2" s="1255"/>
    </row>
    <row r="3" spans="2:4" x14ac:dyDescent="0.25">
      <c r="B3" s="1254"/>
      <c r="C3" s="68"/>
      <c r="D3" s="1255"/>
    </row>
    <row r="4" spans="2:4" ht="45" x14ac:dyDescent="0.6">
      <c r="B4" s="1254"/>
      <c r="C4" s="69" t="s">
        <v>190</v>
      </c>
      <c r="D4" s="1255"/>
    </row>
    <row r="5" spans="2:4" ht="6" customHeight="1" x14ac:dyDescent="0.25">
      <c r="B5" s="1254"/>
      <c r="C5" s="68"/>
      <c r="D5" s="1255"/>
    </row>
    <row r="6" spans="2:4" ht="46.5" x14ac:dyDescent="0.7">
      <c r="B6" s="1254"/>
      <c r="C6" s="70" t="s">
        <v>644</v>
      </c>
      <c r="D6" s="1255"/>
    </row>
    <row r="7" spans="2:4" x14ac:dyDescent="0.25">
      <c r="B7" s="1254"/>
      <c r="C7" s="68"/>
      <c r="D7" s="1255"/>
    </row>
    <row r="8" spans="2:4" x14ac:dyDescent="0.25">
      <c r="B8" s="1254"/>
      <c r="C8" s="68"/>
      <c r="D8" s="1255"/>
    </row>
    <row r="9" spans="2:4" x14ac:dyDescent="0.25">
      <c r="B9" s="1254"/>
      <c r="C9" s="68"/>
      <c r="D9" s="1255"/>
    </row>
    <row r="10" spans="2:4" x14ac:dyDescent="0.25">
      <c r="B10" s="1254"/>
      <c r="C10" s="68"/>
      <c r="D10" s="1255"/>
    </row>
    <row r="11" spans="2:4" x14ac:dyDescent="0.25">
      <c r="B11" s="1254"/>
      <c r="C11" s="68"/>
      <c r="D11" s="1255"/>
    </row>
    <row r="12" spans="2:4" x14ac:dyDescent="0.25">
      <c r="B12" s="1254"/>
      <c r="C12" s="68"/>
      <c r="D12" s="1255"/>
    </row>
    <row r="13" spans="2:4" x14ac:dyDescent="0.25">
      <c r="B13" s="1254"/>
      <c r="C13" s="68"/>
      <c r="D13" s="1255"/>
    </row>
    <row r="14" spans="2:4" x14ac:dyDescent="0.25">
      <c r="B14" s="1254"/>
      <c r="C14" s="68"/>
      <c r="D14" s="1255"/>
    </row>
    <row r="15" spans="2:4" x14ac:dyDescent="0.25">
      <c r="B15" s="1254"/>
      <c r="C15" s="68"/>
      <c r="D15" s="1255"/>
    </row>
    <row r="16" spans="2:4" x14ac:dyDescent="0.25">
      <c r="B16" s="1254"/>
      <c r="C16" s="68"/>
      <c r="D16" s="1255"/>
    </row>
    <row r="17" spans="2:4" x14ac:dyDescent="0.25">
      <c r="B17" s="1254"/>
      <c r="C17" s="68"/>
      <c r="D17" s="1255"/>
    </row>
    <row r="18" spans="2:4" x14ac:dyDescent="0.25">
      <c r="B18" s="1254"/>
      <c r="C18" s="68"/>
      <c r="D18" s="1255"/>
    </row>
    <row r="19" spans="2:4" x14ac:dyDescent="0.25">
      <c r="B19" s="1254"/>
      <c r="C19" s="68"/>
      <c r="D19" s="1255"/>
    </row>
    <row r="20" spans="2:4" x14ac:dyDescent="0.25">
      <c r="B20" s="1254"/>
      <c r="C20" s="68"/>
      <c r="D20" s="1255"/>
    </row>
    <row r="21" spans="2:4" x14ac:dyDescent="0.25">
      <c r="B21" s="1254"/>
      <c r="C21" s="68"/>
      <c r="D21" s="1255"/>
    </row>
    <row r="22" spans="2:4" x14ac:dyDescent="0.25">
      <c r="B22" s="1254"/>
      <c r="C22" s="68"/>
      <c r="D22" s="1255"/>
    </row>
    <row r="23" spans="2:4" x14ac:dyDescent="0.25">
      <c r="B23" s="1254"/>
      <c r="C23" s="68"/>
      <c r="D23" s="1255"/>
    </row>
    <row r="24" spans="2:4" x14ac:dyDescent="0.25">
      <c r="B24" s="1254"/>
      <c r="C24" s="68"/>
      <c r="D24" s="1255"/>
    </row>
    <row r="25" spans="2:4" x14ac:dyDescent="0.25">
      <c r="B25" s="1254"/>
      <c r="C25" s="68"/>
      <c r="D25" s="1255"/>
    </row>
    <row r="26" spans="2:4" x14ac:dyDescent="0.25">
      <c r="B26" s="1254"/>
      <c r="C26" s="68"/>
      <c r="D26" s="1255"/>
    </row>
    <row r="27" spans="2:4" x14ac:dyDescent="0.25">
      <c r="B27" s="1254"/>
      <c r="C27" s="68"/>
      <c r="D27" s="1255"/>
    </row>
    <row r="28" spans="2:4" x14ac:dyDescent="0.25">
      <c r="B28" s="1254"/>
      <c r="C28" s="68"/>
      <c r="D28" s="1255"/>
    </row>
    <row r="29" spans="2:4" ht="18" x14ac:dyDescent="0.25">
      <c r="B29" s="1254"/>
      <c r="C29" s="38"/>
      <c r="D29" s="1255"/>
    </row>
    <row r="30" spans="2:4" ht="18.75" thickBot="1" x14ac:dyDescent="0.3">
      <c r="B30" s="1254"/>
      <c r="C30" s="38"/>
      <c r="D30" s="1255"/>
    </row>
    <row r="31" spans="2:4" ht="141" customHeight="1" thickBot="1" x14ac:dyDescent="0.3">
      <c r="B31" s="1254"/>
      <c r="C31" s="126" t="s">
        <v>3898</v>
      </c>
      <c r="D31" s="1255"/>
    </row>
    <row r="32" spans="2:4" ht="30" customHeight="1" x14ac:dyDescent="0.35">
      <c r="B32" s="1254"/>
      <c r="C32" s="125"/>
      <c r="D32" s="1255"/>
    </row>
    <row r="33" spans="2:4" x14ac:dyDescent="0.25">
      <c r="B33" s="1254"/>
      <c r="C33" s="71"/>
      <c r="D33" s="1255"/>
    </row>
    <row r="34" spans="2:4" ht="15.75" thickBot="1" x14ac:dyDescent="0.3">
      <c r="B34" s="1256"/>
      <c r="C34" s="1257"/>
      <c r="D34" s="1258"/>
    </row>
    <row r="35" spans="2:4" x14ac:dyDescent="0.25">
      <c r="B35" s="68"/>
      <c r="C35" s="68"/>
      <c r="D35" s="68"/>
    </row>
    <row r="36" spans="2:4" x14ac:dyDescent="0.25">
      <c r="B36" s="68"/>
      <c r="C36" s="68"/>
      <c r="D36" s="68"/>
    </row>
    <row r="37" spans="2:4" x14ac:dyDescent="0.25">
      <c r="B37" s="68"/>
      <c r="C37" s="68"/>
      <c r="D37" s="68"/>
    </row>
  </sheetData>
  <phoneticPr fontId="15" type="noConversion"/>
  <pageMargins left="0.94488188976377963" right="0.74803149606299213" top="1.3779527559055118" bottom="0.98425196850393704" header="0.51181102362204722" footer="0.51181102362204722"/>
  <pageSetup paperSize="9" scale="6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Normal="100" workbookViewId="0">
      <selection activeCell="F36" sqref="F36"/>
    </sheetView>
  </sheetViews>
  <sheetFormatPr defaultRowHeight="12.75" x14ac:dyDescent="0.2"/>
  <cols>
    <col min="1" max="1" width="35.85546875" style="318" bestFit="1" customWidth="1"/>
    <col min="2" max="2" width="19.5703125" style="318" bestFit="1" customWidth="1"/>
    <col min="3" max="4" width="17.140625" style="318" bestFit="1" customWidth="1"/>
    <col min="5" max="5" width="11.85546875" style="318" bestFit="1" customWidth="1"/>
    <col min="6" max="6" width="11.85546875" style="318" customWidth="1"/>
    <col min="7" max="7" width="14.28515625" style="318" bestFit="1" customWidth="1"/>
    <col min="8" max="8" width="18.42578125" style="318" bestFit="1" customWidth="1"/>
    <col min="9" max="9" width="20.7109375" style="318" bestFit="1" customWidth="1"/>
    <col min="10" max="10" width="0.140625" style="232" customWidth="1"/>
    <col min="11" max="11" width="20.7109375" style="318" customWidth="1"/>
    <col min="12" max="12" width="19" style="318" bestFit="1" customWidth="1"/>
    <col min="13" max="13" width="16.7109375" style="318" bestFit="1" customWidth="1"/>
    <col min="14" max="14" width="20.85546875" style="318" bestFit="1" customWidth="1"/>
    <col min="15" max="15" width="1.140625" style="232" customWidth="1"/>
    <col min="16" max="16" width="14" style="318" bestFit="1" customWidth="1"/>
    <col min="17" max="17" width="15" style="318" bestFit="1" customWidth="1"/>
    <col min="18" max="18" width="17" style="318" bestFit="1" customWidth="1"/>
    <col min="19" max="19" width="1.140625" style="232" customWidth="1"/>
    <col min="20" max="20" width="19" style="318" bestFit="1" customWidth="1"/>
    <col min="21" max="21" width="1.140625" style="232" customWidth="1"/>
    <col min="22" max="22" width="20.7109375" style="318" bestFit="1" customWidth="1"/>
    <col min="23" max="23" width="16.5703125" style="318" bestFit="1" customWidth="1"/>
    <col min="24" max="16384" width="9.140625" style="318"/>
  </cols>
  <sheetData>
    <row r="1" spans="1:26" s="260" customFormat="1" x14ac:dyDescent="0.2">
      <c r="A1" s="357"/>
      <c r="B1" s="1853" t="s">
        <v>3390</v>
      </c>
      <c r="C1" s="1854"/>
      <c r="D1" s="1854"/>
      <c r="E1" s="1854"/>
      <c r="F1" s="1854"/>
      <c r="G1" s="1854"/>
      <c r="H1" s="1854"/>
      <c r="I1" s="1855"/>
      <c r="J1" s="1623"/>
      <c r="K1" s="1854" t="s">
        <v>365</v>
      </c>
      <c r="L1" s="1854"/>
      <c r="M1" s="1854"/>
      <c r="N1" s="1855"/>
      <c r="O1" s="1623"/>
      <c r="P1" s="1853" t="s">
        <v>3113</v>
      </c>
      <c r="Q1" s="1854"/>
      <c r="R1" s="1855"/>
      <c r="S1" s="1623"/>
      <c r="T1" s="1624" t="s">
        <v>2587</v>
      </c>
      <c r="U1" s="1623"/>
      <c r="V1" s="1625" t="s">
        <v>98</v>
      </c>
    </row>
    <row r="2" spans="1:26" s="265" customFormat="1" ht="25.5" x14ac:dyDescent="0.2">
      <c r="A2" s="1626"/>
      <c r="B2" s="257" t="s">
        <v>944</v>
      </c>
      <c r="C2" s="257" t="s">
        <v>3391</v>
      </c>
      <c r="D2" s="257" t="s">
        <v>3392</v>
      </c>
      <c r="E2" s="257" t="s">
        <v>1584</v>
      </c>
      <c r="F2" s="257" t="s">
        <v>3655</v>
      </c>
      <c r="G2" s="257" t="s">
        <v>3393</v>
      </c>
      <c r="H2" s="257" t="s">
        <v>1568</v>
      </c>
      <c r="I2" s="257" t="s">
        <v>3394</v>
      </c>
      <c r="J2" s="257"/>
      <c r="K2" s="257" t="s">
        <v>1017</v>
      </c>
      <c r="L2" s="257" t="s">
        <v>3395</v>
      </c>
      <c r="M2" s="257" t="s">
        <v>1568</v>
      </c>
      <c r="N2" s="257" t="s">
        <v>3394</v>
      </c>
      <c r="O2" s="257"/>
      <c r="P2" s="257" t="s">
        <v>1017</v>
      </c>
      <c r="Q2" s="257" t="s">
        <v>3396</v>
      </c>
      <c r="R2" s="257" t="s">
        <v>3394</v>
      </c>
      <c r="S2" s="257"/>
      <c r="T2" s="257" t="s">
        <v>2587</v>
      </c>
      <c r="U2" s="257"/>
      <c r="V2" s="1627" t="s">
        <v>3394</v>
      </c>
    </row>
    <row r="3" spans="1:26" s="260" customFormat="1" ht="12.75" customHeight="1" x14ac:dyDescent="0.2">
      <c r="A3" s="488" t="s">
        <v>3397</v>
      </c>
      <c r="B3" s="263">
        <f>SUM(B4:B6)</f>
        <v>3118925330.099997</v>
      </c>
      <c r="C3" s="263">
        <f t="shared" ref="C3:I3" si="0">SUM(C4:C6)</f>
        <v>48348632.37000002</v>
      </c>
      <c r="D3" s="263">
        <f t="shared" si="0"/>
        <v>3812586.36</v>
      </c>
      <c r="E3" s="263">
        <f t="shared" si="0"/>
        <v>0</v>
      </c>
      <c r="F3" s="263">
        <f t="shared" si="0"/>
        <v>0</v>
      </c>
      <c r="G3" s="263">
        <f t="shared" si="0"/>
        <v>0</v>
      </c>
      <c r="H3" s="263">
        <f t="shared" si="0"/>
        <v>0</v>
      </c>
      <c r="I3" s="263">
        <f t="shared" si="0"/>
        <v>3171086548.8299975</v>
      </c>
      <c r="J3" s="263"/>
      <c r="K3" s="263">
        <f t="shared" ref="K3:M3" si="1">SUM(K4:K6)</f>
        <v>-1566606245.8199997</v>
      </c>
      <c r="L3" s="263">
        <f>SUM(L4:L6)</f>
        <v>-91203059.190000176</v>
      </c>
      <c r="M3" s="263">
        <f t="shared" si="1"/>
        <v>0</v>
      </c>
      <c r="N3" s="263">
        <f>SUM(N4:N6)</f>
        <v>-1657809305.0099998</v>
      </c>
      <c r="O3" s="263"/>
      <c r="P3" s="263">
        <f t="shared" ref="P3:R3" si="2">SUM(P4:P6)</f>
        <v>-131284.81</v>
      </c>
      <c r="Q3" s="263">
        <f t="shared" si="2"/>
        <v>0</v>
      </c>
      <c r="R3" s="263">
        <f t="shared" si="2"/>
        <v>-131284.81</v>
      </c>
      <c r="S3" s="263"/>
      <c r="T3" s="263">
        <f>SUM(T4:T6)</f>
        <v>1513145959.0099974</v>
      </c>
      <c r="U3" s="263">
        <f t="shared" ref="U3" si="3">SUM(U4:U6)</f>
        <v>0</v>
      </c>
      <c r="V3" s="1628">
        <f>SUM(V4:V6)</f>
        <v>-701080754.13000107</v>
      </c>
      <c r="W3" s="1629"/>
      <c r="X3" s="1629"/>
      <c r="Z3" s="1629"/>
    </row>
    <row r="4" spans="1:26" s="185" customFormat="1" ht="12.75" customHeight="1" x14ac:dyDescent="0.2">
      <c r="A4" s="492" t="s">
        <v>3398</v>
      </c>
      <c r="B4" s="948">
        <v>682798082.57000005</v>
      </c>
      <c r="C4" s="948">
        <v>0</v>
      </c>
      <c r="D4" s="948">
        <v>3359603.29</v>
      </c>
      <c r="E4" s="948">
        <v>0</v>
      </c>
      <c r="F4" s="948">
        <v>0</v>
      </c>
      <c r="G4" s="948">
        <v>0</v>
      </c>
      <c r="H4" s="948">
        <v>0</v>
      </c>
      <c r="I4" s="948">
        <f>SUM(B4:H4)</f>
        <v>686157685.86000001</v>
      </c>
      <c r="J4" s="948"/>
      <c r="K4" s="948">
        <v>-350840718.86999989</v>
      </c>
      <c r="L4" s="948">
        <v>-22743660.389999963</v>
      </c>
      <c r="M4" s="948">
        <v>0</v>
      </c>
      <c r="N4" s="948">
        <f>SUM(K4:M4)</f>
        <v>-373584379.25999987</v>
      </c>
      <c r="O4" s="948"/>
      <c r="P4" s="948">
        <v>-131284.81</v>
      </c>
      <c r="Q4" s="948">
        <v>0</v>
      </c>
      <c r="R4" s="948">
        <f>+P4+Q4</f>
        <v>-131284.81</v>
      </c>
      <c r="S4" s="948"/>
      <c r="T4" s="948">
        <f>+I4+N4+R4</f>
        <v>312442021.79000014</v>
      </c>
      <c r="U4" s="948"/>
      <c r="V4" s="949">
        <v>-142012772.09000015</v>
      </c>
      <c r="W4" s="1629"/>
      <c r="X4" s="1629"/>
      <c r="Z4" s="1629"/>
    </row>
    <row r="5" spans="1:26" s="185" customFormat="1" ht="12.75" customHeight="1" x14ac:dyDescent="0.2">
      <c r="A5" s="492" t="s">
        <v>3399</v>
      </c>
      <c r="B5" s="948">
        <v>2384424644.5399971</v>
      </c>
      <c r="C5" s="948">
        <v>0</v>
      </c>
      <c r="D5" s="948">
        <v>452983.07</v>
      </c>
      <c r="E5" s="948">
        <v>0</v>
      </c>
      <c r="F5" s="948">
        <v>0</v>
      </c>
      <c r="G5" s="948">
        <v>0</v>
      </c>
      <c r="H5" s="948">
        <v>0</v>
      </c>
      <c r="I5" s="948">
        <f>SUM(B5:H5)</f>
        <v>2384877627.6099973</v>
      </c>
      <c r="J5" s="948"/>
      <c r="K5" s="948">
        <v>-1215765526.9499998</v>
      </c>
      <c r="L5" s="948">
        <v>-68459398.800000206</v>
      </c>
      <c r="M5" s="948">
        <v>0</v>
      </c>
      <c r="N5" s="948">
        <f>SUM(K5:M5)</f>
        <v>-1284224925.75</v>
      </c>
      <c r="O5" s="948"/>
      <c r="P5" s="948">
        <v>0</v>
      </c>
      <c r="Q5" s="948">
        <v>0</v>
      </c>
      <c r="R5" s="948">
        <f>+P5+Q5</f>
        <v>0</v>
      </c>
      <c r="S5" s="948"/>
      <c r="T5" s="948">
        <f>+I5+N5+R5</f>
        <v>1100652701.8599973</v>
      </c>
      <c r="U5" s="948"/>
      <c r="V5" s="949">
        <v>-559067982.04000092</v>
      </c>
      <c r="W5" s="1629"/>
      <c r="X5" s="1629"/>
      <c r="Z5" s="1629"/>
    </row>
    <row r="6" spans="1:26" s="185" customFormat="1" ht="12.75" customHeight="1" x14ac:dyDescent="0.2">
      <c r="A6" s="492" t="s">
        <v>3391</v>
      </c>
      <c r="B6" s="948">
        <v>51702602.989999995</v>
      </c>
      <c r="C6" s="948">
        <v>48348632.37000002</v>
      </c>
      <c r="D6" s="948">
        <v>0</v>
      </c>
      <c r="E6" s="948">
        <v>0</v>
      </c>
      <c r="F6" s="948">
        <v>0</v>
      </c>
      <c r="G6" s="948">
        <v>0</v>
      </c>
      <c r="H6" s="948">
        <v>0</v>
      </c>
      <c r="I6" s="948">
        <f t="shared" ref="I6" si="4">SUM(B6:H6)</f>
        <v>100051235.36000001</v>
      </c>
      <c r="J6" s="948"/>
      <c r="K6" s="948">
        <v>0</v>
      </c>
      <c r="L6" s="948">
        <v>0</v>
      </c>
      <c r="M6" s="948">
        <v>0</v>
      </c>
      <c r="N6" s="948">
        <v>0</v>
      </c>
      <c r="O6" s="948"/>
      <c r="P6" s="948">
        <v>0</v>
      </c>
      <c r="Q6" s="948">
        <v>0</v>
      </c>
      <c r="R6" s="948">
        <v>0</v>
      </c>
      <c r="S6" s="948"/>
      <c r="T6" s="948">
        <f>+I6</f>
        <v>100051235.36000001</v>
      </c>
      <c r="U6" s="948"/>
      <c r="V6" s="949">
        <v>0</v>
      </c>
      <c r="W6" s="1629"/>
      <c r="X6" s="1629"/>
      <c r="Z6" s="1629"/>
    </row>
    <row r="7" spans="1:26" s="260" customFormat="1" ht="12.75" customHeight="1" x14ac:dyDescent="0.2">
      <c r="A7" s="488" t="s">
        <v>3400</v>
      </c>
      <c r="B7" s="263">
        <f t="shared" ref="B7:V7" si="5">+B8+B15+B19</f>
        <v>14213194236.640892</v>
      </c>
      <c r="C7" s="263">
        <f t="shared" si="5"/>
        <v>-168921257.98097146</v>
      </c>
      <c r="D7" s="263">
        <f t="shared" si="5"/>
        <v>579347724.00000036</v>
      </c>
      <c r="E7" s="263">
        <f t="shared" si="5"/>
        <v>0</v>
      </c>
      <c r="F7" s="263">
        <f t="shared" si="5"/>
        <v>0</v>
      </c>
      <c r="G7" s="263">
        <f t="shared" si="5"/>
        <v>0</v>
      </c>
      <c r="H7" s="263">
        <f t="shared" si="5"/>
        <v>-86944186.720000029</v>
      </c>
      <c r="I7" s="263">
        <f t="shared" si="5"/>
        <v>14536676515.93992</v>
      </c>
      <c r="J7" s="263">
        <f t="shared" si="5"/>
        <v>0</v>
      </c>
      <c r="K7" s="263">
        <f t="shared" si="5"/>
        <v>-7418465115.6999493</v>
      </c>
      <c r="L7" s="263">
        <f t="shared" si="5"/>
        <v>-336357117.809995</v>
      </c>
      <c r="M7" s="263">
        <f>+M8+M15+M19</f>
        <v>37847035.350000031</v>
      </c>
      <c r="N7" s="263">
        <f t="shared" si="5"/>
        <v>-7716975198.1599436</v>
      </c>
      <c r="O7" s="263">
        <f t="shared" si="5"/>
        <v>0</v>
      </c>
      <c r="P7" s="263">
        <f t="shared" si="5"/>
        <v>-19021.050000000003</v>
      </c>
      <c r="Q7" s="263">
        <f t="shared" si="5"/>
        <v>0</v>
      </c>
      <c r="R7" s="263">
        <f t="shared" si="5"/>
        <v>-19021.050000000003</v>
      </c>
      <c r="S7" s="263">
        <f t="shared" si="5"/>
        <v>0</v>
      </c>
      <c r="T7" s="263">
        <f t="shared" si="5"/>
        <v>6819682296.7299757</v>
      </c>
      <c r="U7" s="263">
        <f t="shared" si="5"/>
        <v>0</v>
      </c>
      <c r="V7" s="1628">
        <f t="shared" si="5"/>
        <v>-2698499356.3499851</v>
      </c>
      <c r="W7" s="1629"/>
      <c r="X7" s="1629"/>
      <c r="Z7" s="1629"/>
    </row>
    <row r="8" spans="1:26" s="580" customFormat="1" ht="12.75" customHeight="1" x14ac:dyDescent="0.2">
      <c r="A8" s="1630" t="s">
        <v>3401</v>
      </c>
      <c r="B8" s="1631">
        <f t="shared" ref="B8:I8" si="6">SUM(B9:B14)</f>
        <v>13663817389.55089</v>
      </c>
      <c r="C8" s="1631">
        <f t="shared" si="6"/>
        <v>-184082750.91097146</v>
      </c>
      <c r="D8" s="1631">
        <f t="shared" si="6"/>
        <v>577275978.34000039</v>
      </c>
      <c r="E8" s="1631">
        <f t="shared" si="6"/>
        <v>0</v>
      </c>
      <c r="F8" s="1631">
        <f t="shared" si="6"/>
        <v>0</v>
      </c>
      <c r="G8" s="1631">
        <f t="shared" si="6"/>
        <v>0</v>
      </c>
      <c r="H8" s="1631">
        <f t="shared" si="6"/>
        <v>-86572404.14000003</v>
      </c>
      <c r="I8" s="1631">
        <f t="shared" si="6"/>
        <v>13970438212.839918</v>
      </c>
      <c r="J8" s="1631">
        <f t="shared" ref="J8:U8" si="7">SUM(J9:J14)</f>
        <v>0</v>
      </c>
      <c r="K8" s="1631">
        <f>SUM(K9:K14)</f>
        <v>-7090166316.6999493</v>
      </c>
      <c r="L8" s="1631">
        <f>SUM(L9:L14)</f>
        <v>-316394519.07999504</v>
      </c>
      <c r="M8" s="1631">
        <f>SUM(M9:M14)</f>
        <v>37586239.18000003</v>
      </c>
      <c r="N8" s="1631">
        <f>SUM(N9:N14)</f>
        <v>-7368974596.5999441</v>
      </c>
      <c r="O8" s="1631">
        <f t="shared" si="7"/>
        <v>0</v>
      </c>
      <c r="P8" s="1631">
        <f>SUM(P9:P14)</f>
        <v>-19021.050000000003</v>
      </c>
      <c r="Q8" s="1631">
        <f>SUM(Q9:Q14)</f>
        <v>0</v>
      </c>
      <c r="R8" s="1631">
        <f>SUM(R9:R14)</f>
        <v>-19021.050000000003</v>
      </c>
      <c r="S8" s="1631">
        <f>SUM(S9:S14)</f>
        <v>0</v>
      </c>
      <c r="T8" s="1631">
        <f>SUM(T9:T14)</f>
        <v>6601444595.1899738</v>
      </c>
      <c r="U8" s="1631">
        <f t="shared" si="7"/>
        <v>0</v>
      </c>
      <c r="V8" s="1632">
        <f>SUM(V9:V14)</f>
        <v>-2581925246.9699855</v>
      </c>
      <c r="W8" s="1629"/>
      <c r="X8" s="1629"/>
      <c r="Z8" s="1629"/>
    </row>
    <row r="9" spans="1:26" s="185" customFormat="1" ht="12.75" customHeight="1" x14ac:dyDescent="0.2">
      <c r="A9" s="492" t="s">
        <v>3402</v>
      </c>
      <c r="B9" s="948">
        <v>2830930432.089932</v>
      </c>
      <c r="C9" s="948">
        <v>0</v>
      </c>
      <c r="D9" s="948">
        <v>8340257.5900000017</v>
      </c>
      <c r="E9" s="948">
        <v>0</v>
      </c>
      <c r="F9" s="948">
        <v>0</v>
      </c>
      <c r="G9" s="948">
        <v>0</v>
      </c>
      <c r="H9" s="948">
        <v>-330177.58999999997</v>
      </c>
      <c r="I9" s="948">
        <f>SUM(B9:H9)</f>
        <v>2838940512.089932</v>
      </c>
      <c r="J9" s="948"/>
      <c r="K9" s="948">
        <v>-1766056925.4699588</v>
      </c>
      <c r="L9" s="948">
        <v>-62127088.189996406</v>
      </c>
      <c r="M9" s="948">
        <v>286173.96999999997</v>
      </c>
      <c r="N9" s="948">
        <f>SUM(K9:M9)</f>
        <v>-1827897839.6899552</v>
      </c>
      <c r="O9" s="948"/>
      <c r="P9" s="948">
        <v>0</v>
      </c>
      <c r="Q9" s="948">
        <v>0</v>
      </c>
      <c r="R9" s="948">
        <f>+P9+Q9</f>
        <v>0</v>
      </c>
      <c r="S9" s="948"/>
      <c r="T9" s="948">
        <f>+I9+N9+R9</f>
        <v>1011042672.3999767</v>
      </c>
      <c r="U9" s="948"/>
      <c r="V9" s="949">
        <v>-497072624.40998113</v>
      </c>
      <c r="W9" s="1629"/>
      <c r="X9" s="1629"/>
      <c r="Z9" s="1629"/>
    </row>
    <row r="10" spans="1:26" s="185" customFormat="1" ht="12.75" customHeight="1" x14ac:dyDescent="0.2">
      <c r="A10" s="492" t="s">
        <v>3403</v>
      </c>
      <c r="B10" s="948">
        <v>22867892.329999994</v>
      </c>
      <c r="C10" s="948">
        <v>0</v>
      </c>
      <c r="D10" s="948">
        <v>0</v>
      </c>
      <c r="E10" s="948">
        <v>0</v>
      </c>
      <c r="F10" s="948">
        <v>0</v>
      </c>
      <c r="G10" s="948">
        <v>0</v>
      </c>
      <c r="H10" s="948">
        <v>0</v>
      </c>
      <c r="I10" s="948">
        <f>SUM(B10:H10)</f>
        <v>22867892.329999994</v>
      </c>
      <c r="J10" s="948"/>
      <c r="K10" s="948">
        <v>-8688271.0700000003</v>
      </c>
      <c r="L10" s="948">
        <v>-1814326.1499999992</v>
      </c>
      <c r="M10" s="948">
        <v>0</v>
      </c>
      <c r="N10" s="948">
        <f t="shared" ref="N10:N13" si="8">SUM(K10:M10)</f>
        <v>-10502597.219999999</v>
      </c>
      <c r="O10" s="948"/>
      <c r="P10" s="948">
        <v>0</v>
      </c>
      <c r="Q10" s="948">
        <v>0</v>
      </c>
      <c r="R10" s="948">
        <f t="shared" ref="R10:R13" si="9">+P10+Q10</f>
        <v>0</v>
      </c>
      <c r="S10" s="948"/>
      <c r="T10" s="948">
        <f>+I10+N10+R10</f>
        <v>12365295.109999996</v>
      </c>
      <c r="U10" s="948"/>
      <c r="V10" s="949">
        <v>-3759625.6799999969</v>
      </c>
      <c r="W10" s="1629"/>
      <c r="X10" s="1629"/>
      <c r="Z10" s="1629"/>
    </row>
    <row r="11" spans="1:26" s="185" customFormat="1" ht="12.75" customHeight="1" x14ac:dyDescent="0.2">
      <c r="A11" s="492" t="s">
        <v>3404</v>
      </c>
      <c r="B11" s="948">
        <v>6241606705.6199875</v>
      </c>
      <c r="C11" s="948">
        <v>0</v>
      </c>
      <c r="D11" s="948">
        <v>420266894.20000023</v>
      </c>
      <c r="E11" s="948">
        <v>0</v>
      </c>
      <c r="F11" s="948">
        <v>0</v>
      </c>
      <c r="G11" s="948">
        <v>0</v>
      </c>
      <c r="H11" s="948">
        <v>-81791173.090000033</v>
      </c>
      <c r="I11" s="948">
        <f>SUM(B11:H11)</f>
        <v>6580082426.7299871</v>
      </c>
      <c r="J11" s="948"/>
      <c r="K11" s="948">
        <v>-3043851727.7999868</v>
      </c>
      <c r="L11" s="948">
        <v>-169894065.16999799</v>
      </c>
      <c r="M11" s="948">
        <v>34804969.18000003</v>
      </c>
      <c r="N11" s="948">
        <f t="shared" si="8"/>
        <v>-3178940823.7899852</v>
      </c>
      <c r="O11" s="948"/>
      <c r="P11" s="948">
        <v>0</v>
      </c>
      <c r="Q11" s="948">
        <v>0</v>
      </c>
      <c r="R11" s="948">
        <f t="shared" si="9"/>
        <v>0</v>
      </c>
      <c r="S11" s="948"/>
      <c r="T11" s="948">
        <f>+I11+N11+R11</f>
        <v>3401141602.940002</v>
      </c>
      <c r="U11" s="948"/>
      <c r="V11" s="949">
        <v>-1377392526.4200015</v>
      </c>
      <c r="W11" s="1629"/>
      <c r="X11" s="1629"/>
      <c r="Z11" s="1629"/>
    </row>
    <row r="12" spans="1:26" s="185" customFormat="1" ht="12.75" customHeight="1" x14ac:dyDescent="0.2">
      <c r="A12" s="492" t="s">
        <v>3405</v>
      </c>
      <c r="B12" s="948">
        <v>1063970320.48</v>
      </c>
      <c r="C12" s="948">
        <v>0</v>
      </c>
      <c r="D12" s="948">
        <v>2200276.63</v>
      </c>
      <c r="E12" s="948">
        <v>0</v>
      </c>
      <c r="F12" s="948">
        <v>0</v>
      </c>
      <c r="G12" s="948">
        <v>0</v>
      </c>
      <c r="H12" s="948">
        <v>0</v>
      </c>
      <c r="I12" s="948">
        <f>SUM(B12:H12)</f>
        <v>1066170597.11</v>
      </c>
      <c r="J12" s="948"/>
      <c r="K12" s="948">
        <v>-608407652.12999892</v>
      </c>
      <c r="L12" s="948">
        <v>-19209855.020000223</v>
      </c>
      <c r="M12" s="948">
        <v>0</v>
      </c>
      <c r="N12" s="948">
        <f t="shared" si="8"/>
        <v>-627617507.14999914</v>
      </c>
      <c r="O12" s="948"/>
      <c r="P12" s="948">
        <v>0</v>
      </c>
      <c r="Q12" s="948">
        <v>0</v>
      </c>
      <c r="R12" s="948">
        <f t="shared" si="9"/>
        <v>0</v>
      </c>
      <c r="S12" s="948"/>
      <c r="T12" s="948">
        <f>+I12+N12+R12</f>
        <v>438553089.96000087</v>
      </c>
      <c r="U12" s="948"/>
      <c r="V12" s="949">
        <v>-200779189.94999972</v>
      </c>
      <c r="W12" s="1629"/>
      <c r="X12" s="1629"/>
      <c r="Z12" s="1629"/>
    </row>
    <row r="13" spans="1:26" s="185" customFormat="1" ht="12.75" customHeight="1" x14ac:dyDescent="0.2">
      <c r="A13" s="492" t="s">
        <v>3406</v>
      </c>
      <c r="B13" s="948">
        <v>2999802075.7199988</v>
      </c>
      <c r="C13" s="948">
        <v>0</v>
      </c>
      <c r="D13" s="948">
        <v>146468549.92000014</v>
      </c>
      <c r="E13" s="948">
        <v>0</v>
      </c>
      <c r="F13" s="948">
        <v>0</v>
      </c>
      <c r="G13" s="948">
        <v>0</v>
      </c>
      <c r="H13" s="948">
        <v>-4451053.459999999</v>
      </c>
      <c r="I13" s="948">
        <f>SUM(B13:H13)</f>
        <v>3141819572.1799989</v>
      </c>
      <c r="J13" s="263"/>
      <c r="K13" s="948">
        <v>-1663161740.2300041</v>
      </c>
      <c r="L13" s="948">
        <v>-63349184.550000422</v>
      </c>
      <c r="M13" s="948">
        <v>2495096.0299999998</v>
      </c>
      <c r="N13" s="948">
        <f t="shared" si="8"/>
        <v>-1724015828.7500045</v>
      </c>
      <c r="O13" s="263"/>
      <c r="P13" s="948">
        <v>-19021.050000000003</v>
      </c>
      <c r="Q13" s="948">
        <v>0</v>
      </c>
      <c r="R13" s="948">
        <f t="shared" si="9"/>
        <v>-19021.050000000003</v>
      </c>
      <c r="S13" s="263"/>
      <c r="T13" s="948">
        <f>+I13+N13+R13</f>
        <v>1417784722.3799944</v>
      </c>
      <c r="U13" s="263"/>
      <c r="V13" s="949">
        <v>-502921280.51000315</v>
      </c>
      <c r="W13" s="1629"/>
      <c r="X13" s="1629"/>
      <c r="Z13" s="1629"/>
    </row>
    <row r="14" spans="1:26" s="185" customFormat="1" ht="12.75" customHeight="1" x14ac:dyDescent="0.2">
      <c r="A14" s="492" t="s">
        <v>3391</v>
      </c>
      <c r="B14" s="948">
        <v>504639963.31097144</v>
      </c>
      <c r="C14" s="948">
        <v>-184082750.91097146</v>
      </c>
      <c r="D14" s="948">
        <v>0</v>
      </c>
      <c r="E14" s="948">
        <v>0</v>
      </c>
      <c r="F14" s="948">
        <v>0</v>
      </c>
      <c r="G14" s="948">
        <v>0</v>
      </c>
      <c r="H14" s="948">
        <v>0</v>
      </c>
      <c r="I14" s="948">
        <f t="shared" ref="I14:I17" si="10">SUM(B14:H14)</f>
        <v>320557212.39999998</v>
      </c>
      <c r="J14" s="948"/>
      <c r="K14" s="948">
        <v>0</v>
      </c>
      <c r="L14" s="948">
        <v>0</v>
      </c>
      <c r="M14" s="948">
        <v>0</v>
      </c>
      <c r="N14" s="948">
        <v>0</v>
      </c>
      <c r="O14" s="948"/>
      <c r="P14" s="948">
        <v>0</v>
      </c>
      <c r="Q14" s="948">
        <v>0</v>
      </c>
      <c r="R14" s="948">
        <v>0</v>
      </c>
      <c r="S14" s="948"/>
      <c r="T14" s="948">
        <f>+I14</f>
        <v>320557212.39999998</v>
      </c>
      <c r="U14" s="948"/>
      <c r="V14" s="949">
        <v>0</v>
      </c>
      <c r="W14" s="1629"/>
      <c r="X14" s="1629"/>
      <c r="Z14" s="1629"/>
    </row>
    <row r="15" spans="1:26" s="580" customFormat="1" ht="12.75" customHeight="1" x14ac:dyDescent="0.2">
      <c r="A15" s="1630" t="s">
        <v>3407</v>
      </c>
      <c r="B15" s="1631">
        <f>SUM(B16:B18)</f>
        <v>548072079.48000157</v>
      </c>
      <c r="C15" s="1631">
        <f t="shared" ref="C15:U15" si="11">SUM(C16:C18)</f>
        <v>15161492.929999998</v>
      </c>
      <c r="D15" s="1631">
        <f t="shared" si="11"/>
        <v>2071745.66</v>
      </c>
      <c r="E15" s="1631">
        <f t="shared" si="11"/>
        <v>0</v>
      </c>
      <c r="F15" s="1631">
        <f t="shared" si="11"/>
        <v>0</v>
      </c>
      <c r="G15" s="1631">
        <f t="shared" si="11"/>
        <v>0</v>
      </c>
      <c r="H15" s="1631">
        <f t="shared" si="11"/>
        <v>-371782.58</v>
      </c>
      <c r="I15" s="1631">
        <f>SUM(I16:I18)</f>
        <v>564933535.49000156</v>
      </c>
      <c r="J15" s="1631">
        <f t="shared" si="11"/>
        <v>0</v>
      </c>
      <c r="K15" s="1631">
        <f>SUM(K16:K18)</f>
        <v>-328298798.99999976</v>
      </c>
      <c r="L15" s="1631">
        <f t="shared" si="11"/>
        <v>-19962598.729999948</v>
      </c>
      <c r="M15" s="1631">
        <f t="shared" si="11"/>
        <v>260796.16999999998</v>
      </c>
      <c r="N15" s="1631">
        <f t="shared" si="11"/>
        <v>-348000601.55999964</v>
      </c>
      <c r="O15" s="1631">
        <f t="shared" si="11"/>
        <v>0</v>
      </c>
      <c r="P15" s="1631">
        <f t="shared" si="11"/>
        <v>0</v>
      </c>
      <c r="Q15" s="1631">
        <f t="shared" si="11"/>
        <v>0</v>
      </c>
      <c r="R15" s="1631">
        <f t="shared" si="11"/>
        <v>0</v>
      </c>
      <c r="S15" s="1631">
        <f t="shared" si="11"/>
        <v>0</v>
      </c>
      <c r="T15" s="1631">
        <f>SUM(T16:T18)</f>
        <v>216932933.93000191</v>
      </c>
      <c r="U15" s="1631">
        <f t="shared" si="11"/>
        <v>0</v>
      </c>
      <c r="V15" s="1632">
        <f>SUM(V16:V18)</f>
        <v>-116049583.02999984</v>
      </c>
      <c r="W15" s="1629"/>
      <c r="X15" s="1629"/>
      <c r="Z15" s="1629"/>
    </row>
    <row r="16" spans="1:26" s="185" customFormat="1" ht="12.75" customHeight="1" x14ac:dyDescent="0.2">
      <c r="A16" s="492" t="s">
        <v>26</v>
      </c>
      <c r="B16" s="948">
        <v>26263205.030000005</v>
      </c>
      <c r="C16" s="948">
        <v>0</v>
      </c>
      <c r="D16" s="948">
        <v>0</v>
      </c>
      <c r="E16" s="948">
        <v>0</v>
      </c>
      <c r="F16" s="948">
        <v>0</v>
      </c>
      <c r="G16" s="948">
        <v>0</v>
      </c>
      <c r="H16" s="948">
        <v>0</v>
      </c>
      <c r="I16" s="948">
        <f t="shared" si="10"/>
        <v>26263205.030000005</v>
      </c>
      <c r="J16" s="948"/>
      <c r="K16" s="948">
        <v>-16902712.859999992</v>
      </c>
      <c r="L16" s="948">
        <v>-578297.29999999958</v>
      </c>
      <c r="M16" s="948">
        <v>0</v>
      </c>
      <c r="N16" s="948">
        <f t="shared" ref="N16:N17" si="12">SUM(K16:M16)</f>
        <v>-17481010.159999993</v>
      </c>
      <c r="O16" s="948"/>
      <c r="P16" s="948">
        <v>0</v>
      </c>
      <c r="Q16" s="948">
        <v>0</v>
      </c>
      <c r="R16" s="948">
        <v>0</v>
      </c>
      <c r="S16" s="948"/>
      <c r="T16" s="948">
        <f t="shared" ref="T16:T17" si="13">+I16+N16+R16</f>
        <v>8782194.8700000122</v>
      </c>
      <c r="U16" s="948"/>
      <c r="V16" s="949">
        <v>-4555725.5799999945</v>
      </c>
      <c r="W16" s="1629"/>
      <c r="X16" s="1629"/>
      <c r="Z16" s="1629"/>
    </row>
    <row r="17" spans="1:26" s="185" customFormat="1" ht="12.75" customHeight="1" x14ac:dyDescent="0.2">
      <c r="A17" s="492" t="s">
        <v>3408</v>
      </c>
      <c r="B17" s="948">
        <v>511214380.58000153</v>
      </c>
      <c r="C17" s="948">
        <v>0</v>
      </c>
      <c r="D17" s="948">
        <v>2071745.66</v>
      </c>
      <c r="E17" s="948">
        <v>0</v>
      </c>
      <c r="F17" s="948">
        <v>0</v>
      </c>
      <c r="G17" s="948">
        <v>0</v>
      </c>
      <c r="H17" s="948">
        <v>-371782.58</v>
      </c>
      <c r="I17" s="948">
        <f t="shared" si="10"/>
        <v>512914343.66000158</v>
      </c>
      <c r="J17" s="948"/>
      <c r="K17" s="948">
        <v>-311396086.13999975</v>
      </c>
      <c r="L17" s="948">
        <v>-19384301.429999948</v>
      </c>
      <c r="M17" s="948">
        <v>260796.16999999998</v>
      </c>
      <c r="N17" s="948">
        <f t="shared" si="12"/>
        <v>-330519591.39999968</v>
      </c>
      <c r="O17" s="948"/>
      <c r="P17" s="948">
        <v>0</v>
      </c>
      <c r="Q17" s="948">
        <v>0</v>
      </c>
      <c r="R17" s="948">
        <v>0</v>
      </c>
      <c r="S17" s="948"/>
      <c r="T17" s="948">
        <f t="shared" si="13"/>
        <v>182394752.2600019</v>
      </c>
      <c r="U17" s="948"/>
      <c r="V17" s="949">
        <v>-111493857.44999984</v>
      </c>
      <c r="W17" s="1629"/>
      <c r="X17" s="1629"/>
      <c r="Z17" s="1629"/>
    </row>
    <row r="18" spans="1:26" s="185" customFormat="1" ht="12.75" customHeight="1" x14ac:dyDescent="0.2">
      <c r="A18" s="492" t="s">
        <v>3391</v>
      </c>
      <c r="B18" s="948">
        <v>10594493.869999999</v>
      </c>
      <c r="C18" s="948">
        <v>15161492.929999998</v>
      </c>
      <c r="D18" s="948">
        <v>0</v>
      </c>
      <c r="E18" s="948">
        <v>0</v>
      </c>
      <c r="F18" s="948">
        <v>0</v>
      </c>
      <c r="G18" s="948">
        <v>0</v>
      </c>
      <c r="H18" s="948">
        <v>0</v>
      </c>
      <c r="I18" s="948">
        <f>SUM(B18:H18)</f>
        <v>25755986.799999997</v>
      </c>
      <c r="J18" s="948"/>
      <c r="K18" s="948">
        <v>0</v>
      </c>
      <c r="L18" s="948">
        <v>0</v>
      </c>
      <c r="M18" s="948">
        <v>0</v>
      </c>
      <c r="N18" s="948">
        <v>0</v>
      </c>
      <c r="O18" s="948"/>
      <c r="P18" s="948">
        <v>0</v>
      </c>
      <c r="Q18" s="948">
        <v>0</v>
      </c>
      <c r="R18" s="948">
        <v>0</v>
      </c>
      <c r="S18" s="948"/>
      <c r="T18" s="948">
        <f>+I18</f>
        <v>25755986.799999997</v>
      </c>
      <c r="U18" s="948"/>
      <c r="V18" s="949">
        <v>0</v>
      </c>
      <c r="W18" s="1629"/>
      <c r="X18" s="1629"/>
      <c r="Z18" s="1629"/>
    </row>
    <row r="19" spans="1:26" s="580" customFormat="1" ht="12.75" customHeight="1" x14ac:dyDescent="0.2">
      <c r="A19" s="1630" t="s">
        <v>3077</v>
      </c>
      <c r="B19" s="1631">
        <f>SUM(B20:B22)</f>
        <v>1304767.6100000006</v>
      </c>
      <c r="C19" s="1631">
        <f>SUM(C20:C22)</f>
        <v>0</v>
      </c>
      <c r="D19" s="1631">
        <f t="shared" ref="D19:H19" si="14">SUM(D20:D22)</f>
        <v>0</v>
      </c>
      <c r="E19" s="1631">
        <f t="shared" si="14"/>
        <v>0</v>
      </c>
      <c r="F19" s="1631">
        <f t="shared" si="14"/>
        <v>0</v>
      </c>
      <c r="G19" s="1631">
        <f t="shared" si="14"/>
        <v>0</v>
      </c>
      <c r="H19" s="1631">
        <f t="shared" si="14"/>
        <v>0</v>
      </c>
      <c r="I19" s="1631">
        <f>SUM(I20:I22)</f>
        <v>1304767.6100000006</v>
      </c>
      <c r="J19" s="1631">
        <f t="shared" ref="J19" si="15">SUM(J20:J20)</f>
        <v>0</v>
      </c>
      <c r="K19" s="1631">
        <f t="shared" ref="K19:N19" si="16">SUM(K20:K22)</f>
        <v>0</v>
      </c>
      <c r="L19" s="1631">
        <f t="shared" si="16"/>
        <v>0</v>
      </c>
      <c r="M19" s="1631">
        <f t="shared" si="16"/>
        <v>0</v>
      </c>
      <c r="N19" s="1631">
        <f t="shared" si="16"/>
        <v>0</v>
      </c>
      <c r="O19" s="1631"/>
      <c r="P19" s="1631">
        <f>SUM(P20:P22)</f>
        <v>0</v>
      </c>
      <c r="Q19" s="1631">
        <f>SUM(Q20:Q22)</f>
        <v>0</v>
      </c>
      <c r="R19" s="1631">
        <f t="shared" ref="R19:S19" si="17">SUM(R20:R22)</f>
        <v>0</v>
      </c>
      <c r="S19" s="1631">
        <f t="shared" si="17"/>
        <v>0</v>
      </c>
      <c r="T19" s="1631">
        <f>SUM(T20:T22)</f>
        <v>1304767.6100000006</v>
      </c>
      <c r="U19" s="1631"/>
      <c r="V19" s="1632">
        <f>SUM(V20:V22)</f>
        <v>-524526.35000000196</v>
      </c>
      <c r="W19" s="1629"/>
      <c r="X19" s="1629"/>
      <c r="Z19" s="1629"/>
    </row>
    <row r="20" spans="1:26" s="185" customFormat="1" ht="12.75" customHeight="1" x14ac:dyDescent="0.2">
      <c r="A20" s="492" t="s">
        <v>3402</v>
      </c>
      <c r="B20" s="948">
        <v>777325.06000000017</v>
      </c>
      <c r="C20" s="948">
        <v>0</v>
      </c>
      <c r="D20" s="948">
        <v>0</v>
      </c>
      <c r="E20" s="948">
        <v>0</v>
      </c>
      <c r="F20" s="948">
        <v>0</v>
      </c>
      <c r="G20" s="948">
        <v>0</v>
      </c>
      <c r="H20" s="948">
        <v>0</v>
      </c>
      <c r="I20" s="948">
        <v>777325.06000000017</v>
      </c>
      <c r="J20" s="948"/>
      <c r="K20" s="948">
        <v>0</v>
      </c>
      <c r="L20" s="948">
        <v>0</v>
      </c>
      <c r="M20" s="948">
        <v>0</v>
      </c>
      <c r="N20" s="948">
        <v>0</v>
      </c>
      <c r="O20" s="948"/>
      <c r="P20" s="948">
        <v>0</v>
      </c>
      <c r="Q20" s="948">
        <v>0</v>
      </c>
      <c r="R20" s="948">
        <v>0</v>
      </c>
      <c r="S20" s="948"/>
      <c r="T20" s="948">
        <v>777325.06000000017</v>
      </c>
      <c r="U20" s="948"/>
      <c r="V20" s="949">
        <v>-312490.13000000251</v>
      </c>
      <c r="W20" s="1629"/>
      <c r="X20" s="1629"/>
      <c r="Z20" s="1629"/>
    </row>
    <row r="21" spans="1:26" s="185" customFormat="1" ht="12.75" customHeight="1" x14ac:dyDescent="0.2">
      <c r="A21" s="492" t="s">
        <v>3405</v>
      </c>
      <c r="B21" s="948">
        <v>215879.21999999971</v>
      </c>
      <c r="C21" s="948">
        <v>0</v>
      </c>
      <c r="D21" s="948">
        <v>0</v>
      </c>
      <c r="E21" s="948">
        <v>0</v>
      </c>
      <c r="F21" s="948">
        <v>0</v>
      </c>
      <c r="G21" s="948">
        <v>0</v>
      </c>
      <c r="H21" s="948">
        <v>0</v>
      </c>
      <c r="I21" s="948">
        <v>215879.21999999971</v>
      </c>
      <c r="J21" s="948"/>
      <c r="K21" s="948">
        <v>0</v>
      </c>
      <c r="L21" s="948">
        <v>0</v>
      </c>
      <c r="M21" s="948">
        <v>0</v>
      </c>
      <c r="N21" s="948">
        <v>0</v>
      </c>
      <c r="O21" s="948"/>
      <c r="P21" s="948">
        <v>0</v>
      </c>
      <c r="Q21" s="948">
        <v>0</v>
      </c>
      <c r="R21" s="948">
        <v>0</v>
      </c>
      <c r="S21" s="948"/>
      <c r="T21" s="948">
        <v>215879.21999999971</v>
      </c>
      <c r="U21" s="948"/>
      <c r="V21" s="949">
        <v>-86785.28999999979</v>
      </c>
      <c r="W21" s="1629"/>
      <c r="X21" s="1629"/>
      <c r="Z21" s="1629"/>
    </row>
    <row r="22" spans="1:26" s="185" customFormat="1" ht="12.75" customHeight="1" x14ac:dyDescent="0.2">
      <c r="A22" s="492" t="s">
        <v>3406</v>
      </c>
      <c r="B22" s="948">
        <v>311563.33000000071</v>
      </c>
      <c r="C22" s="948">
        <v>0</v>
      </c>
      <c r="D22" s="948">
        <v>0</v>
      </c>
      <c r="E22" s="948">
        <v>0</v>
      </c>
      <c r="F22" s="948">
        <v>0</v>
      </c>
      <c r="G22" s="948">
        <v>0</v>
      </c>
      <c r="H22" s="948">
        <v>0</v>
      </c>
      <c r="I22" s="948">
        <v>311563.33000000071</v>
      </c>
      <c r="J22" s="948"/>
      <c r="K22" s="948">
        <v>0</v>
      </c>
      <c r="L22" s="948">
        <v>0</v>
      </c>
      <c r="M22" s="948">
        <v>0</v>
      </c>
      <c r="N22" s="948">
        <v>0</v>
      </c>
      <c r="O22" s="948"/>
      <c r="P22" s="948">
        <v>0</v>
      </c>
      <c r="Q22" s="948">
        <v>0</v>
      </c>
      <c r="R22" s="948">
        <v>0</v>
      </c>
      <c r="S22" s="948"/>
      <c r="T22" s="948">
        <v>311563.33000000071</v>
      </c>
      <c r="U22" s="948"/>
      <c r="V22" s="949">
        <v>-125250.92999999961</v>
      </c>
      <c r="W22" s="1629"/>
      <c r="X22" s="1629"/>
      <c r="Z22" s="1629"/>
    </row>
    <row r="23" spans="1:26" s="260" customFormat="1" ht="12.75" customHeight="1" x14ac:dyDescent="0.2">
      <c r="A23" s="488" t="s">
        <v>878</v>
      </c>
      <c r="B23" s="263">
        <f>+B24</f>
        <v>170912341.09999999</v>
      </c>
      <c r="C23" s="263">
        <v>0</v>
      </c>
      <c r="D23" s="263">
        <f>+D24</f>
        <v>67421000</v>
      </c>
      <c r="E23" s="263">
        <f>+E24</f>
        <v>-1000</v>
      </c>
      <c r="F23" s="263">
        <v>0</v>
      </c>
      <c r="G23" s="263">
        <f>+G24</f>
        <v>0</v>
      </c>
      <c r="H23" s="263">
        <v>0</v>
      </c>
      <c r="I23" s="263">
        <f>+I24</f>
        <v>238332341.09999999</v>
      </c>
      <c r="J23" s="263"/>
      <c r="K23" s="263">
        <v>0</v>
      </c>
      <c r="L23" s="263">
        <v>0</v>
      </c>
      <c r="M23" s="263">
        <v>0</v>
      </c>
      <c r="N23" s="948">
        <f>SUM(K23:M23)</f>
        <v>0</v>
      </c>
      <c r="O23" s="263"/>
      <c r="P23" s="263">
        <v>0</v>
      </c>
      <c r="Q23" s="263">
        <v>0</v>
      </c>
      <c r="R23" s="263">
        <v>0</v>
      </c>
      <c r="S23" s="263"/>
      <c r="T23" s="263">
        <f>T24</f>
        <v>238332341.09999999</v>
      </c>
      <c r="U23" s="263"/>
      <c r="V23" s="1628">
        <f>V24</f>
        <v>-8939085.7589926794</v>
      </c>
      <c r="W23" s="1629"/>
      <c r="X23" s="1629"/>
      <c r="Z23" s="1629"/>
    </row>
    <row r="24" spans="1:26" s="185" customFormat="1" ht="12.75" customHeight="1" x14ac:dyDescent="0.2">
      <c r="A24" s="492" t="s">
        <v>879</v>
      </c>
      <c r="B24" s="948">
        <v>170912341.09999999</v>
      </c>
      <c r="C24" s="948">
        <v>0</v>
      </c>
      <c r="D24" s="948">
        <v>67421000</v>
      </c>
      <c r="E24" s="948">
        <v>-1000</v>
      </c>
      <c r="F24" s="948">
        <v>0</v>
      </c>
      <c r="G24" s="948"/>
      <c r="H24" s="948">
        <v>0</v>
      </c>
      <c r="I24" s="948">
        <f>SUM(B24:H24)</f>
        <v>238332341.09999999</v>
      </c>
      <c r="J24" s="948"/>
      <c r="K24" s="948">
        <v>0</v>
      </c>
      <c r="L24" s="948">
        <v>0</v>
      </c>
      <c r="M24" s="948">
        <v>0</v>
      </c>
      <c r="N24" s="948">
        <v>0</v>
      </c>
      <c r="O24" s="948"/>
      <c r="P24" s="948">
        <v>0</v>
      </c>
      <c r="Q24" s="948">
        <v>0</v>
      </c>
      <c r="R24" s="948">
        <v>0</v>
      </c>
      <c r="S24" s="948"/>
      <c r="T24" s="948">
        <f>+I24+N24</f>
        <v>238332341.09999999</v>
      </c>
      <c r="U24" s="948"/>
      <c r="V24" s="949">
        <v>-8939085.7589926794</v>
      </c>
      <c r="W24" s="1629"/>
      <c r="X24" s="1629"/>
      <c r="Z24" s="1629"/>
    </row>
    <row r="25" spans="1:26" s="260" customFormat="1" ht="12.75" customHeight="1" x14ac:dyDescent="0.2">
      <c r="A25" s="488" t="s">
        <v>3409</v>
      </c>
      <c r="B25" s="263">
        <f>SUM(B26:B32)</f>
        <v>134667026.56410739</v>
      </c>
      <c r="C25" s="263">
        <f>SUM(C26:C32)</f>
        <v>0</v>
      </c>
      <c r="D25" s="263">
        <f>SUM(D26:D32)</f>
        <v>20352920.749999959</v>
      </c>
      <c r="E25" s="263">
        <f>SUM(E26:E32)</f>
        <v>0</v>
      </c>
      <c r="F25" s="263">
        <f>SUM(F26:F32)</f>
        <v>0</v>
      </c>
      <c r="G25" s="263">
        <f t="shared" ref="G25" si="18">SUM(G26:G32)</f>
        <v>0</v>
      </c>
      <c r="H25" s="263">
        <f>SUM(H26:H32)</f>
        <v>-4733958.1799999904</v>
      </c>
      <c r="I25" s="263">
        <f>SUM(I26:I32)</f>
        <v>150285989.13410735</v>
      </c>
      <c r="J25" s="263"/>
      <c r="K25" s="263">
        <f>SUM(K26:K32)</f>
        <v>-83647584.030221552</v>
      </c>
      <c r="L25" s="263">
        <f t="shared" ref="L25:M25" si="19">SUM(L26:L32)</f>
        <v>-20501017.848770745</v>
      </c>
      <c r="M25" s="263">
        <f t="shared" si="19"/>
        <v>4246778.3273843769</v>
      </c>
      <c r="N25" s="263">
        <f>SUM(N26:N32)</f>
        <v>-99901823.551607907</v>
      </c>
      <c r="O25" s="263">
        <v>0</v>
      </c>
      <c r="P25" s="263">
        <f t="shared" ref="P25:R25" si="20">SUM(P26:P32)</f>
        <v>0</v>
      </c>
      <c r="Q25" s="263">
        <f t="shared" si="20"/>
        <v>0</v>
      </c>
      <c r="R25" s="263">
        <f t="shared" si="20"/>
        <v>0</v>
      </c>
      <c r="S25" s="263"/>
      <c r="T25" s="263">
        <f>SUM(T26:T32)</f>
        <v>50384165.582499444</v>
      </c>
      <c r="U25" s="263"/>
      <c r="V25" s="1628">
        <f>SUM(V26:V32)</f>
        <v>0</v>
      </c>
      <c r="W25" s="1629"/>
      <c r="X25" s="1629"/>
      <c r="Z25" s="1629"/>
    </row>
    <row r="26" spans="1:26" s="185" customFormat="1" ht="12.75" customHeight="1" x14ac:dyDescent="0.2">
      <c r="A26" s="492" t="s">
        <v>323</v>
      </c>
      <c r="B26" s="948">
        <v>7661577.2929999791</v>
      </c>
      <c r="C26" s="948">
        <v>0</v>
      </c>
      <c r="D26" s="948">
        <v>764885.66000000015</v>
      </c>
      <c r="E26" s="948">
        <v>0</v>
      </c>
      <c r="F26" s="948"/>
      <c r="G26" s="948">
        <v>0</v>
      </c>
      <c r="H26" s="948">
        <v>0</v>
      </c>
      <c r="I26" s="948">
        <f t="shared" ref="I26:I31" si="21">SUM(B26:H26)</f>
        <v>8426462.9529999793</v>
      </c>
      <c r="J26" s="948"/>
      <c r="K26" s="948">
        <v>-4455893.4470981583</v>
      </c>
      <c r="L26" s="948">
        <v>-1137751.5321519386</v>
      </c>
      <c r="M26" s="948">
        <v>0</v>
      </c>
      <c r="N26" s="948">
        <f>SUM(K26:M26)</f>
        <v>-5593644.9792500967</v>
      </c>
      <c r="O26" s="948"/>
      <c r="P26" s="948">
        <v>0</v>
      </c>
      <c r="Q26" s="948">
        <v>0</v>
      </c>
      <c r="R26" s="948">
        <v>0</v>
      </c>
      <c r="S26" s="948"/>
      <c r="T26" s="948">
        <f>+I26+N26</f>
        <v>2832817.9737498825</v>
      </c>
      <c r="U26" s="948"/>
      <c r="V26" s="949">
        <v>0</v>
      </c>
      <c r="W26" s="1629"/>
      <c r="X26" s="1629"/>
      <c r="Z26" s="1629"/>
    </row>
    <row r="27" spans="1:26" s="185" customFormat="1" ht="12.75" customHeight="1" x14ac:dyDescent="0.2">
      <c r="A27" s="492" t="s">
        <v>3410</v>
      </c>
      <c r="B27" s="948">
        <v>26817601.474670071</v>
      </c>
      <c r="C27" s="948">
        <v>0</v>
      </c>
      <c r="D27" s="948">
        <v>4622664.9799999623</v>
      </c>
      <c r="E27" s="948">
        <v>0</v>
      </c>
      <c r="F27" s="948">
        <v>0</v>
      </c>
      <c r="G27" s="948">
        <v>0</v>
      </c>
      <c r="H27" s="948">
        <v>0</v>
      </c>
      <c r="I27" s="948">
        <f t="shared" si="21"/>
        <v>31440266.454670034</v>
      </c>
      <c r="J27" s="948"/>
      <c r="K27" s="948">
        <v>-17424059.836440198</v>
      </c>
      <c r="L27" s="948">
        <v>-3438494.446510728</v>
      </c>
      <c r="M27" s="948">
        <v>0</v>
      </c>
      <c r="N27" s="948">
        <f t="shared" ref="N27:N30" si="22">SUM(K27:M27)</f>
        <v>-20862554.282950927</v>
      </c>
      <c r="O27" s="948"/>
      <c r="P27" s="948">
        <v>0</v>
      </c>
      <c r="Q27" s="948">
        <v>0</v>
      </c>
      <c r="R27" s="948">
        <v>0</v>
      </c>
      <c r="S27" s="948"/>
      <c r="T27" s="948">
        <f t="shared" ref="T27:T30" si="23">+I27+N27</f>
        <v>10577712.171719108</v>
      </c>
      <c r="U27" s="948"/>
      <c r="V27" s="949">
        <v>0</v>
      </c>
      <c r="W27" s="1629"/>
      <c r="X27" s="1629"/>
      <c r="Z27" s="1629"/>
    </row>
    <row r="28" spans="1:26" s="185" customFormat="1" ht="12.75" customHeight="1" x14ac:dyDescent="0.2">
      <c r="A28" s="492" t="s">
        <v>3411</v>
      </c>
      <c r="B28" s="948">
        <v>5848369.7389999991</v>
      </c>
      <c r="C28" s="948">
        <v>0</v>
      </c>
      <c r="D28" s="948">
        <v>3812498.3599999971</v>
      </c>
      <c r="E28" s="948">
        <v>0</v>
      </c>
      <c r="F28" s="948">
        <v>0</v>
      </c>
      <c r="G28" s="948">
        <v>0</v>
      </c>
      <c r="H28" s="948">
        <v>0</v>
      </c>
      <c r="I28" s="948">
        <f t="shared" si="21"/>
        <v>9660868.0989999957</v>
      </c>
      <c r="J28" s="948"/>
      <c r="K28" s="948">
        <v>-2598007.8716820469</v>
      </c>
      <c r="L28" s="948">
        <v>-1277854.2981659735</v>
      </c>
      <c r="M28" s="948">
        <v>0</v>
      </c>
      <c r="N28" s="948">
        <f t="shared" si="22"/>
        <v>-3875862.1698480202</v>
      </c>
      <c r="O28" s="948"/>
      <c r="P28" s="948">
        <v>0</v>
      </c>
      <c r="Q28" s="948">
        <v>0</v>
      </c>
      <c r="R28" s="948">
        <v>0</v>
      </c>
      <c r="S28" s="948"/>
      <c r="T28" s="948">
        <f t="shared" si="23"/>
        <v>5785005.9291519755</v>
      </c>
      <c r="U28" s="948"/>
      <c r="V28" s="949">
        <v>0</v>
      </c>
      <c r="W28" s="1629"/>
      <c r="X28" s="1629"/>
      <c r="Z28" s="1629"/>
    </row>
    <row r="29" spans="1:26" s="185" customFormat="1" ht="12.75" customHeight="1" x14ac:dyDescent="0.2">
      <c r="A29" s="492" t="s">
        <v>4199</v>
      </c>
      <c r="B29" s="948">
        <v>0</v>
      </c>
      <c r="C29" s="948"/>
      <c r="D29" s="948">
        <v>4794609.540000001</v>
      </c>
      <c r="E29" s="948"/>
      <c r="F29" s="948"/>
      <c r="G29" s="948"/>
      <c r="H29" s="948">
        <v>0</v>
      </c>
      <c r="I29" s="948">
        <f t="shared" si="21"/>
        <v>4794609.540000001</v>
      </c>
      <c r="J29" s="948"/>
      <c r="K29" s="948">
        <v>0</v>
      </c>
      <c r="L29" s="948">
        <v>-453072.09309589042</v>
      </c>
      <c r="M29" s="948">
        <v>0</v>
      </c>
      <c r="N29" s="948">
        <f t="shared" si="22"/>
        <v>-453072.09309589042</v>
      </c>
      <c r="O29" s="948"/>
      <c r="P29" s="948">
        <v>0</v>
      </c>
      <c r="Q29" s="948">
        <v>0</v>
      </c>
      <c r="R29" s="948">
        <v>0</v>
      </c>
      <c r="S29" s="948"/>
      <c r="T29" s="948">
        <f t="shared" si="23"/>
        <v>4341537.4469041107</v>
      </c>
      <c r="U29" s="948"/>
      <c r="V29" s="949"/>
      <c r="W29" s="1629"/>
      <c r="X29" s="1629"/>
      <c r="Z29" s="1629"/>
    </row>
    <row r="30" spans="1:26" s="185" customFormat="1" ht="12.75" customHeight="1" x14ac:dyDescent="0.2">
      <c r="A30" s="492" t="s">
        <v>3412</v>
      </c>
      <c r="B30" s="948">
        <v>70541575.789999962</v>
      </c>
      <c r="C30" s="948">
        <v>0</v>
      </c>
      <c r="D30" s="948">
        <v>906156.84</v>
      </c>
      <c r="E30" s="948">
        <v>0</v>
      </c>
      <c r="F30" s="948">
        <v>0</v>
      </c>
      <c r="G30" s="948">
        <v>0</v>
      </c>
      <c r="H30" s="948">
        <v>-1791273.36</v>
      </c>
      <c r="I30" s="948">
        <f t="shared" si="21"/>
        <v>69656459.269999966</v>
      </c>
      <c r="J30" s="948"/>
      <c r="K30" s="948">
        <v>-37528129.810619764</v>
      </c>
      <c r="L30" s="948">
        <v>-11877556.197402565</v>
      </c>
      <c r="M30" s="948">
        <v>1501862.9776857337</v>
      </c>
      <c r="N30" s="948">
        <f t="shared" si="22"/>
        <v>-47903823.030336596</v>
      </c>
      <c r="O30" s="948"/>
      <c r="P30" s="948">
        <v>0</v>
      </c>
      <c r="Q30" s="948">
        <v>0</v>
      </c>
      <c r="R30" s="948">
        <v>0</v>
      </c>
      <c r="S30" s="948"/>
      <c r="T30" s="948">
        <f t="shared" si="23"/>
        <v>21752636.23966337</v>
      </c>
      <c r="U30" s="948"/>
      <c r="V30" s="949">
        <v>0</v>
      </c>
      <c r="W30" s="1629"/>
      <c r="X30" s="1629"/>
      <c r="Z30" s="1629"/>
    </row>
    <row r="31" spans="1:26" s="185" customFormat="1" ht="12.75" customHeight="1" x14ac:dyDescent="0.2">
      <c r="A31" s="492" t="s">
        <v>3413</v>
      </c>
      <c r="B31" s="948">
        <v>2942684.8199999891</v>
      </c>
      <c r="C31" s="948">
        <v>0</v>
      </c>
      <c r="D31" s="948">
        <v>5007280</v>
      </c>
      <c r="E31" s="948">
        <v>0</v>
      </c>
      <c r="F31" s="948">
        <v>0</v>
      </c>
      <c r="G31" s="948">
        <v>0</v>
      </c>
      <c r="H31" s="948">
        <v>-2942684.8199999901</v>
      </c>
      <c r="I31" s="948">
        <f t="shared" si="21"/>
        <v>5007279.9999999991</v>
      </c>
      <c r="J31" s="948"/>
      <c r="K31" s="948">
        <v>-1519468.5205479343</v>
      </c>
      <c r="L31" s="948">
        <v>-1952171.1825753241</v>
      </c>
      <c r="M31" s="948">
        <v>2744915.3496986427</v>
      </c>
      <c r="N31" s="948">
        <f>SUM(J31:M31)</f>
        <v>-726724.35342461569</v>
      </c>
      <c r="O31" s="948"/>
      <c r="P31" s="948">
        <v>0</v>
      </c>
      <c r="Q31" s="948">
        <v>0</v>
      </c>
      <c r="R31" s="948">
        <v>0</v>
      </c>
      <c r="S31" s="948"/>
      <c r="T31" s="948">
        <f>+I31+N31</f>
        <v>4280555.6465753838</v>
      </c>
      <c r="U31" s="948"/>
      <c r="V31" s="949">
        <v>0</v>
      </c>
      <c r="W31" s="1629"/>
      <c r="X31" s="1629"/>
      <c r="Z31" s="1629"/>
    </row>
    <row r="32" spans="1:26" s="185" customFormat="1" ht="12.75" customHeight="1" x14ac:dyDescent="0.2">
      <c r="A32" s="492" t="s">
        <v>3076</v>
      </c>
      <c r="B32" s="948">
        <v>20855217.447437376</v>
      </c>
      <c r="C32" s="948">
        <v>0</v>
      </c>
      <c r="D32" s="948">
        <v>444825.37</v>
      </c>
      <c r="E32" s="948">
        <v>0</v>
      </c>
      <c r="F32" s="948">
        <v>0</v>
      </c>
      <c r="G32" s="948">
        <v>0</v>
      </c>
      <c r="H32" s="948">
        <v>0</v>
      </c>
      <c r="I32" s="948">
        <f>+B32+D32</f>
        <v>21300042.817437377</v>
      </c>
      <c r="J32" s="948"/>
      <c r="K32" s="948">
        <v>-20122024.543833442</v>
      </c>
      <c r="L32" s="948">
        <v>-364118.09886832681</v>
      </c>
      <c r="M32" s="948">
        <v>0</v>
      </c>
      <c r="N32" s="948">
        <f>+K32+L32</f>
        <v>-20486142.642701767</v>
      </c>
      <c r="O32" s="948"/>
      <c r="P32" s="948">
        <v>0</v>
      </c>
      <c r="Q32" s="948">
        <v>0</v>
      </c>
      <c r="R32" s="948">
        <v>0</v>
      </c>
      <c r="S32" s="948"/>
      <c r="T32" s="948">
        <f>+I32+N32</f>
        <v>813900.17473560944</v>
      </c>
      <c r="U32" s="948"/>
      <c r="V32" s="949">
        <v>0</v>
      </c>
      <c r="W32" s="1629"/>
      <c r="X32" s="1629"/>
      <c r="Z32" s="1629"/>
    </row>
    <row r="33" spans="1:26" s="260" customFormat="1" ht="12.75" customHeight="1" x14ac:dyDescent="0.2">
      <c r="A33" s="488" t="s">
        <v>326</v>
      </c>
      <c r="B33" s="263">
        <f>+B34</f>
        <v>14277750.039999999</v>
      </c>
      <c r="C33" s="263">
        <v>0</v>
      </c>
      <c r="D33" s="263">
        <f>+D34</f>
        <v>0</v>
      </c>
      <c r="E33" s="263">
        <v>0</v>
      </c>
      <c r="F33" s="263">
        <f>+F34</f>
        <v>-6190029.3399999999</v>
      </c>
      <c r="G33" s="263">
        <v>0</v>
      </c>
      <c r="H33" s="263">
        <f>+H34</f>
        <v>0</v>
      </c>
      <c r="I33" s="263">
        <f>+I34</f>
        <v>8087720.6999999993</v>
      </c>
      <c r="J33" s="263"/>
      <c r="K33" s="263">
        <v>0</v>
      </c>
      <c r="L33" s="263">
        <v>0</v>
      </c>
      <c r="M33" s="263">
        <v>0</v>
      </c>
      <c r="N33" s="263">
        <v>0</v>
      </c>
      <c r="O33" s="263">
        <v>0</v>
      </c>
      <c r="P33" s="263">
        <v>0</v>
      </c>
      <c r="Q33" s="263">
        <v>0</v>
      </c>
      <c r="R33" s="263">
        <v>0</v>
      </c>
      <c r="S33" s="263"/>
      <c r="T33" s="263">
        <f>+T34</f>
        <v>8087720.6999999993</v>
      </c>
      <c r="U33" s="263"/>
      <c r="V33" s="1628">
        <v>0</v>
      </c>
      <c r="W33" s="1629"/>
      <c r="X33" s="1629"/>
      <c r="Z33" s="1629"/>
    </row>
    <row r="34" spans="1:26" s="185" customFormat="1" ht="12.75" customHeight="1" x14ac:dyDescent="0.2">
      <c r="A34" s="492" t="s">
        <v>325</v>
      </c>
      <c r="B34" s="948">
        <v>14277750.039999999</v>
      </c>
      <c r="C34" s="948">
        <v>0</v>
      </c>
      <c r="D34" s="948"/>
      <c r="E34" s="948">
        <v>0</v>
      </c>
      <c r="F34" s="948">
        <v>-6190029.3399999999</v>
      </c>
      <c r="G34" s="948">
        <v>0</v>
      </c>
      <c r="H34" s="948">
        <v>0</v>
      </c>
      <c r="I34" s="948">
        <f>SUM(B34:H34)</f>
        <v>8087720.6999999993</v>
      </c>
      <c r="J34" s="948"/>
      <c r="K34" s="948">
        <v>0</v>
      </c>
      <c r="L34" s="948">
        <v>0</v>
      </c>
      <c r="M34" s="948">
        <v>0</v>
      </c>
      <c r="N34" s="948">
        <v>0</v>
      </c>
      <c r="O34" s="948"/>
      <c r="P34" s="948">
        <v>0</v>
      </c>
      <c r="Q34" s="948">
        <v>0</v>
      </c>
      <c r="R34" s="948">
        <v>0</v>
      </c>
      <c r="S34" s="948"/>
      <c r="T34" s="948">
        <f>+I34+N34</f>
        <v>8087720.6999999993</v>
      </c>
      <c r="U34" s="948"/>
      <c r="V34" s="949">
        <v>0</v>
      </c>
      <c r="W34" s="1629"/>
      <c r="X34" s="1629"/>
      <c r="Z34" s="1629"/>
    </row>
    <row r="35" spans="1:26" s="260" customFormat="1" ht="12.75" customHeight="1" x14ac:dyDescent="0.2">
      <c r="A35" s="488" t="s">
        <v>327</v>
      </c>
      <c r="B35" s="263">
        <f>+B36</f>
        <v>11574990.33</v>
      </c>
      <c r="C35" s="263">
        <v>0</v>
      </c>
      <c r="D35" s="263">
        <f>+D36</f>
        <v>750000</v>
      </c>
      <c r="E35" s="263">
        <v>0</v>
      </c>
      <c r="F35" s="263">
        <v>0</v>
      </c>
      <c r="G35" s="263">
        <v>0</v>
      </c>
      <c r="H35" s="263">
        <f>+H36</f>
        <v>-1771295.03</v>
      </c>
      <c r="I35" s="263">
        <f>+I36</f>
        <v>10553695.300000001</v>
      </c>
      <c r="J35" s="263"/>
      <c r="K35" s="263">
        <f>+K36</f>
        <v>-9259628.1500000004</v>
      </c>
      <c r="L35" s="263">
        <f>+L36</f>
        <v>-991392.9</v>
      </c>
      <c r="M35" s="263">
        <f>+M36</f>
        <v>1771295.03</v>
      </c>
      <c r="N35" s="263">
        <f>+N36</f>
        <v>-8479726.0200000014</v>
      </c>
      <c r="O35" s="263"/>
      <c r="P35" s="263">
        <v>0</v>
      </c>
      <c r="Q35" s="263">
        <v>0</v>
      </c>
      <c r="R35" s="263">
        <v>0</v>
      </c>
      <c r="S35" s="263"/>
      <c r="T35" s="263">
        <f>+T36</f>
        <v>2073969.2799999993</v>
      </c>
      <c r="U35" s="263"/>
      <c r="V35" s="1628">
        <v>0</v>
      </c>
      <c r="W35" s="1629"/>
      <c r="X35" s="1629"/>
      <c r="Z35" s="1629"/>
    </row>
    <row r="36" spans="1:26" s="185" customFormat="1" ht="12.75" customHeight="1" x14ac:dyDescent="0.2">
      <c r="A36" s="492" t="s">
        <v>3077</v>
      </c>
      <c r="B36" s="948">
        <v>11574990.33</v>
      </c>
      <c r="C36" s="948">
        <v>0</v>
      </c>
      <c r="D36" s="948">
        <v>750000</v>
      </c>
      <c r="E36" s="948">
        <v>0</v>
      </c>
      <c r="F36" s="948">
        <v>0</v>
      </c>
      <c r="G36" s="948">
        <v>0</v>
      </c>
      <c r="H36" s="948">
        <v>-1771295.03</v>
      </c>
      <c r="I36" s="948">
        <f>SUM(B36:H36)</f>
        <v>10553695.300000001</v>
      </c>
      <c r="J36" s="948"/>
      <c r="K36" s="948">
        <v>-9259628.1500000004</v>
      </c>
      <c r="L36" s="948">
        <v>-991392.9</v>
      </c>
      <c r="M36" s="948">
        <v>1771295.03</v>
      </c>
      <c r="N36" s="948">
        <f>+K36+L36+M36</f>
        <v>-8479726.0200000014</v>
      </c>
      <c r="O36" s="948"/>
      <c r="P36" s="948">
        <v>0</v>
      </c>
      <c r="Q36" s="948">
        <v>0</v>
      </c>
      <c r="R36" s="948">
        <v>0</v>
      </c>
      <c r="S36" s="948"/>
      <c r="T36" s="948">
        <f>+I36+N36</f>
        <v>2073969.2799999993</v>
      </c>
      <c r="U36" s="948"/>
      <c r="V36" s="949">
        <v>0</v>
      </c>
      <c r="W36" s="1629"/>
      <c r="X36" s="1629"/>
      <c r="Z36" s="1629"/>
    </row>
    <row r="37" spans="1:26" s="260" customFormat="1" ht="12.75" customHeight="1" x14ac:dyDescent="0.2">
      <c r="A37" s="488" t="s">
        <v>18</v>
      </c>
      <c r="B37" s="263">
        <f>+B38</f>
        <v>617158459.26999831</v>
      </c>
      <c r="C37" s="263">
        <v>0</v>
      </c>
      <c r="D37" s="263">
        <f>+D38</f>
        <v>17025245.290000003</v>
      </c>
      <c r="E37" s="263">
        <f>+E38</f>
        <v>1000</v>
      </c>
      <c r="F37" s="263">
        <f>+F38</f>
        <v>24304533.005093034</v>
      </c>
      <c r="G37" s="263">
        <v>0</v>
      </c>
      <c r="H37" s="263">
        <f>+H38</f>
        <v>0</v>
      </c>
      <c r="I37" s="263">
        <f>+I38</f>
        <v>658489237.56509125</v>
      </c>
      <c r="J37" s="263"/>
      <c r="K37" s="263">
        <v>0</v>
      </c>
      <c r="L37" s="263">
        <v>0</v>
      </c>
      <c r="M37" s="263">
        <v>0</v>
      </c>
      <c r="N37" s="263">
        <v>0</v>
      </c>
      <c r="O37" s="263"/>
      <c r="P37" s="263">
        <v>0</v>
      </c>
      <c r="Q37" s="263">
        <v>0</v>
      </c>
      <c r="R37" s="263">
        <v>0</v>
      </c>
      <c r="S37" s="263"/>
      <c r="T37" s="263">
        <f>+T38</f>
        <v>658489237.56509125</v>
      </c>
      <c r="U37" s="263"/>
      <c r="V37" s="1628">
        <v>0</v>
      </c>
      <c r="W37" s="1629"/>
      <c r="X37" s="1629"/>
      <c r="Z37" s="1629"/>
    </row>
    <row r="38" spans="1:26" s="185" customFormat="1" ht="12.75" customHeight="1" x14ac:dyDescent="0.2">
      <c r="A38" s="492" t="s">
        <v>3384</v>
      </c>
      <c r="B38" s="948">
        <v>617158459.26999831</v>
      </c>
      <c r="C38" s="948">
        <v>0</v>
      </c>
      <c r="D38" s="948">
        <v>17025245.290000003</v>
      </c>
      <c r="E38" s="948">
        <v>1000</v>
      </c>
      <c r="F38" s="948">
        <v>24304533.005093034</v>
      </c>
      <c r="G38" s="948">
        <v>0</v>
      </c>
      <c r="H38" s="948">
        <v>0</v>
      </c>
      <c r="I38" s="948">
        <f>SUM(B38:H38)</f>
        <v>658489237.56509125</v>
      </c>
      <c r="J38" s="948"/>
      <c r="K38" s="948">
        <v>0</v>
      </c>
      <c r="L38" s="948">
        <v>0</v>
      </c>
      <c r="M38" s="948">
        <v>0</v>
      </c>
      <c r="N38" s="948">
        <v>0</v>
      </c>
      <c r="O38" s="948"/>
      <c r="P38" s="948">
        <v>0</v>
      </c>
      <c r="Q38" s="948">
        <v>0</v>
      </c>
      <c r="R38" s="948">
        <v>0</v>
      </c>
      <c r="S38" s="948"/>
      <c r="T38" s="948">
        <f>+I38+N38+R38</f>
        <v>658489237.56509125</v>
      </c>
      <c r="U38" s="948"/>
      <c r="V38" s="949">
        <v>0</v>
      </c>
      <c r="W38" s="1629"/>
      <c r="X38" s="1629"/>
      <c r="Z38" s="1629"/>
    </row>
    <row r="39" spans="1:26" s="260" customFormat="1" ht="12.75" customHeight="1" x14ac:dyDescent="0.2">
      <c r="A39" s="488" t="s">
        <v>324</v>
      </c>
      <c r="B39" s="263">
        <f>+B40</f>
        <v>15609153.249999998</v>
      </c>
      <c r="C39" s="263">
        <v>0</v>
      </c>
      <c r="D39" s="263">
        <v>0</v>
      </c>
      <c r="E39" s="263">
        <v>0</v>
      </c>
      <c r="F39" s="263">
        <v>0</v>
      </c>
      <c r="G39" s="263">
        <v>0</v>
      </c>
      <c r="H39" s="263">
        <v>0</v>
      </c>
      <c r="I39" s="263">
        <f>+I40</f>
        <v>15609153.249999998</v>
      </c>
      <c r="J39" s="263"/>
      <c r="K39" s="263">
        <v>0</v>
      </c>
      <c r="L39" s="263">
        <v>0</v>
      </c>
      <c r="M39" s="263">
        <v>0</v>
      </c>
      <c r="N39" s="263">
        <v>0</v>
      </c>
      <c r="O39" s="263"/>
      <c r="P39" s="263">
        <v>0</v>
      </c>
      <c r="Q39" s="263">
        <v>0</v>
      </c>
      <c r="R39" s="263">
        <v>0</v>
      </c>
      <c r="S39" s="263"/>
      <c r="T39" s="263">
        <f>+T40</f>
        <v>15609153.249999998</v>
      </c>
      <c r="U39" s="263"/>
      <c r="V39" s="1628">
        <v>0</v>
      </c>
      <c r="W39" s="1629"/>
      <c r="X39" s="1629"/>
      <c r="Z39" s="1629"/>
    </row>
    <row r="40" spans="1:26" s="185" customFormat="1" ht="12.75" customHeight="1" x14ac:dyDescent="0.2">
      <c r="A40" s="492" t="s">
        <v>3414</v>
      </c>
      <c r="B40" s="948">
        <v>15609153.249999998</v>
      </c>
      <c r="C40" s="948">
        <v>0</v>
      </c>
      <c r="D40" s="948">
        <v>0</v>
      </c>
      <c r="E40" s="948">
        <v>0</v>
      </c>
      <c r="F40" s="948">
        <v>0</v>
      </c>
      <c r="G40" s="948">
        <v>0</v>
      </c>
      <c r="H40" s="948">
        <v>0</v>
      </c>
      <c r="I40" s="948">
        <f>SUM(B40:H40)</f>
        <v>15609153.249999998</v>
      </c>
      <c r="J40" s="948"/>
      <c r="K40" s="948">
        <v>0</v>
      </c>
      <c r="L40" s="948">
        <v>0</v>
      </c>
      <c r="M40" s="948">
        <v>0</v>
      </c>
      <c r="N40" s="948">
        <v>0</v>
      </c>
      <c r="O40" s="948"/>
      <c r="P40" s="948">
        <v>0</v>
      </c>
      <c r="Q40" s="948">
        <v>0</v>
      </c>
      <c r="R40" s="948">
        <v>0</v>
      </c>
      <c r="S40" s="948"/>
      <c r="T40" s="948">
        <f>+I40+N40</f>
        <v>15609153.249999998</v>
      </c>
      <c r="U40" s="948"/>
      <c r="V40" s="949">
        <v>0</v>
      </c>
      <c r="W40" s="1629"/>
      <c r="X40" s="1629"/>
      <c r="Z40" s="1629"/>
    </row>
    <row r="41" spans="1:26" s="260" customFormat="1" ht="12.75" customHeight="1" x14ac:dyDescent="0.2">
      <c r="A41" s="488" t="s">
        <v>2905</v>
      </c>
      <c r="B41" s="263">
        <f>+B42</f>
        <v>130430667.10989915</v>
      </c>
      <c r="C41" s="263">
        <v>0</v>
      </c>
      <c r="D41" s="263">
        <f>+D42</f>
        <v>0</v>
      </c>
      <c r="E41" s="263">
        <v>0</v>
      </c>
      <c r="F41" s="263">
        <v>0</v>
      </c>
      <c r="G41" s="263">
        <v>0</v>
      </c>
      <c r="H41" s="263">
        <v>0</v>
      </c>
      <c r="I41" s="263">
        <f t="shared" ref="I41:L41" si="24">+I42</f>
        <v>130430667.10989915</v>
      </c>
      <c r="J41" s="263">
        <f t="shared" si="24"/>
        <v>0</v>
      </c>
      <c r="K41" s="263">
        <f t="shared" si="24"/>
        <v>-49706897.333997689</v>
      </c>
      <c r="L41" s="263">
        <f t="shared" si="24"/>
        <v>-26157602.370000001</v>
      </c>
      <c r="M41" s="263">
        <v>0</v>
      </c>
      <c r="N41" s="263">
        <f>+N42</f>
        <v>-75864499.703997687</v>
      </c>
      <c r="O41" s="263"/>
      <c r="P41" s="263">
        <v>0</v>
      </c>
      <c r="Q41" s="263">
        <v>0</v>
      </c>
      <c r="R41" s="263">
        <v>0</v>
      </c>
      <c r="S41" s="263"/>
      <c r="T41" s="263">
        <f>+T42</f>
        <v>54566167.405901462</v>
      </c>
      <c r="U41" s="263"/>
      <c r="V41" s="1628">
        <v>0</v>
      </c>
      <c r="W41" s="1629"/>
      <c r="X41" s="1629"/>
      <c r="Z41" s="1629"/>
    </row>
    <row r="42" spans="1:26" s="185" customFormat="1" ht="12.75" customHeight="1" x14ac:dyDescent="0.2">
      <c r="A42" s="492" t="s">
        <v>3415</v>
      </c>
      <c r="B42" s="948">
        <v>130430667.10989915</v>
      </c>
      <c r="C42" s="948">
        <v>0</v>
      </c>
      <c r="D42" s="948">
        <v>0</v>
      </c>
      <c r="E42" s="948">
        <v>0</v>
      </c>
      <c r="F42" s="948">
        <v>0</v>
      </c>
      <c r="G42" s="948">
        <v>0</v>
      </c>
      <c r="H42" s="948">
        <v>0</v>
      </c>
      <c r="I42" s="948">
        <f>SUM(B42:H42)</f>
        <v>130430667.10989915</v>
      </c>
      <c r="J42" s="948"/>
      <c r="K42" s="948">
        <v>-49706897.333997689</v>
      </c>
      <c r="L42" s="948">
        <v>-26157602.370000001</v>
      </c>
      <c r="M42" s="948">
        <v>0</v>
      </c>
      <c r="N42" s="948">
        <f>SUM(K42:M42)</f>
        <v>-75864499.703997687</v>
      </c>
      <c r="O42" s="948"/>
      <c r="P42" s="948">
        <v>0</v>
      </c>
      <c r="Q42" s="948">
        <v>0</v>
      </c>
      <c r="R42" s="948">
        <v>0</v>
      </c>
      <c r="S42" s="948"/>
      <c r="T42" s="948">
        <f>+I42+N42</f>
        <v>54566167.405901462</v>
      </c>
      <c r="U42" s="948"/>
      <c r="V42" s="949">
        <v>0</v>
      </c>
      <c r="W42" s="1629"/>
      <c r="X42" s="1629"/>
      <c r="Z42" s="1629"/>
    </row>
    <row r="43" spans="1:26" s="260" customFormat="1" ht="12.75" customHeight="1" thickBot="1" x14ac:dyDescent="0.25">
      <c r="A43" s="1633" t="s">
        <v>3416</v>
      </c>
      <c r="B43" s="1768">
        <f t="shared" ref="B43:V43" si="25">+B3+B7+B23+B25+B33+B35+B37+B39+B41</f>
        <v>18426749954.404892</v>
      </c>
      <c r="C43" s="1768">
        <f t="shared" si="25"/>
        <v>-120572625.61097144</v>
      </c>
      <c r="D43" s="1768">
        <f t="shared" si="25"/>
        <v>688709476.40000033</v>
      </c>
      <c r="E43" s="1768">
        <f t="shared" si="25"/>
        <v>0</v>
      </c>
      <c r="F43" s="1768">
        <f t="shared" si="25"/>
        <v>18114503.665093035</v>
      </c>
      <c r="G43" s="1768">
        <f t="shared" si="25"/>
        <v>0</v>
      </c>
      <c r="H43" s="1768">
        <f t="shared" si="25"/>
        <v>-93449439.930000022</v>
      </c>
      <c r="I43" s="1768">
        <f t="shared" si="25"/>
        <v>18919551868.929008</v>
      </c>
      <c r="J43" s="1768">
        <f t="shared" si="25"/>
        <v>0</v>
      </c>
      <c r="K43" s="1768">
        <f t="shared" si="25"/>
        <v>-9127685471.0341682</v>
      </c>
      <c r="L43" s="1768">
        <f t="shared" si="25"/>
        <v>-475210190.11876589</v>
      </c>
      <c r="M43" s="1768">
        <f t="shared" si="25"/>
        <v>43865108.707384408</v>
      </c>
      <c r="N43" s="1768">
        <f t="shared" si="25"/>
        <v>-9559030552.445549</v>
      </c>
      <c r="O43" s="1768">
        <f t="shared" si="25"/>
        <v>0</v>
      </c>
      <c r="P43" s="1768">
        <f t="shared" si="25"/>
        <v>-150305.85999999999</v>
      </c>
      <c r="Q43" s="1768">
        <f t="shared" si="25"/>
        <v>0</v>
      </c>
      <c r="R43" s="1768">
        <f t="shared" si="25"/>
        <v>-150305.85999999999</v>
      </c>
      <c r="S43" s="1768">
        <f t="shared" si="25"/>
        <v>0</v>
      </c>
      <c r="T43" s="1768">
        <f t="shared" si="25"/>
        <v>9360371010.6234665</v>
      </c>
      <c r="U43" s="1768">
        <f t="shared" si="25"/>
        <v>0</v>
      </c>
      <c r="V43" s="1769">
        <f t="shared" si="25"/>
        <v>-3408519196.2389789</v>
      </c>
      <c r="W43" s="1629"/>
      <c r="X43" s="1629"/>
      <c r="Z43" s="1629"/>
    </row>
    <row r="44" spans="1:26" x14ac:dyDescent="0.2">
      <c r="L44" s="1634"/>
      <c r="T44" s="1634"/>
    </row>
    <row r="45" spans="1:26" x14ac:dyDescent="0.2">
      <c r="T45" s="439"/>
    </row>
  </sheetData>
  <mergeCells count="3">
    <mergeCell ref="B1:I1"/>
    <mergeCell ref="K1:N1"/>
    <mergeCell ref="P1:R1"/>
  </mergeCells>
  <pageMargins left="0.7" right="0.7" top="0.75" bottom="0.75" header="0.3" footer="0.3"/>
  <pageSetup scale="35" orientation="landscape" r:id="rId1"/>
  <headerFooter>
    <oddHeader xml:space="preserve">&amp;CAPPENDIX B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F22" zoomScaleNormal="100" workbookViewId="0">
      <selection activeCell="F55" sqref="A55:XFD57"/>
    </sheetView>
  </sheetViews>
  <sheetFormatPr defaultColWidth="14" defaultRowHeight="12.75" x14ac:dyDescent="0.2"/>
  <cols>
    <col min="1" max="1" width="44.42578125" style="318" bestFit="1" customWidth="1"/>
    <col min="2" max="2" width="20.140625" style="318" bestFit="1" customWidth="1"/>
    <col min="3" max="3" width="17.5703125" style="318" bestFit="1" customWidth="1"/>
    <col min="4" max="4" width="21.28515625" style="318" bestFit="1" customWidth="1"/>
    <col min="5" max="5" width="10.42578125" style="318" bestFit="1" customWidth="1"/>
    <col min="6" max="6" width="13.140625" style="318" customWidth="1"/>
    <col min="7" max="7" width="23.28515625" style="318" bestFit="1" customWidth="1"/>
    <col min="8" max="8" width="19" style="318" bestFit="1" customWidth="1"/>
    <col min="9" max="9" width="1.28515625" style="436" customWidth="1"/>
    <col min="10" max="10" width="21.85546875" style="318" bestFit="1" customWidth="1"/>
    <col min="11" max="11" width="19.28515625" style="318" bestFit="1" customWidth="1"/>
    <col min="12" max="12" width="19" style="318" customWidth="1"/>
    <col min="13" max="13" width="21.85546875" style="318" bestFit="1" customWidth="1"/>
    <col min="14" max="14" width="1.28515625" style="436" customWidth="1"/>
    <col min="15" max="15" width="10.85546875" style="318" customWidth="1"/>
    <col min="16" max="16" width="14.7109375" style="318" bestFit="1" customWidth="1"/>
    <col min="17" max="17" width="13" style="318" customWidth="1"/>
    <col min="18" max="18" width="1.28515625" style="436" customWidth="1"/>
    <col min="19" max="19" width="19.140625" style="318" bestFit="1" customWidth="1"/>
    <col min="20" max="20" width="1.28515625" style="436" customWidth="1"/>
    <col min="21" max="21" width="24.42578125" style="318" bestFit="1" customWidth="1"/>
    <col min="22" max="16384" width="14" style="318"/>
  </cols>
  <sheetData>
    <row r="1" spans="1:21" ht="13.5" customHeight="1" thickBot="1" x14ac:dyDescent="0.25">
      <c r="A1" s="836"/>
      <c r="B1" s="1856" t="s">
        <v>3431</v>
      </c>
      <c r="C1" s="1857"/>
      <c r="D1" s="1857"/>
      <c r="E1" s="1857"/>
      <c r="F1" s="1857"/>
      <c r="G1" s="1857"/>
      <c r="H1" s="1858"/>
      <c r="I1" s="486"/>
      <c r="J1" s="1859" t="s">
        <v>365</v>
      </c>
      <c r="K1" s="1860"/>
      <c r="L1" s="1860"/>
      <c r="M1" s="1861"/>
      <c r="N1" s="486"/>
      <c r="O1" s="1859" t="s">
        <v>3113</v>
      </c>
      <c r="P1" s="1860"/>
      <c r="Q1" s="1861"/>
      <c r="R1" s="486"/>
      <c r="S1" s="841" t="s">
        <v>2587</v>
      </c>
      <c r="T1" s="486"/>
      <c r="U1" s="842" t="s">
        <v>98</v>
      </c>
    </row>
    <row r="2" spans="1:21" ht="51.75" thickBot="1" x14ac:dyDescent="0.25">
      <c r="A2" s="843"/>
      <c r="B2" s="844" t="s">
        <v>3432</v>
      </c>
      <c r="C2" s="844" t="s">
        <v>3391</v>
      </c>
      <c r="D2" s="844" t="s">
        <v>3392</v>
      </c>
      <c r="E2" s="844" t="s">
        <v>3433</v>
      </c>
      <c r="F2" s="844" t="s">
        <v>3655</v>
      </c>
      <c r="G2" s="844" t="s">
        <v>3434</v>
      </c>
      <c r="H2" s="844" t="s">
        <v>3435</v>
      </c>
      <c r="I2" s="929"/>
      <c r="J2" s="844" t="s">
        <v>1017</v>
      </c>
      <c r="K2" s="844" t="s">
        <v>3395</v>
      </c>
      <c r="L2" s="844" t="s">
        <v>3436</v>
      </c>
      <c r="M2" s="844" t="s">
        <v>3394</v>
      </c>
      <c r="N2" s="929"/>
      <c r="O2" s="844" t="s">
        <v>1017</v>
      </c>
      <c r="P2" s="844" t="s">
        <v>3396</v>
      </c>
      <c r="Q2" s="844" t="s">
        <v>3394</v>
      </c>
      <c r="R2" s="929"/>
      <c r="S2" s="845" t="s">
        <v>2587</v>
      </c>
      <c r="T2" s="929"/>
      <c r="U2" s="846" t="s">
        <v>3394</v>
      </c>
    </row>
    <row r="3" spans="1:21" ht="12.75" customHeight="1" x14ac:dyDescent="0.2">
      <c r="A3" s="837" t="s">
        <v>3437</v>
      </c>
      <c r="B3" s="835">
        <f t="shared" ref="B3:U3" si="0">+B4</f>
        <v>794880153.12979829</v>
      </c>
      <c r="C3" s="835">
        <f t="shared" si="0"/>
        <v>0</v>
      </c>
      <c r="D3" s="835">
        <f t="shared" si="0"/>
        <v>96442349.213333428</v>
      </c>
      <c r="E3" s="835">
        <f t="shared" si="0"/>
        <v>0</v>
      </c>
      <c r="F3" s="835">
        <f t="shared" si="0"/>
        <v>24304533.005093034</v>
      </c>
      <c r="G3" s="835">
        <f t="shared" si="0"/>
        <v>0</v>
      </c>
      <c r="H3" s="835">
        <f t="shared" si="0"/>
        <v>915627035.34822476</v>
      </c>
      <c r="I3" s="930">
        <f t="shared" si="0"/>
        <v>0</v>
      </c>
      <c r="J3" s="835">
        <f t="shared" si="0"/>
        <v>-4095644.3585495623</v>
      </c>
      <c r="K3" s="835">
        <f t="shared" si="0"/>
        <v>-2186261.6517180121</v>
      </c>
      <c r="L3" s="835">
        <f t="shared" si="0"/>
        <v>0</v>
      </c>
      <c r="M3" s="835">
        <f t="shared" si="0"/>
        <v>-6281906.0102675743</v>
      </c>
      <c r="N3" s="930">
        <f t="shared" si="0"/>
        <v>0</v>
      </c>
      <c r="O3" s="835">
        <f t="shared" si="0"/>
        <v>0</v>
      </c>
      <c r="P3" s="835">
        <f t="shared" si="0"/>
        <v>0</v>
      </c>
      <c r="Q3" s="835">
        <f t="shared" si="0"/>
        <v>0</v>
      </c>
      <c r="R3" s="930">
        <f t="shared" si="0"/>
        <v>0</v>
      </c>
      <c r="S3" s="835">
        <f t="shared" si="0"/>
        <v>909345129.33795714</v>
      </c>
      <c r="T3" s="930">
        <f t="shared" si="0"/>
        <v>0</v>
      </c>
      <c r="U3" s="838">
        <f t="shared" si="0"/>
        <v>-8939085.7589926794</v>
      </c>
    </row>
    <row r="4" spans="1:21" ht="12.75" customHeight="1" x14ac:dyDescent="0.2">
      <c r="A4" s="839" t="s">
        <v>3438</v>
      </c>
      <c r="B4" s="486">
        <v>794880153.12979829</v>
      </c>
      <c r="C4" s="486">
        <v>0</v>
      </c>
      <c r="D4" s="486">
        <v>96442349.213333428</v>
      </c>
      <c r="E4" s="486">
        <v>0</v>
      </c>
      <c r="F4" s="486">
        <v>24304533.005093034</v>
      </c>
      <c r="G4" s="486">
        <v>0</v>
      </c>
      <c r="H4" s="486">
        <f>SUM(B4:G4)</f>
        <v>915627035.34822476</v>
      </c>
      <c r="I4" s="486"/>
      <c r="J4" s="486">
        <v>-4095644.3585495623</v>
      </c>
      <c r="K4" s="486">
        <v>-2186261.6517180121</v>
      </c>
      <c r="L4" s="486">
        <v>0</v>
      </c>
      <c r="M4" s="486">
        <f>SUM(J4:L4)</f>
        <v>-6281906.0102675743</v>
      </c>
      <c r="N4" s="486"/>
      <c r="O4" s="486">
        <v>0</v>
      </c>
      <c r="P4" s="486">
        <v>0</v>
      </c>
      <c r="Q4" s="486">
        <v>0</v>
      </c>
      <c r="R4" s="486"/>
      <c r="S4" s="486">
        <f>+H4+M4+Q4</f>
        <v>909345129.33795714</v>
      </c>
      <c r="T4" s="486"/>
      <c r="U4" s="490">
        <v>-8939085.7589926794</v>
      </c>
    </row>
    <row r="5" spans="1:21" ht="12.75" customHeight="1" x14ac:dyDescent="0.2">
      <c r="A5" s="837" t="s">
        <v>3439</v>
      </c>
      <c r="B5" s="835">
        <f t="shared" ref="B5:U5" si="1">SUM(B6:B8)</f>
        <v>19075989.720000003</v>
      </c>
      <c r="C5" s="835">
        <f t="shared" si="1"/>
        <v>0</v>
      </c>
      <c r="D5" s="835">
        <f t="shared" si="1"/>
        <v>0</v>
      </c>
      <c r="E5" s="835">
        <f t="shared" si="1"/>
        <v>0</v>
      </c>
      <c r="F5" s="835"/>
      <c r="G5" s="835">
        <f t="shared" si="1"/>
        <v>0</v>
      </c>
      <c r="H5" s="835">
        <f t="shared" si="1"/>
        <v>19075989.720000003</v>
      </c>
      <c r="I5" s="930">
        <f t="shared" si="1"/>
        <v>0</v>
      </c>
      <c r="J5" s="835">
        <f t="shared" si="1"/>
        <v>-11216406.310000002</v>
      </c>
      <c r="K5" s="835">
        <f t="shared" si="1"/>
        <v>-680586.25000000012</v>
      </c>
      <c r="L5" s="835">
        <f t="shared" si="1"/>
        <v>0</v>
      </c>
      <c r="M5" s="835">
        <f t="shared" si="1"/>
        <v>-11896992.560000002</v>
      </c>
      <c r="N5" s="930">
        <f t="shared" si="1"/>
        <v>0</v>
      </c>
      <c r="O5" s="835">
        <f t="shared" si="1"/>
        <v>0</v>
      </c>
      <c r="P5" s="835">
        <f t="shared" si="1"/>
        <v>0</v>
      </c>
      <c r="Q5" s="835">
        <f t="shared" si="1"/>
        <v>0</v>
      </c>
      <c r="R5" s="930">
        <f t="shared" si="1"/>
        <v>0</v>
      </c>
      <c r="S5" s="835">
        <f t="shared" si="1"/>
        <v>7178997.1600000001</v>
      </c>
      <c r="T5" s="930">
        <f t="shared" si="1"/>
        <v>0</v>
      </c>
      <c r="U5" s="838">
        <f t="shared" si="1"/>
        <v>-3956526.68</v>
      </c>
    </row>
    <row r="6" spans="1:21" ht="12.75" customHeight="1" x14ac:dyDescent="0.2">
      <c r="A6" s="839" t="s">
        <v>3440</v>
      </c>
      <c r="B6" s="486">
        <v>0</v>
      </c>
      <c r="C6" s="486"/>
      <c r="D6" s="486">
        <v>0</v>
      </c>
      <c r="E6" s="486">
        <v>0</v>
      </c>
      <c r="F6" s="486">
        <v>0</v>
      </c>
      <c r="G6" s="486">
        <v>0</v>
      </c>
      <c r="H6" s="486">
        <f t="shared" ref="H6:H8" si="2">SUM(B6:G6)</f>
        <v>0</v>
      </c>
      <c r="I6" s="486"/>
      <c r="J6" s="486">
        <v>0</v>
      </c>
      <c r="K6" s="486">
        <v>0</v>
      </c>
      <c r="L6" s="486">
        <v>0</v>
      </c>
      <c r="M6" s="486">
        <f t="shared" ref="M6:M8" si="3">SUM(J6:L6)</f>
        <v>0</v>
      </c>
      <c r="N6" s="486"/>
      <c r="O6" s="486">
        <v>0</v>
      </c>
      <c r="P6" s="486">
        <v>0</v>
      </c>
      <c r="Q6" s="486">
        <v>0</v>
      </c>
      <c r="R6" s="486"/>
      <c r="S6" s="486">
        <f t="shared" ref="S6:S8" si="4">+H6+M6+Q6</f>
        <v>0</v>
      </c>
      <c r="T6" s="486"/>
      <c r="U6" s="490">
        <v>0</v>
      </c>
    </row>
    <row r="7" spans="1:21" ht="12.75" customHeight="1" x14ac:dyDescent="0.2">
      <c r="A7" s="839" t="s">
        <v>638</v>
      </c>
      <c r="B7" s="486">
        <v>0</v>
      </c>
      <c r="C7" s="486"/>
      <c r="D7" s="486">
        <v>0</v>
      </c>
      <c r="E7" s="486">
        <v>0</v>
      </c>
      <c r="F7" s="486">
        <v>0</v>
      </c>
      <c r="G7" s="486">
        <v>0</v>
      </c>
      <c r="H7" s="486">
        <f t="shared" si="2"/>
        <v>0</v>
      </c>
      <c r="I7" s="486"/>
      <c r="J7" s="486">
        <v>0</v>
      </c>
      <c r="K7" s="486">
        <v>0</v>
      </c>
      <c r="L7" s="486">
        <v>0</v>
      </c>
      <c r="M7" s="486">
        <f t="shared" si="3"/>
        <v>0</v>
      </c>
      <c r="N7" s="486"/>
      <c r="O7" s="486">
        <v>0</v>
      </c>
      <c r="P7" s="486">
        <v>0</v>
      </c>
      <c r="Q7" s="486">
        <v>0</v>
      </c>
      <c r="R7" s="486"/>
      <c r="S7" s="486">
        <f t="shared" si="4"/>
        <v>0</v>
      </c>
      <c r="T7" s="486"/>
      <c r="U7" s="490">
        <v>0</v>
      </c>
    </row>
    <row r="8" spans="1:21" ht="12.75" customHeight="1" x14ac:dyDescent="0.2">
      <c r="A8" s="839" t="s">
        <v>3441</v>
      </c>
      <c r="B8" s="486">
        <v>19075989.720000003</v>
      </c>
      <c r="C8" s="486"/>
      <c r="D8" s="486">
        <v>0</v>
      </c>
      <c r="E8" s="486">
        <v>0</v>
      </c>
      <c r="F8" s="486">
        <v>0</v>
      </c>
      <c r="G8" s="486">
        <v>0</v>
      </c>
      <c r="H8" s="486">
        <f t="shared" si="2"/>
        <v>19075989.720000003</v>
      </c>
      <c r="I8" s="486"/>
      <c r="J8" s="486">
        <v>-11216406.310000002</v>
      </c>
      <c r="K8" s="486">
        <v>-680586.25000000012</v>
      </c>
      <c r="L8" s="486">
        <v>0</v>
      </c>
      <c r="M8" s="486">
        <f t="shared" si="3"/>
        <v>-11896992.560000002</v>
      </c>
      <c r="N8" s="486"/>
      <c r="O8" s="486">
        <v>0</v>
      </c>
      <c r="P8" s="486">
        <v>0</v>
      </c>
      <c r="Q8" s="486">
        <v>0</v>
      </c>
      <c r="R8" s="486"/>
      <c r="S8" s="486">
        <f t="shared" si="4"/>
        <v>7178997.1600000001</v>
      </c>
      <c r="T8" s="486"/>
      <c r="U8" s="490">
        <v>-3956526.68</v>
      </c>
    </row>
    <row r="9" spans="1:21" ht="12.75" customHeight="1" x14ac:dyDescent="0.2">
      <c r="A9" s="837" t="s">
        <v>3442</v>
      </c>
      <c r="B9" s="835">
        <f t="shared" ref="B9:U9" si="5">SUM(B10:B13)</f>
        <v>2589602646.4331741</v>
      </c>
      <c r="C9" s="835">
        <f t="shared" si="5"/>
        <v>0</v>
      </c>
      <c r="D9" s="835">
        <f t="shared" si="5"/>
        <v>2558538.4733333336</v>
      </c>
      <c r="E9" s="835">
        <f t="shared" si="5"/>
        <v>0</v>
      </c>
      <c r="F9" s="835"/>
      <c r="G9" s="835">
        <f t="shared" si="5"/>
        <v>0</v>
      </c>
      <c r="H9" s="835">
        <f t="shared" si="5"/>
        <v>2592161184.9065075</v>
      </c>
      <c r="I9" s="930">
        <f t="shared" si="5"/>
        <v>0</v>
      </c>
      <c r="J9" s="835">
        <f t="shared" si="5"/>
        <v>-1342725171.3648984</v>
      </c>
      <c r="K9" s="835">
        <f t="shared" si="5"/>
        <v>-76749222.163126558</v>
      </c>
      <c r="L9" s="835">
        <f t="shared" si="5"/>
        <v>0</v>
      </c>
      <c r="M9" s="835">
        <f t="shared" si="5"/>
        <v>-1419474393.5280252</v>
      </c>
      <c r="N9" s="930">
        <f t="shared" si="5"/>
        <v>0</v>
      </c>
      <c r="O9" s="835">
        <f t="shared" si="5"/>
        <v>0</v>
      </c>
      <c r="P9" s="835">
        <f t="shared" si="5"/>
        <v>0</v>
      </c>
      <c r="Q9" s="835">
        <f t="shared" si="5"/>
        <v>0</v>
      </c>
      <c r="R9" s="930">
        <f t="shared" si="5"/>
        <v>0</v>
      </c>
      <c r="S9" s="835">
        <f t="shared" si="5"/>
        <v>1172686791.3784823</v>
      </c>
      <c r="T9" s="930">
        <f t="shared" si="5"/>
        <v>0</v>
      </c>
      <c r="U9" s="838">
        <f t="shared" si="5"/>
        <v>-590547203.68000114</v>
      </c>
    </row>
    <row r="10" spans="1:21" ht="12.75" customHeight="1" x14ac:dyDescent="0.2">
      <c r="A10" s="839" t="s">
        <v>3443</v>
      </c>
      <c r="B10" s="486">
        <v>161043086.96317416</v>
      </c>
      <c r="C10" s="486"/>
      <c r="D10" s="486">
        <v>483350.15</v>
      </c>
      <c r="E10" s="486">
        <v>0</v>
      </c>
      <c r="F10" s="486">
        <v>0</v>
      </c>
      <c r="G10" s="486">
        <v>0</v>
      </c>
      <c r="H10" s="486">
        <f t="shared" ref="H10:H13" si="6">SUM(B10:G10)</f>
        <v>161526437.11317417</v>
      </c>
      <c r="I10" s="486"/>
      <c r="J10" s="486">
        <v>-95626481.922083676</v>
      </c>
      <c r="K10" s="486">
        <v>-5637300.6473338567</v>
      </c>
      <c r="L10" s="486">
        <v>0</v>
      </c>
      <c r="M10" s="486">
        <f t="shared" ref="M10:M13" si="7">SUM(J10:L10)</f>
        <v>-101263782.56941754</v>
      </c>
      <c r="N10" s="486"/>
      <c r="O10" s="486">
        <v>0</v>
      </c>
      <c r="P10" s="486">
        <v>0</v>
      </c>
      <c r="Q10" s="486">
        <v>0</v>
      </c>
      <c r="R10" s="486"/>
      <c r="S10" s="486">
        <f t="shared" ref="S10:S13" si="8">+H10+M10+Q10</f>
        <v>60262654.543756634</v>
      </c>
      <c r="T10" s="486"/>
      <c r="U10" s="490">
        <v>-27106520.659999996</v>
      </c>
    </row>
    <row r="11" spans="1:21" ht="12.75" customHeight="1" x14ac:dyDescent="0.2">
      <c r="A11" s="839" t="s">
        <v>2991</v>
      </c>
      <c r="B11" s="486">
        <v>0</v>
      </c>
      <c r="C11" s="486"/>
      <c r="D11" s="486">
        <v>0</v>
      </c>
      <c r="E11" s="486">
        <v>0</v>
      </c>
      <c r="F11" s="486">
        <v>0</v>
      </c>
      <c r="G11" s="486">
        <v>0</v>
      </c>
      <c r="H11" s="486">
        <f t="shared" si="6"/>
        <v>0</v>
      </c>
      <c r="I11" s="486"/>
      <c r="J11" s="486">
        <v>0</v>
      </c>
      <c r="K11" s="486">
        <v>0</v>
      </c>
      <c r="L11" s="486">
        <v>0</v>
      </c>
      <c r="M11" s="486">
        <f t="shared" si="7"/>
        <v>0</v>
      </c>
      <c r="N11" s="486"/>
      <c r="O11" s="486">
        <v>0</v>
      </c>
      <c r="P11" s="486">
        <v>0</v>
      </c>
      <c r="Q11" s="486">
        <v>0</v>
      </c>
      <c r="R11" s="486"/>
      <c r="S11" s="486">
        <f t="shared" si="8"/>
        <v>0</v>
      </c>
      <c r="T11" s="486"/>
      <c r="U11" s="490">
        <v>0</v>
      </c>
    </row>
    <row r="12" spans="1:21" ht="12.75" customHeight="1" x14ac:dyDescent="0.2">
      <c r="A12" s="839" t="s">
        <v>3444</v>
      </c>
      <c r="B12" s="486">
        <v>68427299.865999997</v>
      </c>
      <c r="C12" s="486"/>
      <c r="D12" s="486">
        <v>1458697.0999999999</v>
      </c>
      <c r="E12" s="486">
        <v>0</v>
      </c>
      <c r="F12" s="486">
        <v>0</v>
      </c>
      <c r="G12" s="486">
        <v>0</v>
      </c>
      <c r="H12" s="486">
        <f t="shared" si="6"/>
        <v>69885996.965999991</v>
      </c>
      <c r="I12" s="486"/>
      <c r="J12" s="486">
        <v>-41918403.576537579</v>
      </c>
      <c r="K12" s="486">
        <v>-2775026.8657607767</v>
      </c>
      <c r="L12" s="486">
        <v>0</v>
      </c>
      <c r="M12" s="486">
        <f t="shared" si="7"/>
        <v>-44693430.442298353</v>
      </c>
      <c r="N12" s="486"/>
      <c r="O12" s="486">
        <v>0</v>
      </c>
      <c r="P12" s="486">
        <v>0</v>
      </c>
      <c r="Q12" s="486">
        <v>0</v>
      </c>
      <c r="R12" s="486"/>
      <c r="S12" s="486">
        <f t="shared" si="8"/>
        <v>25192566.523701638</v>
      </c>
      <c r="T12" s="486"/>
      <c r="U12" s="490">
        <v>-12076168.739999993</v>
      </c>
    </row>
    <row r="13" spans="1:21" ht="12.75" customHeight="1" x14ac:dyDescent="0.2">
      <c r="A13" s="839" t="s">
        <v>3445</v>
      </c>
      <c r="B13" s="486">
        <v>2360132259.6040001</v>
      </c>
      <c r="C13" s="486"/>
      <c r="D13" s="486">
        <v>616491.22333333339</v>
      </c>
      <c r="E13" s="486">
        <v>0</v>
      </c>
      <c r="F13" s="486">
        <v>0</v>
      </c>
      <c r="G13" s="486">
        <v>0</v>
      </c>
      <c r="H13" s="486">
        <f t="shared" si="6"/>
        <v>2360748750.8273335</v>
      </c>
      <c r="I13" s="486"/>
      <c r="J13" s="486">
        <v>-1205180285.8662772</v>
      </c>
      <c r="K13" s="486">
        <v>-68336894.650031924</v>
      </c>
      <c r="L13" s="486">
        <v>0</v>
      </c>
      <c r="M13" s="486">
        <f t="shared" si="7"/>
        <v>-1273517180.5163093</v>
      </c>
      <c r="N13" s="486"/>
      <c r="O13" s="486">
        <v>0</v>
      </c>
      <c r="P13" s="486">
        <v>0</v>
      </c>
      <c r="Q13" s="486">
        <v>0</v>
      </c>
      <c r="R13" s="486"/>
      <c r="S13" s="486">
        <f t="shared" si="8"/>
        <v>1087231570.3110242</v>
      </c>
      <c r="T13" s="486"/>
      <c r="U13" s="490">
        <v>-551364514.28000116</v>
      </c>
    </row>
    <row r="14" spans="1:21" ht="12.75" customHeight="1" x14ac:dyDescent="0.2">
      <c r="A14" s="837" t="s">
        <v>3446</v>
      </c>
      <c r="B14" s="835">
        <f t="shared" ref="B14:U14" si="9">SUM(B15:B21)</f>
        <v>525113859.91833353</v>
      </c>
      <c r="C14" s="835">
        <f t="shared" si="9"/>
        <v>0</v>
      </c>
      <c r="D14" s="835">
        <f t="shared" si="9"/>
        <v>4083633.4</v>
      </c>
      <c r="E14" s="835">
        <f t="shared" si="9"/>
        <v>0</v>
      </c>
      <c r="F14" s="835"/>
      <c r="G14" s="835">
        <f t="shared" si="9"/>
        <v>-1011773.04</v>
      </c>
      <c r="H14" s="835">
        <f t="shared" si="9"/>
        <v>528185720.27833354</v>
      </c>
      <c r="I14" s="930">
        <f t="shared" si="9"/>
        <v>0</v>
      </c>
      <c r="J14" s="835">
        <f t="shared" si="9"/>
        <v>-265615884.68698668</v>
      </c>
      <c r="K14" s="835">
        <f t="shared" si="9"/>
        <v>-22246065.903417647</v>
      </c>
      <c r="L14" s="835">
        <f t="shared" si="9"/>
        <v>883128.46408056188</v>
      </c>
      <c r="M14" s="835">
        <f t="shared" si="9"/>
        <v>-286978822.12632376</v>
      </c>
      <c r="N14" s="930">
        <f t="shared" si="9"/>
        <v>0</v>
      </c>
      <c r="O14" s="835">
        <f t="shared" si="9"/>
        <v>-8401.94</v>
      </c>
      <c r="P14" s="835">
        <f t="shared" si="9"/>
        <v>0</v>
      </c>
      <c r="Q14" s="835">
        <f t="shared" si="9"/>
        <v>-8401.94</v>
      </c>
      <c r="R14" s="930">
        <f t="shared" si="9"/>
        <v>0</v>
      </c>
      <c r="S14" s="835">
        <f t="shared" si="9"/>
        <v>241198496.21200973</v>
      </c>
      <c r="T14" s="930">
        <f t="shared" si="9"/>
        <v>0</v>
      </c>
      <c r="U14" s="838">
        <f t="shared" si="9"/>
        <v>-102042710.96000005</v>
      </c>
    </row>
    <row r="15" spans="1:21" ht="12.75" customHeight="1" x14ac:dyDescent="0.2">
      <c r="A15" s="839" t="s">
        <v>3447</v>
      </c>
      <c r="B15" s="486">
        <v>5933867.0020000003</v>
      </c>
      <c r="C15" s="486"/>
      <c r="D15" s="486">
        <v>1067.1500000000001</v>
      </c>
      <c r="E15" s="486">
        <v>0</v>
      </c>
      <c r="F15" s="486">
        <v>0</v>
      </c>
      <c r="G15" s="486">
        <v>0</v>
      </c>
      <c r="H15" s="486">
        <f t="shared" ref="H15:H21" si="10">SUM(B15:G15)</f>
        <v>5934934.1520000007</v>
      </c>
      <c r="I15" s="486"/>
      <c r="J15" s="486">
        <v>-3172973.034734651</v>
      </c>
      <c r="K15" s="486">
        <v>-181423.69429500186</v>
      </c>
      <c r="L15" s="486">
        <v>0</v>
      </c>
      <c r="M15" s="486">
        <f t="shared" ref="M15:M21" si="11">SUM(J15:L15)</f>
        <v>-3354396.7290296527</v>
      </c>
      <c r="N15" s="486"/>
      <c r="O15" s="486">
        <v>0</v>
      </c>
      <c r="P15" s="486">
        <v>0</v>
      </c>
      <c r="Q15" s="486">
        <v>0</v>
      </c>
      <c r="R15" s="486"/>
      <c r="S15" s="486">
        <f t="shared" ref="S15:S21" si="12">+H15+M15+Q15</f>
        <v>2580537.422970348</v>
      </c>
      <c r="T15" s="486"/>
      <c r="U15" s="490">
        <v>-1301970.04</v>
      </c>
    </row>
    <row r="16" spans="1:21" ht="12.75" customHeight="1" x14ac:dyDescent="0.2">
      <c r="A16" s="839" t="s">
        <v>3448</v>
      </c>
      <c r="B16" s="486">
        <v>1762.6799999999998</v>
      </c>
      <c r="C16" s="486"/>
      <c r="D16" s="486">
        <v>349003.57999999996</v>
      </c>
      <c r="E16" s="486">
        <v>0</v>
      </c>
      <c r="F16" s="486">
        <v>0</v>
      </c>
      <c r="G16" s="486">
        <v>0</v>
      </c>
      <c r="H16" s="486">
        <f t="shared" si="10"/>
        <v>350766.25999999995</v>
      </c>
      <c r="I16" s="486"/>
      <c r="J16" s="486">
        <v>-1655.5072062649331</v>
      </c>
      <c r="K16" s="486">
        <v>-4376.203511246752</v>
      </c>
      <c r="L16" s="486">
        <v>0</v>
      </c>
      <c r="M16" s="486">
        <f t="shared" si="11"/>
        <v>-6031.7107175116853</v>
      </c>
      <c r="N16" s="486"/>
      <c r="O16" s="486">
        <v>0</v>
      </c>
      <c r="P16" s="486">
        <v>0</v>
      </c>
      <c r="Q16" s="486">
        <v>0</v>
      </c>
      <c r="R16" s="486"/>
      <c r="S16" s="486">
        <f t="shared" si="12"/>
        <v>344734.54928248824</v>
      </c>
      <c r="T16" s="486"/>
      <c r="U16" s="490">
        <v>0</v>
      </c>
    </row>
    <row r="17" spans="1:21" ht="12.75" customHeight="1" x14ac:dyDescent="0.2">
      <c r="A17" s="839" t="s">
        <v>3449</v>
      </c>
      <c r="B17" s="486">
        <v>104522821.04712278</v>
      </c>
      <c r="C17" s="486"/>
      <c r="D17" s="486">
        <v>65108.82</v>
      </c>
      <c r="E17" s="486">
        <v>0</v>
      </c>
      <c r="F17" s="486">
        <v>0</v>
      </c>
      <c r="G17" s="486">
        <v>-1011773.04</v>
      </c>
      <c r="H17" s="486">
        <f t="shared" si="10"/>
        <v>103576156.82712276</v>
      </c>
      <c r="I17" s="486"/>
      <c r="J17" s="486">
        <v>-61248762.854552418</v>
      </c>
      <c r="K17" s="486">
        <v>-5992346.1525232727</v>
      </c>
      <c r="L17" s="486">
        <v>883128.46408056188</v>
      </c>
      <c r="M17" s="486">
        <f t="shared" si="11"/>
        <v>-66357980.542995133</v>
      </c>
      <c r="N17" s="486"/>
      <c r="O17" s="486">
        <v>0</v>
      </c>
      <c r="P17" s="486">
        <v>0</v>
      </c>
      <c r="Q17" s="486">
        <v>0</v>
      </c>
      <c r="R17" s="486"/>
      <c r="S17" s="486">
        <f t="shared" si="12"/>
        <v>37218176.28412763</v>
      </c>
      <c r="T17" s="486"/>
      <c r="U17" s="490">
        <v>-16035575.740000028</v>
      </c>
    </row>
    <row r="18" spans="1:21" ht="12.75" customHeight="1" x14ac:dyDescent="0.2">
      <c r="A18" s="839" t="s">
        <v>3450</v>
      </c>
      <c r="B18" s="486">
        <v>249550135.95021081</v>
      </c>
      <c r="C18" s="486"/>
      <c r="D18" s="486">
        <v>150816.41999999995</v>
      </c>
      <c r="E18" s="486">
        <v>0</v>
      </c>
      <c r="F18" s="486">
        <v>0</v>
      </c>
      <c r="G18" s="486">
        <v>0</v>
      </c>
      <c r="H18" s="486">
        <f t="shared" si="10"/>
        <v>249700952.3702108</v>
      </c>
      <c r="I18" s="486"/>
      <c r="J18" s="486">
        <v>-115044778.48370221</v>
      </c>
      <c r="K18" s="486">
        <v>-8011872.4121079883</v>
      </c>
      <c r="L18" s="486">
        <v>0</v>
      </c>
      <c r="M18" s="486">
        <f t="shared" si="11"/>
        <v>-123056650.8958102</v>
      </c>
      <c r="N18" s="486"/>
      <c r="O18" s="486">
        <v>-8401.94</v>
      </c>
      <c r="P18" s="486">
        <v>0</v>
      </c>
      <c r="Q18" s="486">
        <v>-8401.94</v>
      </c>
      <c r="R18" s="486"/>
      <c r="S18" s="486">
        <f t="shared" si="12"/>
        <v>126635899.5344006</v>
      </c>
      <c r="T18" s="486"/>
      <c r="U18" s="490">
        <v>-59781418.480000004</v>
      </c>
    </row>
    <row r="19" spans="1:21" ht="12.75" customHeight="1" x14ac:dyDescent="0.2">
      <c r="A19" s="839" t="s">
        <v>3451</v>
      </c>
      <c r="B19" s="486">
        <v>305768.80400000006</v>
      </c>
      <c r="C19" s="486"/>
      <c r="D19" s="486">
        <v>7999.95</v>
      </c>
      <c r="E19" s="486">
        <v>0</v>
      </c>
      <c r="F19" s="486">
        <v>0</v>
      </c>
      <c r="G19" s="486">
        <v>0</v>
      </c>
      <c r="H19" s="486">
        <f t="shared" si="10"/>
        <v>313768.75400000007</v>
      </c>
      <c r="I19" s="486"/>
      <c r="J19" s="486">
        <v>-223876.82746287892</v>
      </c>
      <c r="K19" s="486">
        <v>-32577.739181342171</v>
      </c>
      <c r="L19" s="486">
        <v>0</v>
      </c>
      <c r="M19" s="486">
        <f t="shared" si="11"/>
        <v>-256454.56664422108</v>
      </c>
      <c r="N19" s="486"/>
      <c r="O19" s="486">
        <v>0</v>
      </c>
      <c r="P19" s="486">
        <v>0</v>
      </c>
      <c r="Q19" s="486">
        <v>0</v>
      </c>
      <c r="R19" s="486"/>
      <c r="S19" s="486">
        <f t="shared" si="12"/>
        <v>57314.187355778995</v>
      </c>
      <c r="T19" s="486"/>
      <c r="U19" s="490">
        <v>0</v>
      </c>
    </row>
    <row r="20" spans="1:21" ht="12.75" customHeight="1" x14ac:dyDescent="0.2">
      <c r="A20" s="839" t="s">
        <v>3452</v>
      </c>
      <c r="B20" s="486">
        <v>21553513.574999984</v>
      </c>
      <c r="C20" s="486"/>
      <c r="D20" s="486">
        <v>809919.48</v>
      </c>
      <c r="E20" s="486">
        <v>0</v>
      </c>
      <c r="F20" s="486">
        <v>0</v>
      </c>
      <c r="G20" s="486">
        <v>0</v>
      </c>
      <c r="H20" s="486">
        <f t="shared" si="10"/>
        <v>22363433.054999985</v>
      </c>
      <c r="I20" s="486"/>
      <c r="J20" s="486">
        <v>-14387507.399328208</v>
      </c>
      <c r="K20" s="486">
        <v>-1473552.1317987968</v>
      </c>
      <c r="L20" s="486">
        <v>0</v>
      </c>
      <c r="M20" s="486">
        <f t="shared" si="11"/>
        <v>-15861059.531127004</v>
      </c>
      <c r="N20" s="486"/>
      <c r="O20" s="486">
        <v>0</v>
      </c>
      <c r="P20" s="486">
        <v>0</v>
      </c>
      <c r="Q20" s="486">
        <v>0</v>
      </c>
      <c r="R20" s="486"/>
      <c r="S20" s="486">
        <f t="shared" si="12"/>
        <v>6502373.5238729808</v>
      </c>
      <c r="T20" s="486"/>
      <c r="U20" s="490">
        <v>-2950293.01</v>
      </c>
    </row>
    <row r="21" spans="1:21" ht="12.75" customHeight="1" x14ac:dyDescent="0.2">
      <c r="A21" s="839" t="s">
        <v>572</v>
      </c>
      <c r="B21" s="486">
        <v>143245990.85999992</v>
      </c>
      <c r="C21" s="486"/>
      <c r="D21" s="486">
        <v>2699718</v>
      </c>
      <c r="E21" s="486">
        <v>0</v>
      </c>
      <c r="F21" s="486">
        <v>0</v>
      </c>
      <c r="G21" s="486">
        <v>0</v>
      </c>
      <c r="H21" s="486">
        <f t="shared" si="10"/>
        <v>145945708.85999992</v>
      </c>
      <c r="I21" s="486"/>
      <c r="J21" s="486">
        <v>-71536330.580000028</v>
      </c>
      <c r="K21" s="486">
        <v>-6549917.5699999994</v>
      </c>
      <c r="L21" s="486">
        <v>0</v>
      </c>
      <c r="M21" s="486">
        <f t="shared" si="11"/>
        <v>-78086248.150000021</v>
      </c>
      <c r="N21" s="486"/>
      <c r="O21" s="486">
        <v>0</v>
      </c>
      <c r="P21" s="486">
        <v>0</v>
      </c>
      <c r="Q21" s="486">
        <v>0</v>
      </c>
      <c r="R21" s="486"/>
      <c r="S21" s="486">
        <f t="shared" si="12"/>
        <v>67859460.709999904</v>
      </c>
      <c r="T21" s="486"/>
      <c r="U21" s="490">
        <v>-21973453.690000009</v>
      </c>
    </row>
    <row r="22" spans="1:21" ht="12.75" customHeight="1" x14ac:dyDescent="0.2">
      <c r="A22" s="837" t="s">
        <v>3453</v>
      </c>
      <c r="B22" s="835">
        <f t="shared" ref="B22:U22" si="13">SUM(B23:B27)</f>
        <v>171552036.59189916</v>
      </c>
      <c r="C22" s="835">
        <f t="shared" si="13"/>
        <v>0</v>
      </c>
      <c r="D22" s="835">
        <f t="shared" si="13"/>
        <v>6564793.8433333337</v>
      </c>
      <c r="E22" s="835">
        <f t="shared" si="13"/>
        <v>0</v>
      </c>
      <c r="F22" s="835"/>
      <c r="G22" s="835">
        <f t="shared" si="13"/>
        <v>-4713979.8499999903</v>
      </c>
      <c r="H22" s="835">
        <f t="shared" si="13"/>
        <v>173402850.58523247</v>
      </c>
      <c r="I22" s="930">
        <f t="shared" si="13"/>
        <v>0</v>
      </c>
      <c r="J22" s="835">
        <f t="shared" si="13"/>
        <v>-70719638.941805571</v>
      </c>
      <c r="K22" s="835">
        <f t="shared" si="13"/>
        <v>-31526607.750060432</v>
      </c>
      <c r="L22" s="835">
        <f t="shared" si="13"/>
        <v>4516210.3796986425</v>
      </c>
      <c r="M22" s="835">
        <f t="shared" si="13"/>
        <v>-97730036.312167346</v>
      </c>
      <c r="N22" s="930">
        <f t="shared" si="13"/>
        <v>0</v>
      </c>
      <c r="O22" s="835">
        <f t="shared" si="13"/>
        <v>0</v>
      </c>
      <c r="P22" s="835">
        <f t="shared" si="13"/>
        <v>0</v>
      </c>
      <c r="Q22" s="835">
        <f t="shared" si="13"/>
        <v>0</v>
      </c>
      <c r="R22" s="930">
        <f t="shared" si="13"/>
        <v>0</v>
      </c>
      <c r="S22" s="835">
        <f t="shared" si="13"/>
        <v>75672814.27306512</v>
      </c>
      <c r="T22" s="930">
        <f t="shared" si="13"/>
        <v>0</v>
      </c>
      <c r="U22" s="838">
        <f t="shared" si="13"/>
        <v>-3759625.6799999969</v>
      </c>
    </row>
    <row r="23" spans="1:21" ht="12.75" customHeight="1" x14ac:dyDescent="0.2">
      <c r="A23" s="839" t="s">
        <v>568</v>
      </c>
      <c r="B23" s="486">
        <v>2628627.876000002</v>
      </c>
      <c r="C23" s="486"/>
      <c r="D23" s="486">
        <v>638770.87666666671</v>
      </c>
      <c r="E23" s="486">
        <v>0</v>
      </c>
      <c r="F23" s="486">
        <v>0</v>
      </c>
      <c r="G23" s="486">
        <v>0</v>
      </c>
      <c r="H23" s="486">
        <f t="shared" ref="H23:H27" si="14">SUM(B23:G23)</f>
        <v>3267398.752666669</v>
      </c>
      <c r="I23" s="486"/>
      <c r="J23" s="486">
        <v>-939432.59883996705</v>
      </c>
      <c r="K23" s="486">
        <v>-478119.85808890261</v>
      </c>
      <c r="L23" s="486">
        <v>0</v>
      </c>
      <c r="M23" s="486">
        <f t="shared" ref="M23:M27" si="15">SUM(J23:L23)</f>
        <v>-1417552.4569288697</v>
      </c>
      <c r="N23" s="486"/>
      <c r="O23" s="486">
        <v>0</v>
      </c>
      <c r="P23" s="486">
        <v>0</v>
      </c>
      <c r="Q23" s="486">
        <v>0</v>
      </c>
      <c r="R23" s="486"/>
      <c r="S23" s="486">
        <f t="shared" ref="S23:S27" si="16">+H23+M23+Q23</f>
        <v>1849846.2957377993</v>
      </c>
      <c r="T23" s="486"/>
      <c r="U23" s="490">
        <v>0</v>
      </c>
    </row>
    <row r="24" spans="1:21" ht="12.75" customHeight="1" x14ac:dyDescent="0.2">
      <c r="A24" s="839" t="s">
        <v>3571</v>
      </c>
      <c r="B24" s="486">
        <v>37861736.479999989</v>
      </c>
      <c r="C24" s="486"/>
      <c r="D24" s="486">
        <v>5757280</v>
      </c>
      <c r="E24" s="486">
        <v>0</v>
      </c>
      <c r="F24" s="486">
        <v>0</v>
      </c>
      <c r="G24" s="486">
        <v>-4713979.8499999903</v>
      </c>
      <c r="H24" s="486">
        <f t="shared" si="14"/>
        <v>38905036.629999995</v>
      </c>
      <c r="I24" s="486"/>
      <c r="J24" s="486">
        <v>-19605005.940547936</v>
      </c>
      <c r="K24" s="486">
        <v>-4812243.9325753236</v>
      </c>
      <c r="L24" s="486">
        <v>4516210.3796986425</v>
      </c>
      <c r="M24" s="486">
        <f t="shared" si="15"/>
        <v>-19901039.493424617</v>
      </c>
      <c r="N24" s="486"/>
      <c r="O24" s="486">
        <v>0</v>
      </c>
      <c r="P24" s="486">
        <v>0</v>
      </c>
      <c r="Q24" s="486">
        <v>0</v>
      </c>
      <c r="R24" s="486"/>
      <c r="S24" s="486">
        <f t="shared" si="16"/>
        <v>19003997.136575378</v>
      </c>
      <c r="T24" s="486"/>
      <c r="U24" s="490">
        <v>-3759625.6799999969</v>
      </c>
    </row>
    <row r="25" spans="1:21" ht="12.75" customHeight="1" x14ac:dyDescent="0.2">
      <c r="A25" s="839" t="s">
        <v>3454</v>
      </c>
      <c r="B25" s="486">
        <v>378343.565</v>
      </c>
      <c r="C25" s="486"/>
      <c r="D25" s="486">
        <v>163621.50666666665</v>
      </c>
      <c r="E25" s="486">
        <v>0</v>
      </c>
      <c r="F25" s="486">
        <v>0</v>
      </c>
      <c r="G25" s="486">
        <v>0</v>
      </c>
      <c r="H25" s="486">
        <f t="shared" si="14"/>
        <v>541965.07166666666</v>
      </c>
      <c r="I25" s="486"/>
      <c r="J25" s="486">
        <v>-261481.34089954867</v>
      </c>
      <c r="K25" s="486">
        <v>-59680.798270847954</v>
      </c>
      <c r="L25" s="486">
        <v>0</v>
      </c>
      <c r="M25" s="486">
        <f t="shared" si="15"/>
        <v>-321162.13917039661</v>
      </c>
      <c r="N25" s="486"/>
      <c r="O25" s="486">
        <v>0</v>
      </c>
      <c r="P25" s="486">
        <v>0</v>
      </c>
      <c r="Q25" s="486">
        <v>0</v>
      </c>
      <c r="R25" s="486"/>
      <c r="S25" s="486">
        <f t="shared" si="16"/>
        <v>220802.93249627005</v>
      </c>
      <c r="T25" s="486"/>
      <c r="U25" s="490">
        <v>0</v>
      </c>
    </row>
    <row r="26" spans="1:21" ht="12.75" customHeight="1" x14ac:dyDescent="0.2">
      <c r="A26" s="839" t="s">
        <v>3455</v>
      </c>
      <c r="B26" s="486">
        <v>130683328.67089915</v>
      </c>
      <c r="C26" s="486"/>
      <c r="D26" s="486">
        <v>5121.46</v>
      </c>
      <c r="E26" s="486">
        <v>0</v>
      </c>
      <c r="F26" s="486">
        <v>0</v>
      </c>
      <c r="G26" s="486">
        <v>0</v>
      </c>
      <c r="H26" s="486">
        <f t="shared" si="14"/>
        <v>130688450.13089915</v>
      </c>
      <c r="I26" s="486"/>
      <c r="J26" s="486">
        <v>-49913719.06151811</v>
      </c>
      <c r="K26" s="486">
        <v>-26176563.161125358</v>
      </c>
      <c r="L26" s="486">
        <v>0</v>
      </c>
      <c r="M26" s="486">
        <f t="shared" si="15"/>
        <v>-76090282.222643465</v>
      </c>
      <c r="N26" s="486"/>
      <c r="O26" s="486">
        <v>0</v>
      </c>
      <c r="P26" s="486">
        <v>0</v>
      </c>
      <c r="Q26" s="486">
        <v>0</v>
      </c>
      <c r="R26" s="486"/>
      <c r="S26" s="486">
        <f t="shared" si="16"/>
        <v>54598167.908255681</v>
      </c>
      <c r="T26" s="486"/>
      <c r="U26" s="490">
        <v>0</v>
      </c>
    </row>
    <row r="27" spans="1:21" ht="12.75" customHeight="1" x14ac:dyDescent="0.2">
      <c r="A27" s="839" t="s">
        <v>3456</v>
      </c>
      <c r="B27" s="486">
        <v>0</v>
      </c>
      <c r="C27" s="486"/>
      <c r="D27" s="486">
        <v>0</v>
      </c>
      <c r="E27" s="486">
        <v>0</v>
      </c>
      <c r="F27" s="486">
        <v>0</v>
      </c>
      <c r="G27" s="486">
        <v>0</v>
      </c>
      <c r="H27" s="486">
        <f t="shared" si="14"/>
        <v>0</v>
      </c>
      <c r="I27" s="486"/>
      <c r="J27" s="486">
        <v>0</v>
      </c>
      <c r="K27" s="486">
        <v>0</v>
      </c>
      <c r="L27" s="486">
        <v>0</v>
      </c>
      <c r="M27" s="486">
        <f t="shared" si="15"/>
        <v>0</v>
      </c>
      <c r="N27" s="486"/>
      <c r="O27" s="486">
        <v>0</v>
      </c>
      <c r="P27" s="486">
        <v>0</v>
      </c>
      <c r="Q27" s="486">
        <v>0</v>
      </c>
      <c r="R27" s="486"/>
      <c r="S27" s="486">
        <f t="shared" si="16"/>
        <v>0</v>
      </c>
      <c r="T27" s="486"/>
      <c r="U27" s="490">
        <v>0</v>
      </c>
    </row>
    <row r="28" spans="1:21" ht="12.75" customHeight="1" x14ac:dyDescent="0.2">
      <c r="A28" s="837" t="s">
        <v>3457</v>
      </c>
      <c r="B28" s="835">
        <f t="shared" ref="B28:U28" si="17">SUM(B29:B33)</f>
        <v>13202048736.508944</v>
      </c>
      <c r="C28" s="835">
        <f t="shared" si="17"/>
        <v>0</v>
      </c>
      <c r="D28" s="835">
        <f t="shared" si="17"/>
        <v>578255897.85000026</v>
      </c>
      <c r="E28" s="835">
        <f t="shared" si="17"/>
        <v>0</v>
      </c>
      <c r="F28" s="835"/>
      <c r="G28" s="835">
        <f t="shared" si="17"/>
        <v>-87351904.460000068</v>
      </c>
      <c r="H28" s="835">
        <f t="shared" si="17"/>
        <v>13692952729.898943</v>
      </c>
      <c r="I28" s="930">
        <f t="shared" si="17"/>
        <v>0</v>
      </c>
      <c r="J28" s="835">
        <f t="shared" si="17"/>
        <v>-7120574121.5960789</v>
      </c>
      <c r="K28" s="835">
        <f t="shared" si="17"/>
        <v>-321635114.83475107</v>
      </c>
      <c r="L28" s="835">
        <f t="shared" si="17"/>
        <v>38204973.693605185</v>
      </c>
      <c r="M28" s="835">
        <f t="shared" si="17"/>
        <v>-7404004262.7372265</v>
      </c>
      <c r="N28" s="930">
        <f t="shared" si="17"/>
        <v>0</v>
      </c>
      <c r="O28" s="835">
        <f t="shared" si="17"/>
        <v>-19021.05</v>
      </c>
      <c r="P28" s="835">
        <f t="shared" si="17"/>
        <v>0</v>
      </c>
      <c r="Q28" s="835">
        <f t="shared" si="17"/>
        <v>-19021.05</v>
      </c>
      <c r="R28" s="930">
        <f t="shared" si="17"/>
        <v>0</v>
      </c>
      <c r="S28" s="835">
        <f t="shared" si="17"/>
        <v>6288929446.1117172</v>
      </c>
      <c r="T28" s="930">
        <f t="shared" si="17"/>
        <v>0</v>
      </c>
      <c r="U28" s="838">
        <f t="shared" si="17"/>
        <v>-2583103182.2199931</v>
      </c>
    </row>
    <row r="29" spans="1:21" ht="12.75" customHeight="1" x14ac:dyDescent="0.2">
      <c r="A29" s="839" t="s">
        <v>1515</v>
      </c>
      <c r="B29" s="486">
        <v>196248.50000000009</v>
      </c>
      <c r="C29" s="486"/>
      <c r="D29" s="486">
        <v>0</v>
      </c>
      <c r="E29" s="486">
        <v>0</v>
      </c>
      <c r="F29" s="486">
        <v>0</v>
      </c>
      <c r="G29" s="486">
        <v>0</v>
      </c>
      <c r="H29" s="486">
        <f t="shared" ref="H29:H33" si="18">SUM(B29:G29)</f>
        <v>196248.50000000009</v>
      </c>
      <c r="I29" s="486"/>
      <c r="J29" s="486">
        <v>-160200.67725431093</v>
      </c>
      <c r="K29" s="486">
        <v>-15796.79868510648</v>
      </c>
      <c r="L29" s="486">
        <v>0</v>
      </c>
      <c r="M29" s="486">
        <f t="shared" ref="M29:M32" si="19">SUM(J29:L29)</f>
        <v>-175997.4759394174</v>
      </c>
      <c r="N29" s="486"/>
      <c r="O29" s="486">
        <v>0</v>
      </c>
      <c r="P29" s="486">
        <v>0</v>
      </c>
      <c r="Q29" s="486">
        <v>0</v>
      </c>
      <c r="R29" s="486"/>
      <c r="S29" s="486">
        <f t="shared" ref="S29:S33" si="20">+H29+M29+Q29</f>
        <v>20251.024060582684</v>
      </c>
      <c r="T29" s="486"/>
      <c r="U29" s="490">
        <v>0</v>
      </c>
    </row>
    <row r="30" spans="1:21" ht="12.75" customHeight="1" x14ac:dyDescent="0.2">
      <c r="A30" s="839" t="s">
        <v>3458</v>
      </c>
      <c r="B30" s="486">
        <v>2870021351.4859324</v>
      </c>
      <c r="C30" s="486"/>
      <c r="D30" s="486">
        <v>9169934.0700000022</v>
      </c>
      <c r="E30" s="486">
        <v>0</v>
      </c>
      <c r="F30" s="486">
        <v>0</v>
      </c>
      <c r="G30" s="486">
        <v>-483686.36</v>
      </c>
      <c r="H30" s="486">
        <f t="shared" si="18"/>
        <v>2878707599.1959324</v>
      </c>
      <c r="I30" s="486"/>
      <c r="J30" s="486">
        <v>-1788638149.5055366</v>
      </c>
      <c r="K30" s="486">
        <v>-65602098.946126238</v>
      </c>
      <c r="L30" s="486">
        <v>403139.32678239624</v>
      </c>
      <c r="M30" s="486">
        <f t="shared" si="19"/>
        <v>-1853837109.1248803</v>
      </c>
      <c r="N30" s="486"/>
      <c r="O30" s="486">
        <v>0</v>
      </c>
      <c r="P30" s="486">
        <v>0</v>
      </c>
      <c r="Q30" s="486">
        <v>0</v>
      </c>
      <c r="R30" s="486"/>
      <c r="S30" s="486">
        <f t="shared" si="20"/>
        <v>1024870490.0710521</v>
      </c>
      <c r="T30" s="486"/>
      <c r="U30" s="490">
        <v>-500318678.63998115</v>
      </c>
    </row>
    <row r="31" spans="1:21" ht="12.75" customHeight="1" x14ac:dyDescent="0.2">
      <c r="A31" s="839" t="s">
        <v>3459</v>
      </c>
      <c r="B31" s="486">
        <v>6256962556.9100056</v>
      </c>
      <c r="C31" s="486"/>
      <c r="D31" s="486">
        <v>420266894.20000023</v>
      </c>
      <c r="E31" s="486">
        <v>0</v>
      </c>
      <c r="F31" s="486">
        <v>0</v>
      </c>
      <c r="G31" s="486">
        <v>-82417164.640000075</v>
      </c>
      <c r="H31" s="486">
        <f t="shared" si="18"/>
        <v>6594812286.470005</v>
      </c>
      <c r="I31" s="486"/>
      <c r="J31" s="486">
        <v>-3054499654.8904476</v>
      </c>
      <c r="K31" s="486">
        <v>-172004335.47937953</v>
      </c>
      <c r="L31" s="486">
        <v>35306738.336822785</v>
      </c>
      <c r="M31" s="486">
        <f t="shared" si="19"/>
        <v>-3191197252.0330043</v>
      </c>
      <c r="N31" s="486"/>
      <c r="O31" s="486">
        <v>0</v>
      </c>
      <c r="P31" s="486">
        <v>0</v>
      </c>
      <c r="Q31" s="486">
        <v>0</v>
      </c>
      <c r="R31" s="486"/>
      <c r="S31" s="486">
        <f t="shared" si="20"/>
        <v>3403615034.4370008</v>
      </c>
      <c r="T31" s="486"/>
      <c r="U31" s="490">
        <v>-1378283057.3800082</v>
      </c>
    </row>
    <row r="32" spans="1:21" ht="12.75" customHeight="1" x14ac:dyDescent="0.2">
      <c r="A32" s="839" t="s">
        <v>3460</v>
      </c>
      <c r="B32" s="486">
        <v>1068877034.8599974</v>
      </c>
      <c r="C32" s="486"/>
      <c r="D32" s="486">
        <v>2215835.7999999998</v>
      </c>
      <c r="E32" s="486">
        <v>0</v>
      </c>
      <c r="F32" s="486">
        <v>0</v>
      </c>
      <c r="G32" s="486">
        <v>0</v>
      </c>
      <c r="H32" s="486">
        <f t="shared" si="18"/>
        <v>1071092870.6599973</v>
      </c>
      <c r="I32" s="486"/>
      <c r="J32" s="486">
        <v>-609142817.78367937</v>
      </c>
      <c r="K32" s="486">
        <v>-19591289.620101072</v>
      </c>
      <c r="L32" s="486">
        <v>0</v>
      </c>
      <c r="M32" s="486">
        <f t="shared" si="19"/>
        <v>-628734107.40378046</v>
      </c>
      <c r="N32" s="486"/>
      <c r="O32" s="486">
        <v>0</v>
      </c>
      <c r="P32" s="486">
        <v>0</v>
      </c>
      <c r="Q32" s="486">
        <v>0</v>
      </c>
      <c r="R32" s="486"/>
      <c r="S32" s="486">
        <f t="shared" si="20"/>
        <v>442358763.25621688</v>
      </c>
      <c r="T32" s="486"/>
      <c r="U32" s="490">
        <v>-200865975.24000129</v>
      </c>
    </row>
    <row r="33" spans="1:21" ht="12.75" customHeight="1" x14ac:dyDescent="0.2">
      <c r="A33" s="839" t="s">
        <v>3461</v>
      </c>
      <c r="B33" s="486">
        <v>3005991544.7530074</v>
      </c>
      <c r="C33" s="486"/>
      <c r="D33" s="486">
        <v>146603233.78000003</v>
      </c>
      <c r="E33" s="486">
        <v>0</v>
      </c>
      <c r="F33" s="486">
        <v>0</v>
      </c>
      <c r="G33" s="486">
        <v>-4451053.459999999</v>
      </c>
      <c r="H33" s="486">
        <f t="shared" si="18"/>
        <v>3148143725.0730076</v>
      </c>
      <c r="I33" s="486"/>
      <c r="J33" s="486">
        <v>-1668133298.7391615</v>
      </c>
      <c r="K33" s="486">
        <v>-64421593.990459114</v>
      </c>
      <c r="L33" s="486">
        <v>2495096.0299999998</v>
      </c>
      <c r="M33" s="486">
        <f>SUM(J33:L33)</f>
        <v>-1730059796.6996207</v>
      </c>
      <c r="N33" s="486"/>
      <c r="O33" s="486">
        <v>-19021.05</v>
      </c>
      <c r="P33" s="486">
        <v>0</v>
      </c>
      <c r="Q33" s="486">
        <v>-19021.05</v>
      </c>
      <c r="R33" s="486"/>
      <c r="S33" s="486">
        <f t="shared" si="20"/>
        <v>1418064907.3233869</v>
      </c>
      <c r="T33" s="486"/>
      <c r="U33" s="490">
        <v>-503635470.96000254</v>
      </c>
    </row>
    <row r="34" spans="1:21" ht="12.75" customHeight="1" x14ac:dyDescent="0.2">
      <c r="A34" s="837" t="s">
        <v>3462</v>
      </c>
      <c r="B34" s="835">
        <f t="shared" ref="B34:U34" si="21">SUM(B35:B39)</f>
        <v>417127685.11979991</v>
      </c>
      <c r="C34" s="835">
        <f t="shared" si="21"/>
        <v>0</v>
      </c>
      <c r="D34" s="835">
        <f t="shared" si="21"/>
        <v>518915.09</v>
      </c>
      <c r="E34" s="835">
        <f t="shared" si="21"/>
        <v>0</v>
      </c>
      <c r="F34" s="835">
        <f t="shared" si="21"/>
        <v>-6190029.3399999999</v>
      </c>
      <c r="G34" s="835">
        <f t="shared" si="21"/>
        <v>0</v>
      </c>
      <c r="H34" s="835">
        <f t="shared" si="21"/>
        <v>411456570.86979991</v>
      </c>
      <c r="I34" s="930">
        <f t="shared" si="21"/>
        <v>0</v>
      </c>
      <c r="J34" s="835">
        <f t="shared" si="21"/>
        <v>-230636506.51451251</v>
      </c>
      <c r="K34" s="835">
        <f t="shared" si="21"/>
        <v>-16483443.528248206</v>
      </c>
      <c r="L34" s="835">
        <f t="shared" si="21"/>
        <v>0</v>
      </c>
      <c r="M34" s="835">
        <f t="shared" si="21"/>
        <v>-247119950.0427607</v>
      </c>
      <c r="N34" s="930">
        <f t="shared" si="21"/>
        <v>0</v>
      </c>
      <c r="O34" s="835">
        <f t="shared" si="21"/>
        <v>0</v>
      </c>
      <c r="P34" s="835">
        <f t="shared" si="21"/>
        <v>0</v>
      </c>
      <c r="Q34" s="835">
        <f t="shared" si="21"/>
        <v>0</v>
      </c>
      <c r="R34" s="930">
        <f t="shared" si="21"/>
        <v>0</v>
      </c>
      <c r="S34" s="835">
        <f t="shared" si="21"/>
        <v>164336620.82703921</v>
      </c>
      <c r="T34" s="930">
        <f t="shared" si="21"/>
        <v>0</v>
      </c>
      <c r="U34" s="838">
        <f t="shared" si="21"/>
        <v>-87665751.319999903</v>
      </c>
    </row>
    <row r="35" spans="1:21" ht="12.75" customHeight="1" x14ac:dyDescent="0.2">
      <c r="A35" s="839" t="s">
        <v>3463</v>
      </c>
      <c r="B35" s="486">
        <v>2834542.0969999977</v>
      </c>
      <c r="C35" s="486"/>
      <c r="D35" s="486">
        <v>449136.17000000004</v>
      </c>
      <c r="E35" s="486">
        <v>0</v>
      </c>
      <c r="F35" s="486">
        <v>0</v>
      </c>
      <c r="G35" s="486">
        <v>0</v>
      </c>
      <c r="H35" s="486">
        <f t="shared" ref="H35:H39" si="22">SUM(B35:G35)</f>
        <v>3283678.2669999977</v>
      </c>
      <c r="I35" s="486"/>
      <c r="J35" s="486">
        <v>-1611477.4895756552</v>
      </c>
      <c r="K35" s="486">
        <v>-478308.25590984797</v>
      </c>
      <c r="L35" s="486">
        <v>0</v>
      </c>
      <c r="M35" s="486">
        <f t="shared" ref="M35:M39" si="23">SUM(J35:L35)</f>
        <v>-2089785.7454855032</v>
      </c>
      <c r="N35" s="486"/>
      <c r="O35" s="486">
        <v>0</v>
      </c>
      <c r="P35" s="486">
        <v>0</v>
      </c>
      <c r="Q35" s="486">
        <v>0</v>
      </c>
      <c r="R35" s="486"/>
      <c r="S35" s="486">
        <f t="shared" ref="S35:S39" si="24">+H35+M35+Q35</f>
        <v>1193892.5215144944</v>
      </c>
      <c r="T35" s="486"/>
      <c r="U35" s="490">
        <v>0</v>
      </c>
    </row>
    <row r="36" spans="1:21" ht="12.75" customHeight="1" x14ac:dyDescent="0.2">
      <c r="A36" s="839" t="s">
        <v>3464</v>
      </c>
      <c r="B36" s="486">
        <v>352381128.58999991</v>
      </c>
      <c r="C36" s="486"/>
      <c r="D36" s="486">
        <v>0</v>
      </c>
      <c r="E36" s="486">
        <v>0</v>
      </c>
      <c r="F36" s="486">
        <v>0</v>
      </c>
      <c r="G36" s="486">
        <v>0</v>
      </c>
      <c r="H36" s="486">
        <f t="shared" si="22"/>
        <v>352381128.58999991</v>
      </c>
      <c r="I36" s="486"/>
      <c r="J36" s="486">
        <v>-208898555.78000021</v>
      </c>
      <c r="K36" s="486">
        <v>-14593529.229999999</v>
      </c>
      <c r="L36" s="486">
        <v>0</v>
      </c>
      <c r="M36" s="486">
        <f t="shared" si="23"/>
        <v>-223492085.0100002</v>
      </c>
      <c r="N36" s="486"/>
      <c r="O36" s="486">
        <v>0</v>
      </c>
      <c r="P36" s="486">
        <v>0</v>
      </c>
      <c r="Q36" s="486">
        <v>0</v>
      </c>
      <c r="R36" s="486"/>
      <c r="S36" s="486">
        <f t="shared" si="24"/>
        <v>128889043.57999972</v>
      </c>
      <c r="T36" s="486"/>
      <c r="U36" s="490">
        <v>-81630704.059999898</v>
      </c>
    </row>
    <row r="37" spans="1:21" ht="12.75" customHeight="1" x14ac:dyDescent="0.2">
      <c r="A37" s="839" t="s">
        <v>1514</v>
      </c>
      <c r="B37" s="486">
        <v>0</v>
      </c>
      <c r="C37" s="486"/>
      <c r="D37" s="486">
        <v>0</v>
      </c>
      <c r="E37" s="486">
        <v>0</v>
      </c>
      <c r="F37" s="486">
        <v>0</v>
      </c>
      <c r="G37" s="486">
        <v>0</v>
      </c>
      <c r="H37" s="486">
        <f t="shared" si="22"/>
        <v>0</v>
      </c>
      <c r="I37" s="486"/>
      <c r="J37" s="486">
        <v>0</v>
      </c>
      <c r="K37" s="486">
        <v>0</v>
      </c>
      <c r="L37" s="486">
        <v>0</v>
      </c>
      <c r="M37" s="486">
        <f t="shared" si="23"/>
        <v>0</v>
      </c>
      <c r="N37" s="486"/>
      <c r="O37" s="486">
        <v>0</v>
      </c>
      <c r="P37" s="486">
        <v>0</v>
      </c>
      <c r="Q37" s="486">
        <v>0</v>
      </c>
      <c r="R37" s="486"/>
      <c r="S37" s="486">
        <f t="shared" si="24"/>
        <v>0</v>
      </c>
      <c r="T37" s="486"/>
      <c r="U37" s="490">
        <v>0</v>
      </c>
    </row>
    <row r="38" spans="1:21" ht="12.75" customHeight="1" x14ac:dyDescent="0.2">
      <c r="A38" s="839" t="s">
        <v>3465</v>
      </c>
      <c r="B38" s="486">
        <v>35456033.956799999</v>
      </c>
      <c r="C38" s="486"/>
      <c r="D38" s="486">
        <v>19600.850000000002</v>
      </c>
      <c r="E38" s="486">
        <v>0</v>
      </c>
      <c r="F38" s="486">
        <v>-6190029.3399999999</v>
      </c>
      <c r="G38" s="486">
        <v>0</v>
      </c>
      <c r="H38" s="486">
        <f t="shared" si="22"/>
        <v>29285605.466800001</v>
      </c>
      <c r="I38" s="486"/>
      <c r="J38" s="486">
        <v>-3081699.6243338743</v>
      </c>
      <c r="K38" s="486">
        <v>-809259.36817579775</v>
      </c>
      <c r="L38" s="486">
        <v>0</v>
      </c>
      <c r="M38" s="486">
        <f t="shared" si="23"/>
        <v>-3890958.992509672</v>
      </c>
      <c r="N38" s="486"/>
      <c r="O38" s="486">
        <v>0</v>
      </c>
      <c r="P38" s="486">
        <v>0</v>
      </c>
      <c r="Q38" s="486">
        <v>0</v>
      </c>
      <c r="R38" s="486"/>
      <c r="S38" s="486">
        <f t="shared" si="24"/>
        <v>25394646.47429033</v>
      </c>
      <c r="T38" s="486"/>
      <c r="U38" s="490">
        <v>-1479321.68</v>
      </c>
    </row>
    <row r="39" spans="1:21" ht="12.75" customHeight="1" x14ac:dyDescent="0.2">
      <c r="A39" s="839" t="s">
        <v>96</v>
      </c>
      <c r="B39" s="486">
        <v>26455980.476000004</v>
      </c>
      <c r="C39" s="486"/>
      <c r="D39" s="486">
        <v>50178.07</v>
      </c>
      <c r="E39" s="486">
        <v>0</v>
      </c>
      <c r="F39" s="486">
        <v>0</v>
      </c>
      <c r="G39" s="486">
        <v>0</v>
      </c>
      <c r="H39" s="486">
        <f t="shared" si="22"/>
        <v>26506158.546000004</v>
      </c>
      <c r="I39" s="486"/>
      <c r="J39" s="486">
        <v>-17044773.620602768</v>
      </c>
      <c r="K39" s="486">
        <v>-602346.67416256224</v>
      </c>
      <c r="L39" s="486">
        <v>0</v>
      </c>
      <c r="M39" s="486">
        <f t="shared" si="23"/>
        <v>-17647120.294765331</v>
      </c>
      <c r="N39" s="486"/>
      <c r="O39" s="486">
        <v>0</v>
      </c>
      <c r="P39" s="486">
        <v>0</v>
      </c>
      <c r="Q39" s="486">
        <v>0</v>
      </c>
      <c r="R39" s="486"/>
      <c r="S39" s="486">
        <f t="shared" si="24"/>
        <v>8859038.251234673</v>
      </c>
      <c r="T39" s="486"/>
      <c r="U39" s="490">
        <v>-4555725.5799999945</v>
      </c>
    </row>
    <row r="40" spans="1:21" ht="12.75" customHeight="1" x14ac:dyDescent="0.2">
      <c r="A40" s="837" t="s">
        <v>3466</v>
      </c>
      <c r="B40" s="835">
        <f t="shared" ref="B40:H40" si="25">SUM(B41:B43)</f>
        <v>31273932.361999992</v>
      </c>
      <c r="C40" s="835">
        <f t="shared" si="25"/>
        <v>0</v>
      </c>
      <c r="D40" s="835">
        <f t="shared" si="25"/>
        <v>279889.40000000002</v>
      </c>
      <c r="E40" s="835">
        <f t="shared" si="25"/>
        <v>0</v>
      </c>
      <c r="F40" s="835"/>
      <c r="G40" s="835">
        <f t="shared" si="25"/>
        <v>-371782.58</v>
      </c>
      <c r="H40" s="835">
        <f t="shared" si="25"/>
        <v>31182039.181999993</v>
      </c>
      <c r="I40" s="930">
        <f t="shared" ref="I40:T40" si="26">SUM(I41:I42)</f>
        <v>0</v>
      </c>
      <c r="J40" s="835">
        <f t="shared" ref="J40:M40" si="27">SUM(J41:J43)</f>
        <v>-22163010.225871284</v>
      </c>
      <c r="K40" s="835">
        <f t="shared" si="27"/>
        <v>-990021.440404983</v>
      </c>
      <c r="L40" s="835">
        <f t="shared" si="27"/>
        <v>260796.16999999998</v>
      </c>
      <c r="M40" s="835">
        <f t="shared" si="27"/>
        <v>-22892235.496276267</v>
      </c>
      <c r="N40" s="930">
        <f t="shared" si="26"/>
        <v>0</v>
      </c>
      <c r="O40" s="835">
        <f t="shared" si="26"/>
        <v>0</v>
      </c>
      <c r="P40" s="835">
        <f t="shared" si="26"/>
        <v>0</v>
      </c>
      <c r="Q40" s="835">
        <f t="shared" si="26"/>
        <v>0</v>
      </c>
      <c r="R40" s="930">
        <f t="shared" si="26"/>
        <v>0</v>
      </c>
      <c r="S40" s="835">
        <f>SUM(S41:S43)</f>
        <v>8289803.6857237248</v>
      </c>
      <c r="T40" s="930">
        <f t="shared" si="26"/>
        <v>0</v>
      </c>
      <c r="U40" s="838">
        <f>SUM(U41:U43)</f>
        <v>-5250411.3999999994</v>
      </c>
    </row>
    <row r="41" spans="1:21" ht="12.75" customHeight="1" x14ac:dyDescent="0.2">
      <c r="A41" s="839" t="s">
        <v>414</v>
      </c>
      <c r="B41" s="486">
        <v>379849.73200000013</v>
      </c>
      <c r="C41" s="486"/>
      <c r="D41" s="486">
        <v>0</v>
      </c>
      <c r="E41" s="486">
        <v>0</v>
      </c>
      <c r="F41" s="486">
        <v>0</v>
      </c>
      <c r="G41" s="486">
        <v>0</v>
      </c>
      <c r="H41" s="486">
        <f t="shared" ref="H41:H43" si="28">SUM(B41:G41)</f>
        <v>379849.73200000013</v>
      </c>
      <c r="I41" s="486"/>
      <c r="J41" s="486">
        <v>-284889.85587128345</v>
      </c>
      <c r="K41" s="486">
        <v>-36105.770404982533</v>
      </c>
      <c r="L41" s="486">
        <v>0</v>
      </c>
      <c r="M41" s="486">
        <f t="shared" ref="M41:M43" si="29">SUM(J41:L41)</f>
        <v>-320995.626276266</v>
      </c>
      <c r="N41" s="486"/>
      <c r="O41" s="486">
        <v>0</v>
      </c>
      <c r="P41" s="486">
        <v>0</v>
      </c>
      <c r="Q41" s="486">
        <v>0</v>
      </c>
      <c r="R41" s="486"/>
      <c r="S41" s="486">
        <f t="shared" ref="S41:S43" si="30">+H41+M41+Q41</f>
        <v>58854.10572373413</v>
      </c>
      <c r="T41" s="486"/>
      <c r="U41" s="490">
        <v>0</v>
      </c>
    </row>
    <row r="42" spans="1:21" ht="12.75" customHeight="1" x14ac:dyDescent="0.2">
      <c r="A42" s="839" t="s">
        <v>3467</v>
      </c>
      <c r="B42" s="486">
        <v>0</v>
      </c>
      <c r="C42" s="486"/>
      <c r="D42" s="486">
        <v>0</v>
      </c>
      <c r="E42" s="486">
        <v>0</v>
      </c>
      <c r="F42" s="486">
        <v>0</v>
      </c>
      <c r="G42" s="486">
        <v>0</v>
      </c>
      <c r="H42" s="486">
        <f t="shared" si="28"/>
        <v>0</v>
      </c>
      <c r="I42" s="486"/>
      <c r="J42" s="486">
        <v>0</v>
      </c>
      <c r="K42" s="486">
        <v>0</v>
      </c>
      <c r="L42" s="486">
        <v>0</v>
      </c>
      <c r="M42" s="486">
        <f t="shared" si="29"/>
        <v>0</v>
      </c>
      <c r="N42" s="486"/>
      <c r="O42" s="486">
        <v>0</v>
      </c>
      <c r="P42" s="486">
        <v>0</v>
      </c>
      <c r="Q42" s="486">
        <v>0</v>
      </c>
      <c r="R42" s="486"/>
      <c r="S42" s="486">
        <f t="shared" si="30"/>
        <v>0</v>
      </c>
      <c r="T42" s="486"/>
      <c r="U42" s="490">
        <v>0</v>
      </c>
    </row>
    <row r="43" spans="1:21" ht="12.75" customHeight="1" x14ac:dyDescent="0.2">
      <c r="A43" s="839" t="s">
        <v>3474</v>
      </c>
      <c r="B43" s="486">
        <v>30894082.629999992</v>
      </c>
      <c r="C43" s="486"/>
      <c r="D43" s="486">
        <v>279889.40000000002</v>
      </c>
      <c r="E43" s="486">
        <v>0</v>
      </c>
      <c r="F43" s="486">
        <v>0</v>
      </c>
      <c r="G43" s="486">
        <v>-371782.58</v>
      </c>
      <c r="H43" s="486">
        <f t="shared" si="28"/>
        <v>30802189.449999992</v>
      </c>
      <c r="I43" s="486"/>
      <c r="J43" s="486">
        <v>-21878120.370000001</v>
      </c>
      <c r="K43" s="486">
        <v>-953915.67000000051</v>
      </c>
      <c r="L43" s="486">
        <v>260796.16999999998</v>
      </c>
      <c r="M43" s="486">
        <f t="shared" si="29"/>
        <v>-22571239.870000001</v>
      </c>
      <c r="N43" s="486"/>
      <c r="O43" s="486">
        <v>0</v>
      </c>
      <c r="P43" s="486">
        <v>0</v>
      </c>
      <c r="Q43" s="486"/>
      <c r="R43" s="486"/>
      <c r="S43" s="486">
        <f t="shared" si="30"/>
        <v>8230949.5799999908</v>
      </c>
      <c r="T43" s="486"/>
      <c r="U43" s="490">
        <v>-5250411.3999999994</v>
      </c>
    </row>
    <row r="44" spans="1:21" ht="12.75" customHeight="1" x14ac:dyDescent="0.2">
      <c r="A44" s="837" t="s">
        <v>3468</v>
      </c>
      <c r="B44" s="835">
        <f>+B45</f>
        <v>108654114.53000002</v>
      </c>
      <c r="C44" s="835">
        <f t="shared" ref="C44:U44" si="31">C45</f>
        <v>0</v>
      </c>
      <c r="D44" s="835">
        <f t="shared" si="31"/>
        <v>0</v>
      </c>
      <c r="E44" s="835">
        <f t="shared" si="31"/>
        <v>0</v>
      </c>
      <c r="F44" s="835"/>
      <c r="G44" s="835">
        <f t="shared" si="31"/>
        <v>0</v>
      </c>
      <c r="H44" s="835">
        <f t="shared" si="31"/>
        <v>108654114.53000002</v>
      </c>
      <c r="I44" s="930">
        <f t="shared" si="31"/>
        <v>0</v>
      </c>
      <c r="J44" s="835">
        <f t="shared" si="31"/>
        <v>-59634614.790000029</v>
      </c>
      <c r="K44" s="835">
        <f t="shared" si="31"/>
        <v>-2657978.5999999992</v>
      </c>
      <c r="L44" s="835">
        <f t="shared" si="31"/>
        <v>0</v>
      </c>
      <c r="M44" s="835">
        <f t="shared" si="31"/>
        <v>-62292593.39000003</v>
      </c>
      <c r="N44" s="930">
        <f t="shared" si="31"/>
        <v>0</v>
      </c>
      <c r="O44" s="835">
        <f t="shared" si="31"/>
        <v>-122882.87</v>
      </c>
      <c r="P44" s="835">
        <f t="shared" si="31"/>
        <v>0</v>
      </c>
      <c r="Q44" s="835">
        <f t="shared" si="31"/>
        <v>-122882.87</v>
      </c>
      <c r="R44" s="930">
        <f t="shared" si="31"/>
        <v>0</v>
      </c>
      <c r="S44" s="835">
        <f t="shared" si="31"/>
        <v>46238638.269999988</v>
      </c>
      <c r="T44" s="930">
        <f t="shared" si="31"/>
        <v>0</v>
      </c>
      <c r="U44" s="838">
        <f t="shared" si="31"/>
        <v>-23254698.539999995</v>
      </c>
    </row>
    <row r="45" spans="1:21" ht="12.75" customHeight="1" x14ac:dyDescent="0.2">
      <c r="A45" s="839" t="s">
        <v>3469</v>
      </c>
      <c r="B45" s="486">
        <v>108654114.53000002</v>
      </c>
      <c r="C45" s="486"/>
      <c r="D45" s="486">
        <v>0</v>
      </c>
      <c r="E45" s="486">
        <v>0</v>
      </c>
      <c r="F45" s="486">
        <v>0</v>
      </c>
      <c r="G45" s="486">
        <v>0</v>
      </c>
      <c r="H45" s="486">
        <f>SUM(B45:G45)</f>
        <v>108654114.53000002</v>
      </c>
      <c r="I45" s="486"/>
      <c r="J45" s="486">
        <v>-59634614.790000029</v>
      </c>
      <c r="K45" s="486">
        <v>-2657978.5999999992</v>
      </c>
      <c r="L45" s="486">
        <v>0</v>
      </c>
      <c r="M45" s="486">
        <f>SUM(J45:L45)</f>
        <v>-62292593.39000003</v>
      </c>
      <c r="N45" s="486"/>
      <c r="O45" s="486">
        <v>-122882.87</v>
      </c>
      <c r="P45" s="486">
        <v>0</v>
      </c>
      <c r="Q45" s="486">
        <v>-122882.87</v>
      </c>
      <c r="R45" s="486"/>
      <c r="S45" s="486">
        <f>+H45+M45+Q45</f>
        <v>46238638.269999988</v>
      </c>
      <c r="T45" s="486"/>
      <c r="U45" s="490">
        <v>-23254698.539999995</v>
      </c>
    </row>
    <row r="46" spans="1:21" ht="12.75" customHeight="1" x14ac:dyDescent="0.2">
      <c r="A46" s="837" t="s">
        <v>3470</v>
      </c>
      <c r="B46" s="835">
        <f t="shared" ref="B46:U46" si="32">SUM(B47:B50)</f>
        <v>483739.92000000022</v>
      </c>
      <c r="C46" s="835">
        <f t="shared" si="32"/>
        <v>0</v>
      </c>
      <c r="D46" s="835">
        <f t="shared" si="32"/>
        <v>5459.13</v>
      </c>
      <c r="E46" s="835">
        <f t="shared" si="32"/>
        <v>0</v>
      </c>
      <c r="F46" s="835"/>
      <c r="G46" s="835">
        <f t="shared" si="32"/>
        <v>0</v>
      </c>
      <c r="H46" s="835">
        <f t="shared" si="32"/>
        <v>489199.05000000022</v>
      </c>
      <c r="I46" s="930">
        <f t="shared" si="32"/>
        <v>0</v>
      </c>
      <c r="J46" s="835">
        <f t="shared" si="32"/>
        <v>-304472.24547611782</v>
      </c>
      <c r="K46" s="835">
        <f t="shared" si="32"/>
        <v>-54887.997039915295</v>
      </c>
      <c r="L46" s="835">
        <f t="shared" si="32"/>
        <v>0</v>
      </c>
      <c r="M46" s="835">
        <f t="shared" si="32"/>
        <v>-359360.24251603312</v>
      </c>
      <c r="N46" s="930">
        <f t="shared" si="32"/>
        <v>0</v>
      </c>
      <c r="O46" s="835">
        <f t="shared" si="32"/>
        <v>0</v>
      </c>
      <c r="P46" s="835">
        <f t="shared" si="32"/>
        <v>0</v>
      </c>
      <c r="Q46" s="835">
        <f t="shared" si="32"/>
        <v>0</v>
      </c>
      <c r="R46" s="930">
        <f t="shared" si="32"/>
        <v>0</v>
      </c>
      <c r="S46" s="835">
        <f t="shared" si="32"/>
        <v>129838.8074839671</v>
      </c>
      <c r="T46" s="930">
        <f t="shared" si="32"/>
        <v>0</v>
      </c>
      <c r="U46" s="838">
        <f t="shared" si="32"/>
        <v>0</v>
      </c>
    </row>
    <row r="47" spans="1:21" ht="12.75" customHeight="1" x14ac:dyDescent="0.2">
      <c r="A47" s="839" t="s">
        <v>3471</v>
      </c>
      <c r="B47" s="486">
        <v>483739.92000000022</v>
      </c>
      <c r="C47" s="486"/>
      <c r="D47" s="486">
        <v>5459.13</v>
      </c>
      <c r="E47" s="486">
        <v>0</v>
      </c>
      <c r="F47" s="486">
        <v>0</v>
      </c>
      <c r="G47" s="486">
        <v>0</v>
      </c>
      <c r="H47" s="486">
        <f t="shared" ref="H47:H50" si="33">SUM(B47:G47)</f>
        <v>489199.05000000022</v>
      </c>
      <c r="I47" s="486"/>
      <c r="J47" s="486">
        <v>-304472.24547611782</v>
      </c>
      <c r="K47" s="486">
        <v>-54887.997039915295</v>
      </c>
      <c r="L47" s="486">
        <v>0</v>
      </c>
      <c r="M47" s="486">
        <f t="shared" ref="M47:M50" si="34">SUM(J47:L47)</f>
        <v>-359360.24251603312</v>
      </c>
      <c r="N47" s="486"/>
      <c r="O47" s="486">
        <v>0</v>
      </c>
      <c r="P47" s="486">
        <v>0</v>
      </c>
      <c r="Q47" s="486">
        <v>0</v>
      </c>
      <c r="R47" s="486"/>
      <c r="S47" s="486">
        <f t="shared" ref="S47:S50" si="35">+H47+M47+Q47</f>
        <v>129838.8074839671</v>
      </c>
      <c r="T47" s="486"/>
      <c r="U47" s="490">
        <v>0</v>
      </c>
    </row>
    <row r="48" spans="1:21" ht="12.75" customHeight="1" x14ac:dyDescent="0.2">
      <c r="A48" s="839" t="s">
        <v>3472</v>
      </c>
      <c r="B48" s="486">
        <v>0</v>
      </c>
      <c r="C48" s="486"/>
      <c r="D48" s="486">
        <v>0</v>
      </c>
      <c r="E48" s="486">
        <v>0</v>
      </c>
      <c r="F48" s="486">
        <v>0</v>
      </c>
      <c r="G48" s="486">
        <v>0</v>
      </c>
      <c r="H48" s="486">
        <f t="shared" si="33"/>
        <v>0</v>
      </c>
      <c r="I48" s="486"/>
      <c r="J48" s="486">
        <v>0</v>
      </c>
      <c r="K48" s="486">
        <v>0</v>
      </c>
      <c r="L48" s="486">
        <v>0</v>
      </c>
      <c r="M48" s="486">
        <f t="shared" si="34"/>
        <v>0</v>
      </c>
      <c r="N48" s="486"/>
      <c r="O48" s="486">
        <v>0</v>
      </c>
      <c r="P48" s="486">
        <v>0</v>
      </c>
      <c r="Q48" s="486">
        <v>0</v>
      </c>
      <c r="R48" s="486"/>
      <c r="S48" s="486">
        <f t="shared" si="35"/>
        <v>0</v>
      </c>
      <c r="T48" s="486"/>
      <c r="U48" s="490">
        <v>0</v>
      </c>
    </row>
    <row r="49" spans="1:21" ht="12.75" customHeight="1" x14ac:dyDescent="0.2">
      <c r="A49" s="839" t="s">
        <v>953</v>
      </c>
      <c r="B49" s="486">
        <v>0</v>
      </c>
      <c r="C49" s="486"/>
      <c r="D49" s="486">
        <v>0</v>
      </c>
      <c r="E49" s="486">
        <v>0</v>
      </c>
      <c r="F49" s="486">
        <v>0</v>
      </c>
      <c r="G49" s="486">
        <v>0</v>
      </c>
      <c r="H49" s="486">
        <f t="shared" si="33"/>
        <v>0</v>
      </c>
      <c r="I49" s="486"/>
      <c r="J49" s="486">
        <v>0</v>
      </c>
      <c r="K49" s="486">
        <v>0</v>
      </c>
      <c r="L49" s="486">
        <v>0</v>
      </c>
      <c r="M49" s="486">
        <f t="shared" si="34"/>
        <v>0</v>
      </c>
      <c r="N49" s="486"/>
      <c r="O49" s="486">
        <v>0</v>
      </c>
      <c r="P49" s="486">
        <v>0</v>
      </c>
      <c r="Q49" s="486">
        <v>0</v>
      </c>
      <c r="R49" s="486"/>
      <c r="S49" s="486">
        <f t="shared" si="35"/>
        <v>0</v>
      </c>
      <c r="T49" s="486"/>
      <c r="U49" s="490">
        <v>0</v>
      </c>
    </row>
    <row r="50" spans="1:21" ht="12.75" customHeight="1" x14ac:dyDescent="0.2">
      <c r="A50" s="839" t="s">
        <v>3473</v>
      </c>
      <c r="B50" s="486">
        <v>0</v>
      </c>
      <c r="C50" s="486"/>
      <c r="D50" s="486">
        <v>0</v>
      </c>
      <c r="E50" s="486">
        <v>0</v>
      </c>
      <c r="F50" s="486">
        <v>0</v>
      </c>
      <c r="G50" s="486">
        <v>0</v>
      </c>
      <c r="H50" s="486">
        <f t="shared" si="33"/>
        <v>0</v>
      </c>
      <c r="I50" s="486"/>
      <c r="J50" s="486">
        <v>0</v>
      </c>
      <c r="K50" s="486">
        <v>0</v>
      </c>
      <c r="L50" s="486">
        <v>0</v>
      </c>
      <c r="M50" s="486">
        <f t="shared" si="34"/>
        <v>0</v>
      </c>
      <c r="N50" s="486"/>
      <c r="O50" s="486">
        <v>0</v>
      </c>
      <c r="P50" s="486">
        <v>0</v>
      </c>
      <c r="Q50" s="486">
        <v>0</v>
      </c>
      <c r="R50" s="486"/>
      <c r="S50" s="486">
        <f t="shared" si="35"/>
        <v>0</v>
      </c>
      <c r="T50" s="486"/>
      <c r="U50" s="490">
        <v>0</v>
      </c>
    </row>
    <row r="51" spans="1:21" ht="12.75" customHeight="1" x14ac:dyDescent="0.2">
      <c r="A51" s="837" t="s">
        <v>3475</v>
      </c>
      <c r="B51" s="835">
        <f>+B52</f>
        <v>566937060.17097139</v>
      </c>
      <c r="C51" s="835">
        <f t="shared" ref="C51:U51" si="36">+C52</f>
        <v>-120572625.61097147</v>
      </c>
      <c r="D51" s="835">
        <f t="shared" si="36"/>
        <v>0</v>
      </c>
      <c r="E51" s="835">
        <f t="shared" si="36"/>
        <v>0</v>
      </c>
      <c r="F51" s="835"/>
      <c r="G51" s="835">
        <f t="shared" si="36"/>
        <v>0</v>
      </c>
      <c r="H51" s="835">
        <f t="shared" si="36"/>
        <v>446364434.55999994</v>
      </c>
      <c r="I51" s="930">
        <f t="shared" si="36"/>
        <v>0</v>
      </c>
      <c r="J51" s="835">
        <f t="shared" si="36"/>
        <v>0</v>
      </c>
      <c r="K51" s="835">
        <f t="shared" si="36"/>
        <v>0</v>
      </c>
      <c r="L51" s="835">
        <f t="shared" si="36"/>
        <v>0</v>
      </c>
      <c r="M51" s="835">
        <f t="shared" si="36"/>
        <v>0</v>
      </c>
      <c r="N51" s="930">
        <f t="shared" si="36"/>
        <v>0</v>
      </c>
      <c r="O51" s="835">
        <f t="shared" si="36"/>
        <v>0</v>
      </c>
      <c r="P51" s="835">
        <f t="shared" si="36"/>
        <v>0</v>
      </c>
      <c r="Q51" s="835">
        <f t="shared" si="36"/>
        <v>0</v>
      </c>
      <c r="R51" s="930">
        <f t="shared" si="36"/>
        <v>0</v>
      </c>
      <c r="S51" s="835">
        <f t="shared" si="36"/>
        <v>446364434.55999994</v>
      </c>
      <c r="T51" s="930">
        <f t="shared" si="36"/>
        <v>0</v>
      </c>
      <c r="U51" s="838">
        <f t="shared" si="36"/>
        <v>0</v>
      </c>
    </row>
    <row r="52" spans="1:21" ht="12.75" customHeight="1" x14ac:dyDescent="0.2">
      <c r="A52" s="839" t="s">
        <v>3475</v>
      </c>
      <c r="B52" s="486">
        <v>566937060.17097139</v>
      </c>
      <c r="C52" s="486">
        <f>+'[3]Appendix B'!C6+'[3]Appendix B'!C14+'[3]Appendix B'!C18</f>
        <v>-120572625.61097147</v>
      </c>
      <c r="D52" s="486">
        <v>0</v>
      </c>
      <c r="E52" s="486">
        <v>0</v>
      </c>
      <c r="F52" s="486"/>
      <c r="G52" s="486">
        <v>0</v>
      </c>
      <c r="H52" s="994">
        <f>+B52+C52+D52+E52</f>
        <v>446364434.55999994</v>
      </c>
      <c r="I52" s="486"/>
      <c r="J52" s="486">
        <v>0</v>
      </c>
      <c r="K52" s="486">
        <v>0</v>
      </c>
      <c r="L52" s="486">
        <v>0</v>
      </c>
      <c r="M52" s="486">
        <v>0</v>
      </c>
      <c r="N52" s="486"/>
      <c r="O52" s="486">
        <v>0</v>
      </c>
      <c r="P52" s="486">
        <v>0</v>
      </c>
      <c r="Q52" s="486">
        <v>0</v>
      </c>
      <c r="R52" s="486"/>
      <c r="S52" s="486">
        <f>+H52</f>
        <v>446364434.55999994</v>
      </c>
      <c r="T52" s="486"/>
      <c r="U52" s="490">
        <v>0</v>
      </c>
    </row>
    <row r="53" spans="1:21" ht="12.75" customHeight="1" thickBot="1" x14ac:dyDescent="0.25">
      <c r="A53" s="493"/>
      <c r="B53" s="840">
        <f>+B3+B5+B9+B14+B22+B28+B34+B40+B44+B46+B51</f>
        <v>18426749954.404915</v>
      </c>
      <c r="C53" s="840">
        <f t="shared" ref="C53:H53" si="37">+C3+C5+C9+C14+C22+C28+C34+C40+C44+C46+C51</f>
        <v>-120572625.61097147</v>
      </c>
      <c r="D53" s="840">
        <f t="shared" si="37"/>
        <v>688709476.40000033</v>
      </c>
      <c r="E53" s="840">
        <f t="shared" si="37"/>
        <v>0</v>
      </c>
      <c r="F53" s="840">
        <f t="shared" si="37"/>
        <v>18114503.665093035</v>
      </c>
      <c r="G53" s="840">
        <f t="shared" si="37"/>
        <v>-93449439.930000052</v>
      </c>
      <c r="H53" s="840">
        <f t="shared" si="37"/>
        <v>18919551868.929039</v>
      </c>
      <c r="I53" s="486"/>
      <c r="J53" s="840">
        <f t="shared" ref="J53:M53" si="38">+J3+J5+J9+J14+J22+J28+J34+J40+J44+J46+J51</f>
        <v>-9127685471.0341816</v>
      </c>
      <c r="K53" s="840">
        <f t="shared" si="38"/>
        <v>-475210190.11876684</v>
      </c>
      <c r="L53" s="840">
        <f t="shared" si="38"/>
        <v>43865108.707384393</v>
      </c>
      <c r="M53" s="840">
        <f t="shared" si="38"/>
        <v>-9559030552.4455624</v>
      </c>
      <c r="N53" s="486"/>
      <c r="O53" s="840">
        <f t="shared" ref="O53:Q53" si="39">+O3+O5+O9+O14+O22+O28+O34+O40+O44+O46+O51</f>
        <v>-150305.85999999999</v>
      </c>
      <c r="P53" s="840">
        <f t="shared" si="39"/>
        <v>0</v>
      </c>
      <c r="Q53" s="840">
        <f t="shared" si="39"/>
        <v>-150305.85999999999</v>
      </c>
      <c r="R53" s="486"/>
      <c r="S53" s="840">
        <f>+S3+S5+S9+S14+S22+S28+S34+S40+S44+S46+S51</f>
        <v>9360371010.6234798</v>
      </c>
      <c r="T53" s="486"/>
      <c r="U53" s="840">
        <f>+U3+U5+U9+U14+U22+U28+U34+U40+U44+U46+U51</f>
        <v>-3408519196.2389865</v>
      </c>
    </row>
    <row r="55" spans="1:21" hidden="1" x14ac:dyDescent="0.2">
      <c r="B55" s="439">
        <f>+'[3]Appendix B'!B43</f>
        <v>18426749954.404892</v>
      </c>
      <c r="C55" s="439">
        <f>+'[3]Appendix B'!C43</f>
        <v>-120572625.61097144</v>
      </c>
      <c r="D55" s="439">
        <f>+'[3]Appendix B'!D43</f>
        <v>688709476.40000033</v>
      </c>
      <c r="E55" s="439">
        <f>+'[3]Appendix B'!E43</f>
        <v>0</v>
      </c>
      <c r="F55" s="439">
        <f>+'[3]Appendix B'!F43</f>
        <v>18114503.665093035</v>
      </c>
      <c r="G55" s="439">
        <f>+'[3]Appendix B'!H43</f>
        <v>-93449439.930000022</v>
      </c>
      <c r="H55" s="439">
        <f>+'[3]Appendix B'!I43</f>
        <v>18919551868.929008</v>
      </c>
      <c r="J55" s="439">
        <f>+'[3]Appendix B'!K43</f>
        <v>-9127685471.0341682</v>
      </c>
      <c r="K55" s="439">
        <f>+'[3]Appendix B'!L43</f>
        <v>-475210190.11876589</v>
      </c>
      <c r="L55" s="439">
        <f>+'[3]Appendix B'!M43</f>
        <v>43865108.707384408</v>
      </c>
      <c r="M55" s="439">
        <f>+'[3]Appendix B'!N43</f>
        <v>-9559030552.445549</v>
      </c>
      <c r="O55" s="439">
        <f>+'[3]Appendix B'!P43</f>
        <v>-150305.85999999999</v>
      </c>
      <c r="P55" s="439">
        <f>+'[3]Appendix B'!Q43</f>
        <v>0</v>
      </c>
      <c r="Q55" s="439">
        <f>+'[3]Appendix B'!R43</f>
        <v>-150305.85999999999</v>
      </c>
      <c r="S55" s="439">
        <f>+'[3]Appendix B'!T43</f>
        <v>9360371010.6234665</v>
      </c>
      <c r="T55" s="439"/>
      <c r="U55" s="439">
        <f>+'[3]Appendix B'!V43</f>
        <v>-3408519196.2389789</v>
      </c>
    </row>
    <row r="56" spans="1:21" hidden="1" x14ac:dyDescent="0.2">
      <c r="B56" s="922"/>
      <c r="C56" s="922"/>
      <c r="D56" s="922"/>
      <c r="E56" s="922"/>
      <c r="F56" s="922"/>
      <c r="G56" s="922"/>
      <c r="H56" s="922"/>
      <c r="I56" s="922"/>
      <c r="J56" s="922"/>
      <c r="K56" s="922"/>
      <c r="L56" s="922"/>
      <c r="M56" s="922"/>
      <c r="N56" s="922"/>
      <c r="O56" s="922"/>
      <c r="P56" s="922"/>
      <c r="Q56" s="922"/>
      <c r="R56" s="922"/>
      <c r="S56" s="1635"/>
      <c r="T56" s="1636"/>
      <c r="U56" s="922"/>
    </row>
    <row r="57" spans="1:21" hidden="1" x14ac:dyDescent="0.2">
      <c r="B57" s="1635">
        <f>+B55-B53</f>
        <v>0</v>
      </c>
      <c r="C57" s="1635">
        <f t="shared" ref="C57:U57" si="40">+C55-C53</f>
        <v>0</v>
      </c>
      <c r="D57" s="1635">
        <f t="shared" si="40"/>
        <v>0</v>
      </c>
      <c r="E57" s="1635">
        <f t="shared" si="40"/>
        <v>0</v>
      </c>
      <c r="F57" s="1635">
        <f t="shared" si="40"/>
        <v>0</v>
      </c>
      <c r="G57" s="1635">
        <f t="shared" si="40"/>
        <v>0</v>
      </c>
      <c r="H57" s="1635">
        <f t="shared" si="40"/>
        <v>-3.0517578125E-5</v>
      </c>
      <c r="I57" s="1635"/>
      <c r="J57" s="1635">
        <f t="shared" si="40"/>
        <v>0</v>
      </c>
      <c r="K57" s="1635">
        <f t="shared" si="40"/>
        <v>9.5367431640625E-7</v>
      </c>
      <c r="L57" s="1635">
        <f t="shared" si="40"/>
        <v>0</v>
      </c>
      <c r="M57" s="1635">
        <f t="shared" si="40"/>
        <v>0</v>
      </c>
      <c r="N57" s="1635"/>
      <c r="O57" s="1635">
        <f t="shared" si="40"/>
        <v>0</v>
      </c>
      <c r="P57" s="1635">
        <f t="shared" si="40"/>
        <v>0</v>
      </c>
      <c r="Q57" s="1635">
        <f t="shared" si="40"/>
        <v>0</v>
      </c>
      <c r="R57" s="1635"/>
      <c r="S57" s="1635">
        <f t="shared" si="40"/>
        <v>0</v>
      </c>
      <c r="T57" s="1635"/>
      <c r="U57" s="1635">
        <f t="shared" si="40"/>
        <v>7.62939453125E-6</v>
      </c>
    </row>
    <row r="58" spans="1:21" x14ac:dyDescent="0.2">
      <c r="B58" s="922"/>
      <c r="C58" s="922"/>
      <c r="D58" s="922"/>
      <c r="E58" s="922"/>
      <c r="F58" s="922"/>
      <c r="G58" s="922"/>
      <c r="H58" s="922"/>
      <c r="I58" s="1636"/>
      <c r="J58" s="922"/>
      <c r="K58" s="922"/>
      <c r="L58" s="922"/>
      <c r="M58" s="922"/>
      <c r="N58" s="1636"/>
      <c r="O58" s="922"/>
      <c r="P58" s="922"/>
      <c r="Q58" s="922"/>
      <c r="R58" s="1636"/>
      <c r="S58" s="922"/>
      <c r="T58" s="1636"/>
      <c r="U58" s="922"/>
    </row>
  </sheetData>
  <mergeCells count="3">
    <mergeCell ref="B1:H1"/>
    <mergeCell ref="J1:M1"/>
    <mergeCell ref="O1:Q1"/>
  </mergeCells>
  <pageMargins left="0.7" right="0.7" top="0.75" bottom="0.75" header="0.3" footer="0.3"/>
  <pageSetup scale="35" orientation="landscape" r:id="rId1"/>
  <headerFooter>
    <oddHeader>&amp;CAPPENDIX C</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79"/>
  <sheetViews>
    <sheetView showGridLines="0" zoomScaleNormal="100" zoomScaleSheetLayoutView="96" workbookViewId="0">
      <selection activeCell="L21" sqref="L21"/>
    </sheetView>
  </sheetViews>
  <sheetFormatPr defaultRowHeight="12.75" x14ac:dyDescent="0.25"/>
  <cols>
    <col min="1" max="1" width="32.7109375" style="1697" customWidth="1"/>
    <col min="2" max="2" width="3.5703125" style="1736" hidden="1" customWidth="1"/>
    <col min="3" max="6" width="9.42578125" style="1697" bestFit="1" customWidth="1"/>
    <col min="7" max="8" width="6.7109375" style="1697" hidden="1" customWidth="1"/>
    <col min="9" max="9" width="9.85546875" style="1697" customWidth="1"/>
    <col min="10" max="11" width="9.5703125" style="1697" customWidth="1"/>
    <col min="12" max="13" width="21.42578125" style="1697" bestFit="1" customWidth="1"/>
    <col min="14" max="14" width="11.7109375" style="1697" bestFit="1" customWidth="1"/>
    <col min="15" max="15" width="9.5703125" style="1697" customWidth="1"/>
    <col min="16" max="16" width="9.85546875" style="1697" customWidth="1"/>
    <col min="17" max="17" width="9.140625" style="1697"/>
    <col min="18" max="18" width="9.5703125" style="1697" bestFit="1" customWidth="1"/>
    <col min="19" max="16384" width="9.140625" style="1697"/>
  </cols>
  <sheetData>
    <row r="1" spans="1:15" x14ac:dyDescent="0.25">
      <c r="A1" s="1862" t="s">
        <v>1004</v>
      </c>
      <c r="B1" s="1864" t="s">
        <v>4271</v>
      </c>
      <c r="C1" s="1746" t="s">
        <v>4277</v>
      </c>
      <c r="D1" s="1698" t="s">
        <v>533</v>
      </c>
      <c r="E1" s="1699"/>
      <c r="F1" s="1699"/>
      <c r="G1" s="1699"/>
      <c r="H1" s="1699"/>
    </row>
    <row r="2" spans="1:15" ht="25.5" x14ac:dyDescent="0.25">
      <c r="A2" s="1863"/>
      <c r="B2" s="1865"/>
      <c r="C2" s="1747" t="s">
        <v>4272</v>
      </c>
      <c r="D2" s="1700" t="s">
        <v>536</v>
      </c>
      <c r="E2" s="1701" t="s">
        <v>4273</v>
      </c>
      <c r="F2" s="1701" t="s">
        <v>4274</v>
      </c>
      <c r="G2" s="1701" t="s">
        <v>4275</v>
      </c>
      <c r="H2" s="1702" t="s">
        <v>4275</v>
      </c>
    </row>
    <row r="3" spans="1:15" x14ac:dyDescent="0.25">
      <c r="A3" s="1703" t="s">
        <v>4249</v>
      </c>
      <c r="B3" s="1737">
        <v>1</v>
      </c>
      <c r="C3" s="1748"/>
      <c r="D3" s="1704"/>
      <c r="E3" s="1705"/>
      <c r="F3" s="1706"/>
      <c r="G3" s="1706"/>
      <c r="H3" s="1707" t="s">
        <v>575</v>
      </c>
    </row>
    <row r="4" spans="1:15" x14ac:dyDescent="0.25">
      <c r="A4" s="1708" t="s">
        <v>4250</v>
      </c>
      <c r="B4" s="1738"/>
      <c r="C4" s="1749"/>
      <c r="D4" s="1709"/>
      <c r="E4" s="1710"/>
      <c r="F4" s="1710"/>
      <c r="G4" s="1710"/>
      <c r="H4" s="1710"/>
      <c r="I4" s="1711"/>
    </row>
    <row r="5" spans="1:15" x14ac:dyDescent="0.25">
      <c r="A5" s="1712" t="s">
        <v>4251</v>
      </c>
      <c r="B5" s="1739"/>
      <c r="C5" s="1750">
        <f>1457713539.9-18682516</f>
        <v>1439031023.9000001</v>
      </c>
      <c r="D5" s="1751">
        <v>1587118093</v>
      </c>
      <c r="E5" s="1752">
        <v>1667836093</v>
      </c>
      <c r="F5" s="1752">
        <v>1551717459</v>
      </c>
      <c r="G5" s="1713">
        <v>-116118634</v>
      </c>
      <c r="H5" s="1714">
        <v>-6.962232948870474E-2</v>
      </c>
      <c r="I5" s="1711"/>
      <c r="N5" s="1715"/>
      <c r="O5" s="1716"/>
    </row>
    <row r="6" spans="1:15" x14ac:dyDescent="0.25">
      <c r="A6" s="1717" t="s">
        <v>4252</v>
      </c>
      <c r="B6" s="1739"/>
      <c r="C6" s="1753">
        <v>0</v>
      </c>
      <c r="D6" s="1754">
        <v>0</v>
      </c>
      <c r="E6" s="1755">
        <v>0</v>
      </c>
      <c r="F6" s="1755">
        <v>0</v>
      </c>
      <c r="G6" s="1713">
        <v>0</v>
      </c>
      <c r="H6" s="1714" t="s">
        <v>4276</v>
      </c>
      <c r="I6" s="1711"/>
      <c r="N6" s="1715"/>
      <c r="O6" s="1716"/>
    </row>
    <row r="7" spans="1:15" x14ac:dyDescent="0.25">
      <c r="A7" s="1717" t="s">
        <v>4253</v>
      </c>
      <c r="B7" s="1739"/>
      <c r="C7" s="1756">
        <f>344551222.19-18682516</f>
        <v>325868706.19</v>
      </c>
      <c r="D7" s="1757">
        <v>397887495</v>
      </c>
      <c r="E7" s="1758">
        <v>379410251</v>
      </c>
      <c r="F7" s="1758">
        <v>380531228.03000003</v>
      </c>
      <c r="G7" s="1713">
        <v>1120977.030000031</v>
      </c>
      <c r="H7" s="1714">
        <v>2.9545248897348084E-3</v>
      </c>
      <c r="I7" s="1711"/>
      <c r="N7" s="1715"/>
      <c r="O7" s="1716"/>
    </row>
    <row r="8" spans="1:15" x14ac:dyDescent="0.25">
      <c r="A8" s="1717" t="s">
        <v>4254</v>
      </c>
      <c r="B8" s="1739"/>
      <c r="C8" s="1753">
        <v>1113162317.7099998</v>
      </c>
      <c r="D8" s="1754">
        <v>1189230598</v>
      </c>
      <c r="E8" s="1755">
        <v>1288425842</v>
      </c>
      <c r="F8" s="1755">
        <v>1171186230.97</v>
      </c>
      <c r="G8" s="1713">
        <v>-117239611.02999997</v>
      </c>
      <c r="H8" s="1714">
        <v>-9.0994457894457509E-2</v>
      </c>
      <c r="I8" s="1711"/>
      <c r="N8" s="1715"/>
      <c r="O8" s="1716"/>
    </row>
    <row r="9" spans="1:15" x14ac:dyDescent="0.25">
      <c r="A9" s="1712" t="s">
        <v>4255</v>
      </c>
      <c r="B9" s="1739"/>
      <c r="C9" s="1750">
        <v>16614707.239999998</v>
      </c>
      <c r="D9" s="1751">
        <v>37581913</v>
      </c>
      <c r="E9" s="1752">
        <v>35581913</v>
      </c>
      <c r="F9" s="1752">
        <v>25786888.790000003</v>
      </c>
      <c r="G9" s="1713">
        <v>-9795024.2099999972</v>
      </c>
      <c r="H9" s="1714">
        <v>-0.27528098924866679</v>
      </c>
      <c r="I9" s="1711"/>
      <c r="N9" s="1715"/>
      <c r="O9" s="1716"/>
    </row>
    <row r="10" spans="1:15" x14ac:dyDescent="0.25">
      <c r="A10" s="1717" t="s">
        <v>4256</v>
      </c>
      <c r="B10" s="1739"/>
      <c r="C10" s="1753">
        <v>2041158.04</v>
      </c>
      <c r="D10" s="1754">
        <v>2551606</v>
      </c>
      <c r="E10" s="1755">
        <v>2551606</v>
      </c>
      <c r="F10" s="1755">
        <v>2263682.9699999997</v>
      </c>
      <c r="G10" s="1713">
        <v>-287923.03000000026</v>
      </c>
      <c r="H10" s="1714">
        <v>-0.11283992512950677</v>
      </c>
      <c r="I10" s="1711"/>
      <c r="N10" s="1715"/>
      <c r="O10" s="1716"/>
    </row>
    <row r="11" spans="1:15" x14ac:dyDescent="0.25">
      <c r="A11" s="1717" t="s">
        <v>4257</v>
      </c>
      <c r="B11" s="1739"/>
      <c r="C11" s="1753">
        <v>4294518</v>
      </c>
      <c r="D11" s="1754">
        <v>15691800</v>
      </c>
      <c r="E11" s="1755">
        <v>13691800</v>
      </c>
      <c r="F11" s="1755">
        <v>6106510.5600000005</v>
      </c>
      <c r="G11" s="1713">
        <v>-7585289.4399999995</v>
      </c>
      <c r="H11" s="1714">
        <v>-0.55400235469405046</v>
      </c>
      <c r="I11" s="1711"/>
      <c r="N11" s="1715"/>
      <c r="O11" s="1716"/>
    </row>
    <row r="12" spans="1:15" x14ac:dyDescent="0.25">
      <c r="A12" s="1717" t="s">
        <v>4258</v>
      </c>
      <c r="B12" s="1739"/>
      <c r="C12" s="1753">
        <v>10267648.859999999</v>
      </c>
      <c r="D12" s="1754">
        <v>17174650</v>
      </c>
      <c r="E12" s="1755">
        <v>17174650</v>
      </c>
      <c r="F12" s="1755">
        <v>17405370.75</v>
      </c>
      <c r="G12" s="1713">
        <v>230720.75</v>
      </c>
      <c r="H12" s="1714">
        <v>1.3433796321904667E-2</v>
      </c>
      <c r="I12" s="1711"/>
      <c r="N12" s="1715"/>
      <c r="O12" s="1716"/>
    </row>
    <row r="13" spans="1:15" x14ac:dyDescent="0.25">
      <c r="A13" s="1717" t="s">
        <v>26</v>
      </c>
      <c r="B13" s="1739"/>
      <c r="C13" s="1753">
        <v>11382.34</v>
      </c>
      <c r="D13" s="1754">
        <v>43857</v>
      </c>
      <c r="E13" s="1755">
        <v>43857</v>
      </c>
      <c r="F13" s="1755">
        <v>11324.51</v>
      </c>
      <c r="G13" s="1713">
        <v>-32532.489999999998</v>
      </c>
      <c r="H13" s="1714">
        <v>-0.74178557584878124</v>
      </c>
      <c r="I13" s="1711"/>
      <c r="N13" s="1715"/>
      <c r="O13" s="1716"/>
    </row>
    <row r="14" spans="1:15" x14ac:dyDescent="0.25">
      <c r="A14" s="1717" t="s">
        <v>4259</v>
      </c>
      <c r="B14" s="1739"/>
      <c r="C14" s="1756">
        <v>0</v>
      </c>
      <c r="D14" s="1757">
        <v>2120000</v>
      </c>
      <c r="E14" s="1758">
        <v>2120000</v>
      </c>
      <c r="F14" s="1758">
        <v>0</v>
      </c>
      <c r="G14" s="1713">
        <v>-2120000</v>
      </c>
      <c r="H14" s="1714">
        <v>-1</v>
      </c>
      <c r="I14" s="1711"/>
      <c r="N14" s="1715"/>
      <c r="O14" s="1716"/>
    </row>
    <row r="15" spans="1:15" x14ac:dyDescent="0.25">
      <c r="A15" s="1712" t="s">
        <v>4260</v>
      </c>
      <c r="B15" s="1740"/>
      <c r="C15" s="1750">
        <v>41545928.490000002</v>
      </c>
      <c r="D15" s="1751">
        <v>72905912</v>
      </c>
      <c r="E15" s="1752">
        <v>72906912</v>
      </c>
      <c r="F15" s="1752">
        <v>41161220.489999995</v>
      </c>
      <c r="G15" s="1713">
        <v>-31745691.510000005</v>
      </c>
      <c r="H15" s="1714">
        <v>-0.43542773434156701</v>
      </c>
      <c r="I15" s="1711"/>
      <c r="N15" s="1715"/>
      <c r="O15" s="1716"/>
    </row>
    <row r="16" spans="1:15" x14ac:dyDescent="0.25">
      <c r="A16" s="1717" t="s">
        <v>4261</v>
      </c>
      <c r="B16" s="1739"/>
      <c r="C16" s="1753">
        <v>30794201.609999999</v>
      </c>
      <c r="D16" s="1754">
        <v>61145101</v>
      </c>
      <c r="E16" s="1755">
        <v>61146101</v>
      </c>
      <c r="F16" s="1755">
        <v>30012132.949999996</v>
      </c>
      <c r="G16" s="1713">
        <v>-31133968.050000004</v>
      </c>
      <c r="H16" s="1714">
        <v>-0.50917339848046905</v>
      </c>
      <c r="I16" s="1711"/>
      <c r="N16" s="1715"/>
      <c r="O16" s="1716"/>
    </row>
    <row r="17" spans="1:15" x14ac:dyDescent="0.25">
      <c r="A17" s="1717" t="s">
        <v>4262</v>
      </c>
      <c r="B17" s="1739"/>
      <c r="C17" s="1753">
        <v>8841332.6699999999</v>
      </c>
      <c r="D17" s="1754">
        <v>9505757</v>
      </c>
      <c r="E17" s="1755">
        <v>9505757</v>
      </c>
      <c r="F17" s="1755">
        <v>7942860.4300000006</v>
      </c>
      <c r="G17" s="1713">
        <v>-1562896.5699999994</v>
      </c>
      <c r="H17" s="1714">
        <v>-0.16441579245082735</v>
      </c>
      <c r="I17" s="1711"/>
      <c r="N17" s="1715"/>
      <c r="O17" s="1716"/>
    </row>
    <row r="18" spans="1:15" x14ac:dyDescent="0.25">
      <c r="A18" s="1717" t="s">
        <v>4263</v>
      </c>
      <c r="B18" s="1739"/>
      <c r="C18" s="1753">
        <v>1910394.2100000002</v>
      </c>
      <c r="D18" s="1754">
        <v>2255054</v>
      </c>
      <c r="E18" s="1755">
        <v>2255054</v>
      </c>
      <c r="F18" s="1755">
        <v>3206227.11</v>
      </c>
      <c r="G18" s="1713">
        <v>951173.10999999987</v>
      </c>
      <c r="H18" s="1714">
        <v>0.42179615654436653</v>
      </c>
      <c r="I18" s="1711"/>
      <c r="N18" s="1715"/>
      <c r="O18" s="1716"/>
    </row>
    <row r="19" spans="1:15" x14ac:dyDescent="0.25">
      <c r="A19" s="1712" t="s">
        <v>4264</v>
      </c>
      <c r="B19" s="1740"/>
      <c r="C19" s="1750">
        <v>989286833.05000007</v>
      </c>
      <c r="D19" s="1751">
        <v>1173145082</v>
      </c>
      <c r="E19" s="1752">
        <v>1173145082</v>
      </c>
      <c r="F19" s="1752">
        <v>1170660769.0199997</v>
      </c>
      <c r="G19" s="1713">
        <v>-2484312.9800000489</v>
      </c>
      <c r="H19" s="1714">
        <v>-2.1176519580721805E-3</v>
      </c>
      <c r="I19" s="1711"/>
      <c r="N19" s="1715"/>
      <c r="O19" s="1716"/>
    </row>
    <row r="20" spans="1:15" x14ac:dyDescent="0.25">
      <c r="A20" s="1717" t="s">
        <v>321</v>
      </c>
      <c r="B20" s="1739"/>
      <c r="C20" s="1753">
        <v>658285401.91999996</v>
      </c>
      <c r="D20" s="1754">
        <v>793681150</v>
      </c>
      <c r="E20" s="1755">
        <v>793681150</v>
      </c>
      <c r="F20" s="1755">
        <v>764717789.75999999</v>
      </c>
      <c r="G20" s="1713">
        <v>-28963360.24000001</v>
      </c>
      <c r="H20" s="1714">
        <v>-3.6492438103135003E-2</v>
      </c>
      <c r="I20" s="1711"/>
      <c r="N20" s="1715"/>
      <c r="O20" s="1716"/>
    </row>
    <row r="21" spans="1:15" x14ac:dyDescent="0.25">
      <c r="A21" s="1717" t="s">
        <v>438</v>
      </c>
      <c r="B21" s="1739"/>
      <c r="C21" s="1753">
        <v>223249429.29000002</v>
      </c>
      <c r="D21" s="1754">
        <v>259055145</v>
      </c>
      <c r="E21" s="1755">
        <v>259055145</v>
      </c>
      <c r="F21" s="1755">
        <v>288462912.34999996</v>
      </c>
      <c r="G21" s="1713">
        <v>29407767.349999964</v>
      </c>
      <c r="H21" s="1714">
        <v>0.11351933330642773</v>
      </c>
      <c r="I21" s="1711"/>
      <c r="N21" s="1715"/>
      <c r="O21" s="1716"/>
    </row>
    <row r="22" spans="1:15" x14ac:dyDescent="0.25">
      <c r="A22" s="1717" t="s">
        <v>4265</v>
      </c>
      <c r="B22" s="1739"/>
      <c r="C22" s="1756">
        <v>49064812.479999997</v>
      </c>
      <c r="D22" s="1757">
        <v>55325708</v>
      </c>
      <c r="E22" s="1758">
        <v>55325708</v>
      </c>
      <c r="F22" s="1758">
        <v>52800384.810000002</v>
      </c>
      <c r="G22" s="1713">
        <v>-2525323.1899999976</v>
      </c>
      <c r="H22" s="1714">
        <v>-4.5644661067870976E-2</v>
      </c>
      <c r="I22" s="1711"/>
      <c r="N22" s="1715"/>
      <c r="O22" s="1716"/>
    </row>
    <row r="23" spans="1:15" x14ac:dyDescent="0.25">
      <c r="A23" s="1717" t="s">
        <v>4266</v>
      </c>
      <c r="B23" s="1739"/>
      <c r="C23" s="1753">
        <v>58687189.359999999</v>
      </c>
      <c r="D23" s="1754">
        <v>65083079</v>
      </c>
      <c r="E23" s="1755">
        <v>65083079</v>
      </c>
      <c r="F23" s="1755">
        <v>64679682.099999994</v>
      </c>
      <c r="G23" s="1713">
        <v>-403396.90000000596</v>
      </c>
      <c r="H23" s="1714">
        <v>-6.1981840164631111E-3</v>
      </c>
      <c r="I23" s="1711"/>
      <c r="N23" s="1715"/>
      <c r="O23" s="1716"/>
    </row>
    <row r="24" spans="1:15" hidden="1" x14ac:dyDescent="0.25">
      <c r="A24" s="1712" t="s">
        <v>809</v>
      </c>
      <c r="B24" s="1740">
        <v>4</v>
      </c>
      <c r="C24" s="1750">
        <v>0</v>
      </c>
      <c r="D24" s="1751">
        <v>0</v>
      </c>
      <c r="E24" s="1752">
        <v>0</v>
      </c>
      <c r="F24" s="1752">
        <v>0</v>
      </c>
      <c r="G24" s="1718">
        <v>0</v>
      </c>
      <c r="H24" s="1719" t="s">
        <v>4276</v>
      </c>
      <c r="I24" s="1711"/>
      <c r="N24" s="1715"/>
      <c r="O24" s="1716"/>
    </row>
    <row r="25" spans="1:15" x14ac:dyDescent="0.25">
      <c r="A25" s="1720" t="s">
        <v>4267</v>
      </c>
      <c r="B25" s="1741">
        <v>2</v>
      </c>
      <c r="C25" s="1759">
        <f>2505161008.68-18682516</f>
        <v>2486478492.6799998</v>
      </c>
      <c r="D25" s="1760">
        <v>2870751000</v>
      </c>
      <c r="E25" s="1761">
        <v>2949470000</v>
      </c>
      <c r="F25" s="1761">
        <v>2789326337.2999997</v>
      </c>
      <c r="G25" s="1721">
        <v>-160143662.70000005</v>
      </c>
      <c r="H25" s="1722">
        <v>-5.429574218418904E-2</v>
      </c>
      <c r="I25" s="1711"/>
      <c r="N25" s="1723"/>
      <c r="O25" s="1724"/>
    </row>
    <row r="26" spans="1:15" x14ac:dyDescent="0.25">
      <c r="A26" s="1725"/>
      <c r="B26" s="1738"/>
      <c r="C26" s="1762"/>
      <c r="D26" s="1763"/>
      <c r="E26" s="1764"/>
      <c r="F26" s="1764"/>
      <c r="G26" s="1713"/>
      <c r="H26" s="1713"/>
      <c r="I26" s="1711"/>
      <c r="N26" s="1726"/>
    </row>
    <row r="27" spans="1:15" x14ac:dyDescent="0.25">
      <c r="A27" s="1708" t="s">
        <v>4268</v>
      </c>
      <c r="B27" s="1742"/>
      <c r="C27" s="1762"/>
      <c r="D27" s="1763"/>
      <c r="E27" s="1764"/>
      <c r="F27" s="1764"/>
      <c r="G27" s="1713"/>
      <c r="H27" s="1713"/>
      <c r="I27" s="1711"/>
      <c r="N27" s="1726"/>
    </row>
    <row r="28" spans="1:15" x14ac:dyDescent="0.25">
      <c r="A28" s="1712" t="s">
        <v>4251</v>
      </c>
      <c r="B28" s="1743"/>
      <c r="C28" s="1750">
        <f>701531596.18+7953117</f>
        <v>709484713.17999995</v>
      </c>
      <c r="D28" s="1751">
        <v>508590471</v>
      </c>
      <c r="E28" s="1752">
        <v>526684087</v>
      </c>
      <c r="F28" s="1752">
        <v>711430918.13000011</v>
      </c>
      <c r="G28" s="1713">
        <v>184746831.13000011</v>
      </c>
      <c r="H28" s="1714">
        <v>0.35077352000953871</v>
      </c>
      <c r="I28" s="1711"/>
      <c r="N28" s="1715"/>
    </row>
    <row r="29" spans="1:15" x14ac:dyDescent="0.25">
      <c r="A29" s="1717" t="s">
        <v>4252</v>
      </c>
      <c r="B29" s="1743"/>
      <c r="C29" s="1753">
        <v>193506479.21000004</v>
      </c>
      <c r="D29" s="1754">
        <v>107554537</v>
      </c>
      <c r="E29" s="1755">
        <v>117638537</v>
      </c>
      <c r="F29" s="1755">
        <v>200021672.62</v>
      </c>
      <c r="G29" s="1713">
        <v>82383135.620000005</v>
      </c>
      <c r="H29" s="1714">
        <v>0.70030737988521574</v>
      </c>
      <c r="I29" s="1711"/>
      <c r="N29" s="1715"/>
    </row>
    <row r="30" spans="1:15" x14ac:dyDescent="0.25">
      <c r="A30" s="1717" t="s">
        <v>4253</v>
      </c>
      <c r="B30" s="1743"/>
      <c r="C30" s="1756">
        <f>116279092.61+7953117</f>
        <v>124232209.61</v>
      </c>
      <c r="D30" s="1757">
        <v>135458441</v>
      </c>
      <c r="E30" s="1758">
        <v>136686441</v>
      </c>
      <c r="F30" s="1758">
        <v>125554743.70999998</v>
      </c>
      <c r="G30" s="1713">
        <v>-11131697.290000021</v>
      </c>
      <c r="H30" s="1714">
        <v>-8.1439660061088437E-2</v>
      </c>
      <c r="I30" s="1711"/>
      <c r="N30" s="1715"/>
    </row>
    <row r="31" spans="1:15" x14ac:dyDescent="0.25">
      <c r="A31" s="1717" t="s">
        <v>4254</v>
      </c>
      <c r="B31" s="1743"/>
      <c r="C31" s="1753">
        <v>391746024.35999995</v>
      </c>
      <c r="D31" s="1754">
        <v>265577493</v>
      </c>
      <c r="E31" s="1755">
        <v>272359109</v>
      </c>
      <c r="F31" s="1755">
        <v>385854501.80000007</v>
      </c>
      <c r="G31" s="1713">
        <v>113495392.80000007</v>
      </c>
      <c r="H31" s="1714">
        <v>0.41671230757330785</v>
      </c>
      <c r="I31" s="1711"/>
      <c r="N31" s="1715"/>
    </row>
    <row r="32" spans="1:15" x14ac:dyDescent="0.25">
      <c r="A32" s="1712" t="s">
        <v>4255</v>
      </c>
      <c r="B32" s="1743"/>
      <c r="C32" s="1750">
        <v>348972818.81999993</v>
      </c>
      <c r="D32" s="1751">
        <v>349755798</v>
      </c>
      <c r="E32" s="1752">
        <v>353912753</v>
      </c>
      <c r="F32" s="1752">
        <v>371936810.19999999</v>
      </c>
      <c r="G32" s="1713">
        <v>18024057.199999988</v>
      </c>
      <c r="H32" s="1714">
        <v>5.092796754910945E-2</v>
      </c>
      <c r="I32" s="1711"/>
      <c r="N32" s="1715"/>
    </row>
    <row r="33" spans="1:14" x14ac:dyDescent="0.25">
      <c r="A33" s="1717" t="s">
        <v>4256</v>
      </c>
      <c r="B33" s="1743"/>
      <c r="C33" s="1753">
        <v>79755157.650000021</v>
      </c>
      <c r="D33" s="1754">
        <v>80961202</v>
      </c>
      <c r="E33" s="1755">
        <v>81128218</v>
      </c>
      <c r="F33" s="1755">
        <v>83198573.969999999</v>
      </c>
      <c r="G33" s="1713">
        <v>2070355.9699999988</v>
      </c>
      <c r="H33" s="1714">
        <v>2.5519554367630738E-2</v>
      </c>
      <c r="I33" s="1711"/>
      <c r="N33" s="1715"/>
    </row>
    <row r="34" spans="1:14" x14ac:dyDescent="0.25">
      <c r="A34" s="1717" t="s">
        <v>4257</v>
      </c>
      <c r="B34" s="1743"/>
      <c r="C34" s="1753">
        <v>123353281.83999994</v>
      </c>
      <c r="D34" s="1754">
        <v>101122748</v>
      </c>
      <c r="E34" s="1755">
        <v>105278628</v>
      </c>
      <c r="F34" s="1755">
        <v>120445227.59000003</v>
      </c>
      <c r="G34" s="1713">
        <v>15166599.590000033</v>
      </c>
      <c r="H34" s="1714">
        <v>0.14406152395907015</v>
      </c>
      <c r="I34" s="1711"/>
      <c r="N34" s="1715"/>
    </row>
    <row r="35" spans="1:14" x14ac:dyDescent="0.25">
      <c r="A35" s="1717" t="s">
        <v>4258</v>
      </c>
      <c r="B35" s="1738"/>
      <c r="C35" s="1753">
        <v>134147277.30999997</v>
      </c>
      <c r="D35" s="1754">
        <v>154094474</v>
      </c>
      <c r="E35" s="1755">
        <v>154182093</v>
      </c>
      <c r="F35" s="1755">
        <v>155011026.22999996</v>
      </c>
      <c r="G35" s="1713">
        <v>828933.22999995947</v>
      </c>
      <c r="H35" s="1714">
        <v>5.3763262248616604E-3</v>
      </c>
      <c r="I35" s="1711"/>
      <c r="N35" s="1716"/>
    </row>
    <row r="36" spans="1:14" x14ac:dyDescent="0.25">
      <c r="A36" s="1717" t="s">
        <v>26</v>
      </c>
      <c r="B36" s="1738"/>
      <c r="C36" s="1753">
        <v>7580710.7199999969</v>
      </c>
      <c r="D36" s="1754">
        <v>9260737</v>
      </c>
      <c r="E36" s="1755">
        <v>9031677</v>
      </c>
      <c r="F36" s="1755">
        <v>9068528.3100000005</v>
      </c>
      <c r="G36" s="1713">
        <v>36851.310000000522</v>
      </c>
      <c r="H36" s="1714">
        <v>4.0802289541577406E-3</v>
      </c>
      <c r="I36" s="1711"/>
      <c r="N36" s="1716"/>
    </row>
    <row r="37" spans="1:14" x14ac:dyDescent="0.25">
      <c r="A37" s="1717" t="s">
        <v>4259</v>
      </c>
      <c r="B37" s="1738"/>
      <c r="C37" s="1756">
        <v>4136391.2999999993</v>
      </c>
      <c r="D37" s="1757">
        <v>4316637</v>
      </c>
      <c r="E37" s="1758">
        <v>4292137</v>
      </c>
      <c r="F37" s="1758">
        <v>4213454.0999999996</v>
      </c>
      <c r="G37" s="1713">
        <v>-78682.900000000373</v>
      </c>
      <c r="H37" s="1714">
        <v>-1.8331870581018355E-2</v>
      </c>
      <c r="I37" s="1711"/>
      <c r="N37" s="1716"/>
    </row>
    <row r="38" spans="1:14" x14ac:dyDescent="0.25">
      <c r="A38" s="1712" t="s">
        <v>4260</v>
      </c>
      <c r="B38" s="1738"/>
      <c r="C38" s="1750">
        <v>359898733.57999998</v>
      </c>
      <c r="D38" s="1751">
        <v>191358094</v>
      </c>
      <c r="E38" s="1752">
        <v>206300066</v>
      </c>
      <c r="F38" s="1752">
        <v>391087896.54000002</v>
      </c>
      <c r="G38" s="1713">
        <v>184787830.54000002</v>
      </c>
      <c r="H38" s="1714">
        <v>0.89572356481941218</v>
      </c>
      <c r="I38" s="1711"/>
      <c r="N38" s="1716"/>
    </row>
    <row r="39" spans="1:14" x14ac:dyDescent="0.25">
      <c r="A39" s="1717" t="s">
        <v>4261</v>
      </c>
      <c r="B39" s="1738"/>
      <c r="C39" s="1753">
        <v>60198435.060000002</v>
      </c>
      <c r="D39" s="1754">
        <v>90994157</v>
      </c>
      <c r="E39" s="1755">
        <v>91409657</v>
      </c>
      <c r="F39" s="1755">
        <v>64210782.030000001</v>
      </c>
      <c r="G39" s="1713">
        <v>-27198874.969999999</v>
      </c>
      <c r="H39" s="1714">
        <v>-0.2975492509505861</v>
      </c>
      <c r="I39" s="1711"/>
      <c r="N39" s="1716"/>
    </row>
    <row r="40" spans="1:14" x14ac:dyDescent="0.25">
      <c r="A40" s="1717" t="s">
        <v>4262</v>
      </c>
      <c r="B40" s="1738"/>
      <c r="C40" s="1753">
        <v>291523693.83999997</v>
      </c>
      <c r="D40" s="1754">
        <v>90273597</v>
      </c>
      <c r="E40" s="1755">
        <v>105361401</v>
      </c>
      <c r="F40" s="1755">
        <v>318612078.17000002</v>
      </c>
      <c r="G40" s="1713">
        <v>213250677.17000002</v>
      </c>
      <c r="H40" s="1714">
        <v>2.0239924217598437</v>
      </c>
      <c r="I40" s="1711"/>
      <c r="N40" s="1716"/>
    </row>
    <row r="41" spans="1:14" x14ac:dyDescent="0.25">
      <c r="A41" s="1717" t="s">
        <v>4263</v>
      </c>
      <c r="B41" s="1738"/>
      <c r="C41" s="1753">
        <v>8176604.6800000016</v>
      </c>
      <c r="D41" s="1754">
        <v>10090340</v>
      </c>
      <c r="E41" s="1755">
        <v>9529008</v>
      </c>
      <c r="F41" s="1755">
        <v>8265036.3400000017</v>
      </c>
      <c r="G41" s="1713">
        <v>-1263971.6599999983</v>
      </c>
      <c r="H41" s="1714">
        <v>-0.13264462155976764</v>
      </c>
      <c r="I41" s="1711"/>
      <c r="N41" s="1716"/>
    </row>
    <row r="42" spans="1:14" x14ac:dyDescent="0.25">
      <c r="A42" s="1712" t="s">
        <v>4264</v>
      </c>
      <c r="B42" s="1738"/>
      <c r="C42" s="1750">
        <v>1198276739.77</v>
      </c>
      <c r="D42" s="1751">
        <v>1238855637</v>
      </c>
      <c r="E42" s="1752">
        <v>1235073094</v>
      </c>
      <c r="F42" s="1752">
        <v>1321666606.0499995</v>
      </c>
      <c r="G42" s="1713">
        <v>86593512.049999535</v>
      </c>
      <c r="H42" s="1714">
        <v>7.0112054477319496E-2</v>
      </c>
      <c r="I42" s="1711"/>
      <c r="N42" s="1716"/>
    </row>
    <row r="43" spans="1:14" x14ac:dyDescent="0.25">
      <c r="A43" s="1717" t="s">
        <v>321</v>
      </c>
      <c r="B43" s="1738"/>
      <c r="C43" s="1753">
        <v>682887491.24000001</v>
      </c>
      <c r="D43" s="1754">
        <v>792179569</v>
      </c>
      <c r="E43" s="1755">
        <v>789386888</v>
      </c>
      <c r="F43" s="1755">
        <v>820140266.13999963</v>
      </c>
      <c r="G43" s="1713">
        <v>30753378.139999628</v>
      </c>
      <c r="H43" s="1714">
        <v>3.8958562154378762E-2</v>
      </c>
      <c r="I43" s="1711"/>
      <c r="N43" s="1716"/>
    </row>
    <row r="44" spans="1:14" x14ac:dyDescent="0.25">
      <c r="A44" s="1717" t="s">
        <v>438</v>
      </c>
      <c r="B44" s="1738"/>
      <c r="C44" s="1753">
        <v>315982855.89999992</v>
      </c>
      <c r="D44" s="1754">
        <v>295408724</v>
      </c>
      <c r="E44" s="1755">
        <v>291823701</v>
      </c>
      <c r="F44" s="1755">
        <v>318482385.0999999</v>
      </c>
      <c r="G44" s="1713">
        <v>26658684.099999905</v>
      </c>
      <c r="H44" s="1714">
        <v>9.1352018388663719E-2</v>
      </c>
      <c r="I44" s="1711"/>
      <c r="N44" s="1716"/>
    </row>
    <row r="45" spans="1:14" x14ac:dyDescent="0.25">
      <c r="A45" s="1717" t="s">
        <v>4265</v>
      </c>
      <c r="B45" s="1738"/>
      <c r="C45" s="1756">
        <v>133399050.20000002</v>
      </c>
      <c r="D45" s="1757">
        <v>86367546</v>
      </c>
      <c r="E45" s="1758">
        <v>88690107</v>
      </c>
      <c r="F45" s="1758">
        <v>112295796.72</v>
      </c>
      <c r="G45" s="1713">
        <v>23605689.719999999</v>
      </c>
      <c r="H45" s="1714">
        <v>0.26615922021607213</v>
      </c>
      <c r="I45" s="1711"/>
      <c r="N45" s="1716"/>
    </row>
    <row r="46" spans="1:14" x14ac:dyDescent="0.25">
      <c r="A46" s="1717" t="s">
        <v>4266</v>
      </c>
      <c r="B46" s="1738"/>
      <c r="C46" s="1753">
        <v>66007342.43</v>
      </c>
      <c r="D46" s="1754">
        <v>64899798</v>
      </c>
      <c r="E46" s="1755">
        <v>65172398</v>
      </c>
      <c r="F46" s="1755">
        <v>70748158.090000004</v>
      </c>
      <c r="G46" s="1713">
        <v>5575760.0900000036</v>
      </c>
      <c r="H46" s="1714">
        <v>8.5554011531077986E-2</v>
      </c>
      <c r="I46" s="1711"/>
      <c r="N46" s="1716"/>
    </row>
    <row r="47" spans="1:14" ht="15" hidden="1" customHeight="1" x14ac:dyDescent="0.25">
      <c r="A47" s="1712" t="s">
        <v>809</v>
      </c>
      <c r="B47" s="1738"/>
      <c r="C47" s="1750">
        <v>0</v>
      </c>
      <c r="D47" s="1751">
        <v>0</v>
      </c>
      <c r="E47" s="1752">
        <v>0</v>
      </c>
      <c r="F47" s="1752">
        <v>0</v>
      </c>
      <c r="G47" s="1718">
        <v>0</v>
      </c>
      <c r="H47" s="1719" t="s">
        <v>4276</v>
      </c>
      <c r="I47" s="1711"/>
      <c r="N47" s="1716"/>
    </row>
    <row r="48" spans="1:14" ht="16.5" customHeight="1" x14ac:dyDescent="0.25">
      <c r="A48" s="1720" t="s">
        <v>4269</v>
      </c>
      <c r="B48" s="1744">
        <v>3</v>
      </c>
      <c r="C48" s="1759">
        <f>2608679888.35+7953117</f>
        <v>2616633005.3499999</v>
      </c>
      <c r="D48" s="1760">
        <v>2288560000</v>
      </c>
      <c r="E48" s="1761">
        <v>2321970000</v>
      </c>
      <c r="F48" s="1761">
        <v>2796122230.9199996</v>
      </c>
      <c r="G48" s="1721">
        <v>474152230.91999966</v>
      </c>
      <c r="H48" s="1722">
        <v>0.20420256545950191</v>
      </c>
      <c r="I48" s="1711"/>
      <c r="N48" s="1727"/>
    </row>
    <row r="49" spans="1:9" x14ac:dyDescent="0.25">
      <c r="A49" s="1728" t="s">
        <v>4270</v>
      </c>
      <c r="B49" s="1745"/>
      <c r="C49" s="1765">
        <v>-130154512</v>
      </c>
      <c r="D49" s="1766">
        <v>582191000</v>
      </c>
      <c r="E49" s="1767">
        <v>627500000</v>
      </c>
      <c r="F49" s="1767">
        <v>-6795893.6199998856</v>
      </c>
      <c r="G49" s="1729">
        <v>-634295893.61999965</v>
      </c>
      <c r="H49" s="1730">
        <v>-1.0108301093545811</v>
      </c>
      <c r="I49" s="1711"/>
    </row>
    <row r="50" spans="1:9" x14ac:dyDescent="0.25">
      <c r="A50" s="1732"/>
      <c r="B50" s="1732"/>
      <c r="C50" s="1732"/>
      <c r="D50" s="1732"/>
      <c r="E50" s="1732"/>
      <c r="F50" s="1732"/>
      <c r="G50" s="1732"/>
      <c r="H50" s="1732"/>
    </row>
    <row r="51" spans="1:9" x14ac:dyDescent="0.25">
      <c r="A51" s="1733"/>
      <c r="B51" s="1733"/>
      <c r="C51" s="1733"/>
      <c r="D51" s="1733"/>
      <c r="E51" s="1733"/>
      <c r="F51" s="1733"/>
      <c r="G51" s="1733"/>
      <c r="H51" s="1733"/>
    </row>
    <row r="52" spans="1:9" x14ac:dyDescent="0.25">
      <c r="A52" s="1733"/>
      <c r="B52" s="1733"/>
      <c r="C52" s="1733"/>
      <c r="D52" s="1733"/>
      <c r="E52" s="1733"/>
      <c r="F52" s="1733"/>
      <c r="G52" s="1733"/>
      <c r="H52" s="1733"/>
    </row>
    <row r="53" spans="1:9" x14ac:dyDescent="0.25">
      <c r="A53" s="1734"/>
      <c r="B53" s="1731"/>
      <c r="C53" s="1735"/>
      <c r="D53" s="1735"/>
      <c r="E53" s="1735"/>
      <c r="F53" s="1735"/>
      <c r="G53" s="1735"/>
      <c r="H53" s="1735"/>
    </row>
    <row r="54" spans="1:9" x14ac:dyDescent="0.25">
      <c r="A54" s="1734"/>
      <c r="B54" s="1731"/>
      <c r="C54" s="1735"/>
      <c r="D54" s="1735"/>
      <c r="E54" s="1735"/>
      <c r="F54" s="1735"/>
      <c r="G54" s="1735"/>
      <c r="H54" s="1735"/>
    </row>
    <row r="79" ht="11.25" hidden="1" customHeight="1" x14ac:dyDescent="0.25"/>
  </sheetData>
  <mergeCells count="2">
    <mergeCell ref="A1:A2"/>
    <mergeCell ref="B1:B2"/>
  </mergeCells>
  <phoneticPr fontId="0" type="noConversion"/>
  <pageMargins left="0.70866141732283472" right="0.70866141732283472" top="0.55118110236220474" bottom="0.35433070866141736" header="0.31496062992125984" footer="0.31496062992125984"/>
  <pageSetup paperSize="9" firstPageNumber="64" fitToHeight="0" orientation="portrait" useFirstPageNumber="1" horizontalDpi="300" verticalDpi="300" r:id="rId1"/>
  <headerFooter>
    <oddHeader>&amp;C&amp;"-,Bold"Appendix D       Segmental Statement of Financial Performance 30 June 2016 (Unaudited)</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40"/>
  <sheetViews>
    <sheetView showGridLines="0" topLeftCell="A25" zoomScaleNormal="100" workbookViewId="0">
      <selection activeCell="C31" sqref="C31"/>
    </sheetView>
  </sheetViews>
  <sheetFormatPr defaultRowHeight="12.75" x14ac:dyDescent="0.2"/>
  <cols>
    <col min="1" max="1" width="41.42578125" style="7" customWidth="1"/>
    <col min="2" max="2" width="18" style="8" bestFit="1" customWidth="1"/>
    <col min="3" max="3" width="19" style="8" bestFit="1" customWidth="1"/>
    <col min="4" max="4" width="18.140625" style="8" bestFit="1" customWidth="1"/>
    <col min="5" max="5" width="13.140625" style="8" customWidth="1"/>
    <col min="6" max="6" width="53.7109375" style="514" customWidth="1"/>
    <col min="7" max="16384" width="9.140625" style="7"/>
  </cols>
  <sheetData>
    <row r="1" spans="1:6" x14ac:dyDescent="0.2">
      <c r="A1" s="1866" t="s">
        <v>642</v>
      </c>
      <c r="B1" s="1866"/>
      <c r="C1" s="1866"/>
      <c r="D1" s="1866"/>
      <c r="E1" s="1866"/>
      <c r="F1" s="1866"/>
    </row>
    <row r="2" spans="1:6" x14ac:dyDescent="0.2">
      <c r="A2" s="1867" t="s">
        <v>3899</v>
      </c>
      <c r="B2" s="1866"/>
      <c r="C2" s="1866"/>
      <c r="D2" s="1866"/>
      <c r="E2" s="1866"/>
      <c r="F2" s="1866"/>
    </row>
    <row r="3" spans="1:6" ht="13.5" thickBot="1" x14ac:dyDescent="0.25">
      <c r="A3" s="501"/>
      <c r="B3" s="502"/>
      <c r="C3" s="502"/>
      <c r="D3" s="502"/>
      <c r="E3" s="502"/>
      <c r="F3" s="503"/>
    </row>
    <row r="4" spans="1:6" ht="25.5" x14ac:dyDescent="0.2">
      <c r="A4" s="1868"/>
      <c r="B4" s="661" t="s">
        <v>3903</v>
      </c>
      <c r="C4" s="661" t="s">
        <v>3904</v>
      </c>
      <c r="D4" s="661" t="s">
        <v>3905</v>
      </c>
      <c r="E4" s="661" t="s">
        <v>3906</v>
      </c>
      <c r="F4" s="662" t="s">
        <v>358</v>
      </c>
    </row>
    <row r="5" spans="1:6" x14ac:dyDescent="0.2">
      <c r="A5" s="1869"/>
      <c r="B5" s="504" t="s">
        <v>59</v>
      </c>
      <c r="C5" s="504" t="s">
        <v>59</v>
      </c>
      <c r="D5" s="504" t="s">
        <v>59</v>
      </c>
      <c r="E5" s="504" t="s">
        <v>575</v>
      </c>
      <c r="F5" s="663"/>
    </row>
    <row r="6" spans="1:6" x14ac:dyDescent="0.2">
      <c r="A6" s="664"/>
      <c r="B6" s="2"/>
      <c r="C6" s="2"/>
      <c r="D6" s="2"/>
      <c r="E6" s="2"/>
      <c r="F6" s="665"/>
    </row>
    <row r="7" spans="1:6" x14ac:dyDescent="0.2">
      <c r="A7" s="666" t="s">
        <v>318</v>
      </c>
      <c r="B7" s="505"/>
      <c r="C7" s="506"/>
      <c r="D7" s="506"/>
      <c r="E7" s="506"/>
      <c r="F7" s="667"/>
    </row>
    <row r="8" spans="1:6" x14ac:dyDescent="0.2">
      <c r="A8" s="666"/>
      <c r="B8" s="505"/>
      <c r="C8" s="506"/>
      <c r="D8" s="506"/>
      <c r="E8" s="506"/>
      <c r="F8" s="667"/>
    </row>
    <row r="9" spans="1:6" ht="38.25" x14ac:dyDescent="0.2">
      <c r="A9" s="668" t="s">
        <v>320</v>
      </c>
      <c r="B9" s="115">
        <f>'Statement of Financial Performa'!G9</f>
        <v>281023720.90999997</v>
      </c>
      <c r="C9" s="115">
        <f>-'TB3'!AA6</f>
        <v>314000000</v>
      </c>
      <c r="D9" s="115">
        <f>B9-C9</f>
        <v>-32976279.090000033</v>
      </c>
      <c r="E9" s="507">
        <f t="shared" ref="E9:E22" si="0">D9/C9*100</f>
        <v>-10.501999710191093</v>
      </c>
      <c r="F9" s="636" t="s">
        <v>3714</v>
      </c>
    </row>
    <row r="10" spans="1:6" x14ac:dyDescent="0.2">
      <c r="A10" s="668" t="s">
        <v>38</v>
      </c>
      <c r="B10" s="115">
        <f>'Statement of Financial Performa'!G10</f>
        <v>1092044554.51</v>
      </c>
      <c r="C10" s="115">
        <f>-'TB3'!AA53</f>
        <v>1095348067</v>
      </c>
      <c r="D10" s="115">
        <f t="shared" ref="D10:D20" si="1">B10-C10</f>
        <v>-3303512.4900000095</v>
      </c>
      <c r="E10" s="507">
        <f t="shared" si="0"/>
        <v>-0.30159477060546175</v>
      </c>
      <c r="F10" s="636"/>
    </row>
    <row r="11" spans="1:6" ht="25.5" x14ac:dyDescent="0.2">
      <c r="A11" s="668" t="s">
        <v>950</v>
      </c>
      <c r="B11" s="115">
        <f>'Statement of Financial Performa'!G11</f>
        <v>12342191.979999999</v>
      </c>
      <c r="C11" s="115">
        <f>-'TB3'!AA85</f>
        <v>19711177</v>
      </c>
      <c r="D11" s="115">
        <f t="shared" si="1"/>
        <v>-7368985.0200000014</v>
      </c>
      <c r="E11" s="507">
        <f t="shared" si="0"/>
        <v>-37.384804671988896</v>
      </c>
      <c r="F11" s="636" t="s">
        <v>3684</v>
      </c>
    </row>
    <row r="12" spans="1:6" ht="14.25" customHeight="1" x14ac:dyDescent="0.2">
      <c r="A12" s="668" t="s">
        <v>951</v>
      </c>
      <c r="B12" s="115">
        <f>'Statement of Financial Performa'!G12</f>
        <v>27592761.699999999</v>
      </c>
      <c r="C12" s="115">
        <f>-'TB3'!AA90</f>
        <v>37000000</v>
      </c>
      <c r="D12" s="115">
        <f t="shared" si="1"/>
        <v>-9407238.3000000007</v>
      </c>
      <c r="E12" s="507">
        <f t="shared" si="0"/>
        <v>-25.424968378378381</v>
      </c>
      <c r="F12" s="636" t="s">
        <v>4086</v>
      </c>
    </row>
    <row r="13" spans="1:6" x14ac:dyDescent="0.2">
      <c r="A13" s="668" t="s">
        <v>952</v>
      </c>
      <c r="B13" s="115">
        <f>'Statement of Financial Performa'!G13</f>
        <v>54307169.009999998</v>
      </c>
      <c r="C13" s="115">
        <f>-'TB3'!AA97</f>
        <v>25800000</v>
      </c>
      <c r="D13" s="115">
        <f t="shared" si="1"/>
        <v>28507169.009999998</v>
      </c>
      <c r="E13" s="507">
        <f t="shared" si="0"/>
        <v>110.49290313953489</v>
      </c>
      <c r="F13" s="636" t="s">
        <v>3313</v>
      </c>
    </row>
    <row r="14" spans="1:6" ht="25.5" x14ac:dyDescent="0.2">
      <c r="A14" s="668" t="s">
        <v>404</v>
      </c>
      <c r="B14" s="115">
        <f>'Statement of Financial Performa'!G14</f>
        <v>17128584.780000001</v>
      </c>
      <c r="C14" s="115">
        <f>-'TB3'!AA102</f>
        <v>13725784</v>
      </c>
      <c r="D14" s="115">
        <f t="shared" si="1"/>
        <v>3402800.7800000012</v>
      </c>
      <c r="E14" s="507">
        <f t="shared" si="0"/>
        <v>24.791303578724548</v>
      </c>
      <c r="F14" s="636" t="s">
        <v>4087</v>
      </c>
    </row>
    <row r="15" spans="1:6" x14ac:dyDescent="0.2">
      <c r="A15" s="668" t="s">
        <v>297</v>
      </c>
      <c r="B15" s="115">
        <f>'Statement of Financial Performa'!G15</f>
        <v>8100962.2000000002</v>
      </c>
      <c r="C15" s="115">
        <f>-'TB3'!AA117</f>
        <v>9570079</v>
      </c>
      <c r="D15" s="115">
        <f t="shared" si="1"/>
        <v>-1469116.7999999998</v>
      </c>
      <c r="E15" s="507">
        <f t="shared" si="0"/>
        <v>-15.351146004123892</v>
      </c>
      <c r="F15" s="636" t="s">
        <v>4088</v>
      </c>
    </row>
    <row r="16" spans="1:6" x14ac:dyDescent="0.2">
      <c r="A16" s="668" t="s">
        <v>298</v>
      </c>
      <c r="B16" s="115">
        <f>'Statement of Financial Performa'!G16</f>
        <v>15931818.16</v>
      </c>
      <c r="C16" s="115">
        <f>-'TB3'!AA122</f>
        <v>16595572</v>
      </c>
      <c r="D16" s="115">
        <f t="shared" si="1"/>
        <v>-663753.83999999985</v>
      </c>
      <c r="E16" s="507">
        <f t="shared" si="0"/>
        <v>-3.9995839854149033</v>
      </c>
      <c r="F16" s="636"/>
    </row>
    <row r="17" spans="1:6" x14ac:dyDescent="0.2">
      <c r="A17" s="668" t="s">
        <v>299</v>
      </c>
      <c r="B17" s="115">
        <f>'Statement of Financial Performa'!G17</f>
        <v>616432886.5</v>
      </c>
      <c r="C17" s="115">
        <f>-'TB3'!AA149+'TB3'!AA140</f>
        <v>678860000</v>
      </c>
      <c r="D17" s="115">
        <f t="shared" si="1"/>
        <v>-62427113.5</v>
      </c>
      <c r="E17" s="507">
        <f t="shared" si="0"/>
        <v>-9.1958744807471344</v>
      </c>
      <c r="F17" s="636"/>
    </row>
    <row r="18" spans="1:6" x14ac:dyDescent="0.2">
      <c r="A18" s="668" t="s">
        <v>300</v>
      </c>
      <c r="B18" s="115">
        <f>'Statement of Financial Performa'!G18</f>
        <v>473584799.02000004</v>
      </c>
      <c r="C18" s="115">
        <f>-'TB3'!AA173</f>
        <v>470853657</v>
      </c>
      <c r="D18" s="115">
        <f t="shared" si="1"/>
        <v>2731142.0200000405</v>
      </c>
      <c r="E18" s="507">
        <f t="shared" si="0"/>
        <v>0.58004052414103702</v>
      </c>
      <c r="F18" s="669"/>
    </row>
    <row r="19" spans="1:6" ht="13.5" customHeight="1" x14ac:dyDescent="0.2">
      <c r="A19" s="668" t="s">
        <v>274</v>
      </c>
      <c r="B19" s="617">
        <f>'Statement of Financial Performa'!G19</f>
        <v>3355674.42</v>
      </c>
      <c r="C19" s="617">
        <v>0</v>
      </c>
      <c r="D19" s="617">
        <f t="shared" si="1"/>
        <v>3355674.42</v>
      </c>
      <c r="E19" s="618">
        <v>0</v>
      </c>
      <c r="F19" s="636"/>
    </row>
    <row r="20" spans="1:6" ht="25.5" x14ac:dyDescent="0.2">
      <c r="A20" s="668" t="s">
        <v>275</v>
      </c>
      <c r="B20" s="115">
        <f>'Statement of Financial Performa'!G20</f>
        <v>187481214.11000001</v>
      </c>
      <c r="C20" s="616">
        <f>-'TB3'!AA242</f>
        <v>268005664</v>
      </c>
      <c r="D20" s="115">
        <f t="shared" si="1"/>
        <v>-80524449.889999986</v>
      </c>
      <c r="E20" s="507">
        <f t="shared" si="0"/>
        <v>-30.045801528284109</v>
      </c>
      <c r="F20" s="636" t="s">
        <v>4194</v>
      </c>
    </row>
    <row r="21" spans="1:6" x14ac:dyDescent="0.2">
      <c r="A21" s="668" t="s">
        <v>296</v>
      </c>
      <c r="B21" s="115" t="s">
        <v>296</v>
      </c>
      <c r="C21" s="115" t="s">
        <v>296</v>
      </c>
      <c r="D21" s="115" t="s">
        <v>296</v>
      </c>
      <c r="E21" s="507" t="s">
        <v>296</v>
      </c>
      <c r="F21" s="670"/>
    </row>
    <row r="22" spans="1:6" x14ac:dyDescent="0.2">
      <c r="A22" s="671" t="s">
        <v>276</v>
      </c>
      <c r="B22" s="508">
        <f>SUM(B9:B21)</f>
        <v>2789326337.3000007</v>
      </c>
      <c r="C22" s="508">
        <f>SUM(C9:C21)</f>
        <v>2949470000</v>
      </c>
      <c r="D22" s="508">
        <f>SUM(D9:D21)</f>
        <v>-160143662.69999999</v>
      </c>
      <c r="E22" s="509">
        <f t="shared" si="0"/>
        <v>-5.4295742184189022</v>
      </c>
      <c r="F22" s="672"/>
    </row>
    <row r="23" spans="1:6" x14ac:dyDescent="0.2">
      <c r="A23" s="664"/>
      <c r="B23" s="2"/>
      <c r="C23" s="2"/>
      <c r="D23" s="2"/>
      <c r="E23" s="2"/>
      <c r="F23" s="665"/>
    </row>
    <row r="24" spans="1:6" x14ac:dyDescent="0.2">
      <c r="A24" s="666" t="s">
        <v>277</v>
      </c>
      <c r="B24" s="510"/>
      <c r="C24" s="510"/>
      <c r="D24" s="510"/>
      <c r="E24" s="511"/>
      <c r="F24" s="665"/>
    </row>
    <row r="25" spans="1:6" x14ac:dyDescent="0.2">
      <c r="A25" s="666"/>
      <c r="B25" s="510"/>
      <c r="C25" s="510"/>
      <c r="D25" s="510"/>
      <c r="E25" s="511"/>
      <c r="F25" s="665"/>
    </row>
    <row r="26" spans="1:6" ht="15" customHeight="1" x14ac:dyDescent="0.2">
      <c r="A26" s="668" t="s">
        <v>61</v>
      </c>
      <c r="B26" s="512">
        <f>'Statement of Financial Performa'!G26</f>
        <v>598398758.71000004</v>
      </c>
      <c r="C26" s="512">
        <f>'TB3'!AA296</f>
        <v>581111186</v>
      </c>
      <c r="D26" s="512">
        <f t="shared" ref="D26:D34" si="2">B26-C26</f>
        <v>17287572.710000038</v>
      </c>
      <c r="E26" s="507">
        <f t="shared" ref="E26:E40" si="3">D26/C26*100</f>
        <v>2.9749165265595212</v>
      </c>
      <c r="F26" s="636"/>
    </row>
    <row r="27" spans="1:6" x14ac:dyDescent="0.2">
      <c r="A27" s="668" t="s">
        <v>278</v>
      </c>
      <c r="B27" s="512">
        <f>'Statement of Financial Performa'!G27</f>
        <v>27019623.370000001</v>
      </c>
      <c r="C27" s="512">
        <f>'TB3'!AA321</f>
        <v>28348587</v>
      </c>
      <c r="D27" s="512">
        <f t="shared" si="2"/>
        <v>-1328963.629999999</v>
      </c>
      <c r="E27" s="507">
        <f t="shared" si="3"/>
        <v>-4.6879360512747912</v>
      </c>
      <c r="F27" s="636"/>
    </row>
    <row r="28" spans="1:6" ht="27.75" customHeight="1" x14ac:dyDescent="0.2">
      <c r="A28" s="673" t="s">
        <v>2971</v>
      </c>
      <c r="B28" s="512">
        <f>'Statement of Financial Performa'!G28</f>
        <v>76708428.220000014</v>
      </c>
      <c r="C28" s="512">
        <f>'TB3'!AA327</f>
        <v>50000000</v>
      </c>
      <c r="D28" s="512">
        <f t="shared" si="2"/>
        <v>26708428.220000014</v>
      </c>
      <c r="E28" s="507">
        <f t="shared" si="3"/>
        <v>53.416856440000025</v>
      </c>
      <c r="F28" s="636" t="s">
        <v>3685</v>
      </c>
    </row>
    <row r="29" spans="1:6" ht="17.25" customHeight="1" x14ac:dyDescent="0.2">
      <c r="A29" s="668" t="s">
        <v>280</v>
      </c>
      <c r="B29" s="512">
        <f>'Statement of Financial Performa'!G29</f>
        <v>0</v>
      </c>
      <c r="C29" s="512">
        <f>'TB3'!U330</f>
        <v>0</v>
      </c>
      <c r="D29" s="512">
        <f t="shared" si="2"/>
        <v>0</v>
      </c>
      <c r="E29" s="507">
        <v>0</v>
      </c>
      <c r="F29" s="636"/>
    </row>
    <row r="30" spans="1:6" ht="15" customHeight="1" x14ac:dyDescent="0.2">
      <c r="A30" s="668" t="s">
        <v>365</v>
      </c>
      <c r="B30" s="512">
        <f>'Statement of Financial Performa'!G30</f>
        <v>475210190.04000008</v>
      </c>
      <c r="C30" s="512">
        <f>'TB3'!AA335+286964008</f>
        <v>491964008</v>
      </c>
      <c r="D30" s="512">
        <f t="shared" si="2"/>
        <v>-16753817.959999919</v>
      </c>
      <c r="E30" s="507">
        <f t="shared" si="3"/>
        <v>-3.4054966801554962</v>
      </c>
      <c r="F30" s="674" t="s">
        <v>3312</v>
      </c>
    </row>
    <row r="31" spans="1:6" x14ac:dyDescent="0.2">
      <c r="A31" s="668" t="s">
        <v>359</v>
      </c>
      <c r="B31" s="512">
        <f>'Statement of Financial Performa'!G31</f>
        <v>199521473.98000008</v>
      </c>
      <c r="C31" s="512">
        <f>'TB3'!AA404</f>
        <v>203941962</v>
      </c>
      <c r="D31" s="512">
        <f t="shared" si="2"/>
        <v>-4420488.0199999213</v>
      </c>
      <c r="E31" s="507">
        <f t="shared" si="3"/>
        <v>-2.1675225523229602</v>
      </c>
      <c r="F31" s="636"/>
    </row>
    <row r="32" spans="1:6" x14ac:dyDescent="0.2">
      <c r="A32" s="668" t="s">
        <v>54</v>
      </c>
      <c r="B32" s="512">
        <f>'Statement of Financial Performa'!G32</f>
        <v>33955930.579999998</v>
      </c>
      <c r="C32" s="512">
        <f>'TB3'!AA341</f>
        <v>35585363</v>
      </c>
      <c r="D32" s="512">
        <f t="shared" si="2"/>
        <v>-1629432.4200000018</v>
      </c>
      <c r="E32" s="507">
        <f t="shared" si="3"/>
        <v>-4.5789399984482433</v>
      </c>
      <c r="F32" s="636" t="s">
        <v>4195</v>
      </c>
    </row>
    <row r="33" spans="1:6" x14ac:dyDescent="0.2">
      <c r="A33" s="668" t="s">
        <v>62</v>
      </c>
      <c r="B33" s="512">
        <f>'Statement of Financial Performa'!G33</f>
        <v>748278150.28999996</v>
      </c>
      <c r="C33" s="512">
        <f>'TB3'!AA348</f>
        <v>748891192</v>
      </c>
      <c r="D33" s="512">
        <f t="shared" si="2"/>
        <v>-613041.71000003815</v>
      </c>
      <c r="E33" s="507">
        <f t="shared" si="3"/>
        <v>-8.1859917241494037E-2</v>
      </c>
      <c r="F33" s="636"/>
    </row>
    <row r="34" spans="1:6" x14ac:dyDescent="0.2">
      <c r="A34" s="668" t="s">
        <v>360</v>
      </c>
      <c r="B34" s="512">
        <f>'Statement of Financial Performa'!G34</f>
        <v>17180000</v>
      </c>
      <c r="C34" s="512">
        <f>'TB3'!AA410</f>
        <v>17180000</v>
      </c>
      <c r="D34" s="512">
        <f t="shared" si="2"/>
        <v>0</v>
      </c>
      <c r="E34" s="507">
        <f t="shared" si="3"/>
        <v>0</v>
      </c>
      <c r="F34" s="636"/>
    </row>
    <row r="35" spans="1:6" ht="63.75" x14ac:dyDescent="0.2">
      <c r="A35" s="668" t="s">
        <v>361</v>
      </c>
      <c r="B35" s="512">
        <f>'Statement of Financial Performa'!G35</f>
        <v>586464903.8900001</v>
      </c>
      <c r="C35" s="512">
        <f>'TB3'!AA607</f>
        <v>451911710</v>
      </c>
      <c r="D35" s="512">
        <f>B35-C35</f>
        <v>134553193.8900001</v>
      </c>
      <c r="E35" s="507">
        <f t="shared" si="3"/>
        <v>29.77422158191035</v>
      </c>
      <c r="F35" s="1622" t="s">
        <v>4197</v>
      </c>
    </row>
    <row r="36" spans="1:6" x14ac:dyDescent="0.2">
      <c r="A36" s="487" t="s">
        <v>3075</v>
      </c>
      <c r="B36" s="512">
        <f>'Statement of Financial Performa'!G40</f>
        <v>-49584331.220000006</v>
      </c>
      <c r="C36" s="512">
        <v>0</v>
      </c>
      <c r="D36" s="512">
        <f>B36-C36</f>
        <v>-49584331.220000006</v>
      </c>
      <c r="E36" s="507">
        <v>0</v>
      </c>
      <c r="F36" s="636" t="s">
        <v>3074</v>
      </c>
    </row>
    <row r="37" spans="1:6" x14ac:dyDescent="0.2">
      <c r="A37" s="487" t="s">
        <v>3047</v>
      </c>
      <c r="B37" s="512">
        <f>'Statement of Financial Performa'!G42</f>
        <v>18114503.670000002</v>
      </c>
      <c r="C37" s="512"/>
      <c r="D37" s="512">
        <f>B37-C37</f>
        <v>18114503.670000002</v>
      </c>
      <c r="E37" s="507">
        <v>0</v>
      </c>
      <c r="F37" s="674" t="s">
        <v>3074</v>
      </c>
    </row>
    <row r="38" spans="1:6" x14ac:dyDescent="0.2">
      <c r="A38" s="666" t="s">
        <v>369</v>
      </c>
      <c r="B38" s="515">
        <f>SUM(B26:B37)</f>
        <v>2731267631.5300002</v>
      </c>
      <c r="C38" s="515">
        <f>SUM(C26:C37)</f>
        <v>2608934008</v>
      </c>
      <c r="D38" s="515">
        <f>SUM(D26:D37)</f>
        <v>122333623.53000028</v>
      </c>
      <c r="E38" s="509">
        <f t="shared" si="3"/>
        <v>4.6890271334912308</v>
      </c>
      <c r="F38" s="665"/>
    </row>
    <row r="39" spans="1:6" x14ac:dyDescent="0.2">
      <c r="A39" s="666"/>
      <c r="B39" s="513"/>
      <c r="C39" s="513"/>
      <c r="D39" s="513"/>
      <c r="E39" s="509"/>
      <c r="F39" s="665"/>
    </row>
    <row r="40" spans="1:6" ht="13.5" thickBot="1" x14ac:dyDescent="0.25">
      <c r="A40" s="675" t="s">
        <v>370</v>
      </c>
      <c r="B40" s="676">
        <f>B22-B38</f>
        <v>58058705.770000458</v>
      </c>
      <c r="C40" s="677">
        <f>C22-C38</f>
        <v>340535992</v>
      </c>
      <c r="D40" s="676">
        <f>D22-D38</f>
        <v>-282477286.23000026</v>
      </c>
      <c r="E40" s="678">
        <f t="shared" si="3"/>
        <v>-82.950787248943797</v>
      </c>
      <c r="F40" s="679"/>
    </row>
  </sheetData>
  <mergeCells count="3">
    <mergeCell ref="A1:F1"/>
    <mergeCell ref="A2:F2"/>
    <mergeCell ref="A4:A5"/>
  </mergeCells>
  <phoneticPr fontId="0" type="noConversion"/>
  <pageMargins left="0.70866141732283472" right="0.70866141732283472" top="0.74803149606299213" bottom="0.55118110236220474" header="0.31496062992125984" footer="0.31496062992125984"/>
  <pageSetup paperSize="9" scale="80" firstPageNumber="65" orientation="landscape" useFirstPageNumber="1" horizontalDpi="300" verticalDpi="300"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71"/>
  <sheetViews>
    <sheetView showGridLines="0" topLeftCell="A21" workbookViewId="0">
      <selection activeCell="H17" sqref="H17"/>
    </sheetView>
  </sheetViews>
  <sheetFormatPr defaultRowHeight="12.75" x14ac:dyDescent="0.2"/>
  <cols>
    <col min="1" max="1" width="28.85546875" style="5" customWidth="1"/>
    <col min="2" max="2" width="19.140625" style="5" bestFit="1" customWidth="1"/>
    <col min="3" max="3" width="12.42578125" style="5" hidden="1" customWidth="1"/>
    <col min="4" max="4" width="19" style="5" hidden="1" customWidth="1"/>
    <col min="5" max="5" width="21.42578125" style="5" bestFit="1" customWidth="1"/>
    <col min="6" max="6" width="18.7109375" style="5" bestFit="1" customWidth="1"/>
    <col min="7" max="7" width="11.42578125" style="5" bestFit="1" customWidth="1"/>
    <col min="8" max="8" width="41.85546875" style="5" customWidth="1"/>
    <col min="9" max="16384" width="9.140625" style="5"/>
  </cols>
  <sheetData>
    <row r="1" spans="1:10" x14ac:dyDescent="0.2">
      <c r="A1" s="1873" t="s">
        <v>643</v>
      </c>
      <c r="B1" s="1873"/>
      <c r="C1" s="1873"/>
      <c r="D1" s="1873"/>
      <c r="E1" s="1873"/>
      <c r="F1" s="1873"/>
      <c r="G1" s="1873"/>
      <c r="H1" s="1873"/>
    </row>
    <row r="2" spans="1:10" x14ac:dyDescent="0.2">
      <c r="A2" s="1873" t="s">
        <v>881</v>
      </c>
      <c r="B2" s="1873"/>
      <c r="C2" s="1873"/>
      <c r="D2" s="1873"/>
      <c r="E2" s="1873"/>
      <c r="F2" s="1873"/>
      <c r="G2" s="1873"/>
      <c r="H2" s="1873"/>
    </row>
    <row r="3" spans="1:10" ht="13.5" thickBot="1" x14ac:dyDescent="0.25">
      <c r="A3" s="1874" t="s">
        <v>3907</v>
      </c>
      <c r="B3" s="1873"/>
      <c r="C3" s="1873"/>
      <c r="D3" s="1873"/>
      <c r="E3" s="1873"/>
      <c r="F3" s="1873"/>
      <c r="G3" s="1873"/>
      <c r="H3" s="1873"/>
    </row>
    <row r="4" spans="1:10" x14ac:dyDescent="0.2">
      <c r="A4" s="1870"/>
      <c r="B4" s="624">
        <v>2016</v>
      </c>
      <c r="C4" s="624">
        <v>2013</v>
      </c>
      <c r="D4" s="624">
        <v>2013</v>
      </c>
      <c r="E4" s="624">
        <v>2016</v>
      </c>
      <c r="F4" s="624">
        <v>2016</v>
      </c>
      <c r="G4" s="624">
        <v>2016</v>
      </c>
      <c r="H4" s="625"/>
    </row>
    <row r="5" spans="1:10" s="3" customFormat="1" ht="25.5" x14ac:dyDescent="0.2">
      <c r="A5" s="1871"/>
      <c r="B5" s="30" t="s">
        <v>58</v>
      </c>
      <c r="C5" s="30" t="s">
        <v>705</v>
      </c>
      <c r="D5" s="30" t="s">
        <v>363</v>
      </c>
      <c r="E5" s="644" t="s">
        <v>319</v>
      </c>
      <c r="F5" s="30" t="s">
        <v>882</v>
      </c>
      <c r="G5" s="30" t="s">
        <v>364</v>
      </c>
      <c r="H5" s="646" t="s">
        <v>358</v>
      </c>
    </row>
    <row r="6" spans="1:10" x14ac:dyDescent="0.2">
      <c r="A6" s="1872"/>
      <c r="B6" s="619" t="s">
        <v>59</v>
      </c>
      <c r="C6" s="619" t="s">
        <v>59</v>
      </c>
      <c r="D6" s="619" t="s">
        <v>59</v>
      </c>
      <c r="E6" s="619" t="s">
        <v>59</v>
      </c>
      <c r="F6" s="619" t="s">
        <v>59</v>
      </c>
      <c r="G6" s="619" t="s">
        <v>575</v>
      </c>
      <c r="H6" s="626"/>
    </row>
    <row r="7" spans="1:10" ht="12.75" customHeight="1" x14ac:dyDescent="0.2">
      <c r="A7" s="627" t="s">
        <v>294</v>
      </c>
      <c r="B7" s="29">
        <f>B8</f>
        <v>906157</v>
      </c>
      <c r="C7" s="29">
        <f>C8</f>
        <v>0</v>
      </c>
      <c r="D7" s="29">
        <f>D8</f>
        <v>906157</v>
      </c>
      <c r="E7" s="29">
        <f>E8</f>
        <v>906156.84</v>
      </c>
      <c r="F7" s="29">
        <f>F8</f>
        <v>0.16000000003259629</v>
      </c>
      <c r="G7" s="28">
        <f>F7/B7*100</f>
        <v>1.7656984389305196E-5</v>
      </c>
      <c r="H7" s="628"/>
    </row>
    <row r="8" spans="1:10" ht="12.75" customHeight="1" x14ac:dyDescent="0.2">
      <c r="A8" s="633" t="s">
        <v>3437</v>
      </c>
      <c r="B8" s="27">
        <v>906157</v>
      </c>
      <c r="C8" s="27"/>
      <c r="D8" s="27">
        <f>B8+C8</f>
        <v>906157</v>
      </c>
      <c r="E8" s="27">
        <v>906156.84</v>
      </c>
      <c r="F8" s="27">
        <f>D8-E8</f>
        <v>0.16000000003259629</v>
      </c>
      <c r="G8" s="28">
        <f>F8/B8*100</f>
        <v>1.7656984389305196E-5</v>
      </c>
      <c r="H8" s="636" t="s">
        <v>3314</v>
      </c>
    </row>
    <row r="9" spans="1:10" ht="12.75" customHeight="1" x14ac:dyDescent="0.2">
      <c r="A9" s="629"/>
      <c r="B9" s="27"/>
      <c r="C9" s="27"/>
      <c r="D9" s="27"/>
      <c r="E9" s="27"/>
      <c r="F9" s="27"/>
      <c r="G9" s="28"/>
      <c r="H9" s="628"/>
    </row>
    <row r="10" spans="1:10" ht="12.75" customHeight="1" x14ac:dyDescent="0.2">
      <c r="A10" s="630" t="s">
        <v>448</v>
      </c>
      <c r="B10" s="29">
        <f>B11</f>
        <v>5000000</v>
      </c>
      <c r="C10" s="29">
        <f>C11</f>
        <v>0</v>
      </c>
      <c r="D10" s="29"/>
      <c r="E10" s="29">
        <f>E11</f>
        <v>4999464.32</v>
      </c>
      <c r="F10" s="29">
        <f>F11</f>
        <v>535.67999999970198</v>
      </c>
      <c r="G10" s="28">
        <f>F10/B10*100</f>
        <v>1.071359999999404E-2</v>
      </c>
      <c r="H10" s="628"/>
    </row>
    <row r="11" spans="1:10" ht="12.75" customHeight="1" x14ac:dyDescent="0.2">
      <c r="A11" s="629" t="s">
        <v>706</v>
      </c>
      <c r="B11" s="27">
        <v>5000000</v>
      </c>
      <c r="C11" s="27"/>
      <c r="D11" s="27"/>
      <c r="E11" s="27">
        <v>4999464.32</v>
      </c>
      <c r="F11" s="27">
        <f>B11-E11</f>
        <v>535.67999999970198</v>
      </c>
      <c r="G11" s="28">
        <f>F11/B11*100</f>
        <v>1.071359999999404E-2</v>
      </c>
      <c r="H11" s="636" t="s">
        <v>3314</v>
      </c>
      <c r="I11" s="33"/>
      <c r="J11" s="33"/>
    </row>
    <row r="12" spans="1:10" ht="12.75" customHeight="1" x14ac:dyDescent="0.2">
      <c r="A12" s="629"/>
      <c r="B12" s="27"/>
      <c r="C12" s="27"/>
      <c r="D12" s="27"/>
      <c r="E12" s="27"/>
      <c r="F12" s="27"/>
      <c r="G12" s="28"/>
      <c r="H12" s="628"/>
    </row>
    <row r="13" spans="1:10" ht="12.75" customHeight="1" x14ac:dyDescent="0.2">
      <c r="A13" s="631" t="s">
        <v>449</v>
      </c>
      <c r="B13" s="114">
        <f>SUM(B14:B16)</f>
        <v>4272351</v>
      </c>
      <c r="C13" s="114">
        <f>SUM(C14:C16)</f>
        <v>0</v>
      </c>
      <c r="D13" s="114"/>
      <c r="E13" s="114">
        <f>SUM(E14:E16)</f>
        <v>4748240.53</v>
      </c>
      <c r="F13" s="114">
        <f>SUM(F14:F16)</f>
        <v>475889.53</v>
      </c>
      <c r="G13" s="28">
        <f>F13/B13*100</f>
        <v>11.138820991065575</v>
      </c>
      <c r="H13" s="628"/>
    </row>
    <row r="14" spans="1:10" ht="12.75" customHeight="1" x14ac:dyDescent="0.2">
      <c r="A14" s="629" t="s">
        <v>569</v>
      </c>
      <c r="B14" s="27">
        <v>3900000</v>
      </c>
      <c r="C14" s="27"/>
      <c r="D14" s="27"/>
      <c r="E14" s="27">
        <v>4375890</v>
      </c>
      <c r="F14" s="27">
        <f>E14-B14</f>
        <v>475890</v>
      </c>
      <c r="G14" s="28">
        <f>F14/B14*100</f>
        <v>12.202307692307693</v>
      </c>
      <c r="H14" s="636" t="s">
        <v>4196</v>
      </c>
    </row>
    <row r="15" spans="1:10" ht="12.75" hidden="1" customHeight="1" x14ac:dyDescent="0.2">
      <c r="A15" s="629" t="s">
        <v>570</v>
      </c>
      <c r="B15" s="27"/>
      <c r="C15" s="27"/>
      <c r="D15" s="27"/>
      <c r="E15" s="27"/>
      <c r="F15" s="27">
        <f>E15-B15</f>
        <v>0</v>
      </c>
      <c r="G15" s="28" t="e">
        <f>F15/B15*100</f>
        <v>#DIV/0!</v>
      </c>
      <c r="H15" s="632" t="s">
        <v>2881</v>
      </c>
    </row>
    <row r="16" spans="1:10" ht="12.75" customHeight="1" x14ac:dyDescent="0.2">
      <c r="A16" s="629" t="s">
        <v>295</v>
      </c>
      <c r="B16" s="27">
        <v>372351</v>
      </c>
      <c r="C16" s="27"/>
      <c r="D16" s="27"/>
      <c r="E16" s="27">
        <v>372350.53</v>
      </c>
      <c r="F16" s="27">
        <f>E16-B16</f>
        <v>-0.46999999997206032</v>
      </c>
      <c r="G16" s="28">
        <f>F16/B16*100</f>
        <v>-1.2622498663144731E-4</v>
      </c>
      <c r="H16" s="632"/>
    </row>
    <row r="17" spans="1:8" ht="12.75" customHeight="1" x14ac:dyDescent="0.2">
      <c r="A17" s="629"/>
      <c r="B17" s="27"/>
      <c r="C17" s="27"/>
      <c r="D17" s="27"/>
      <c r="E17" s="27"/>
      <c r="F17" s="27"/>
      <c r="G17" s="28"/>
      <c r="H17" s="628"/>
    </row>
    <row r="18" spans="1:8" ht="12.75" customHeight="1" x14ac:dyDescent="0.2">
      <c r="A18" s="630" t="s">
        <v>707</v>
      </c>
      <c r="B18" s="29">
        <f>B19+B20</f>
        <v>3466901</v>
      </c>
      <c r="C18" s="29">
        <f>C19+C20</f>
        <v>0</v>
      </c>
      <c r="D18" s="29">
        <f>D19+D20</f>
        <v>0</v>
      </c>
      <c r="E18" s="29">
        <f>E19+E20</f>
        <v>3393557.61</v>
      </c>
      <c r="F18" s="29">
        <f>F19+F20</f>
        <v>-73343.39000000013</v>
      </c>
      <c r="G18" s="28">
        <f>F18/B18*100</f>
        <v>-2.115531709731548</v>
      </c>
      <c r="H18" s="628"/>
    </row>
    <row r="19" spans="1:8" ht="12.75" hidden="1" customHeight="1" x14ac:dyDescent="0.2">
      <c r="A19" s="633" t="s">
        <v>3638</v>
      </c>
      <c r="B19" s="27"/>
      <c r="C19" s="27"/>
      <c r="D19" s="27"/>
      <c r="E19" s="27"/>
      <c r="F19" s="27">
        <f>E19-B19</f>
        <v>0</v>
      </c>
      <c r="G19" s="28" t="e">
        <f>F19/B19*100</f>
        <v>#DIV/0!</v>
      </c>
      <c r="H19" s="636" t="s">
        <v>3314</v>
      </c>
    </row>
    <row r="20" spans="1:8" ht="12.75" customHeight="1" x14ac:dyDescent="0.2">
      <c r="A20" s="633" t="s">
        <v>3639</v>
      </c>
      <c r="B20" s="27">
        <v>3466901</v>
      </c>
      <c r="C20" s="27"/>
      <c r="D20" s="27"/>
      <c r="E20" s="27">
        <v>3393557.61</v>
      </c>
      <c r="F20" s="27">
        <f>E20-B20</f>
        <v>-73343.39000000013</v>
      </c>
      <c r="G20" s="28">
        <f>F20/B20*100</f>
        <v>-2.115531709731548</v>
      </c>
      <c r="H20" s="636" t="s">
        <v>3314</v>
      </c>
    </row>
    <row r="21" spans="1:8" ht="12.75" customHeight="1" x14ac:dyDescent="0.2">
      <c r="A21" s="629"/>
      <c r="B21" s="27"/>
      <c r="C21" s="27"/>
      <c r="D21" s="27"/>
      <c r="E21" s="27"/>
      <c r="F21" s="27"/>
      <c r="G21" s="28"/>
      <c r="H21" s="628"/>
    </row>
    <row r="22" spans="1:8" ht="12.75" customHeight="1" x14ac:dyDescent="0.2">
      <c r="A22" s="630" t="s">
        <v>708</v>
      </c>
      <c r="B22" s="29">
        <f>SUM(B23:B25)</f>
        <v>317057070</v>
      </c>
      <c r="C22" s="29">
        <f>SUM(C23:C25)</f>
        <v>0</v>
      </c>
      <c r="D22" s="29">
        <f>SUM(D23:D25)</f>
        <v>0</v>
      </c>
      <c r="E22" s="29">
        <f>SUM(E23:E25)</f>
        <v>282664514.33999997</v>
      </c>
      <c r="F22" s="29">
        <f>SUM(F23:F25)</f>
        <v>-34392555.660000011</v>
      </c>
      <c r="G22" s="28">
        <f>F22/B22*100</f>
        <v>-10.847433763265398</v>
      </c>
      <c r="H22" s="628"/>
    </row>
    <row r="23" spans="1:8" ht="12.75" hidden="1" customHeight="1" x14ac:dyDescent="0.2">
      <c r="A23" s="629" t="s">
        <v>69</v>
      </c>
      <c r="B23" s="27"/>
      <c r="C23" s="27"/>
      <c r="D23" s="27"/>
      <c r="E23" s="27"/>
      <c r="F23" s="27">
        <f>E23-B23</f>
        <v>0</v>
      </c>
      <c r="G23" s="28" t="e">
        <f>F23/B23*100</f>
        <v>#DIV/0!</v>
      </c>
      <c r="H23" s="632"/>
    </row>
    <row r="24" spans="1:8" ht="12.75" customHeight="1" x14ac:dyDescent="0.2">
      <c r="A24" s="633" t="s">
        <v>2882</v>
      </c>
      <c r="B24" s="27">
        <v>120700195</v>
      </c>
      <c r="C24" s="27"/>
      <c r="D24" s="27"/>
      <c r="E24" s="27">
        <v>101517026.20999999</v>
      </c>
      <c r="F24" s="27">
        <f>E24-B24</f>
        <v>-19183168.790000007</v>
      </c>
      <c r="G24" s="28">
        <f>F24/B24*100</f>
        <v>-15.893237612416456</v>
      </c>
      <c r="H24" s="636" t="s">
        <v>2881</v>
      </c>
    </row>
    <row r="25" spans="1:8" ht="12.75" customHeight="1" x14ac:dyDescent="0.2">
      <c r="A25" s="633" t="s">
        <v>3640</v>
      </c>
      <c r="B25" s="27">
        <v>196356875</v>
      </c>
      <c r="C25" s="27"/>
      <c r="D25" s="27"/>
      <c r="E25" s="27">
        <v>181147488.13</v>
      </c>
      <c r="F25" s="27">
        <f>E25-B25</f>
        <v>-15209386.870000005</v>
      </c>
      <c r="G25" s="28">
        <f>F25/B25*100</f>
        <v>-7.7457878009109704</v>
      </c>
      <c r="H25" s="636" t="s">
        <v>3314</v>
      </c>
    </row>
    <row r="26" spans="1:8" ht="12.75" customHeight="1" x14ac:dyDescent="0.2">
      <c r="A26" s="629"/>
      <c r="B26" s="27"/>
      <c r="C26" s="27"/>
      <c r="D26" s="27"/>
      <c r="E26" s="27"/>
      <c r="F26" s="27"/>
      <c r="G26" s="28"/>
      <c r="H26" s="628"/>
    </row>
    <row r="27" spans="1:8" ht="12.75" hidden="1" customHeight="1" x14ac:dyDescent="0.2">
      <c r="A27" s="630" t="s">
        <v>709</v>
      </c>
      <c r="B27" s="29">
        <f>SUM(B28:B30)</f>
        <v>0</v>
      </c>
      <c r="C27" s="29">
        <f>SUM(C28:C30)</f>
        <v>0</v>
      </c>
      <c r="D27" s="29"/>
      <c r="E27" s="29">
        <f>SUM(E28:E30)</f>
        <v>0</v>
      </c>
      <c r="F27" s="29">
        <f>SUM(F28:F30)</f>
        <v>0</v>
      </c>
      <c r="G27" s="28" t="e">
        <f>F27/B27*100</f>
        <v>#DIV/0!</v>
      </c>
      <c r="H27" s="628"/>
    </row>
    <row r="28" spans="1:8" ht="12.75" hidden="1" customHeight="1" x14ac:dyDescent="0.2">
      <c r="A28" s="629" t="s">
        <v>27</v>
      </c>
      <c r="B28" s="27">
        <v>0</v>
      </c>
      <c r="C28" s="27"/>
      <c r="D28" s="27"/>
      <c r="E28" s="27">
        <v>0</v>
      </c>
      <c r="F28" s="27">
        <f>E28-B28</f>
        <v>0</v>
      </c>
      <c r="G28" s="28" t="e">
        <f>F28/B28*100</f>
        <v>#DIV/0!</v>
      </c>
      <c r="H28" s="632"/>
    </row>
    <row r="29" spans="1:8" ht="12.75" hidden="1" customHeight="1" x14ac:dyDescent="0.2">
      <c r="A29" s="629" t="s">
        <v>571</v>
      </c>
      <c r="B29" s="27"/>
      <c r="C29" s="27"/>
      <c r="D29" s="27"/>
      <c r="E29" s="27"/>
      <c r="F29" s="27">
        <f>E29-B29</f>
        <v>0</v>
      </c>
      <c r="G29" s="28" t="e">
        <f>F29/B29*100</f>
        <v>#DIV/0!</v>
      </c>
      <c r="H29" s="628"/>
    </row>
    <row r="30" spans="1:8" ht="12.75" hidden="1" customHeight="1" x14ac:dyDescent="0.2">
      <c r="A30" s="629"/>
      <c r="B30" s="27"/>
      <c r="C30" s="27"/>
      <c r="D30" s="27"/>
      <c r="E30" s="27"/>
      <c r="F30" s="27"/>
      <c r="G30" s="28"/>
      <c r="H30" s="634"/>
    </row>
    <row r="31" spans="1:8" ht="12.75" customHeight="1" x14ac:dyDescent="0.2">
      <c r="A31" s="630" t="s">
        <v>710</v>
      </c>
      <c r="B31" s="29">
        <f>SUM(B32:B36)</f>
        <v>22988840</v>
      </c>
      <c r="C31" s="29">
        <f>SUM(C32:C36)</f>
        <v>0</v>
      </c>
      <c r="D31" s="29">
        <f>SUM(D32:D36)</f>
        <v>0</v>
      </c>
      <c r="E31" s="29">
        <f>SUM(E32:E36)</f>
        <v>19283170.129999999</v>
      </c>
      <c r="F31" s="29">
        <f>SUM(F32:F36)</f>
        <v>-3705669.87</v>
      </c>
      <c r="G31" s="28">
        <f>F31/B31*100</f>
        <v>-16.119429557994227</v>
      </c>
      <c r="H31" s="634"/>
    </row>
    <row r="32" spans="1:8" ht="12.75" customHeight="1" x14ac:dyDescent="0.2">
      <c r="A32" s="629" t="s">
        <v>594</v>
      </c>
      <c r="B32" s="27">
        <v>1800000</v>
      </c>
      <c r="C32" s="27"/>
      <c r="D32" s="27"/>
      <c r="E32" s="27">
        <v>1659498.97</v>
      </c>
      <c r="F32" s="27">
        <f>E32-B32</f>
        <v>-140501.03000000003</v>
      </c>
      <c r="G32" s="28">
        <f>F32/B32*100</f>
        <v>-7.8056127777777791</v>
      </c>
      <c r="H32" s="636" t="s">
        <v>3314</v>
      </c>
    </row>
    <row r="33" spans="1:8" ht="12.75" hidden="1" customHeight="1" x14ac:dyDescent="0.2">
      <c r="A33" s="633" t="s">
        <v>415</v>
      </c>
      <c r="B33" s="27"/>
      <c r="C33" s="27"/>
      <c r="D33" s="27"/>
      <c r="E33" s="27"/>
      <c r="F33" s="27">
        <f>E33-B33</f>
        <v>0</v>
      </c>
      <c r="G33" s="28" t="e">
        <f>F33/B33*100</f>
        <v>#DIV/0!</v>
      </c>
      <c r="H33" s="632" t="s">
        <v>2881</v>
      </c>
    </row>
    <row r="34" spans="1:8" ht="12.75" customHeight="1" x14ac:dyDescent="0.2">
      <c r="A34" s="633" t="s">
        <v>4076</v>
      </c>
      <c r="B34" s="27">
        <v>583000</v>
      </c>
      <c r="C34" s="27"/>
      <c r="D34" s="27"/>
      <c r="E34" s="27">
        <v>299000</v>
      </c>
      <c r="F34" s="27">
        <f>E34-B34</f>
        <v>-284000</v>
      </c>
      <c r="G34" s="28">
        <f>F34/B34*100</f>
        <v>-48.713550600343055</v>
      </c>
      <c r="H34" s="632"/>
    </row>
    <row r="35" spans="1:8" ht="12.75" hidden="1" customHeight="1" x14ac:dyDescent="0.2">
      <c r="A35" s="629" t="s">
        <v>595</v>
      </c>
      <c r="B35" s="27"/>
      <c r="C35" s="27"/>
      <c r="D35" s="27"/>
      <c r="E35" s="27"/>
      <c r="F35" s="27">
        <f>E35-B35</f>
        <v>0</v>
      </c>
      <c r="G35" s="28" t="e">
        <f>F35/B35*100</f>
        <v>#DIV/0!</v>
      </c>
      <c r="H35" s="632"/>
    </row>
    <row r="36" spans="1:8" ht="12.75" customHeight="1" x14ac:dyDescent="0.2">
      <c r="A36" s="633" t="s">
        <v>4074</v>
      </c>
      <c r="B36" s="27">
        <v>20605840</v>
      </c>
      <c r="C36" s="27"/>
      <c r="D36" s="27"/>
      <c r="E36" s="27">
        <v>17324671.16</v>
      </c>
      <c r="F36" s="27">
        <f>E36-B36</f>
        <v>-3281168.84</v>
      </c>
      <c r="G36" s="31"/>
      <c r="H36" s="635"/>
    </row>
    <row r="37" spans="1:8" ht="12.75" customHeight="1" x14ac:dyDescent="0.2">
      <c r="A37" s="629"/>
      <c r="B37" s="27"/>
      <c r="C37" s="27"/>
      <c r="D37" s="27"/>
      <c r="E37" s="27"/>
      <c r="F37" s="27"/>
      <c r="G37" s="31"/>
      <c r="H37" s="635"/>
    </row>
    <row r="38" spans="1:8" ht="12.75" customHeight="1" x14ac:dyDescent="0.2">
      <c r="A38" s="631" t="s">
        <v>53</v>
      </c>
      <c r="B38" s="114">
        <f>SUM(B39:B40)</f>
        <v>3800000</v>
      </c>
      <c r="C38" s="114">
        <f>SUM(C39:C40)</f>
        <v>0</v>
      </c>
      <c r="D38" s="114">
        <f>SUM(D39:D40)</f>
        <v>0</v>
      </c>
      <c r="E38" s="114">
        <f>SUM(E39:E40)</f>
        <v>3555822.53</v>
      </c>
      <c r="F38" s="114">
        <f>SUM(F39:F40)</f>
        <v>-244177.4700000002</v>
      </c>
      <c r="G38" s="28">
        <f>F38/B38*100</f>
        <v>-6.4257228947368477</v>
      </c>
      <c r="H38" s="635"/>
    </row>
    <row r="39" spans="1:8" ht="12.75" hidden="1" customHeight="1" x14ac:dyDescent="0.2">
      <c r="A39" s="633" t="s">
        <v>416</v>
      </c>
      <c r="B39" s="27"/>
      <c r="C39" s="27"/>
      <c r="D39" s="27"/>
      <c r="E39" s="27"/>
      <c r="F39" s="27">
        <f>E39-B39</f>
        <v>0</v>
      </c>
      <c r="G39" s="28" t="e">
        <f>F39/B39*100</f>
        <v>#DIV/0!</v>
      </c>
      <c r="H39" s="632" t="s">
        <v>2881</v>
      </c>
    </row>
    <row r="40" spans="1:8" ht="12.75" customHeight="1" x14ac:dyDescent="0.2">
      <c r="A40" s="633" t="s">
        <v>3066</v>
      </c>
      <c r="B40" s="27">
        <v>3800000</v>
      </c>
      <c r="C40" s="27"/>
      <c r="D40" s="27"/>
      <c r="E40" s="27">
        <v>3555822.53</v>
      </c>
      <c r="F40" s="27">
        <f>E40-B40</f>
        <v>-244177.4700000002</v>
      </c>
      <c r="G40" s="28">
        <f>F40/B40*100</f>
        <v>-6.4257228947368477</v>
      </c>
      <c r="H40" s="636" t="s">
        <v>3314</v>
      </c>
    </row>
    <row r="41" spans="1:8" ht="12.75" customHeight="1" x14ac:dyDescent="0.2">
      <c r="A41" s="629"/>
      <c r="B41" s="27"/>
      <c r="C41" s="27"/>
      <c r="D41" s="27"/>
      <c r="E41" s="27"/>
      <c r="F41" s="27"/>
      <c r="G41" s="31"/>
      <c r="H41" s="635"/>
    </row>
    <row r="42" spans="1:8" ht="12.75" customHeight="1" x14ac:dyDescent="0.2">
      <c r="A42" s="630" t="s">
        <v>711</v>
      </c>
      <c r="B42" s="29">
        <f>SUM(B43:B45)</f>
        <v>6224160</v>
      </c>
      <c r="C42" s="29">
        <f>SUM(C43:C45)</f>
        <v>0</v>
      </c>
      <c r="D42" s="29"/>
      <c r="E42" s="29">
        <f>SUM(E43:E45)</f>
        <v>3275871.4299999997</v>
      </c>
      <c r="F42" s="29">
        <f>SUM(F43:F45)</f>
        <v>-2948288.5700000003</v>
      </c>
      <c r="G42" s="28">
        <f>F42/B42*100</f>
        <v>-47.368457269736005</v>
      </c>
      <c r="H42" s="635"/>
    </row>
    <row r="43" spans="1:8" ht="12.75" customHeight="1" x14ac:dyDescent="0.2">
      <c r="A43" s="633" t="s">
        <v>712</v>
      </c>
      <c r="B43" s="27">
        <v>1976832</v>
      </c>
      <c r="C43" s="27"/>
      <c r="D43" s="27"/>
      <c r="E43" s="27">
        <v>1181281.27</v>
      </c>
      <c r="F43" s="27">
        <f>E43-B43</f>
        <v>-795550.73</v>
      </c>
      <c r="G43" s="28">
        <f>F43/B43*100</f>
        <v>-40.243719749579121</v>
      </c>
      <c r="H43" s="636" t="s">
        <v>2881</v>
      </c>
    </row>
    <row r="44" spans="1:8" ht="12.75" customHeight="1" x14ac:dyDescent="0.2">
      <c r="A44" s="629" t="s">
        <v>941</v>
      </c>
      <c r="B44" s="27">
        <v>3227722</v>
      </c>
      <c r="C44" s="27"/>
      <c r="D44" s="27"/>
      <c r="E44" s="27">
        <v>2094590.16</v>
      </c>
      <c r="F44" s="27">
        <f>E44-B44</f>
        <v>-1133131.8400000001</v>
      </c>
      <c r="G44" s="28">
        <f>F44/B44*100</f>
        <v>-35.106240252413315</v>
      </c>
      <c r="H44" s="636" t="s">
        <v>2881</v>
      </c>
    </row>
    <row r="45" spans="1:8" ht="12.75" customHeight="1" x14ac:dyDescent="0.2">
      <c r="A45" s="633" t="s">
        <v>4075</v>
      </c>
      <c r="B45" s="27">
        <v>1019606</v>
      </c>
      <c r="C45" s="27"/>
      <c r="D45" s="27"/>
      <c r="E45" s="27">
        <v>0</v>
      </c>
      <c r="F45" s="27">
        <f>E45-B45</f>
        <v>-1019606</v>
      </c>
      <c r="G45" s="28">
        <f>F45/B45*100</f>
        <v>-100</v>
      </c>
      <c r="H45" s="632" t="s">
        <v>4089</v>
      </c>
    </row>
    <row r="46" spans="1:8" ht="12.75" customHeight="1" x14ac:dyDescent="0.2">
      <c r="A46" s="629"/>
      <c r="B46" s="27"/>
      <c r="C46" s="27"/>
      <c r="D46" s="27"/>
      <c r="E46" s="27"/>
      <c r="F46" s="27"/>
      <c r="G46" s="31"/>
      <c r="H46" s="635"/>
    </row>
    <row r="47" spans="1:8" ht="12.75" customHeight="1" x14ac:dyDescent="0.2">
      <c r="A47" s="630" t="s">
        <v>713</v>
      </c>
      <c r="B47" s="29">
        <f>B48</f>
        <v>56486350</v>
      </c>
      <c r="C47" s="29">
        <f>C48</f>
        <v>0</v>
      </c>
      <c r="D47" s="29"/>
      <c r="E47" s="29">
        <f>E48</f>
        <v>47343876.170000002</v>
      </c>
      <c r="F47" s="29">
        <f>F48</f>
        <v>-9142473.8299999982</v>
      </c>
      <c r="G47" s="28">
        <f>F47/B47*100</f>
        <v>-16.185279859647505</v>
      </c>
      <c r="H47" s="637"/>
    </row>
    <row r="48" spans="1:8" ht="12.75" customHeight="1" x14ac:dyDescent="0.2">
      <c r="A48" s="629" t="s">
        <v>596</v>
      </c>
      <c r="B48" s="27">
        <f>57086350-600000</f>
        <v>56486350</v>
      </c>
      <c r="C48" s="27"/>
      <c r="D48" s="27"/>
      <c r="E48" s="27">
        <v>47343876.170000002</v>
      </c>
      <c r="F48" s="27">
        <f>E48-B48</f>
        <v>-9142473.8299999982</v>
      </c>
      <c r="G48" s="28">
        <f>F48/B48*100</f>
        <v>-16.185279859647505</v>
      </c>
      <c r="H48" s="632" t="s">
        <v>2881</v>
      </c>
    </row>
    <row r="49" spans="1:8" ht="12.75" customHeight="1" x14ac:dyDescent="0.2">
      <c r="A49" s="629"/>
      <c r="B49" s="4"/>
      <c r="C49" s="27"/>
      <c r="D49" s="27"/>
      <c r="E49" s="27"/>
      <c r="F49" s="27"/>
      <c r="G49" s="28"/>
      <c r="H49" s="635"/>
    </row>
    <row r="50" spans="1:8" ht="12.75" customHeight="1" x14ac:dyDescent="0.2">
      <c r="A50" s="630" t="s">
        <v>714</v>
      </c>
      <c r="B50" s="29">
        <f>B51</f>
        <v>600000</v>
      </c>
      <c r="C50" s="29">
        <f>C51</f>
        <v>0</v>
      </c>
      <c r="D50" s="29"/>
      <c r="E50" s="29">
        <f>E51</f>
        <v>571341.15</v>
      </c>
      <c r="F50" s="29">
        <f>F51</f>
        <v>-28658.849999999977</v>
      </c>
      <c r="G50" s="28">
        <f>F50/B50*100</f>
        <v>-4.776474999999996</v>
      </c>
      <c r="H50" s="637"/>
    </row>
    <row r="51" spans="1:8" ht="12.75" customHeight="1" x14ac:dyDescent="0.2">
      <c r="A51" s="629" t="s">
        <v>437</v>
      </c>
      <c r="B51" s="27">
        <v>600000</v>
      </c>
      <c r="C51" s="27"/>
      <c r="D51" s="27"/>
      <c r="E51" s="27">
        <v>571341.15</v>
      </c>
      <c r="F51" s="27">
        <f>E51-B51</f>
        <v>-28658.849999999977</v>
      </c>
      <c r="G51" s="28">
        <f>F51/B51*100</f>
        <v>-4.776474999999996</v>
      </c>
      <c r="H51" s="632"/>
    </row>
    <row r="52" spans="1:8" ht="12.75" customHeight="1" x14ac:dyDescent="0.2">
      <c r="A52" s="629"/>
      <c r="B52" s="27"/>
      <c r="C52" s="27"/>
      <c r="D52" s="27"/>
      <c r="E52" s="27"/>
      <c r="F52" s="27"/>
      <c r="G52" s="31"/>
      <c r="H52" s="635"/>
    </row>
    <row r="53" spans="1:8" ht="12.75" customHeight="1" x14ac:dyDescent="0.2">
      <c r="A53" s="630" t="s">
        <v>715</v>
      </c>
      <c r="B53" s="29">
        <f>B54</f>
        <v>3144793</v>
      </c>
      <c r="C53" s="29">
        <f>C54</f>
        <v>0</v>
      </c>
      <c r="D53" s="29"/>
      <c r="E53" s="29">
        <f>E54</f>
        <v>3843174.65</v>
      </c>
      <c r="F53" s="29">
        <f>F54</f>
        <v>698381.64999999991</v>
      </c>
      <c r="G53" s="28">
        <f>F53/B53*100</f>
        <v>22.207555473444511</v>
      </c>
      <c r="H53" s="637"/>
    </row>
    <row r="54" spans="1:8" ht="12.75" customHeight="1" x14ac:dyDescent="0.2">
      <c r="A54" s="629" t="s">
        <v>597</v>
      </c>
      <c r="B54" s="27">
        <v>3144793</v>
      </c>
      <c r="C54" s="27"/>
      <c r="D54" s="27"/>
      <c r="E54" s="27">
        <v>3843174.65</v>
      </c>
      <c r="F54" s="27">
        <f>E54-B54</f>
        <v>698381.64999999991</v>
      </c>
      <c r="G54" s="28">
        <f>F54/B54*100</f>
        <v>22.207555473444511</v>
      </c>
      <c r="H54" s="636" t="s">
        <v>2881</v>
      </c>
    </row>
    <row r="55" spans="1:8" ht="12.75" customHeight="1" x14ac:dyDescent="0.2">
      <c r="A55" s="629"/>
      <c r="B55" s="27"/>
      <c r="C55" s="27"/>
      <c r="D55" s="27"/>
      <c r="E55" s="27"/>
      <c r="F55" s="27"/>
      <c r="G55" s="31"/>
      <c r="H55" s="635"/>
    </row>
    <row r="56" spans="1:8" ht="12.75" hidden="1" customHeight="1" x14ac:dyDescent="0.2">
      <c r="A56" s="630" t="s">
        <v>716</v>
      </c>
      <c r="B56" s="29">
        <f>B57</f>
        <v>0</v>
      </c>
      <c r="C56" s="29">
        <f>C57</f>
        <v>0</v>
      </c>
      <c r="D56" s="29"/>
      <c r="E56" s="29">
        <f>E57</f>
        <v>0</v>
      </c>
      <c r="F56" s="29">
        <f>F57</f>
        <v>0</v>
      </c>
      <c r="G56" s="28" t="e">
        <f>F56/B56*100</f>
        <v>#DIV/0!</v>
      </c>
      <c r="H56" s="637"/>
    </row>
    <row r="57" spans="1:8" ht="12.75" hidden="1" customHeight="1" x14ac:dyDescent="0.2">
      <c r="A57" s="629" t="s">
        <v>26</v>
      </c>
      <c r="B57" s="27"/>
      <c r="C57" s="27"/>
      <c r="D57" s="27"/>
      <c r="E57" s="27"/>
      <c r="F57" s="27">
        <f>E57-B57</f>
        <v>0</v>
      </c>
      <c r="G57" s="28" t="e">
        <f>F57/B57*100</f>
        <v>#DIV/0!</v>
      </c>
      <c r="H57" s="632"/>
    </row>
    <row r="58" spans="1:8" ht="12.75" hidden="1" customHeight="1" x14ac:dyDescent="0.2">
      <c r="A58" s="638"/>
      <c r="B58" s="78"/>
      <c r="C58" s="78"/>
      <c r="D58" s="78"/>
      <c r="E58" s="78"/>
      <c r="F58" s="78"/>
      <c r="G58" s="78"/>
      <c r="H58" s="639"/>
    </row>
    <row r="59" spans="1:8" ht="12.75" customHeight="1" x14ac:dyDescent="0.2">
      <c r="A59" s="630" t="s">
        <v>717</v>
      </c>
      <c r="B59" s="29">
        <f>B60</f>
        <v>196055615</v>
      </c>
      <c r="C59" s="29">
        <f>C60</f>
        <v>0</v>
      </c>
      <c r="D59" s="29"/>
      <c r="E59" s="29">
        <f>E60</f>
        <v>166720159.68000001</v>
      </c>
      <c r="F59" s="29">
        <f>F60</f>
        <v>-29335455.319999993</v>
      </c>
      <c r="G59" s="28">
        <f>F59/B59*100</f>
        <v>-14.962823339693685</v>
      </c>
      <c r="H59" s="640"/>
    </row>
    <row r="60" spans="1:8" ht="12.75" customHeight="1" x14ac:dyDescent="0.2">
      <c r="A60" s="629" t="s">
        <v>573</v>
      </c>
      <c r="B60" s="27">
        <v>196055615</v>
      </c>
      <c r="C60" s="27"/>
      <c r="D60" s="27"/>
      <c r="E60" s="27">
        <v>166720159.68000001</v>
      </c>
      <c r="F60" s="27">
        <f>E60-B60</f>
        <v>-29335455.319999993</v>
      </c>
      <c r="G60" s="28">
        <f>F60/B60*100</f>
        <v>-14.962823339693685</v>
      </c>
      <c r="H60" s="632" t="s">
        <v>2881</v>
      </c>
    </row>
    <row r="61" spans="1:8" ht="12.75" customHeight="1" x14ac:dyDescent="0.2">
      <c r="A61" s="629"/>
      <c r="B61" s="27"/>
      <c r="C61" s="27"/>
      <c r="D61" s="27"/>
      <c r="E61" s="27"/>
      <c r="F61" s="27"/>
      <c r="G61" s="27"/>
      <c r="H61" s="635"/>
    </row>
    <row r="62" spans="1:8" ht="12.75" customHeight="1" x14ac:dyDescent="0.2">
      <c r="A62" s="630" t="s">
        <v>718</v>
      </c>
      <c r="B62" s="29">
        <f>B63+B64</f>
        <v>6283099</v>
      </c>
      <c r="C62" s="29">
        <f>C63+C64</f>
        <v>0</v>
      </c>
      <c r="D62" s="29"/>
      <c r="E62" s="29">
        <f>E63+E64</f>
        <v>5163091.2300000004</v>
      </c>
      <c r="F62" s="29">
        <f>F63</f>
        <v>-1120007.7699999996</v>
      </c>
      <c r="G62" s="28">
        <f>F62/B62*100</f>
        <v>-17.825722147621732</v>
      </c>
      <c r="H62" s="637"/>
    </row>
    <row r="63" spans="1:8" ht="12.75" customHeight="1" x14ac:dyDescent="0.2">
      <c r="A63" s="629" t="s">
        <v>574</v>
      </c>
      <c r="B63" s="506">
        <v>6283099</v>
      </c>
      <c r="C63" s="27"/>
      <c r="D63" s="27"/>
      <c r="E63" s="27">
        <v>5163091.2300000004</v>
      </c>
      <c r="F63" s="27">
        <f>E63-B63</f>
        <v>-1120007.7699999996</v>
      </c>
      <c r="G63" s="28">
        <f>F63/B63*100</f>
        <v>-17.825722147621732</v>
      </c>
      <c r="H63" s="632" t="s">
        <v>2881</v>
      </c>
    </row>
    <row r="64" spans="1:8" ht="12.75" customHeight="1" x14ac:dyDescent="0.2">
      <c r="A64" s="629"/>
      <c r="B64" s="27"/>
      <c r="C64" s="27"/>
      <c r="D64" s="27"/>
      <c r="E64" s="27"/>
      <c r="F64" s="27"/>
      <c r="G64" s="31"/>
      <c r="H64" s="628"/>
    </row>
    <row r="65" spans="1:8" ht="12.75" customHeight="1" thickBot="1" x14ac:dyDescent="0.25">
      <c r="A65" s="641" t="s">
        <v>942</v>
      </c>
      <c r="B65" s="642">
        <f>B7+B10+B13+B18+B22+B27+B31+B38+B42+B47+B50+B53+B56+B59+B62</f>
        <v>626285336</v>
      </c>
      <c r="C65" s="642">
        <f>C7+C10+C13+C18+C22+C27+C31+C38+C42+C47+C50+C53+C56+C59+C62</f>
        <v>0</v>
      </c>
      <c r="D65" s="642"/>
      <c r="E65" s="642">
        <f>E7+E10+E13+E18+E22+E27+E31+E38+E42+E47+E50+E53+E56+E59+E62</f>
        <v>546468440.6099999</v>
      </c>
      <c r="F65" s="642">
        <f>F7+F10+F13+F18+F22+F27+F31+F38+F42+F47+F50+F53+F56+F59+F62</f>
        <v>-79815823.709999993</v>
      </c>
      <c r="G65" s="645">
        <f>F65/B65*100</f>
        <v>-12.744322614955811</v>
      </c>
      <c r="H65" s="643"/>
    </row>
    <row r="67" spans="1:8" x14ac:dyDescent="0.2">
      <c r="A67" s="33"/>
    </row>
    <row r="68" spans="1:8" x14ac:dyDescent="0.2">
      <c r="A68" s="33"/>
    </row>
    <row r="71" spans="1:8" x14ac:dyDescent="0.2">
      <c r="E71" s="985"/>
    </row>
  </sheetData>
  <mergeCells count="4">
    <mergeCell ref="A4:A6"/>
    <mergeCell ref="A1:H1"/>
    <mergeCell ref="A2:H2"/>
    <mergeCell ref="A3:H3"/>
  </mergeCells>
  <phoneticPr fontId="0" type="noConversion"/>
  <pageMargins left="1.1023622047244095" right="0.70866141732283472" top="0.70866141732283472" bottom="0.70866141732283472" header="0.31496062992125984" footer="0.31496062992125984"/>
  <pageSetup paperSize="9" scale="85" firstPageNumber="66" orientation="landscape" useFirstPageNumber="1" horizontalDpi="300" verticalDpi="300"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2:Z41"/>
  <sheetViews>
    <sheetView view="pageBreakPreview" zoomScale="60" workbookViewId="0">
      <selection activeCell="K56" sqref="K56"/>
    </sheetView>
  </sheetViews>
  <sheetFormatPr defaultColWidth="9" defaultRowHeight="12.75" x14ac:dyDescent="0.2"/>
  <cols>
    <col min="1" max="1" width="3.5703125" style="49" customWidth="1"/>
    <col min="2" max="2" width="45" style="49" customWidth="1"/>
    <col min="3" max="3" width="13.42578125" style="49" hidden="1" customWidth="1"/>
    <col min="4" max="4" width="16.28515625" style="49" customWidth="1"/>
    <col min="5" max="5" width="16.140625" style="49" customWidth="1"/>
    <col min="6" max="6" width="16" style="49" customWidth="1"/>
    <col min="7" max="7" width="14.85546875" style="49" customWidth="1"/>
    <col min="8" max="8" width="16.5703125" style="49" customWidth="1"/>
    <col min="9" max="9" width="16.42578125" style="49" customWidth="1"/>
    <col min="10" max="10" width="17.42578125" style="49" customWidth="1"/>
    <col min="11" max="11" width="16.140625" style="49" customWidth="1"/>
    <col min="12" max="12" width="17.28515625" style="49" customWidth="1"/>
    <col min="13" max="13" width="19" style="49" customWidth="1"/>
    <col min="14" max="14" width="6.7109375" style="49" customWidth="1"/>
    <col min="15" max="15" width="16.85546875" style="49" customWidth="1"/>
    <col min="16" max="16" width="13.5703125" style="49" hidden="1" customWidth="1"/>
    <col min="17" max="18" width="13.5703125" style="49" customWidth="1"/>
    <col min="19" max="21" width="9" style="49" customWidth="1"/>
    <col min="22" max="22" width="12" style="49" customWidth="1"/>
    <col min="23" max="23" width="11.42578125" style="49" bestFit="1" customWidth="1"/>
    <col min="24" max="16384" width="9" style="49"/>
  </cols>
  <sheetData>
    <row r="2" spans="2:26" x14ac:dyDescent="0.2">
      <c r="B2" s="1875" t="s">
        <v>362</v>
      </c>
      <c r="C2" s="1875"/>
      <c r="D2" s="1875"/>
      <c r="E2" s="1875"/>
      <c r="F2" s="1875"/>
      <c r="G2" s="1875"/>
      <c r="H2" s="1875"/>
      <c r="I2" s="1875"/>
      <c r="J2" s="1875"/>
      <c r="K2" s="1875"/>
      <c r="L2" s="1875"/>
      <c r="M2" s="1875"/>
      <c r="N2" s="1875"/>
      <c r="O2" s="1875"/>
      <c r="P2" s="1875"/>
      <c r="Q2" s="1875"/>
      <c r="R2" s="1875"/>
      <c r="S2" s="48"/>
      <c r="T2" s="48"/>
      <c r="U2" s="48"/>
      <c r="V2" s="48"/>
      <c r="W2" s="48"/>
      <c r="X2" s="48"/>
      <c r="Y2" s="48"/>
      <c r="Z2" s="48"/>
    </row>
    <row r="3" spans="2:26" x14ac:dyDescent="0.2">
      <c r="B3" s="1875" t="s">
        <v>3908</v>
      </c>
      <c r="C3" s="1876"/>
      <c r="D3" s="1876"/>
      <c r="E3" s="1876"/>
      <c r="F3" s="1876"/>
      <c r="G3" s="1876"/>
      <c r="H3" s="1876"/>
      <c r="I3" s="1876"/>
      <c r="J3" s="1876"/>
      <c r="K3" s="1876"/>
      <c r="L3" s="1876"/>
      <c r="M3" s="1876"/>
      <c r="N3" s="1876"/>
      <c r="O3" s="1876"/>
      <c r="P3" s="1876"/>
      <c r="Q3" s="1876"/>
      <c r="R3" s="1876"/>
      <c r="S3" s="48"/>
      <c r="T3" s="48"/>
      <c r="U3" s="48"/>
      <c r="V3" s="48"/>
      <c r="W3" s="48"/>
      <c r="X3" s="48"/>
      <c r="Y3" s="48"/>
      <c r="Z3" s="48"/>
    </row>
    <row r="4" spans="2:26" x14ac:dyDescent="0.2">
      <c r="B4" s="48"/>
      <c r="C4" s="50"/>
      <c r="D4" s="50"/>
      <c r="E4" s="50"/>
      <c r="F4" s="50"/>
      <c r="G4" s="50"/>
      <c r="H4" s="50"/>
      <c r="I4" s="50"/>
      <c r="J4" s="50"/>
      <c r="K4" s="50"/>
      <c r="L4" s="50"/>
      <c r="M4" s="50"/>
      <c r="N4" s="50"/>
      <c r="O4" s="50"/>
      <c r="P4" s="50"/>
      <c r="Q4" s="50"/>
      <c r="R4" s="50"/>
      <c r="S4" s="48"/>
      <c r="T4" s="48"/>
      <c r="U4" s="48"/>
      <c r="V4" s="48"/>
      <c r="W4" s="48"/>
      <c r="X4" s="48"/>
      <c r="Y4" s="48"/>
      <c r="Z4" s="48"/>
    </row>
    <row r="5" spans="2:26" x14ac:dyDescent="0.2">
      <c r="B5" s="48"/>
      <c r="C5" s="50"/>
      <c r="D5" s="50"/>
      <c r="E5" s="50"/>
      <c r="F5" s="50"/>
      <c r="G5" s="50"/>
      <c r="H5" s="50"/>
      <c r="I5" s="50"/>
      <c r="J5" s="50"/>
      <c r="K5" s="50"/>
      <c r="L5" s="50"/>
      <c r="M5" s="50"/>
      <c r="N5" s="50"/>
      <c r="O5" s="50"/>
      <c r="P5" s="50"/>
      <c r="Q5" s="50"/>
      <c r="R5" s="50"/>
      <c r="S5" s="48"/>
      <c r="T5" s="48"/>
      <c r="U5" s="48"/>
      <c r="V5" s="48"/>
      <c r="W5" s="48"/>
      <c r="X5" s="48"/>
      <c r="Y5" s="48"/>
      <c r="Z5" s="48"/>
    </row>
    <row r="6" spans="2:26" x14ac:dyDescent="0.2">
      <c r="B6" s="51" t="s">
        <v>521</v>
      </c>
      <c r="C6" s="52"/>
      <c r="D6" s="52"/>
      <c r="E6" s="52"/>
      <c r="F6" s="52"/>
      <c r="G6" s="52"/>
      <c r="H6" s="52"/>
    </row>
    <row r="7" spans="2:26" x14ac:dyDescent="0.2">
      <c r="B7" s="53"/>
      <c r="C7" s="52"/>
      <c r="D7" s="52"/>
      <c r="E7" s="52"/>
      <c r="F7" s="52"/>
      <c r="G7" s="52"/>
      <c r="H7" s="52"/>
    </row>
    <row r="8" spans="2:26" ht="13.5" thickBot="1" x14ac:dyDescent="0.25">
      <c r="B8" s="54"/>
    </row>
    <row r="9" spans="2:26" s="42" customFormat="1" ht="114.75" x14ac:dyDescent="0.2">
      <c r="B9" s="1877" t="s">
        <v>522</v>
      </c>
      <c r="C9" s="1879"/>
      <c r="D9" s="1879" t="s">
        <v>3060</v>
      </c>
      <c r="E9" s="1879"/>
      <c r="F9" s="1879"/>
      <c r="G9" s="1879"/>
      <c r="H9" s="1879"/>
      <c r="I9" s="1879" t="s">
        <v>3061</v>
      </c>
      <c r="J9" s="1879"/>
      <c r="K9" s="1879"/>
      <c r="L9" s="1879"/>
      <c r="M9" s="1879"/>
      <c r="N9" s="680" t="s">
        <v>523</v>
      </c>
      <c r="O9" s="680" t="s">
        <v>524</v>
      </c>
      <c r="P9" s="680" t="s">
        <v>525</v>
      </c>
      <c r="Q9" s="680" t="s">
        <v>526</v>
      </c>
      <c r="R9" s="681" t="s">
        <v>527</v>
      </c>
    </row>
    <row r="10" spans="2:26" x14ac:dyDescent="0.2">
      <c r="B10" s="1878"/>
      <c r="C10" s="1880"/>
      <c r="D10" s="623" t="s">
        <v>927</v>
      </c>
      <c r="E10" s="623" t="s">
        <v>928</v>
      </c>
      <c r="F10" s="623" t="s">
        <v>929</v>
      </c>
      <c r="G10" s="623" t="s">
        <v>930</v>
      </c>
      <c r="H10" s="623" t="s">
        <v>374</v>
      </c>
      <c r="I10" s="623" t="s">
        <v>927</v>
      </c>
      <c r="J10" s="623" t="s">
        <v>928</v>
      </c>
      <c r="K10" s="623" t="s">
        <v>929</v>
      </c>
      <c r="L10" s="623" t="s">
        <v>930</v>
      </c>
      <c r="M10" s="623" t="s">
        <v>374</v>
      </c>
      <c r="N10" s="623" t="s">
        <v>374</v>
      </c>
      <c r="O10" s="623" t="s">
        <v>374</v>
      </c>
      <c r="P10" s="623"/>
      <c r="Q10" s="623" t="s">
        <v>528</v>
      </c>
      <c r="R10" s="682"/>
    </row>
    <row r="11" spans="2:26" x14ac:dyDescent="0.2">
      <c r="B11" s="1427" t="s">
        <v>173</v>
      </c>
      <c r="C11" s="1423"/>
      <c r="D11" s="89">
        <v>217748000</v>
      </c>
      <c r="E11" s="119">
        <v>18264000</v>
      </c>
      <c r="F11" s="89">
        <v>286583000</v>
      </c>
      <c r="G11" s="119"/>
      <c r="H11" s="89">
        <f>SUM(D11:G11)</f>
        <v>522595000</v>
      </c>
      <c r="I11" s="119">
        <v>130648749.98999999</v>
      </c>
      <c r="J11" s="89">
        <v>105363250.01000001</v>
      </c>
      <c r="K11" s="119">
        <v>155934249.97999999</v>
      </c>
      <c r="L11" s="89">
        <v>130648750.02</v>
      </c>
      <c r="M11" s="116">
        <f>I11+J11+K11+L11</f>
        <v>522595000</v>
      </c>
      <c r="N11" s="226" t="s">
        <v>893</v>
      </c>
      <c r="O11" s="116">
        <v>522595000</v>
      </c>
      <c r="P11" s="121"/>
      <c r="Q11" s="228" t="s">
        <v>637</v>
      </c>
      <c r="R11" s="683" t="s">
        <v>636</v>
      </c>
    </row>
    <row r="12" spans="2:26" ht="15" x14ac:dyDescent="0.25">
      <c r="B12" s="68" t="s">
        <v>183</v>
      </c>
      <c r="C12" s="1424"/>
      <c r="D12" s="90">
        <v>1875000</v>
      </c>
      <c r="E12" s="116">
        <v>0</v>
      </c>
      <c r="F12" s="90">
        <v>0</v>
      </c>
      <c r="G12" s="116"/>
      <c r="H12" s="90">
        <f>SUM(D12:G12)</f>
        <v>1875000</v>
      </c>
      <c r="I12" s="116">
        <v>489644.62</v>
      </c>
      <c r="J12" s="90">
        <v>340300.81</v>
      </c>
      <c r="K12" s="116">
        <v>292783.89</v>
      </c>
      <c r="L12" s="90">
        <v>752270.68</v>
      </c>
      <c r="M12" s="116">
        <f t="shared" ref="M12:M22" si="0">I12+J12+K12+L12</f>
        <v>1875000</v>
      </c>
      <c r="N12" s="226" t="s">
        <v>893</v>
      </c>
      <c r="O12" s="116">
        <v>1875000</v>
      </c>
      <c r="P12" s="91"/>
      <c r="Q12" s="228" t="s">
        <v>637</v>
      </c>
      <c r="R12" s="683" t="s">
        <v>636</v>
      </c>
    </row>
    <row r="13" spans="2:26" ht="15" x14ac:dyDescent="0.25">
      <c r="B13" s="68" t="s">
        <v>4064</v>
      </c>
      <c r="C13" s="1424"/>
      <c r="D13" s="230">
        <v>930000</v>
      </c>
      <c r="E13" s="116">
        <v>0</v>
      </c>
      <c r="F13" s="90">
        <v>0</v>
      </c>
      <c r="G13" s="116"/>
      <c r="H13" s="90">
        <f>SUM(D13:G13)</f>
        <v>930000</v>
      </c>
      <c r="I13" s="116">
        <v>232500</v>
      </c>
      <c r="J13" s="90">
        <v>232500</v>
      </c>
      <c r="K13" s="116">
        <v>232500</v>
      </c>
      <c r="L13" s="90">
        <v>232500</v>
      </c>
      <c r="M13" s="116">
        <f t="shared" si="0"/>
        <v>930000</v>
      </c>
      <c r="N13" s="227" t="s">
        <v>893</v>
      </c>
      <c r="O13" s="116">
        <v>930000</v>
      </c>
      <c r="P13" s="91"/>
      <c r="Q13" s="229" t="s">
        <v>637</v>
      </c>
      <c r="R13" s="683" t="s">
        <v>636</v>
      </c>
    </row>
    <row r="14" spans="2:26" ht="15" x14ac:dyDescent="0.25">
      <c r="B14" s="68" t="s">
        <v>4065</v>
      </c>
      <c r="C14" s="1424"/>
      <c r="D14" s="230">
        <v>88890000</v>
      </c>
      <c r="E14" s="116">
        <v>88890000</v>
      </c>
      <c r="F14" s="90">
        <v>98020000</v>
      </c>
      <c r="G14" s="116"/>
      <c r="H14" s="90">
        <f>SUM(D14:G14)</f>
        <v>275800000</v>
      </c>
      <c r="I14" s="116">
        <v>23468380.449999999</v>
      </c>
      <c r="J14" s="90">
        <v>25393623.649999999</v>
      </c>
      <c r="K14" s="116">
        <v>216110140.61000001</v>
      </c>
      <c r="L14" s="90">
        <v>121463350.05</v>
      </c>
      <c r="M14" s="116">
        <f t="shared" si="0"/>
        <v>386435494.75999999</v>
      </c>
      <c r="N14" s="227" t="s">
        <v>893</v>
      </c>
      <c r="O14" s="116">
        <v>386435494.75999999</v>
      </c>
      <c r="P14" s="91"/>
      <c r="Q14" s="229" t="s">
        <v>637</v>
      </c>
      <c r="R14" s="683" t="s">
        <v>636</v>
      </c>
    </row>
    <row r="15" spans="2:26" ht="15" x14ac:dyDescent="0.25">
      <c r="B15" s="68" t="s">
        <v>4066</v>
      </c>
      <c r="C15" s="1425"/>
      <c r="D15" s="90">
        <v>0</v>
      </c>
      <c r="E15" s="116">
        <v>0</v>
      </c>
      <c r="F15" s="90">
        <v>0</v>
      </c>
      <c r="G15" s="116"/>
      <c r="H15" s="90">
        <f t="shared" ref="H15:H20" si="1">SUM(D15:G15)</f>
        <v>0</v>
      </c>
      <c r="I15" s="117">
        <v>4856574.49</v>
      </c>
      <c r="J15" s="92">
        <v>6724351.6200000001</v>
      </c>
      <c r="K15" s="117">
        <v>9259257.6400000006</v>
      </c>
      <c r="L15" s="92"/>
      <c r="M15" s="116">
        <f t="shared" si="0"/>
        <v>20840183.75</v>
      </c>
      <c r="N15" s="227" t="s">
        <v>893</v>
      </c>
      <c r="O15" s="116">
        <v>20840183.75</v>
      </c>
      <c r="P15" s="91"/>
      <c r="Q15" s="229" t="s">
        <v>637</v>
      </c>
      <c r="R15" s="683" t="s">
        <v>636</v>
      </c>
      <c r="V15" s="55"/>
      <c r="W15" s="55"/>
    </row>
    <row r="16" spans="2:26" ht="15" hidden="1" x14ac:dyDescent="0.25">
      <c r="B16" s="68" t="s">
        <v>4067</v>
      </c>
      <c r="C16" s="1425"/>
      <c r="D16" s="230">
        <v>0</v>
      </c>
      <c r="E16" s="116">
        <v>0</v>
      </c>
      <c r="F16" s="90">
        <v>0</v>
      </c>
      <c r="G16" s="116"/>
      <c r="H16" s="90">
        <f t="shared" si="1"/>
        <v>0</v>
      </c>
      <c r="I16" s="117"/>
      <c r="J16" s="92"/>
      <c r="K16" s="117"/>
      <c r="L16" s="92"/>
      <c r="M16" s="116">
        <f t="shared" si="0"/>
        <v>0</v>
      </c>
      <c r="N16" s="227" t="s">
        <v>893</v>
      </c>
      <c r="O16" s="116">
        <v>0</v>
      </c>
      <c r="P16" s="91"/>
      <c r="Q16" s="229" t="s">
        <v>637</v>
      </c>
      <c r="R16" s="683" t="s">
        <v>636</v>
      </c>
      <c r="V16" s="55"/>
      <c r="W16" s="55"/>
    </row>
    <row r="17" spans="2:23" ht="15" x14ac:dyDescent="0.25">
      <c r="B17" s="68" t="s">
        <v>4068</v>
      </c>
      <c r="C17" s="1426"/>
      <c r="D17" s="230">
        <v>46047000</v>
      </c>
      <c r="E17" s="116">
        <v>46047000</v>
      </c>
      <c r="F17" s="90">
        <v>92095000</v>
      </c>
      <c r="G17" s="116"/>
      <c r="H17" s="90">
        <f t="shared" si="1"/>
        <v>184189000</v>
      </c>
      <c r="I17" s="117">
        <v>13338036.630000001</v>
      </c>
      <c r="J17" s="92">
        <v>36522215.759999998</v>
      </c>
      <c r="K17" s="117">
        <v>65092784.979999997</v>
      </c>
      <c r="L17" s="92">
        <v>79125635.239999995</v>
      </c>
      <c r="M17" s="116">
        <f t="shared" si="0"/>
        <v>194078672.61000001</v>
      </c>
      <c r="N17" s="227" t="s">
        <v>893</v>
      </c>
      <c r="O17" s="116">
        <v>194078672.61000001</v>
      </c>
      <c r="P17" s="91"/>
      <c r="Q17" s="229" t="s">
        <v>637</v>
      </c>
      <c r="R17" s="683" t="s">
        <v>3172</v>
      </c>
      <c r="V17" s="55"/>
      <c r="W17" s="55"/>
    </row>
    <row r="18" spans="2:23" ht="15" x14ac:dyDescent="0.25">
      <c r="B18" s="68" t="s">
        <v>4069</v>
      </c>
      <c r="C18" s="1425"/>
      <c r="D18" s="230">
        <v>1806000</v>
      </c>
      <c r="E18" s="116">
        <v>1355000</v>
      </c>
      <c r="F18" s="90">
        <v>1355000</v>
      </c>
      <c r="G18" s="116"/>
      <c r="H18" s="90">
        <f t="shared" si="1"/>
        <v>4516000</v>
      </c>
      <c r="I18" s="117">
        <v>783480.77</v>
      </c>
      <c r="J18" s="92">
        <v>1381418.06</v>
      </c>
      <c r="K18" s="117">
        <v>1102897.42</v>
      </c>
      <c r="L18" s="92">
        <v>1248203.75</v>
      </c>
      <c r="M18" s="116">
        <f t="shared" si="0"/>
        <v>4516000</v>
      </c>
      <c r="N18" s="227" t="s">
        <v>893</v>
      </c>
      <c r="O18" s="116">
        <v>4516000</v>
      </c>
      <c r="P18" s="91"/>
      <c r="Q18" s="229" t="s">
        <v>637</v>
      </c>
      <c r="R18" s="683" t="s">
        <v>636</v>
      </c>
      <c r="V18" s="55"/>
      <c r="W18" s="55"/>
    </row>
    <row r="19" spans="2:23" ht="17.25" customHeight="1" x14ac:dyDescent="0.25">
      <c r="B19" s="68" t="s">
        <v>4070</v>
      </c>
      <c r="C19" s="1426"/>
      <c r="D19" s="230">
        <v>30000000</v>
      </c>
      <c r="E19" s="116">
        <v>10000000</v>
      </c>
      <c r="F19" s="90">
        <v>0</v>
      </c>
      <c r="G19" s="116"/>
      <c r="H19" s="90">
        <f t="shared" si="1"/>
        <v>40000000</v>
      </c>
      <c r="I19" s="117">
        <v>30000000</v>
      </c>
      <c r="J19" s="92">
        <v>10000000</v>
      </c>
      <c r="K19" s="117"/>
      <c r="L19" s="92"/>
      <c r="M19" s="116">
        <f t="shared" si="0"/>
        <v>40000000</v>
      </c>
      <c r="N19" s="227" t="s">
        <v>893</v>
      </c>
      <c r="O19" s="116">
        <v>40000000</v>
      </c>
      <c r="P19" s="91" t="s">
        <v>635</v>
      </c>
      <c r="Q19" s="229" t="s">
        <v>637</v>
      </c>
      <c r="R19" s="683" t="s">
        <v>636</v>
      </c>
      <c r="V19" s="55"/>
      <c r="W19" s="55"/>
    </row>
    <row r="20" spans="2:23" ht="15" hidden="1" x14ac:dyDescent="0.25">
      <c r="B20" s="68" t="s">
        <v>4071</v>
      </c>
      <c r="C20" s="1426"/>
      <c r="D20" s="230">
        <v>0</v>
      </c>
      <c r="E20" s="116">
        <v>0</v>
      </c>
      <c r="F20" s="90">
        <v>0</v>
      </c>
      <c r="G20" s="116"/>
      <c r="H20" s="90">
        <f t="shared" si="1"/>
        <v>0</v>
      </c>
      <c r="I20" s="117"/>
      <c r="J20" s="92"/>
      <c r="K20" s="117"/>
      <c r="L20" s="92"/>
      <c r="M20" s="116">
        <f t="shared" si="0"/>
        <v>0</v>
      </c>
      <c r="N20" s="227" t="s">
        <v>893</v>
      </c>
      <c r="O20" s="116">
        <v>0</v>
      </c>
      <c r="P20" s="91"/>
      <c r="Q20" s="229" t="s">
        <v>637</v>
      </c>
      <c r="R20" s="683" t="s">
        <v>636</v>
      </c>
      <c r="V20" s="55"/>
      <c r="W20" s="55"/>
    </row>
    <row r="21" spans="2:23" ht="15" x14ac:dyDescent="0.25">
      <c r="B21" s="68" t="s">
        <v>4072</v>
      </c>
      <c r="C21" s="1426"/>
      <c r="D21" s="230">
        <v>14824000</v>
      </c>
      <c r="E21" s="116">
        <v>0</v>
      </c>
      <c r="F21" s="90">
        <v>16248000</v>
      </c>
      <c r="G21" s="116"/>
      <c r="H21" s="90">
        <f>SUM(D21:G21)</f>
        <v>31072000</v>
      </c>
      <c r="I21" s="117">
        <v>3537936.61</v>
      </c>
      <c r="J21" s="92">
        <v>9718541.2200000007</v>
      </c>
      <c r="K21" s="117">
        <v>9312919.2599999998</v>
      </c>
      <c r="L21" s="92">
        <v>5757843.1100000003</v>
      </c>
      <c r="M21" s="116">
        <f t="shared" si="0"/>
        <v>28327240.199999999</v>
      </c>
      <c r="N21" s="227" t="s">
        <v>893</v>
      </c>
      <c r="O21" s="116">
        <v>28327240.199999999</v>
      </c>
      <c r="P21" s="91" t="s">
        <v>635</v>
      </c>
      <c r="Q21" s="229" t="s">
        <v>637</v>
      </c>
      <c r="R21" s="683" t="s">
        <v>636</v>
      </c>
      <c r="V21" s="55"/>
      <c r="W21" s="55"/>
    </row>
    <row r="22" spans="2:23" x14ac:dyDescent="0.2">
      <c r="B22" s="1055" t="s">
        <v>4073</v>
      </c>
      <c r="C22" s="1426"/>
      <c r="D22" s="90">
        <v>2250000</v>
      </c>
      <c r="E22" s="116">
        <v>0</v>
      </c>
      <c r="F22" s="90">
        <v>2750000</v>
      </c>
      <c r="G22" s="116"/>
      <c r="H22" s="90">
        <f>SUM(D22:G22)</f>
        <v>5000000</v>
      </c>
      <c r="I22" s="117"/>
      <c r="J22" s="92"/>
      <c r="K22" s="117">
        <v>2250000</v>
      </c>
      <c r="L22" s="92">
        <v>2750000</v>
      </c>
      <c r="M22" s="116">
        <f t="shared" si="0"/>
        <v>5000000</v>
      </c>
      <c r="N22" s="227" t="s">
        <v>893</v>
      </c>
      <c r="O22" s="116">
        <v>5000000</v>
      </c>
      <c r="P22" s="91"/>
      <c r="Q22" s="229" t="s">
        <v>637</v>
      </c>
      <c r="R22" s="683" t="s">
        <v>636</v>
      </c>
      <c r="V22" s="55"/>
      <c r="W22" s="55"/>
    </row>
    <row r="23" spans="2:23" hidden="1" x14ac:dyDescent="0.2">
      <c r="B23" s="684" t="s">
        <v>596</v>
      </c>
      <c r="C23" s="200"/>
      <c r="D23" s="230"/>
      <c r="E23" s="116"/>
      <c r="F23" s="90"/>
      <c r="G23" s="116"/>
      <c r="H23" s="90">
        <f>SUM(D23:G23)</f>
        <v>0</v>
      </c>
      <c r="I23" s="117"/>
      <c r="J23" s="92"/>
      <c r="K23" s="117"/>
      <c r="L23" s="92"/>
      <c r="M23" s="116"/>
      <c r="N23" s="227" t="s">
        <v>893</v>
      </c>
      <c r="O23" s="120"/>
      <c r="P23" s="91"/>
      <c r="Q23" s="229" t="s">
        <v>637</v>
      </c>
      <c r="R23" s="683" t="s">
        <v>636</v>
      </c>
      <c r="V23" s="55"/>
      <c r="W23" s="55"/>
    </row>
    <row r="24" spans="2:23" hidden="1" x14ac:dyDescent="0.2">
      <c r="B24" s="684"/>
      <c r="C24" s="201"/>
      <c r="D24" s="230"/>
      <c r="E24" s="116"/>
      <c r="F24" s="90"/>
      <c r="G24" s="116"/>
      <c r="H24" s="90">
        <f>SUM(D24:G24)</f>
        <v>0</v>
      </c>
      <c r="I24" s="117"/>
      <c r="J24" s="92"/>
      <c r="K24" s="117"/>
      <c r="L24" s="92"/>
      <c r="M24" s="116"/>
      <c r="N24" s="227" t="s">
        <v>893</v>
      </c>
      <c r="O24" s="118"/>
      <c r="P24" s="91"/>
      <c r="Q24" s="229" t="s">
        <v>637</v>
      </c>
      <c r="R24" s="683" t="s">
        <v>636</v>
      </c>
      <c r="W24" s="55"/>
    </row>
    <row r="25" spans="2:23" ht="13.5" thickBot="1" x14ac:dyDescent="0.25">
      <c r="B25" s="685"/>
      <c r="C25" s="686"/>
      <c r="D25" s="687">
        <f t="shared" ref="D25:M25" si="2">SUM(D11:D24)</f>
        <v>404370000</v>
      </c>
      <c r="E25" s="973">
        <f t="shared" si="2"/>
        <v>164556000</v>
      </c>
      <c r="F25" s="687">
        <f t="shared" si="2"/>
        <v>497051000</v>
      </c>
      <c r="G25" s="687">
        <f t="shared" si="2"/>
        <v>0</v>
      </c>
      <c r="H25" s="1428">
        <f t="shared" si="2"/>
        <v>1065977000</v>
      </c>
      <c r="I25" s="688">
        <f t="shared" si="2"/>
        <v>207355303.56000003</v>
      </c>
      <c r="J25" s="687">
        <f t="shared" si="2"/>
        <v>195676201.13</v>
      </c>
      <c r="K25" s="688">
        <f t="shared" si="2"/>
        <v>459587533.78000003</v>
      </c>
      <c r="L25" s="687">
        <f t="shared" si="2"/>
        <v>341978552.85000002</v>
      </c>
      <c r="M25" s="1422">
        <f t="shared" si="2"/>
        <v>1204597591.3199999</v>
      </c>
      <c r="N25" s="689">
        <f>SUM(N11:N24)</f>
        <v>0</v>
      </c>
      <c r="O25" s="688">
        <f>SUM(O11:O24)</f>
        <v>1204597591.3199999</v>
      </c>
      <c r="P25" s="690"/>
      <c r="Q25" s="691"/>
      <c r="R25" s="692"/>
      <c r="W25" s="55"/>
    </row>
    <row r="26" spans="2:23" x14ac:dyDescent="0.2">
      <c r="B26" s="43" t="s">
        <v>296</v>
      </c>
      <c r="C26" s="43"/>
      <c r="D26" s="43"/>
      <c r="E26" s="43"/>
      <c r="F26" s="43"/>
      <c r="G26" s="43"/>
      <c r="H26" s="43"/>
      <c r="I26" s="52"/>
      <c r="J26" s="52"/>
      <c r="K26" s="52"/>
      <c r="L26" s="52"/>
      <c r="M26" s="52"/>
      <c r="N26" s="52"/>
      <c r="O26" s="88"/>
      <c r="P26" s="52"/>
      <c r="Q26" s="52"/>
      <c r="R26" s="52"/>
      <c r="W26" s="55"/>
    </row>
    <row r="27" spans="2:23" x14ac:dyDescent="0.2">
      <c r="B27" s="43"/>
      <c r="C27" s="52"/>
      <c r="D27" s="52"/>
      <c r="E27" s="52"/>
      <c r="F27" s="52"/>
      <c r="G27" s="52"/>
      <c r="H27" s="56"/>
      <c r="I27" s="52"/>
      <c r="J27" s="52"/>
      <c r="K27" s="52"/>
      <c r="L27" s="52"/>
      <c r="M27" s="52"/>
      <c r="N27" s="56"/>
      <c r="O27" s="52"/>
      <c r="P27" s="52"/>
      <c r="Q27" s="52"/>
      <c r="R27" s="52"/>
      <c r="W27" s="55"/>
    </row>
    <row r="28" spans="2:23" x14ac:dyDescent="0.2">
      <c r="B28" s="43"/>
      <c r="C28" s="52"/>
      <c r="D28" s="52"/>
      <c r="E28" s="52"/>
      <c r="F28" s="52"/>
      <c r="G28" s="52"/>
      <c r="H28" s="52"/>
      <c r="I28" s="56"/>
      <c r="J28" s="56"/>
      <c r="K28" s="56"/>
      <c r="L28" s="56"/>
      <c r="M28" s="56"/>
      <c r="N28" s="52"/>
      <c r="O28" s="52"/>
      <c r="P28" s="52"/>
      <c r="Q28" s="52"/>
      <c r="R28" s="52"/>
      <c r="W28" s="55"/>
    </row>
    <row r="29" spans="2:23" x14ac:dyDescent="0.2">
      <c r="B29" s="52"/>
      <c r="C29" s="56"/>
      <c r="D29" s="56"/>
      <c r="E29" s="56"/>
      <c r="F29" s="56"/>
      <c r="G29" s="56"/>
      <c r="H29" s="56"/>
      <c r="I29" s="57"/>
      <c r="J29" s="57"/>
      <c r="K29" s="57"/>
      <c r="L29" s="57"/>
      <c r="M29" s="57"/>
      <c r="N29" s="52"/>
      <c r="O29" s="52"/>
      <c r="P29" s="52"/>
      <c r="Q29" s="52"/>
      <c r="R29" s="52"/>
      <c r="W29" s="55"/>
    </row>
    <row r="30" spans="2:23" x14ac:dyDescent="0.2">
      <c r="B30" s="43"/>
      <c r="C30" s="56"/>
      <c r="D30" s="56"/>
      <c r="E30" s="56"/>
      <c r="F30" s="56"/>
      <c r="G30" s="56"/>
      <c r="H30" s="52"/>
      <c r="I30" s="58"/>
      <c r="J30" s="58"/>
      <c r="K30" s="58"/>
      <c r="L30" s="58"/>
      <c r="M30" s="58"/>
      <c r="N30" s="52"/>
      <c r="O30" s="56"/>
      <c r="P30" s="52"/>
      <c r="Q30" s="52"/>
      <c r="R30" s="52"/>
      <c r="W30" s="55"/>
    </row>
    <row r="31" spans="2:23" x14ac:dyDescent="0.2">
      <c r="I31" s="59"/>
      <c r="J31" s="59"/>
      <c r="K31" s="59"/>
      <c r="L31" s="59"/>
      <c r="M31" s="59"/>
      <c r="N31" s="59"/>
    </row>
    <row r="32" spans="2:23" x14ac:dyDescent="0.2">
      <c r="I32" s="59"/>
      <c r="J32" s="59"/>
      <c r="K32" s="59"/>
      <c r="L32" s="59"/>
      <c r="M32" s="59"/>
      <c r="N32" s="59"/>
    </row>
    <row r="33" spans="2:16" x14ac:dyDescent="0.2">
      <c r="I33" s="44"/>
      <c r="J33" s="44"/>
      <c r="K33" s="44"/>
      <c r="L33" s="44"/>
      <c r="M33" s="44"/>
    </row>
    <row r="34" spans="2:16" x14ac:dyDescent="0.2">
      <c r="B34" s="45"/>
      <c r="I34" s="46"/>
      <c r="J34" s="46"/>
      <c r="K34" s="46"/>
      <c r="L34" s="46"/>
      <c r="M34" s="46"/>
    </row>
    <row r="35" spans="2:16" x14ac:dyDescent="0.2">
      <c r="I35" s="59"/>
      <c r="J35" s="59"/>
      <c r="K35" s="59"/>
      <c r="L35" s="59"/>
      <c r="M35" s="59"/>
      <c r="P35" s="60"/>
    </row>
    <row r="36" spans="2:16" x14ac:dyDescent="0.2">
      <c r="I36" s="61"/>
      <c r="J36" s="61"/>
      <c r="K36" s="61"/>
      <c r="L36" s="61"/>
      <c r="M36" s="61"/>
    </row>
    <row r="37" spans="2:16" x14ac:dyDescent="0.2">
      <c r="I37" s="59"/>
      <c r="J37" s="59"/>
      <c r="K37" s="59"/>
      <c r="L37" s="59"/>
      <c r="M37" s="59"/>
    </row>
    <row r="38" spans="2:16" x14ac:dyDescent="0.2">
      <c r="I38" s="59"/>
      <c r="J38" s="59"/>
      <c r="K38" s="59"/>
      <c r="L38" s="59"/>
      <c r="M38" s="59"/>
    </row>
    <row r="39" spans="2:16" x14ac:dyDescent="0.2">
      <c r="I39" s="62"/>
      <c r="J39" s="62"/>
      <c r="K39" s="62"/>
      <c r="L39" s="62"/>
      <c r="M39" s="62"/>
      <c r="O39" s="59"/>
    </row>
    <row r="40" spans="2:16" x14ac:dyDescent="0.2">
      <c r="I40" s="47"/>
      <c r="J40" s="47"/>
      <c r="K40" s="47"/>
      <c r="L40" s="47"/>
      <c r="M40" s="47"/>
    </row>
    <row r="41" spans="2:16" x14ac:dyDescent="0.2">
      <c r="I41" s="62"/>
      <c r="J41" s="62"/>
      <c r="K41" s="62"/>
      <c r="L41" s="62"/>
      <c r="M41" s="62"/>
    </row>
  </sheetData>
  <mergeCells count="6">
    <mergeCell ref="B2:R2"/>
    <mergeCell ref="B3:R3"/>
    <mergeCell ref="B9:B10"/>
    <mergeCell ref="C9:C10"/>
    <mergeCell ref="D9:H9"/>
    <mergeCell ref="I9:M9"/>
  </mergeCells>
  <phoneticPr fontId="15" type="noConversion"/>
  <pageMargins left="0.15748031496062992" right="0.15748031496062992" top="0.59055118110236227" bottom="0.98425196850393704" header="0.51181102362204722" footer="0.51181102362204722"/>
  <pageSetup paperSize="9" scale="54" firstPageNumber="67" orientation="landscape" useFirstPageNumber="1" horizontalDpi="300" verticalDpi="300"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topLeftCell="A42" zoomScaleSheetLayoutView="80" workbookViewId="0">
      <selection activeCell="F50" sqref="F50"/>
    </sheetView>
  </sheetViews>
  <sheetFormatPr defaultColWidth="20.28515625" defaultRowHeight="12.75" x14ac:dyDescent="0.2"/>
  <cols>
    <col min="1" max="1" width="9.7109375" style="1417" customWidth="1"/>
    <col min="2" max="2" width="13.7109375" style="1039" customWidth="1"/>
    <col min="3" max="4" width="20.28515625" style="1039"/>
    <col min="5" max="5" width="16.85546875" style="1039" customWidth="1"/>
    <col min="6" max="6" width="13" style="1177" customWidth="1"/>
    <col min="7" max="7" width="20.28515625" style="1403"/>
    <col min="8" max="8" width="17.7109375" style="1039" customWidth="1"/>
    <col min="9" max="9" width="20.28515625" style="1039"/>
    <col min="10" max="10" width="14.85546875" style="1039" customWidth="1"/>
    <col min="11" max="16384" width="20.28515625" style="1039"/>
  </cols>
  <sheetData>
    <row r="1" spans="1:10" ht="51.75" thickBot="1" x14ac:dyDescent="0.25">
      <c r="A1" s="1411" t="s">
        <v>2523</v>
      </c>
      <c r="B1" s="972" t="s">
        <v>2524</v>
      </c>
      <c r="C1" s="972" t="s">
        <v>2525</v>
      </c>
      <c r="D1" s="972" t="s">
        <v>2526</v>
      </c>
      <c r="E1" s="972" t="s">
        <v>2527</v>
      </c>
      <c r="F1" s="972" t="s">
        <v>3583</v>
      </c>
      <c r="G1" s="972" t="s">
        <v>2528</v>
      </c>
      <c r="H1" s="972" t="s">
        <v>3262</v>
      </c>
      <c r="I1" s="972" t="s">
        <v>2529</v>
      </c>
      <c r="J1" s="972" t="s">
        <v>2530</v>
      </c>
    </row>
    <row r="2" spans="1:10" ht="51.75" thickBot="1" x14ac:dyDescent="0.25">
      <c r="A2" s="1412" t="s">
        <v>4023</v>
      </c>
      <c r="B2" s="1246" t="s">
        <v>2534</v>
      </c>
      <c r="C2" s="1246" t="s">
        <v>3032</v>
      </c>
      <c r="D2" s="1246" t="s">
        <v>3033</v>
      </c>
      <c r="E2" s="1246" t="s">
        <v>2540</v>
      </c>
      <c r="F2" s="1249">
        <v>4000000</v>
      </c>
      <c r="G2" s="1246" t="s">
        <v>3034</v>
      </c>
      <c r="H2" s="1246" t="s">
        <v>3263</v>
      </c>
      <c r="I2" s="1246" t="s">
        <v>3035</v>
      </c>
      <c r="J2" s="1246" t="s">
        <v>2533</v>
      </c>
    </row>
    <row r="3" spans="1:10" ht="39" thickBot="1" x14ac:dyDescent="0.25">
      <c r="A3" s="1413" t="s">
        <v>4057</v>
      </c>
      <c r="B3" s="1247" t="s">
        <v>2534</v>
      </c>
      <c r="C3" s="1247" t="s">
        <v>3038</v>
      </c>
      <c r="D3" s="1247" t="s">
        <v>3039</v>
      </c>
      <c r="E3" s="1247" t="s">
        <v>2540</v>
      </c>
      <c r="F3" s="1248">
        <v>1399003.03</v>
      </c>
      <c r="G3" s="1247" t="s">
        <v>3584</v>
      </c>
      <c r="H3" s="1247" t="s">
        <v>3264</v>
      </c>
      <c r="I3" s="1247" t="s">
        <v>3037</v>
      </c>
      <c r="J3" s="1247" t="s">
        <v>2533</v>
      </c>
    </row>
    <row r="4" spans="1:10" ht="39" thickBot="1" x14ac:dyDescent="0.25">
      <c r="A4" s="1413" t="s">
        <v>4024</v>
      </c>
      <c r="B4" s="1247" t="s">
        <v>2534</v>
      </c>
      <c r="C4" s="1247" t="s">
        <v>3041</v>
      </c>
      <c r="D4" s="1247" t="s">
        <v>3042</v>
      </c>
      <c r="E4" s="1247" t="s">
        <v>2540</v>
      </c>
      <c r="F4" s="1248">
        <v>35938.89</v>
      </c>
      <c r="G4" s="1247" t="s">
        <v>3983</v>
      </c>
      <c r="H4" s="1247" t="s">
        <v>3266</v>
      </c>
      <c r="I4" s="1247" t="s">
        <v>3043</v>
      </c>
      <c r="J4" s="1247" t="s">
        <v>2533</v>
      </c>
    </row>
    <row r="5" spans="1:10" ht="51.75" thickBot="1" x14ac:dyDescent="0.25">
      <c r="A5" s="1413" t="s">
        <v>4025</v>
      </c>
      <c r="B5" s="1247" t="s">
        <v>2534</v>
      </c>
      <c r="C5" s="1247" t="s">
        <v>3044</v>
      </c>
      <c r="D5" s="1247" t="s">
        <v>3045</v>
      </c>
      <c r="E5" s="1247" t="s">
        <v>2532</v>
      </c>
      <c r="F5" s="1248">
        <v>61599</v>
      </c>
      <c r="G5" s="1247" t="s">
        <v>3585</v>
      </c>
      <c r="H5" s="1247" t="s">
        <v>3267</v>
      </c>
      <c r="I5" s="1247" t="s">
        <v>3037</v>
      </c>
      <c r="J5" s="1247" t="s">
        <v>2533</v>
      </c>
    </row>
    <row r="6" spans="1:10" ht="39" thickBot="1" x14ac:dyDescent="0.25">
      <c r="A6" s="1413" t="s">
        <v>4026</v>
      </c>
      <c r="B6" s="1247" t="s">
        <v>2534</v>
      </c>
      <c r="C6" s="1247" t="s">
        <v>3268</v>
      </c>
      <c r="D6" s="1247" t="s">
        <v>3270</v>
      </c>
      <c r="E6" s="1247" t="s">
        <v>2532</v>
      </c>
      <c r="F6" s="1248">
        <v>75000</v>
      </c>
      <c r="G6" s="1247" t="s">
        <v>3271</v>
      </c>
      <c r="H6" s="1247" t="s">
        <v>3306</v>
      </c>
      <c r="I6" s="1247" t="s">
        <v>3269</v>
      </c>
      <c r="J6" s="1247" t="s">
        <v>2533</v>
      </c>
    </row>
    <row r="7" spans="1:10" ht="26.25" thickBot="1" x14ac:dyDescent="0.25">
      <c r="A7" s="1413" t="s">
        <v>4022</v>
      </c>
      <c r="B7" s="1247" t="s">
        <v>2531</v>
      </c>
      <c r="C7" s="1247" t="s">
        <v>2535</v>
      </c>
      <c r="D7" s="1247" t="s">
        <v>2536</v>
      </c>
      <c r="E7" s="1247" t="s">
        <v>2532</v>
      </c>
      <c r="F7" s="1248">
        <v>300000</v>
      </c>
      <c r="G7" s="1247" t="s">
        <v>3040</v>
      </c>
      <c r="H7" s="1247" t="s">
        <v>3273</v>
      </c>
      <c r="I7" s="1247" t="s">
        <v>2537</v>
      </c>
      <c r="J7" s="1247" t="s">
        <v>2533</v>
      </c>
    </row>
    <row r="8" spans="1:10" ht="26.25" thickBot="1" x14ac:dyDescent="0.25">
      <c r="A8" s="1413" t="s">
        <v>4056</v>
      </c>
      <c r="B8" s="1247" t="s">
        <v>2534</v>
      </c>
      <c r="C8" s="1247" t="s">
        <v>2538</v>
      </c>
      <c r="D8" s="1247" t="s">
        <v>2539</v>
      </c>
      <c r="E8" s="1247" t="s">
        <v>2532</v>
      </c>
      <c r="F8" s="1248">
        <v>8981.83</v>
      </c>
      <c r="G8" s="1247" t="s">
        <v>3040</v>
      </c>
      <c r="H8" s="1247" t="s">
        <v>3586</v>
      </c>
      <c r="I8" s="1247" t="s">
        <v>3587</v>
      </c>
      <c r="J8" s="1247" t="s">
        <v>2533</v>
      </c>
    </row>
    <row r="9" spans="1:10" ht="39" thickBot="1" x14ac:dyDescent="0.25">
      <c r="A9" s="1413" t="s">
        <v>3693</v>
      </c>
      <c r="B9" s="1247" t="s">
        <v>2531</v>
      </c>
      <c r="C9" s="1247" t="s">
        <v>2541</v>
      </c>
      <c r="D9" s="1247" t="s">
        <v>2542</v>
      </c>
      <c r="E9" s="1247" t="s">
        <v>2532</v>
      </c>
      <c r="F9" s="1248">
        <v>41316.559999999998</v>
      </c>
      <c r="G9" s="1247" t="s">
        <v>3274</v>
      </c>
      <c r="H9" s="1247" t="s">
        <v>3267</v>
      </c>
      <c r="I9" s="1247" t="s">
        <v>2543</v>
      </c>
      <c r="J9" s="1247" t="s">
        <v>2533</v>
      </c>
    </row>
    <row r="10" spans="1:10" ht="39" thickBot="1" x14ac:dyDescent="0.25">
      <c r="A10" s="1413" t="s">
        <v>3693</v>
      </c>
      <c r="B10" s="1247" t="s">
        <v>2531</v>
      </c>
      <c r="C10" s="1247" t="s">
        <v>2544</v>
      </c>
      <c r="D10" s="1247" t="s">
        <v>2545</v>
      </c>
      <c r="E10" s="1247" t="s">
        <v>2532</v>
      </c>
      <c r="F10" s="1248">
        <v>82526.59</v>
      </c>
      <c r="G10" s="1247" t="s">
        <v>3274</v>
      </c>
      <c r="H10" s="1247" t="s">
        <v>3267</v>
      </c>
      <c r="I10" s="1247" t="s">
        <v>2543</v>
      </c>
      <c r="J10" s="1247" t="s">
        <v>2533</v>
      </c>
    </row>
    <row r="11" spans="1:10" ht="26.25" thickBot="1" x14ac:dyDescent="0.25">
      <c r="A11" s="1413" t="s">
        <v>3275</v>
      </c>
      <c r="B11" s="1247" t="s">
        <v>2534</v>
      </c>
      <c r="C11" s="1247" t="s">
        <v>3276</v>
      </c>
      <c r="D11" s="1247" t="s">
        <v>3277</v>
      </c>
      <c r="E11" s="1247" t="s">
        <v>3265</v>
      </c>
      <c r="F11" s="1248">
        <v>45359.51</v>
      </c>
      <c r="G11" s="1247" t="s">
        <v>3034</v>
      </c>
      <c r="H11" s="1247" t="s">
        <v>3278</v>
      </c>
      <c r="I11" s="1247" t="s">
        <v>3323</v>
      </c>
      <c r="J11" s="1247" t="s">
        <v>2533</v>
      </c>
    </row>
    <row r="12" spans="1:10" ht="26.25" thickBot="1" x14ac:dyDescent="0.25">
      <c r="A12" s="1413" t="s">
        <v>2547</v>
      </c>
      <c r="B12" s="1247" t="s">
        <v>2531</v>
      </c>
      <c r="C12" s="1247" t="s">
        <v>2546</v>
      </c>
      <c r="D12" s="1247" t="s">
        <v>2548</v>
      </c>
      <c r="E12" s="1247" t="s">
        <v>2532</v>
      </c>
      <c r="F12" s="1248">
        <v>113289.42</v>
      </c>
      <c r="G12" s="1247" t="s">
        <v>3034</v>
      </c>
      <c r="H12" s="1247" t="s">
        <v>3588</v>
      </c>
      <c r="I12" s="1247" t="s">
        <v>3589</v>
      </c>
      <c r="J12" s="1247" t="s">
        <v>2533</v>
      </c>
    </row>
    <row r="13" spans="1:10" ht="39" thickBot="1" x14ac:dyDescent="0.25">
      <c r="A13" s="1413" t="s">
        <v>3617</v>
      </c>
      <c r="B13" s="1247" t="s">
        <v>2534</v>
      </c>
      <c r="C13" s="1247" t="s">
        <v>3279</v>
      </c>
      <c r="D13" s="1247" t="s">
        <v>3280</v>
      </c>
      <c r="E13" s="1247" t="s">
        <v>3281</v>
      </c>
      <c r="F13" s="1248">
        <v>1938</v>
      </c>
      <c r="G13" s="1247" t="s">
        <v>3282</v>
      </c>
      <c r="H13" s="1247" t="s">
        <v>3306</v>
      </c>
      <c r="I13" s="1247" t="s">
        <v>3589</v>
      </c>
      <c r="J13" s="1247" t="s">
        <v>2533</v>
      </c>
    </row>
    <row r="14" spans="1:10" ht="39" thickBot="1" x14ac:dyDescent="0.25">
      <c r="A14" s="1413" t="s">
        <v>4027</v>
      </c>
      <c r="B14" s="1247" t="s">
        <v>2534</v>
      </c>
      <c r="C14" s="1247" t="s">
        <v>3283</v>
      </c>
      <c r="D14" s="1247" t="s">
        <v>3284</v>
      </c>
      <c r="E14" s="1247" t="s">
        <v>3281</v>
      </c>
      <c r="F14" s="1248">
        <v>62646</v>
      </c>
      <c r="G14" s="1247" t="s">
        <v>3285</v>
      </c>
      <c r="H14" s="1247" t="s">
        <v>3306</v>
      </c>
      <c r="I14" s="1247" t="s">
        <v>3589</v>
      </c>
      <c r="J14" s="1247" t="s">
        <v>2533</v>
      </c>
    </row>
    <row r="15" spans="1:10" ht="39" thickBot="1" x14ac:dyDescent="0.25">
      <c r="A15" s="1413" t="s">
        <v>4028</v>
      </c>
      <c r="B15" s="1247" t="s">
        <v>2534</v>
      </c>
      <c r="C15" s="1247" t="s">
        <v>3286</v>
      </c>
      <c r="D15" s="1247" t="s">
        <v>3287</v>
      </c>
      <c r="E15" s="1247" t="s">
        <v>3281</v>
      </c>
      <c r="F15" s="1248">
        <v>10000</v>
      </c>
      <c r="G15" s="1247" t="s">
        <v>3285</v>
      </c>
      <c r="H15" s="1247" t="s">
        <v>3306</v>
      </c>
      <c r="I15" s="1247" t="s">
        <v>3589</v>
      </c>
      <c r="J15" s="1247" t="s">
        <v>2533</v>
      </c>
    </row>
    <row r="16" spans="1:10" ht="26.25" thickBot="1" x14ac:dyDescent="0.25">
      <c r="A16" s="1413" t="s">
        <v>4029</v>
      </c>
      <c r="B16" s="1247" t="s">
        <v>2531</v>
      </c>
      <c r="C16" s="1247" t="s">
        <v>3036</v>
      </c>
      <c r="D16" s="1247" t="s">
        <v>3288</v>
      </c>
      <c r="E16" s="1247" t="s">
        <v>3281</v>
      </c>
      <c r="F16" s="1248">
        <v>67579.58</v>
      </c>
      <c r="G16" s="1247" t="s">
        <v>3285</v>
      </c>
      <c r="H16" s="1247" t="s">
        <v>3306</v>
      </c>
      <c r="I16" s="1247" t="s">
        <v>3589</v>
      </c>
      <c r="J16" s="1247" t="s">
        <v>2533</v>
      </c>
    </row>
    <row r="17" spans="1:10" ht="39" thickBot="1" x14ac:dyDescent="0.25">
      <c r="A17" s="1413" t="s">
        <v>4030</v>
      </c>
      <c r="B17" s="1247" t="s">
        <v>2534</v>
      </c>
      <c r="C17" s="1247" t="s">
        <v>3036</v>
      </c>
      <c r="D17" s="1247" t="s">
        <v>3290</v>
      </c>
      <c r="E17" s="1247" t="s">
        <v>3289</v>
      </c>
      <c r="F17" s="1248">
        <v>53799.45</v>
      </c>
      <c r="G17" s="1247" t="s">
        <v>3285</v>
      </c>
      <c r="H17" s="1247" t="s">
        <v>3306</v>
      </c>
      <c r="I17" s="1247" t="s">
        <v>3589</v>
      </c>
      <c r="J17" s="1247" t="s">
        <v>2533</v>
      </c>
    </row>
    <row r="18" spans="1:10" ht="39" thickBot="1" x14ac:dyDescent="0.25">
      <c r="A18" s="1413" t="s">
        <v>4031</v>
      </c>
      <c r="B18" s="1247" t="s">
        <v>2531</v>
      </c>
      <c r="C18" s="1247" t="s">
        <v>3279</v>
      </c>
      <c r="D18" s="1247" t="s">
        <v>3291</v>
      </c>
      <c r="E18" s="1247" t="s">
        <v>3292</v>
      </c>
      <c r="F18" s="1248">
        <v>19495.14</v>
      </c>
      <c r="G18" s="1247" t="s">
        <v>3034</v>
      </c>
      <c r="H18" s="1247" t="s">
        <v>3267</v>
      </c>
      <c r="I18" s="1247" t="s">
        <v>3293</v>
      </c>
      <c r="J18" s="1247" t="s">
        <v>2533</v>
      </c>
    </row>
    <row r="19" spans="1:10" ht="51.75" thickBot="1" x14ac:dyDescent="0.25">
      <c r="A19" s="1413" t="s">
        <v>4031</v>
      </c>
      <c r="B19" s="1247" t="s">
        <v>2534</v>
      </c>
      <c r="C19" s="1247" t="s">
        <v>3294</v>
      </c>
      <c r="D19" s="1247" t="s">
        <v>3295</v>
      </c>
      <c r="E19" s="1247" t="s">
        <v>3296</v>
      </c>
      <c r="F19" s="1248">
        <v>300000</v>
      </c>
      <c r="G19" s="1247" t="s">
        <v>3984</v>
      </c>
      <c r="H19" s="1247" t="s">
        <v>3267</v>
      </c>
      <c r="I19" s="1247" t="s">
        <v>3297</v>
      </c>
      <c r="J19" s="1247" t="s">
        <v>2533</v>
      </c>
    </row>
    <row r="20" spans="1:10" ht="39" thickBot="1" x14ac:dyDescent="0.25">
      <c r="A20" s="1413" t="s">
        <v>4032</v>
      </c>
      <c r="B20" s="1247" t="s">
        <v>2534</v>
      </c>
      <c r="C20" s="1247" t="s">
        <v>3299</v>
      </c>
      <c r="D20" s="1247" t="s">
        <v>3300</v>
      </c>
      <c r="E20" s="1247" t="s">
        <v>3301</v>
      </c>
      <c r="F20" s="1248">
        <v>2000000</v>
      </c>
      <c r="G20" s="1247" t="s">
        <v>3285</v>
      </c>
      <c r="H20" s="1247" t="s">
        <v>3306</v>
      </c>
      <c r="I20" s="1247" t="s">
        <v>3281</v>
      </c>
      <c r="J20" s="1247" t="s">
        <v>2533</v>
      </c>
    </row>
    <row r="21" spans="1:10" ht="51.75" thickBot="1" x14ac:dyDescent="0.25">
      <c r="A21" s="1413" t="s">
        <v>4033</v>
      </c>
      <c r="B21" s="1247" t="s">
        <v>2534</v>
      </c>
      <c r="C21" s="1247" t="s">
        <v>3302</v>
      </c>
      <c r="D21" s="1247" t="s">
        <v>3303</v>
      </c>
      <c r="E21" s="1247" t="s">
        <v>3289</v>
      </c>
      <c r="F21" s="1248">
        <v>57000</v>
      </c>
      <c r="G21" s="1247" t="s">
        <v>3034</v>
      </c>
      <c r="H21" s="1247" t="s">
        <v>3306</v>
      </c>
      <c r="I21" s="1247" t="s">
        <v>3281</v>
      </c>
      <c r="J21" s="1247" t="s">
        <v>2533</v>
      </c>
    </row>
    <row r="22" spans="1:10" ht="39" thickBot="1" x14ac:dyDescent="0.25">
      <c r="A22" s="1413" t="s">
        <v>4034</v>
      </c>
      <c r="B22" s="1247" t="s">
        <v>2531</v>
      </c>
      <c r="C22" s="1247" t="s">
        <v>3036</v>
      </c>
      <c r="D22" s="1247" t="s">
        <v>3304</v>
      </c>
      <c r="E22" s="1247" t="s">
        <v>3289</v>
      </c>
      <c r="F22" s="1248">
        <v>13151.86</v>
      </c>
      <c r="G22" s="1247" t="s">
        <v>3590</v>
      </c>
      <c r="H22" s="1247" t="s">
        <v>3591</v>
      </c>
      <c r="I22" s="1247" t="s">
        <v>3272</v>
      </c>
      <c r="J22" s="1247" t="s">
        <v>2533</v>
      </c>
    </row>
    <row r="23" spans="1:10" ht="39" thickBot="1" x14ac:dyDescent="0.25">
      <c r="A23" s="1413" t="s">
        <v>4035</v>
      </c>
      <c r="B23" s="1247" t="s">
        <v>2534</v>
      </c>
      <c r="C23" s="1247" t="s">
        <v>3279</v>
      </c>
      <c r="D23" s="1247" t="s">
        <v>3305</v>
      </c>
      <c r="E23" s="1247" t="s">
        <v>3289</v>
      </c>
      <c r="F23" s="1248">
        <v>96163.839999999997</v>
      </c>
      <c r="G23" s="1247" t="s">
        <v>3298</v>
      </c>
      <c r="H23" s="1247" t="s">
        <v>3306</v>
      </c>
      <c r="I23" s="1247" t="s">
        <v>3589</v>
      </c>
      <c r="J23" s="1247" t="s">
        <v>2533</v>
      </c>
    </row>
    <row r="24" spans="1:10" ht="39" thickBot="1" x14ac:dyDescent="0.25">
      <c r="A24" s="1413" t="s">
        <v>4036</v>
      </c>
      <c r="B24" s="1247" t="s">
        <v>2534</v>
      </c>
      <c r="C24" s="1247" t="s">
        <v>3279</v>
      </c>
      <c r="D24" s="1247" t="s">
        <v>3592</v>
      </c>
      <c r="E24" s="1247" t="s">
        <v>3289</v>
      </c>
      <c r="F24" s="1248">
        <v>74108.58</v>
      </c>
      <c r="G24" s="1247" t="s">
        <v>3285</v>
      </c>
      <c r="H24" s="1247" t="s">
        <v>3306</v>
      </c>
      <c r="I24" s="1247" t="s">
        <v>3589</v>
      </c>
      <c r="J24" s="1247" t="s">
        <v>2533</v>
      </c>
    </row>
    <row r="25" spans="1:10" ht="51.75" thickBot="1" x14ac:dyDescent="0.25">
      <c r="A25" s="1413" t="s">
        <v>4036</v>
      </c>
      <c r="B25" s="1247" t="s">
        <v>2534</v>
      </c>
      <c r="C25" s="1247" t="s">
        <v>3036</v>
      </c>
      <c r="D25" s="1247" t="s">
        <v>3593</v>
      </c>
      <c r="E25" s="1247" t="s">
        <v>3289</v>
      </c>
      <c r="F25" s="1248">
        <v>24257.07</v>
      </c>
      <c r="G25" s="1247" t="s">
        <v>3285</v>
      </c>
      <c r="H25" s="1247" t="s">
        <v>3306</v>
      </c>
      <c r="I25" s="1247" t="s">
        <v>3594</v>
      </c>
      <c r="J25" s="1247" t="s">
        <v>2533</v>
      </c>
    </row>
    <row r="26" spans="1:10" ht="39" thickBot="1" x14ac:dyDescent="0.25">
      <c r="A26" s="1413" t="s">
        <v>4037</v>
      </c>
      <c r="B26" s="1247" t="s">
        <v>2534</v>
      </c>
      <c r="C26" s="1247" t="s">
        <v>3036</v>
      </c>
      <c r="D26" s="1247" t="s">
        <v>3595</v>
      </c>
      <c r="E26" s="1247" t="s">
        <v>3289</v>
      </c>
      <c r="F26" s="1248">
        <v>100000</v>
      </c>
      <c r="G26" s="1247" t="s">
        <v>3034</v>
      </c>
      <c r="H26" s="1247" t="s">
        <v>3306</v>
      </c>
      <c r="I26" s="1247" t="s">
        <v>3596</v>
      </c>
      <c r="J26" s="1247" t="s">
        <v>2533</v>
      </c>
    </row>
    <row r="27" spans="1:10" ht="39" thickBot="1" x14ac:dyDescent="0.25">
      <c r="A27" s="1413" t="s">
        <v>4038</v>
      </c>
      <c r="B27" s="1247" t="s">
        <v>2534</v>
      </c>
      <c r="C27" s="1247" t="s">
        <v>3279</v>
      </c>
      <c r="D27" s="1247" t="s">
        <v>3597</v>
      </c>
      <c r="E27" s="1247" t="s">
        <v>3289</v>
      </c>
      <c r="F27" s="1248">
        <v>20032.86</v>
      </c>
      <c r="G27" s="1247" t="s">
        <v>3034</v>
      </c>
      <c r="H27" s="1247" t="s">
        <v>3306</v>
      </c>
      <c r="I27" s="1247" t="s">
        <v>3589</v>
      </c>
      <c r="J27" s="1247" t="s">
        <v>2533</v>
      </c>
    </row>
    <row r="28" spans="1:10" ht="39" thickBot="1" x14ac:dyDescent="0.25">
      <c r="A28" s="1413" t="s">
        <v>4039</v>
      </c>
      <c r="B28" s="1247" t="s">
        <v>2534</v>
      </c>
      <c r="C28" s="1247" t="s">
        <v>3598</v>
      </c>
      <c r="D28" s="1247" t="s">
        <v>3599</v>
      </c>
      <c r="E28" s="1247" t="s">
        <v>3296</v>
      </c>
      <c r="F28" s="1248">
        <v>400000</v>
      </c>
      <c r="G28" s="1247" t="s">
        <v>3034</v>
      </c>
      <c r="H28" s="1247" t="s">
        <v>3306</v>
      </c>
      <c r="I28" s="1247" t="s">
        <v>3589</v>
      </c>
      <c r="J28" s="1247" t="s">
        <v>2533</v>
      </c>
    </row>
    <row r="29" spans="1:10" ht="39" thickBot="1" x14ac:dyDescent="0.25">
      <c r="A29" s="1413" t="s">
        <v>4040</v>
      </c>
      <c r="B29" s="1247" t="s">
        <v>2534</v>
      </c>
      <c r="C29" s="1247" t="s">
        <v>3036</v>
      </c>
      <c r="D29" s="1247" t="s">
        <v>3600</v>
      </c>
      <c r="E29" s="1247" t="s">
        <v>3296</v>
      </c>
      <c r="F29" s="1248">
        <v>173166.05</v>
      </c>
      <c r="G29" s="1247" t="s">
        <v>3034</v>
      </c>
      <c r="H29" s="1247" t="s">
        <v>3306</v>
      </c>
      <c r="I29" s="1247" t="s">
        <v>3589</v>
      </c>
      <c r="J29" s="1247" t="s">
        <v>2533</v>
      </c>
    </row>
    <row r="30" spans="1:10" ht="39" thickBot="1" x14ac:dyDescent="0.25">
      <c r="A30" s="1413" t="s">
        <v>4041</v>
      </c>
      <c r="B30" s="1247" t="s">
        <v>2534</v>
      </c>
      <c r="C30" s="1247" t="s">
        <v>3601</v>
      </c>
      <c r="D30" s="1247" t="s">
        <v>3602</v>
      </c>
      <c r="E30" s="1247" t="s">
        <v>3603</v>
      </c>
      <c r="F30" s="1248">
        <v>315000</v>
      </c>
      <c r="G30" s="1247" t="s">
        <v>3034</v>
      </c>
      <c r="H30" s="1247" t="s">
        <v>3306</v>
      </c>
      <c r="I30" s="1247" t="s">
        <v>3269</v>
      </c>
      <c r="J30" s="1247" t="s">
        <v>2533</v>
      </c>
    </row>
    <row r="31" spans="1:10" ht="24.75" customHeight="1" x14ac:dyDescent="0.2">
      <c r="A31" s="1414" t="s">
        <v>4042</v>
      </c>
      <c r="B31" s="1883" t="s">
        <v>2534</v>
      </c>
      <c r="C31" s="1881" t="s">
        <v>3604</v>
      </c>
      <c r="D31" s="1881" t="s">
        <v>3605</v>
      </c>
      <c r="E31" s="1881" t="s">
        <v>3289</v>
      </c>
      <c r="F31" s="1404">
        <v>94000</v>
      </c>
      <c r="G31" s="1881" t="s">
        <v>3034</v>
      </c>
      <c r="H31" s="1881" t="s">
        <v>3306</v>
      </c>
      <c r="I31" s="1881" t="s">
        <v>3269</v>
      </c>
      <c r="J31" s="1881" t="s">
        <v>2533</v>
      </c>
    </row>
    <row r="32" spans="1:10" ht="30" customHeight="1" thickBot="1" x14ac:dyDescent="0.25">
      <c r="A32" s="1413"/>
      <c r="B32" s="1884"/>
      <c r="C32" s="1882"/>
      <c r="D32" s="1882"/>
      <c r="E32" s="1882"/>
      <c r="F32" s="1405"/>
      <c r="G32" s="1882"/>
      <c r="H32" s="1882"/>
      <c r="I32" s="1882"/>
      <c r="J32" s="1882"/>
    </row>
    <row r="33" spans="1:10" ht="39" thickBot="1" x14ac:dyDescent="0.25">
      <c r="A33" s="1413" t="s">
        <v>4043</v>
      </c>
      <c r="B33" s="1247" t="s">
        <v>2534</v>
      </c>
      <c r="C33" s="1247" t="s">
        <v>3036</v>
      </c>
      <c r="D33" s="1247" t="s">
        <v>3606</v>
      </c>
      <c r="E33" s="1247" t="s">
        <v>3289</v>
      </c>
      <c r="F33" s="1248">
        <v>11907.4</v>
      </c>
      <c r="G33" s="1247" t="s">
        <v>3590</v>
      </c>
      <c r="H33" s="1247" t="s">
        <v>3591</v>
      </c>
      <c r="I33" s="1247" t="s">
        <v>3272</v>
      </c>
      <c r="J33" s="1247" t="s">
        <v>2533</v>
      </c>
    </row>
    <row r="34" spans="1:10" ht="51.75" thickBot="1" x14ac:dyDescent="0.25">
      <c r="A34" s="1413" t="s">
        <v>4044</v>
      </c>
      <c r="B34" s="1247" t="s">
        <v>2534</v>
      </c>
      <c r="C34" s="1247" t="s">
        <v>3694</v>
      </c>
      <c r="D34" s="1247" t="s">
        <v>3695</v>
      </c>
      <c r="E34" s="1247" t="s">
        <v>3696</v>
      </c>
      <c r="F34" s="1248">
        <v>18582</v>
      </c>
      <c r="G34" s="1247" t="s">
        <v>3697</v>
      </c>
      <c r="H34" s="1247" t="s">
        <v>3306</v>
      </c>
      <c r="I34" s="1247" t="s">
        <v>3596</v>
      </c>
      <c r="J34" s="1247" t="s">
        <v>2533</v>
      </c>
    </row>
    <row r="35" spans="1:10" ht="39" thickBot="1" x14ac:dyDescent="0.25">
      <c r="A35" s="1413" t="s">
        <v>4045</v>
      </c>
      <c r="B35" s="1247" t="s">
        <v>2534</v>
      </c>
      <c r="C35" s="1247" t="s">
        <v>3698</v>
      </c>
      <c r="D35" s="1247" t="s">
        <v>3699</v>
      </c>
      <c r="E35" s="1247" t="s">
        <v>3696</v>
      </c>
      <c r="F35" s="1248">
        <v>128568.05</v>
      </c>
      <c r="G35" s="1247" t="s">
        <v>3700</v>
      </c>
      <c r="H35" s="1247" t="s">
        <v>3306</v>
      </c>
      <c r="I35" s="1247" t="s">
        <v>3596</v>
      </c>
      <c r="J35" s="1247" t="s">
        <v>2533</v>
      </c>
    </row>
    <row r="36" spans="1:10" ht="39" thickBot="1" x14ac:dyDescent="0.25">
      <c r="A36" s="1413" t="s">
        <v>4046</v>
      </c>
      <c r="B36" s="1247" t="s">
        <v>2534</v>
      </c>
      <c r="C36" s="1247" t="s">
        <v>3985</v>
      </c>
      <c r="D36" s="1247" t="s">
        <v>3986</v>
      </c>
      <c r="E36" s="1247" t="s">
        <v>3696</v>
      </c>
      <c r="F36" s="1248">
        <v>3584009.52</v>
      </c>
      <c r="G36" s="1247" t="s">
        <v>3987</v>
      </c>
      <c r="H36" s="1247" t="s">
        <v>3306</v>
      </c>
      <c r="I36" s="1247" t="s">
        <v>3596</v>
      </c>
      <c r="J36" s="1247" t="s">
        <v>2533</v>
      </c>
    </row>
    <row r="37" spans="1:10" ht="26.25" thickBot="1" x14ac:dyDescent="0.25">
      <c r="A37" s="1415"/>
      <c r="B37" s="1247" t="s">
        <v>2531</v>
      </c>
      <c r="C37" s="1247" t="s">
        <v>3988</v>
      </c>
      <c r="D37" s="1247" t="s">
        <v>3701</v>
      </c>
      <c r="E37" s="1247" t="s">
        <v>3696</v>
      </c>
      <c r="F37" s="1248">
        <v>75806.009999999995</v>
      </c>
      <c r="G37" s="1247" t="s">
        <v>3989</v>
      </c>
      <c r="H37" s="1247" t="s">
        <v>3306</v>
      </c>
      <c r="I37" s="1247" t="s">
        <v>3596</v>
      </c>
      <c r="J37" s="1247" t="s">
        <v>3990</v>
      </c>
    </row>
    <row r="38" spans="1:10" ht="39" thickBot="1" x14ac:dyDescent="0.25">
      <c r="A38" s="1413" t="s">
        <v>4047</v>
      </c>
      <c r="B38" s="1247" t="s">
        <v>2534</v>
      </c>
      <c r="C38" s="1247" t="s">
        <v>3985</v>
      </c>
      <c r="D38" s="1247" t="s">
        <v>3991</v>
      </c>
      <c r="E38" s="1247" t="s">
        <v>3992</v>
      </c>
      <c r="F38" s="1248">
        <v>2758083.74</v>
      </c>
      <c r="G38" s="1247" t="s">
        <v>3034</v>
      </c>
      <c r="H38" s="1247" t="s">
        <v>3993</v>
      </c>
      <c r="I38" s="1247" t="s">
        <v>3272</v>
      </c>
      <c r="J38" s="1247" t="s">
        <v>2533</v>
      </c>
    </row>
    <row r="39" spans="1:10" ht="39" thickBot="1" x14ac:dyDescent="0.25">
      <c r="A39" s="1413" t="s">
        <v>4048</v>
      </c>
      <c r="B39" s="1247" t="s">
        <v>2534</v>
      </c>
      <c r="C39" s="1247" t="s">
        <v>3994</v>
      </c>
      <c r="D39" s="1247" t="s">
        <v>3995</v>
      </c>
      <c r="E39" s="1247" t="s">
        <v>3281</v>
      </c>
      <c r="F39" s="1248">
        <v>53886.3</v>
      </c>
      <c r="G39" s="1247" t="s">
        <v>3996</v>
      </c>
      <c r="H39" s="1247" t="s">
        <v>3997</v>
      </c>
      <c r="I39" s="1247" t="s">
        <v>3998</v>
      </c>
      <c r="J39" s="1247" t="s">
        <v>2533</v>
      </c>
    </row>
    <row r="40" spans="1:10" ht="39" thickBot="1" x14ac:dyDescent="0.25">
      <c r="A40" s="1413" t="s">
        <v>4049</v>
      </c>
      <c r="B40" s="1247" t="s">
        <v>2534</v>
      </c>
      <c r="C40" s="1247" t="s">
        <v>3036</v>
      </c>
      <c r="D40" s="1247" t="s">
        <v>3999</v>
      </c>
      <c r="E40" s="1247" t="s">
        <v>3289</v>
      </c>
      <c r="F40" s="1248">
        <v>70000</v>
      </c>
      <c r="G40" s="1247" t="s">
        <v>3996</v>
      </c>
      <c r="H40" s="1247" t="s">
        <v>3997</v>
      </c>
      <c r="I40" s="1247" t="s">
        <v>3998</v>
      </c>
      <c r="J40" s="1247" t="s">
        <v>2533</v>
      </c>
    </row>
    <row r="41" spans="1:10" ht="39" thickBot="1" x14ac:dyDescent="0.25">
      <c r="A41" s="1413" t="s">
        <v>4050</v>
      </c>
      <c r="B41" s="1247" t="s">
        <v>2534</v>
      </c>
      <c r="C41" s="1247" t="s">
        <v>3604</v>
      </c>
      <c r="D41" s="1247" t="s">
        <v>4000</v>
      </c>
      <c r="E41" s="1247" t="s">
        <v>3992</v>
      </c>
      <c r="F41" s="1248">
        <v>907100.4</v>
      </c>
      <c r="G41" s="1401" t="s">
        <v>3034</v>
      </c>
      <c r="H41" s="1247" t="s">
        <v>3306</v>
      </c>
      <c r="I41" s="1247" t="s">
        <v>3272</v>
      </c>
      <c r="J41" s="1247" t="s">
        <v>2533</v>
      </c>
    </row>
    <row r="42" spans="1:10" ht="39" thickBot="1" x14ac:dyDescent="0.25">
      <c r="A42" s="1413" t="s">
        <v>4051</v>
      </c>
      <c r="B42" s="1247" t="s">
        <v>2534</v>
      </c>
      <c r="C42" s="1247" t="s">
        <v>4001</v>
      </c>
      <c r="D42" s="1247" t="s">
        <v>4002</v>
      </c>
      <c r="E42" s="1247" t="s">
        <v>3281</v>
      </c>
      <c r="F42" s="1248">
        <v>25100</v>
      </c>
      <c r="G42" s="1247" t="s">
        <v>3996</v>
      </c>
      <c r="H42" s="1247" t="s">
        <v>3997</v>
      </c>
      <c r="I42" s="1247" t="s">
        <v>3998</v>
      </c>
      <c r="J42" s="1247" t="s">
        <v>2533</v>
      </c>
    </row>
    <row r="43" spans="1:10" ht="39" thickBot="1" x14ac:dyDescent="0.25">
      <c r="A43" s="1413" t="s">
        <v>4051</v>
      </c>
      <c r="B43" s="1247" t="s">
        <v>2534</v>
      </c>
      <c r="C43" s="1247" t="s">
        <v>4003</v>
      </c>
      <c r="D43" s="1247" t="s">
        <v>4004</v>
      </c>
      <c r="E43" s="1247" t="s">
        <v>4005</v>
      </c>
      <c r="F43" s="1248">
        <v>2200000</v>
      </c>
      <c r="G43" s="1247" t="s">
        <v>3996</v>
      </c>
      <c r="H43" s="1247" t="s">
        <v>3997</v>
      </c>
      <c r="I43" s="1247" t="s">
        <v>3998</v>
      </c>
      <c r="J43" s="1247" t="s">
        <v>2533</v>
      </c>
    </row>
    <row r="44" spans="1:10" ht="51.75" thickBot="1" x14ac:dyDescent="0.25">
      <c r="A44" s="1413" t="s">
        <v>4051</v>
      </c>
      <c r="B44" s="1247" t="s">
        <v>2534</v>
      </c>
      <c r="C44" s="1247" t="s">
        <v>4006</v>
      </c>
      <c r="D44" s="1247" t="s">
        <v>4007</v>
      </c>
      <c r="E44" s="1247" t="s">
        <v>3281</v>
      </c>
      <c r="F44" s="1248">
        <v>23089.46</v>
      </c>
      <c r="G44" s="1247" t="s">
        <v>3996</v>
      </c>
      <c r="H44" s="1247" t="s">
        <v>3997</v>
      </c>
      <c r="I44" s="1247" t="s">
        <v>3998</v>
      </c>
      <c r="J44" s="1247" t="s">
        <v>2533</v>
      </c>
    </row>
    <row r="45" spans="1:10" ht="51.75" thickBot="1" x14ac:dyDescent="0.25">
      <c r="A45" s="1413" t="s">
        <v>4052</v>
      </c>
      <c r="B45" s="1247" t="s">
        <v>2534</v>
      </c>
      <c r="C45" s="1247" t="s">
        <v>4008</v>
      </c>
      <c r="D45" s="1247" t="s">
        <v>4009</v>
      </c>
      <c r="E45" s="1247" t="s">
        <v>3289</v>
      </c>
      <c r="F45" s="1248">
        <v>450000</v>
      </c>
      <c r="G45" s="1247" t="s">
        <v>4010</v>
      </c>
      <c r="H45" s="1247" t="s">
        <v>3306</v>
      </c>
      <c r="I45" s="1247" t="s">
        <v>4011</v>
      </c>
      <c r="J45" s="1247" t="s">
        <v>2533</v>
      </c>
    </row>
    <row r="46" spans="1:10" ht="39" thickBot="1" x14ac:dyDescent="0.25">
      <c r="A46" s="1413" t="s">
        <v>4053</v>
      </c>
      <c r="B46" s="1247" t="s">
        <v>2534</v>
      </c>
      <c r="C46" s="1247" t="s">
        <v>3604</v>
      </c>
      <c r="D46" s="1247" t="s">
        <v>4012</v>
      </c>
      <c r="E46" s="1247" t="s">
        <v>3992</v>
      </c>
      <c r="F46" s="1248">
        <v>913629.58</v>
      </c>
      <c r="G46" s="1247" t="s">
        <v>3034</v>
      </c>
      <c r="H46" s="1247" t="s">
        <v>3306</v>
      </c>
      <c r="I46" s="1247" t="s">
        <v>4011</v>
      </c>
      <c r="J46" s="1247" t="s">
        <v>2533</v>
      </c>
    </row>
    <row r="47" spans="1:10" ht="51.75" thickBot="1" x14ac:dyDescent="0.25">
      <c r="A47" s="1413" t="s">
        <v>4054</v>
      </c>
      <c r="B47" s="1247" t="s">
        <v>2534</v>
      </c>
      <c r="C47" s="1247" t="s">
        <v>3604</v>
      </c>
      <c r="D47" s="1247" t="s">
        <v>4016</v>
      </c>
      <c r="E47" s="1402" t="s">
        <v>3992</v>
      </c>
      <c r="F47" s="1406">
        <v>1118024</v>
      </c>
      <c r="G47" s="1247" t="s">
        <v>3034</v>
      </c>
      <c r="H47" s="1247" t="s">
        <v>3306</v>
      </c>
      <c r="I47" s="1247" t="s">
        <v>3272</v>
      </c>
      <c r="J47" s="1247" t="s">
        <v>2533</v>
      </c>
    </row>
    <row r="48" spans="1:10" ht="25.5" customHeight="1" thickBot="1" x14ac:dyDescent="0.25">
      <c r="A48" s="1416" t="s">
        <v>4055</v>
      </c>
      <c r="B48" s="1407" t="s">
        <v>4017</v>
      </c>
      <c r="C48" s="1408" t="s">
        <v>4013</v>
      </c>
      <c r="D48" s="1408" t="s">
        <v>4014</v>
      </c>
      <c r="E48" s="1408" t="s">
        <v>4018</v>
      </c>
      <c r="F48" s="1409">
        <v>18582</v>
      </c>
      <c r="G48" s="1408" t="s">
        <v>4019</v>
      </c>
      <c r="H48" s="1408" t="s">
        <v>4020</v>
      </c>
      <c r="I48" s="1408" t="s">
        <v>4021</v>
      </c>
      <c r="J48" s="1410" t="s">
        <v>4015</v>
      </c>
    </row>
    <row r="49" spans="1:10" ht="13.5" thickBot="1" x14ac:dyDescent="0.25">
      <c r="A49" s="1418" t="s">
        <v>374</v>
      </c>
      <c r="B49" s="1419"/>
      <c r="C49" s="1419"/>
      <c r="D49" s="1419"/>
      <c r="E49" s="1419"/>
      <c r="F49" s="1420">
        <v>22401722</v>
      </c>
      <c r="G49" s="1419"/>
      <c r="H49" s="1419"/>
      <c r="I49" s="1419"/>
      <c r="J49" s="1421"/>
    </row>
  </sheetData>
  <mergeCells count="8">
    <mergeCell ref="H31:H32"/>
    <mergeCell ref="I31:I32"/>
    <mergeCell ref="J31:J32"/>
    <mergeCell ref="B31:B32"/>
    <mergeCell ref="C31:C32"/>
    <mergeCell ref="D31:D32"/>
    <mergeCell ref="E31:E32"/>
    <mergeCell ref="G31:G32"/>
  </mergeCells>
  <pageMargins left="0.70866141732283472" right="0.70866141732283472" top="0.74803149606299213" bottom="0.74803149606299213" header="0.31496062992125984" footer="0.31496062992125984"/>
  <pageSetup paperSize="9" scale="60" firstPageNumber="68" orientation="landscape" useFirstPageNumber="1" r:id="rId1"/>
  <headerFooter>
    <oddHeader>&amp;C&amp;"-,Bold"ANNEXURE G
POLOKWANE MUNICIPALITY
CONTINGENT LIABILITIES FOR THE YEAR ENDED 30 JUNE 2016(Unaudited)</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F525"/>
  <sheetViews>
    <sheetView topLeftCell="A4" workbookViewId="0">
      <pane ySplit="585" activePane="bottomLeft"/>
      <selection activeCell="A4" sqref="A1:IV65536"/>
      <selection pane="bottomLeft" activeCell="AG19" sqref="AG19"/>
    </sheetView>
  </sheetViews>
  <sheetFormatPr defaultColWidth="9" defaultRowHeight="15" x14ac:dyDescent="0.25"/>
  <cols>
    <col min="1" max="1" width="30.42578125" style="278" bestFit="1" customWidth="1"/>
    <col min="2" max="2" width="9" style="278" customWidth="1"/>
    <col min="3" max="3" width="14.140625" style="320" hidden="1" customWidth="1"/>
    <col min="4" max="4" width="14.85546875" style="320" hidden="1" customWidth="1"/>
    <col min="5" max="6" width="15.42578125" style="320" hidden="1" customWidth="1"/>
    <col min="7" max="7" width="17.28515625" style="320" hidden="1" customWidth="1"/>
    <col min="8" max="8" width="16.5703125" style="279" hidden="1" customWidth="1"/>
    <col min="9" max="9" width="16.28515625" style="280" hidden="1" customWidth="1"/>
    <col min="10" max="12" width="16.140625" style="349" hidden="1" customWidth="1"/>
    <col min="13" max="13" width="15" style="350" customWidth="1"/>
    <col min="14" max="14" width="17.7109375" style="283" customWidth="1"/>
    <col min="15" max="15" width="16.7109375" style="306" customWidth="1"/>
    <col min="16" max="16" width="18.7109375" style="278" hidden="1" customWidth="1"/>
    <col min="17" max="23" width="9" style="278" hidden="1" customWidth="1"/>
    <col min="24" max="24" width="14.42578125" style="284" hidden="1" customWidth="1"/>
    <col min="25" max="31" width="9" style="278" hidden="1" customWidth="1"/>
    <col min="32" max="32" width="14.140625" style="284" hidden="1" customWidth="1"/>
    <col min="33" max="16384" width="9" style="278"/>
  </cols>
  <sheetData>
    <row r="1" spans="1:15" x14ac:dyDescent="0.25">
      <c r="A1" s="277" t="s">
        <v>850</v>
      </c>
      <c r="J1" s="281"/>
      <c r="K1" s="281"/>
      <c r="L1" s="281"/>
      <c r="M1" s="282"/>
    </row>
    <row r="3" spans="1:15" ht="13.5" thickBot="1" x14ac:dyDescent="0.25">
      <c r="J3" s="288" t="s">
        <v>194</v>
      </c>
      <c r="K3" s="288" t="s">
        <v>194</v>
      </c>
      <c r="L3" s="288" t="s">
        <v>194</v>
      </c>
      <c r="M3" s="293" t="s">
        <v>194</v>
      </c>
      <c r="N3" s="294" t="s">
        <v>194</v>
      </c>
      <c r="O3" s="294" t="s">
        <v>194</v>
      </c>
    </row>
    <row r="4" spans="1:15" s="284" customFormat="1" ht="12.75" x14ac:dyDescent="0.2">
      <c r="A4" s="321" t="s">
        <v>399</v>
      </c>
      <c r="B4" s="321" t="s">
        <v>296</v>
      </c>
      <c r="C4" s="322" t="s">
        <v>944</v>
      </c>
      <c r="D4" s="322"/>
      <c r="E4" s="322" t="s">
        <v>400</v>
      </c>
      <c r="F4" s="322" t="s">
        <v>296</v>
      </c>
      <c r="G4" s="323" t="s">
        <v>943</v>
      </c>
      <c r="H4" s="324"/>
      <c r="I4" s="325"/>
      <c r="J4" s="291" t="s">
        <v>536</v>
      </c>
      <c r="K4" s="291" t="s">
        <v>529</v>
      </c>
      <c r="L4" s="291" t="s">
        <v>692</v>
      </c>
      <c r="M4" s="326" t="s">
        <v>943</v>
      </c>
      <c r="N4" s="327" t="s">
        <v>529</v>
      </c>
      <c r="O4" s="328" t="s">
        <v>943</v>
      </c>
    </row>
    <row r="5" spans="1:15" s="284" customFormat="1" ht="12.75" x14ac:dyDescent="0.2">
      <c r="A5" s="329"/>
      <c r="B5" s="329" t="s">
        <v>401</v>
      </c>
      <c r="C5" s="330" t="s">
        <v>402</v>
      </c>
      <c r="D5" s="330" t="s">
        <v>401</v>
      </c>
      <c r="E5" s="330" t="s">
        <v>402</v>
      </c>
      <c r="F5" s="330" t="s">
        <v>401</v>
      </c>
      <c r="G5" s="331" t="s">
        <v>402</v>
      </c>
      <c r="H5" s="332"/>
      <c r="I5" s="325"/>
      <c r="J5" s="333"/>
      <c r="K5" s="333"/>
      <c r="L5" s="334" t="s">
        <v>58</v>
      </c>
      <c r="M5" s="335" t="s">
        <v>1050</v>
      </c>
      <c r="N5" s="336" t="s">
        <v>195</v>
      </c>
      <c r="O5" s="336" t="s">
        <v>195</v>
      </c>
    </row>
    <row r="6" spans="1:15" x14ac:dyDescent="0.25">
      <c r="A6" s="295" t="s">
        <v>0</v>
      </c>
      <c r="B6" s="285"/>
      <c r="C6" s="337"/>
      <c r="D6" s="337"/>
      <c r="E6" s="337"/>
      <c r="F6" s="337"/>
      <c r="G6" s="337"/>
      <c r="H6" s="286"/>
      <c r="I6" s="287"/>
      <c r="J6" s="338"/>
      <c r="K6" s="338"/>
      <c r="L6" s="338"/>
      <c r="M6" s="304"/>
      <c r="N6" s="296"/>
      <c r="O6" s="213"/>
    </row>
    <row r="7" spans="1:15" x14ac:dyDescent="0.25">
      <c r="A7" s="285"/>
      <c r="B7" s="285"/>
      <c r="C7" s="337"/>
      <c r="D7" s="337"/>
      <c r="E7" s="337"/>
      <c r="F7" s="337"/>
      <c r="G7" s="337"/>
      <c r="H7" s="286"/>
      <c r="I7" s="287"/>
      <c r="J7" s="338"/>
      <c r="K7" s="338"/>
      <c r="L7" s="338"/>
      <c r="M7" s="304"/>
      <c r="N7" s="296"/>
      <c r="O7" s="213"/>
    </row>
    <row r="8" spans="1:15" x14ac:dyDescent="0.25">
      <c r="A8" s="289" t="s">
        <v>429</v>
      </c>
      <c r="B8" s="285"/>
      <c r="C8" s="337"/>
      <c r="D8" s="337"/>
      <c r="E8" s="337"/>
      <c r="F8" s="337"/>
      <c r="G8" s="337"/>
      <c r="H8" s="286"/>
      <c r="I8" s="287"/>
      <c r="J8" s="338"/>
      <c r="K8" s="338"/>
      <c r="L8" s="338"/>
      <c r="M8" s="304"/>
      <c r="N8" s="296"/>
      <c r="O8" s="213"/>
    </row>
    <row r="9" spans="1:15" ht="12.75" x14ac:dyDescent="0.2">
      <c r="A9" s="285" t="s">
        <v>11</v>
      </c>
      <c r="B9" s="285">
        <v>70050000</v>
      </c>
      <c r="C9" s="337">
        <v>0</v>
      </c>
      <c r="D9" s="337">
        <v>0</v>
      </c>
      <c r="E9" s="337">
        <v>143534876.12</v>
      </c>
      <c r="F9" s="337">
        <v>0</v>
      </c>
      <c r="G9" s="337">
        <v>143534876.12</v>
      </c>
      <c r="H9" s="286">
        <f>+G9</f>
        <v>143534876.12</v>
      </c>
      <c r="I9" s="287">
        <f>ROUND(H9,0)</f>
        <v>143534876</v>
      </c>
      <c r="J9" s="339">
        <v>185000000</v>
      </c>
      <c r="K9" s="339"/>
      <c r="L9" s="339">
        <f>J9+K9</f>
        <v>185000000</v>
      </c>
      <c r="M9" s="340">
        <f>N9+O9</f>
        <v>211929611.96000001</v>
      </c>
      <c r="N9" s="296"/>
      <c r="O9" s="298">
        <v>211929611.96000001</v>
      </c>
    </row>
    <row r="10" spans="1:15" ht="12.75" x14ac:dyDescent="0.2">
      <c r="A10" s="285"/>
      <c r="B10" s="285"/>
      <c r="C10" s="337"/>
      <c r="D10" s="337"/>
      <c r="E10" s="337"/>
      <c r="F10" s="337"/>
      <c r="G10" s="337"/>
      <c r="H10" s="286"/>
      <c r="I10" s="287"/>
      <c r="J10" s="341"/>
      <c r="K10" s="341"/>
      <c r="L10" s="341"/>
      <c r="M10" s="342"/>
      <c r="N10" s="296"/>
      <c r="O10" s="296"/>
    </row>
    <row r="11" spans="1:15" ht="12.75" x14ac:dyDescent="0.2">
      <c r="A11" s="289" t="s">
        <v>38</v>
      </c>
      <c r="B11" s="285"/>
      <c r="C11" s="337"/>
      <c r="D11" s="337"/>
      <c r="E11" s="337"/>
      <c r="F11" s="337"/>
      <c r="G11" s="337"/>
      <c r="H11" s="286"/>
      <c r="I11" s="287"/>
      <c r="J11" s="341"/>
      <c r="K11" s="341"/>
      <c r="L11" s="341"/>
      <c r="M11" s="342"/>
      <c r="N11" s="296"/>
      <c r="O11" s="296"/>
    </row>
    <row r="12" spans="1:15" ht="12.75" x14ac:dyDescent="0.2">
      <c r="A12" s="289" t="s">
        <v>40</v>
      </c>
      <c r="B12" s="285"/>
      <c r="C12" s="337"/>
      <c r="D12" s="337"/>
      <c r="E12" s="337"/>
      <c r="F12" s="337"/>
      <c r="G12" s="337"/>
      <c r="H12" s="286"/>
      <c r="I12" s="287"/>
      <c r="J12" s="341"/>
      <c r="K12" s="341"/>
      <c r="L12" s="341"/>
      <c r="M12" s="342"/>
      <c r="N12" s="296"/>
      <c r="O12" s="296"/>
    </row>
    <row r="13" spans="1:15" ht="12.75" x14ac:dyDescent="0.2">
      <c r="A13" s="285" t="s">
        <v>1003</v>
      </c>
      <c r="B13" s="285">
        <v>70662600</v>
      </c>
      <c r="C13" s="337"/>
      <c r="D13" s="337"/>
      <c r="E13" s="337"/>
      <c r="F13" s="337"/>
      <c r="G13" s="337"/>
      <c r="H13" s="286"/>
      <c r="I13" s="287"/>
      <c r="J13" s="341"/>
      <c r="K13" s="341"/>
      <c r="L13" s="341"/>
      <c r="M13" s="340">
        <f>N13+O13</f>
        <v>15164857</v>
      </c>
      <c r="N13" s="296"/>
      <c r="O13" s="298">
        <v>15164857</v>
      </c>
    </row>
    <row r="14" spans="1:15" ht="12.75" x14ac:dyDescent="0.2">
      <c r="A14" s="285" t="s">
        <v>628</v>
      </c>
      <c r="B14" s="285">
        <v>70662600</v>
      </c>
      <c r="C14" s="337">
        <v>0</v>
      </c>
      <c r="D14" s="337">
        <v>0</v>
      </c>
      <c r="E14" s="337">
        <v>158973074.96000001</v>
      </c>
      <c r="F14" s="337">
        <v>0</v>
      </c>
      <c r="G14" s="337">
        <v>158973074.96000001</v>
      </c>
      <c r="H14" s="286"/>
      <c r="I14" s="287"/>
      <c r="J14" s="341">
        <v>303704000</v>
      </c>
      <c r="K14" s="341"/>
      <c r="L14" s="341">
        <f>J14+K14</f>
        <v>303704000</v>
      </c>
      <c r="M14" s="340">
        <f>N14+O14</f>
        <v>304676712.44999999</v>
      </c>
      <c r="N14" s="296"/>
      <c r="O14" s="298">
        <v>304676712.44999999</v>
      </c>
    </row>
    <row r="15" spans="1:15" ht="12.75" x14ac:dyDescent="0.2">
      <c r="A15" s="285" t="s">
        <v>624</v>
      </c>
      <c r="B15" s="285">
        <v>70660800</v>
      </c>
      <c r="C15" s="337">
        <v>0</v>
      </c>
      <c r="D15" s="337">
        <v>0</v>
      </c>
      <c r="E15" s="337">
        <v>3052686.32</v>
      </c>
      <c r="F15" s="337">
        <v>0</v>
      </c>
      <c r="G15" s="337">
        <v>3052686.32</v>
      </c>
      <c r="H15" s="286"/>
      <c r="I15" s="287"/>
      <c r="J15" s="341">
        <v>8088045</v>
      </c>
      <c r="K15" s="341"/>
      <c r="L15" s="341">
        <f>J15+K15</f>
        <v>8088045</v>
      </c>
      <c r="M15" s="340">
        <f>N15+O15</f>
        <v>10909280.23</v>
      </c>
      <c r="N15" s="296"/>
      <c r="O15" s="298">
        <v>10909280.23</v>
      </c>
    </row>
    <row r="16" spans="1:15" ht="12.75" x14ac:dyDescent="0.2">
      <c r="A16" s="285" t="s">
        <v>629</v>
      </c>
      <c r="B16" s="285">
        <v>70662610</v>
      </c>
      <c r="C16" s="337">
        <v>0</v>
      </c>
      <c r="D16" s="337">
        <v>0</v>
      </c>
      <c r="E16" s="337">
        <v>51821655.670000002</v>
      </c>
      <c r="F16" s="337">
        <v>0</v>
      </c>
      <c r="G16" s="337">
        <v>51821655.670000002</v>
      </c>
      <c r="H16" s="286">
        <f>SUM(G14:G16)</f>
        <v>213847416.94999999</v>
      </c>
      <c r="I16" s="287">
        <f>ROUND(H16,0)</f>
        <v>213847417</v>
      </c>
      <c r="J16" s="341">
        <v>65310000</v>
      </c>
      <c r="K16" s="341"/>
      <c r="L16" s="341">
        <f>J16+K16</f>
        <v>65310000</v>
      </c>
      <c r="M16" s="340">
        <f>N16+O16</f>
        <v>103769310.71000001</v>
      </c>
      <c r="N16" s="296">
        <v>-851911.96</v>
      </c>
      <c r="O16" s="298">
        <v>104621222.67</v>
      </c>
    </row>
    <row r="17" spans="1:15" ht="12.75" x14ac:dyDescent="0.2">
      <c r="A17" s="285"/>
      <c r="B17" s="285"/>
      <c r="C17" s="337"/>
      <c r="D17" s="337"/>
      <c r="E17" s="337"/>
      <c r="F17" s="337"/>
      <c r="G17" s="337"/>
      <c r="H17" s="286"/>
      <c r="I17" s="287"/>
      <c r="J17" s="343">
        <f>SUM(J13:J16)</f>
        <v>377102045</v>
      </c>
      <c r="K17" s="343">
        <f>SUM(K13:K16)</f>
        <v>0</v>
      </c>
      <c r="L17" s="343">
        <f>SUM(L13:L16)</f>
        <v>377102045</v>
      </c>
      <c r="M17" s="344">
        <f>SUM(M13:M16)</f>
        <v>434520160.38999999</v>
      </c>
      <c r="N17" s="298">
        <f>SUM(N14:N16)</f>
        <v>-851911.96</v>
      </c>
      <c r="O17" s="344">
        <f>SUM(O13:O16)</f>
        <v>435372072.35000002</v>
      </c>
    </row>
    <row r="18" spans="1:15" ht="12.75" x14ac:dyDescent="0.2">
      <c r="A18" s="289" t="s">
        <v>438</v>
      </c>
      <c r="B18" s="285"/>
      <c r="C18" s="337"/>
      <c r="D18" s="337"/>
      <c r="E18" s="337"/>
      <c r="F18" s="337"/>
      <c r="G18" s="337"/>
      <c r="H18" s="286"/>
      <c r="I18" s="287"/>
      <c r="J18" s="345"/>
      <c r="K18" s="345"/>
      <c r="L18" s="345"/>
      <c r="M18" s="346"/>
      <c r="N18" s="296"/>
      <c r="O18" s="296"/>
    </row>
    <row r="19" spans="1:15" ht="12.75" x14ac:dyDescent="0.2">
      <c r="A19" s="285" t="s">
        <v>1003</v>
      </c>
      <c r="B19" s="285">
        <v>70662650</v>
      </c>
      <c r="C19" s="337"/>
      <c r="D19" s="337"/>
      <c r="E19" s="337"/>
      <c r="F19" s="337"/>
      <c r="G19" s="337"/>
      <c r="H19" s="286"/>
      <c r="I19" s="287"/>
      <c r="J19" s="345"/>
      <c r="K19" s="345"/>
      <c r="L19" s="345"/>
      <c r="M19" s="340">
        <f>N19+O19</f>
        <v>4893364</v>
      </c>
      <c r="N19" s="296"/>
      <c r="O19" s="298">
        <v>4893364</v>
      </c>
    </row>
    <row r="20" spans="1:15" ht="12.75" x14ac:dyDescent="0.2">
      <c r="A20" s="285" t="s">
        <v>625</v>
      </c>
      <c r="B20" s="285">
        <v>70660850</v>
      </c>
      <c r="C20" s="337">
        <v>0</v>
      </c>
      <c r="D20" s="337">
        <v>0</v>
      </c>
      <c r="E20" s="337">
        <v>2454435.58</v>
      </c>
      <c r="F20" s="337">
        <v>0</v>
      </c>
      <c r="G20" s="337">
        <v>2454435.58</v>
      </c>
      <c r="H20" s="286"/>
      <c r="I20" s="287"/>
      <c r="J20" s="345">
        <v>3648250</v>
      </c>
      <c r="K20" s="345"/>
      <c r="L20" s="341">
        <f>J20+K20</f>
        <v>3648250</v>
      </c>
      <c r="M20" s="340">
        <f>N20+O20</f>
        <v>3127017.55</v>
      </c>
      <c r="N20" s="296"/>
      <c r="O20" s="298">
        <v>3127017.55</v>
      </c>
    </row>
    <row r="21" spans="1:15" ht="12.75" x14ac:dyDescent="0.2">
      <c r="A21" s="285" t="s">
        <v>722</v>
      </c>
      <c r="B21" s="285">
        <v>70662650</v>
      </c>
      <c r="C21" s="337">
        <v>0</v>
      </c>
      <c r="D21" s="337">
        <v>0</v>
      </c>
      <c r="E21" s="337">
        <v>74398008.489999995</v>
      </c>
      <c r="F21" s="337">
        <v>0</v>
      </c>
      <c r="G21" s="337">
        <v>74398008.489999995</v>
      </c>
      <c r="H21" s="286"/>
      <c r="I21" s="287"/>
      <c r="J21" s="345">
        <v>99467000</v>
      </c>
      <c r="K21" s="345"/>
      <c r="L21" s="341">
        <f>J21+K21</f>
        <v>99467000</v>
      </c>
      <c r="M21" s="340">
        <f>N21+O21</f>
        <v>93214366.109999999</v>
      </c>
      <c r="N21" s="296">
        <v>-2549613.6</v>
      </c>
      <c r="O21" s="298">
        <v>95763979.709999993</v>
      </c>
    </row>
    <row r="22" spans="1:15" ht="12.75" x14ac:dyDescent="0.2">
      <c r="A22" s="285" t="s">
        <v>723</v>
      </c>
      <c r="B22" s="285">
        <v>70662700</v>
      </c>
      <c r="C22" s="337">
        <v>0</v>
      </c>
      <c r="D22" s="337">
        <v>0</v>
      </c>
      <c r="E22" s="337">
        <v>2602246.2999999998</v>
      </c>
      <c r="F22" s="337">
        <v>0</v>
      </c>
      <c r="G22" s="337">
        <v>2602246.2999999998</v>
      </c>
      <c r="H22" s="286">
        <f>SUM(G20:G22)</f>
        <v>79454690.36999999</v>
      </c>
      <c r="I22" s="287">
        <f>ROUND(H22,0)</f>
        <v>79454690</v>
      </c>
      <c r="J22" s="345">
        <v>18000000</v>
      </c>
      <c r="K22" s="345"/>
      <c r="L22" s="341">
        <f>J22+K22</f>
        <v>18000000</v>
      </c>
      <c r="M22" s="340">
        <f>N22+O22</f>
        <v>4413030.6500000004</v>
      </c>
      <c r="N22" s="296"/>
      <c r="O22" s="298">
        <v>4413030.6500000004</v>
      </c>
    </row>
    <row r="23" spans="1:15" ht="12.75" x14ac:dyDescent="0.2">
      <c r="A23" s="285"/>
      <c r="B23" s="285"/>
      <c r="C23" s="337"/>
      <c r="D23" s="337"/>
      <c r="E23" s="337"/>
      <c r="F23" s="337"/>
      <c r="G23" s="337"/>
      <c r="H23" s="286"/>
      <c r="I23" s="287"/>
      <c r="J23" s="292">
        <f>SUM(J19:J22)</f>
        <v>121115250</v>
      </c>
      <c r="K23" s="292">
        <f>SUM(K19:K22)</f>
        <v>0</v>
      </c>
      <c r="L23" s="292">
        <f>SUM(L19:L22)</f>
        <v>121115250</v>
      </c>
      <c r="M23" s="297">
        <f>SUM(M19:M22)</f>
        <v>105647778.31</v>
      </c>
      <c r="N23" s="298">
        <f>SUM(N20:N22)</f>
        <v>-2549613.6</v>
      </c>
      <c r="O23" s="297">
        <f>SUM(O19:O22)</f>
        <v>108197391.91</v>
      </c>
    </row>
    <row r="24" spans="1:15" ht="12.75" x14ac:dyDescent="0.2">
      <c r="A24" s="289" t="s">
        <v>171</v>
      </c>
      <c r="B24" s="285"/>
      <c r="C24" s="337"/>
      <c r="D24" s="337"/>
      <c r="E24" s="337"/>
      <c r="F24" s="337"/>
      <c r="G24" s="337"/>
      <c r="H24" s="286"/>
      <c r="I24" s="287"/>
      <c r="J24" s="338"/>
      <c r="K24" s="338"/>
      <c r="L24" s="338"/>
      <c r="M24" s="304"/>
      <c r="N24" s="296"/>
      <c r="O24" s="296"/>
    </row>
    <row r="25" spans="1:15" ht="12.75" x14ac:dyDescent="0.2">
      <c r="A25" s="285" t="s">
        <v>833</v>
      </c>
      <c r="B25" s="285">
        <v>70080900</v>
      </c>
      <c r="C25" s="337">
        <v>0</v>
      </c>
      <c r="D25" s="337">
        <v>0</v>
      </c>
      <c r="E25" s="337">
        <v>131628</v>
      </c>
      <c r="F25" s="337">
        <v>0</v>
      </c>
      <c r="G25" s="337">
        <v>131628</v>
      </c>
      <c r="H25" s="286"/>
      <c r="I25" s="287"/>
      <c r="J25" s="338">
        <v>178310</v>
      </c>
      <c r="K25" s="338"/>
      <c r="L25" s="341">
        <f>J25+K25</f>
        <v>178310</v>
      </c>
      <c r="M25" s="340">
        <f>N25+O25</f>
        <v>189308.4</v>
      </c>
      <c r="N25" s="296"/>
      <c r="O25" s="298">
        <v>189308.4</v>
      </c>
    </row>
    <row r="26" spans="1:15" ht="12.75" x14ac:dyDescent="0.2">
      <c r="A26" s="285" t="s">
        <v>846</v>
      </c>
      <c r="B26" s="285">
        <v>70082600</v>
      </c>
      <c r="C26" s="337">
        <v>0</v>
      </c>
      <c r="D26" s="337">
        <v>0</v>
      </c>
      <c r="E26" s="337">
        <v>32020129.609999999</v>
      </c>
      <c r="F26" s="337">
        <v>0</v>
      </c>
      <c r="G26" s="337">
        <v>32020129.609999999</v>
      </c>
      <c r="H26" s="286"/>
      <c r="I26" s="287"/>
      <c r="J26" s="338">
        <v>40823000</v>
      </c>
      <c r="K26" s="338"/>
      <c r="L26" s="341">
        <f>J26+K26</f>
        <v>40823000</v>
      </c>
      <c r="M26" s="340">
        <f>N26+O26</f>
        <v>42755950.299999997</v>
      </c>
      <c r="N26" s="296"/>
      <c r="O26" s="298">
        <v>42755950.299999997</v>
      </c>
    </row>
    <row r="27" spans="1:15" ht="12.75" x14ac:dyDescent="0.2">
      <c r="A27" s="285" t="s">
        <v>858</v>
      </c>
      <c r="B27" s="285">
        <v>70083800</v>
      </c>
      <c r="C27" s="337">
        <v>0</v>
      </c>
      <c r="D27" s="337">
        <v>0</v>
      </c>
      <c r="E27" s="337">
        <v>704832.2</v>
      </c>
      <c r="F27" s="337">
        <v>0</v>
      </c>
      <c r="G27" s="337">
        <v>704832.2</v>
      </c>
      <c r="H27" s="286">
        <f>SUM(G25:G27)</f>
        <v>32856589.809999999</v>
      </c>
      <c r="I27" s="287">
        <f>ROUND(H27,0)</f>
        <v>32856590</v>
      </c>
      <c r="J27" s="338">
        <v>2140000</v>
      </c>
      <c r="K27" s="338"/>
      <c r="L27" s="341">
        <f>J27+K27</f>
        <v>2140000</v>
      </c>
      <c r="M27" s="340">
        <f>N27+O27</f>
        <v>1344592.74</v>
      </c>
      <c r="N27" s="296"/>
      <c r="O27" s="298">
        <v>1344592.74</v>
      </c>
    </row>
    <row r="28" spans="1:15" ht="12.75" x14ac:dyDescent="0.2">
      <c r="A28" s="289"/>
      <c r="B28" s="285"/>
      <c r="C28" s="337"/>
      <c r="D28" s="337"/>
      <c r="E28" s="337"/>
      <c r="F28" s="337"/>
      <c r="G28" s="337"/>
      <c r="H28" s="286"/>
      <c r="I28" s="287"/>
      <c r="J28" s="339">
        <f t="shared" ref="J28:O28" si="0">SUM(J25:J27)</f>
        <v>43141310</v>
      </c>
      <c r="K28" s="339">
        <f t="shared" si="0"/>
        <v>0</v>
      </c>
      <c r="L28" s="339">
        <f t="shared" si="0"/>
        <v>43141310</v>
      </c>
      <c r="M28" s="340">
        <f t="shared" si="0"/>
        <v>44289851.439999998</v>
      </c>
      <c r="N28" s="298">
        <f t="shared" si="0"/>
        <v>0</v>
      </c>
      <c r="O28" s="298">
        <f t="shared" si="0"/>
        <v>44289851.439999998</v>
      </c>
    </row>
    <row r="29" spans="1:15" ht="12.75" x14ac:dyDescent="0.2">
      <c r="A29" s="289" t="s">
        <v>41</v>
      </c>
      <c r="B29" s="285"/>
      <c r="C29" s="337"/>
      <c r="D29" s="337"/>
      <c r="E29" s="337"/>
      <c r="F29" s="337"/>
      <c r="G29" s="337"/>
      <c r="H29" s="286"/>
      <c r="I29" s="287"/>
      <c r="J29" s="341"/>
      <c r="K29" s="341"/>
      <c r="L29" s="341"/>
      <c r="M29" s="342"/>
      <c r="N29" s="296"/>
      <c r="O29" s="296"/>
    </row>
    <row r="30" spans="1:15" ht="12.75" x14ac:dyDescent="0.2">
      <c r="A30" s="285" t="s">
        <v>825</v>
      </c>
      <c r="B30" s="285">
        <v>70080120</v>
      </c>
      <c r="C30" s="337">
        <v>0</v>
      </c>
      <c r="D30" s="337">
        <v>0</v>
      </c>
      <c r="E30" s="337">
        <v>6312822.29</v>
      </c>
      <c r="F30" s="337">
        <v>0</v>
      </c>
      <c r="G30" s="337">
        <v>6312822.29</v>
      </c>
      <c r="H30" s="286"/>
      <c r="I30" s="287"/>
      <c r="J30" s="341">
        <v>5992000</v>
      </c>
      <c r="K30" s="341"/>
      <c r="L30" s="341">
        <f>J30+K30</f>
        <v>5992000</v>
      </c>
      <c r="M30" s="340">
        <f>N30+O30</f>
        <v>4932180.3499999996</v>
      </c>
      <c r="N30" s="296"/>
      <c r="O30" s="298">
        <v>4932180.3499999996</v>
      </c>
    </row>
    <row r="31" spans="1:15" ht="12.75" x14ac:dyDescent="0.2">
      <c r="A31" s="285" t="s">
        <v>834</v>
      </c>
      <c r="B31" s="285">
        <v>70080950</v>
      </c>
      <c r="C31" s="337">
        <v>0</v>
      </c>
      <c r="D31" s="337">
        <v>0</v>
      </c>
      <c r="E31" s="337">
        <v>555054</v>
      </c>
      <c r="F31" s="337">
        <v>0</v>
      </c>
      <c r="G31" s="337">
        <v>555054</v>
      </c>
      <c r="H31" s="286"/>
      <c r="I31" s="287"/>
      <c r="J31" s="341">
        <v>804895</v>
      </c>
      <c r="K31" s="341"/>
      <c r="L31" s="341">
        <f>J31+K31</f>
        <v>804895</v>
      </c>
      <c r="M31" s="340">
        <f>N31+O31</f>
        <v>778914</v>
      </c>
      <c r="N31" s="296"/>
      <c r="O31" s="298">
        <v>778914</v>
      </c>
    </row>
    <row r="32" spans="1:15" ht="12.75" x14ac:dyDescent="0.2">
      <c r="A32" s="285" t="s">
        <v>847</v>
      </c>
      <c r="B32" s="285">
        <v>70082650</v>
      </c>
      <c r="C32" s="337">
        <v>0</v>
      </c>
      <c r="D32" s="337">
        <v>0</v>
      </c>
      <c r="E32" s="337">
        <v>22584153.579999998</v>
      </c>
      <c r="F32" s="337">
        <v>0</v>
      </c>
      <c r="G32" s="337">
        <v>22584153.579999998</v>
      </c>
      <c r="H32" s="286"/>
      <c r="I32" s="287"/>
      <c r="J32" s="341">
        <v>29148000</v>
      </c>
      <c r="K32" s="341"/>
      <c r="L32" s="341">
        <f>J32+K32</f>
        <v>29148000</v>
      </c>
      <c r="M32" s="340">
        <f>N32+O32</f>
        <v>30644675.239999998</v>
      </c>
      <c r="N32" s="296"/>
      <c r="O32" s="298">
        <v>30644675.239999998</v>
      </c>
    </row>
    <row r="33" spans="1:15" ht="12.75" x14ac:dyDescent="0.2">
      <c r="A33" s="289"/>
      <c r="B33" s="285"/>
      <c r="C33" s="337"/>
      <c r="D33" s="337"/>
      <c r="E33" s="337"/>
      <c r="F33" s="337"/>
      <c r="G33" s="337"/>
      <c r="H33" s="286">
        <f>SUM(G30:G32)</f>
        <v>29452029.869999997</v>
      </c>
      <c r="I33" s="287">
        <f>ROUND(H33,0)</f>
        <v>29452030</v>
      </c>
      <c r="J33" s="343">
        <f t="shared" ref="J33:O33" si="1">SUM(J30:J32)</f>
        <v>35944895</v>
      </c>
      <c r="K33" s="343">
        <f t="shared" si="1"/>
        <v>0</v>
      </c>
      <c r="L33" s="343">
        <f t="shared" si="1"/>
        <v>35944895</v>
      </c>
      <c r="M33" s="344">
        <f t="shared" si="1"/>
        <v>36355769.589999996</v>
      </c>
      <c r="N33" s="298">
        <f t="shared" si="1"/>
        <v>0</v>
      </c>
      <c r="O33" s="298">
        <f t="shared" si="1"/>
        <v>36355769.589999996</v>
      </c>
    </row>
    <row r="34" spans="1:15" ht="12.75" x14ac:dyDescent="0.2">
      <c r="A34" s="289" t="s">
        <v>42</v>
      </c>
      <c r="B34" s="285"/>
      <c r="C34" s="337"/>
      <c r="D34" s="337"/>
      <c r="E34" s="337"/>
      <c r="F34" s="337"/>
      <c r="G34" s="337"/>
      <c r="H34" s="286"/>
      <c r="I34" s="287"/>
      <c r="J34" s="345"/>
      <c r="K34" s="345"/>
      <c r="L34" s="345"/>
      <c r="M34" s="346"/>
      <c r="N34" s="296"/>
      <c r="O34" s="296"/>
    </row>
    <row r="35" spans="1:15" ht="12.75" x14ac:dyDescent="0.2">
      <c r="A35" s="285" t="s">
        <v>862</v>
      </c>
      <c r="B35" s="285">
        <v>70190100</v>
      </c>
      <c r="C35" s="337">
        <v>0</v>
      </c>
      <c r="D35" s="337">
        <v>0</v>
      </c>
      <c r="E35" s="337">
        <v>35382.71</v>
      </c>
      <c r="F35" s="337">
        <v>0</v>
      </c>
      <c r="G35" s="337">
        <v>35382.71</v>
      </c>
      <c r="H35" s="286"/>
      <c r="I35" s="287"/>
      <c r="J35" s="345"/>
      <c r="K35" s="345"/>
      <c r="L35" s="341">
        <f t="shared" ref="L35:L60" si="2">J35+K35</f>
        <v>0</v>
      </c>
      <c r="M35" s="340">
        <f t="shared" ref="M35:M60" si="3">N35+O35</f>
        <v>49252.36</v>
      </c>
      <c r="N35" s="296"/>
      <c r="O35" s="298">
        <v>49252.36</v>
      </c>
    </row>
    <row r="36" spans="1:15" ht="12.75" x14ac:dyDescent="0.2">
      <c r="A36" s="285" t="s">
        <v>863</v>
      </c>
      <c r="B36" s="285">
        <v>70190300</v>
      </c>
      <c r="C36" s="337">
        <v>0</v>
      </c>
      <c r="D36" s="337">
        <v>0</v>
      </c>
      <c r="E36" s="337">
        <v>632528.05000000005</v>
      </c>
      <c r="F36" s="337">
        <v>0</v>
      </c>
      <c r="G36" s="337">
        <v>632528.05000000005</v>
      </c>
      <c r="H36" s="286"/>
      <c r="I36" s="287"/>
      <c r="J36" s="345">
        <v>479000</v>
      </c>
      <c r="K36" s="345"/>
      <c r="L36" s="341">
        <f t="shared" si="2"/>
        <v>479000</v>
      </c>
      <c r="M36" s="340">
        <f t="shared" si="3"/>
        <v>920330.6</v>
      </c>
      <c r="N36" s="296"/>
      <c r="O36" s="298">
        <v>920330.6</v>
      </c>
    </row>
    <row r="37" spans="1:15" ht="12.75" x14ac:dyDescent="0.2">
      <c r="A37" s="285" t="s">
        <v>864</v>
      </c>
      <c r="B37" s="285">
        <v>70190305</v>
      </c>
      <c r="C37" s="337">
        <v>0</v>
      </c>
      <c r="D37" s="337">
        <v>0</v>
      </c>
      <c r="E37" s="337">
        <v>47682.96</v>
      </c>
      <c r="F37" s="337">
        <v>0</v>
      </c>
      <c r="G37" s="337">
        <v>47682.96</v>
      </c>
      <c r="H37" s="286"/>
      <c r="I37" s="287"/>
      <c r="J37" s="345">
        <v>133700</v>
      </c>
      <c r="K37" s="345"/>
      <c r="L37" s="341">
        <f t="shared" si="2"/>
        <v>133700</v>
      </c>
      <c r="M37" s="340">
        <f t="shared" si="3"/>
        <v>165337.4</v>
      </c>
      <c r="N37" s="296"/>
      <c r="O37" s="298">
        <v>165337.4</v>
      </c>
    </row>
    <row r="38" spans="1:15" ht="12.75" x14ac:dyDescent="0.2">
      <c r="A38" s="285" t="s">
        <v>865</v>
      </c>
      <c r="B38" s="285">
        <v>70190400</v>
      </c>
      <c r="C38" s="337">
        <v>0</v>
      </c>
      <c r="D38" s="337">
        <v>0</v>
      </c>
      <c r="E38" s="337">
        <v>1669770.21</v>
      </c>
      <c r="F38" s="337">
        <v>0</v>
      </c>
      <c r="G38" s="337">
        <v>1669770.21</v>
      </c>
      <c r="H38" s="286"/>
      <c r="I38" s="287"/>
      <c r="J38" s="345">
        <v>1071500</v>
      </c>
      <c r="K38" s="345"/>
      <c r="L38" s="341">
        <f t="shared" si="2"/>
        <v>1071500</v>
      </c>
      <c r="M38" s="340">
        <f t="shared" si="3"/>
        <v>641292.68000000005</v>
      </c>
      <c r="N38" s="296"/>
      <c r="O38" s="298">
        <v>641292.68000000005</v>
      </c>
    </row>
    <row r="39" spans="1:15" ht="12.75" x14ac:dyDescent="0.2">
      <c r="A39" s="285" t="s">
        <v>866</v>
      </c>
      <c r="B39" s="285">
        <v>70190700</v>
      </c>
      <c r="C39" s="337">
        <v>0</v>
      </c>
      <c r="D39" s="337">
        <v>0</v>
      </c>
      <c r="E39" s="337">
        <v>88460.2</v>
      </c>
      <c r="F39" s="337">
        <v>0</v>
      </c>
      <c r="G39" s="337">
        <v>88460.2</v>
      </c>
      <c r="H39" s="286"/>
      <c r="I39" s="287"/>
      <c r="J39" s="345">
        <v>200000</v>
      </c>
      <c r="K39" s="345"/>
      <c r="L39" s="341">
        <f t="shared" si="2"/>
        <v>200000</v>
      </c>
      <c r="M39" s="340">
        <f t="shared" si="3"/>
        <v>153109.42000000001</v>
      </c>
      <c r="N39" s="296"/>
      <c r="O39" s="298">
        <v>153109.42000000001</v>
      </c>
    </row>
    <row r="40" spans="1:15" ht="12.75" x14ac:dyDescent="0.2">
      <c r="A40" s="285" t="s">
        <v>867</v>
      </c>
      <c r="B40" s="285">
        <v>70190900</v>
      </c>
      <c r="C40" s="337">
        <v>0</v>
      </c>
      <c r="D40" s="337">
        <v>0</v>
      </c>
      <c r="E40" s="337">
        <v>16531.099999999999</v>
      </c>
      <c r="F40" s="337">
        <v>0</v>
      </c>
      <c r="G40" s="337">
        <v>16531.099999999999</v>
      </c>
      <c r="H40" s="286"/>
      <c r="I40" s="287"/>
      <c r="J40" s="345">
        <v>23000</v>
      </c>
      <c r="K40" s="345"/>
      <c r="L40" s="341">
        <f t="shared" si="2"/>
        <v>23000</v>
      </c>
      <c r="M40" s="340">
        <f t="shared" si="3"/>
        <v>19837.32</v>
      </c>
      <c r="N40" s="296"/>
      <c r="O40" s="298">
        <v>19837.32</v>
      </c>
    </row>
    <row r="41" spans="1:15" ht="12.75" x14ac:dyDescent="0.2">
      <c r="A41" s="285" t="s">
        <v>873</v>
      </c>
      <c r="B41" s="285">
        <v>70290500</v>
      </c>
      <c r="C41" s="337">
        <v>0</v>
      </c>
      <c r="D41" s="337">
        <v>0</v>
      </c>
      <c r="E41" s="337">
        <v>662754.26</v>
      </c>
      <c r="F41" s="337">
        <v>0</v>
      </c>
      <c r="G41" s="337">
        <v>662754.26</v>
      </c>
      <c r="H41" s="286"/>
      <c r="I41" s="287"/>
      <c r="J41" s="345">
        <v>950000</v>
      </c>
      <c r="K41" s="345"/>
      <c r="L41" s="341">
        <f t="shared" si="2"/>
        <v>950000</v>
      </c>
      <c r="M41" s="340">
        <f t="shared" si="3"/>
        <v>921170.22</v>
      </c>
      <c r="N41" s="296"/>
      <c r="O41" s="298">
        <v>921170.22</v>
      </c>
    </row>
    <row r="42" spans="1:15" ht="12.75" x14ac:dyDescent="0.2">
      <c r="A42" s="285" t="s">
        <v>874</v>
      </c>
      <c r="B42" s="285">
        <v>70290580</v>
      </c>
      <c r="C42" s="337">
        <v>0</v>
      </c>
      <c r="D42" s="337">
        <v>0</v>
      </c>
      <c r="E42" s="337">
        <v>50339.47</v>
      </c>
      <c r="F42" s="337">
        <v>0</v>
      </c>
      <c r="G42" s="337">
        <v>50339.47</v>
      </c>
      <c r="H42" s="286"/>
      <c r="I42" s="287"/>
      <c r="J42" s="345">
        <v>61000</v>
      </c>
      <c r="K42" s="345"/>
      <c r="L42" s="341">
        <f t="shared" si="2"/>
        <v>61000</v>
      </c>
      <c r="M42" s="340">
        <f t="shared" si="3"/>
        <v>58450</v>
      </c>
      <c r="N42" s="296"/>
      <c r="O42" s="298">
        <v>58450</v>
      </c>
    </row>
    <row r="43" spans="1:15" ht="12.75" x14ac:dyDescent="0.2">
      <c r="A43" s="285" t="s">
        <v>875</v>
      </c>
      <c r="B43" s="285">
        <v>70290590</v>
      </c>
      <c r="C43" s="337">
        <v>0</v>
      </c>
      <c r="D43" s="337">
        <v>0</v>
      </c>
      <c r="E43" s="337">
        <v>13334.22</v>
      </c>
      <c r="F43" s="337">
        <v>0</v>
      </c>
      <c r="G43" s="337">
        <v>13334.22</v>
      </c>
      <c r="H43" s="286"/>
      <c r="I43" s="287"/>
      <c r="J43" s="345">
        <v>42000</v>
      </c>
      <c r="K43" s="345"/>
      <c r="L43" s="341">
        <f t="shared" si="2"/>
        <v>42000</v>
      </c>
      <c r="M43" s="340">
        <f t="shared" si="3"/>
        <v>50216.83</v>
      </c>
      <c r="N43" s="296"/>
      <c r="O43" s="298">
        <v>50216.83</v>
      </c>
    </row>
    <row r="44" spans="1:15" ht="12.75" x14ac:dyDescent="0.2">
      <c r="A44" s="285" t="s">
        <v>876</v>
      </c>
      <c r="B44" s="285">
        <v>70290600</v>
      </c>
      <c r="C44" s="337">
        <v>0</v>
      </c>
      <c r="D44" s="337">
        <v>0</v>
      </c>
      <c r="E44" s="337">
        <v>96815.96</v>
      </c>
      <c r="F44" s="337">
        <v>0</v>
      </c>
      <c r="G44" s="337">
        <v>96815.96</v>
      </c>
      <c r="H44" s="286"/>
      <c r="I44" s="287"/>
      <c r="J44" s="345">
        <v>89500</v>
      </c>
      <c r="K44" s="345"/>
      <c r="L44" s="341">
        <f t="shared" si="2"/>
        <v>89500</v>
      </c>
      <c r="M44" s="340">
        <f t="shared" si="3"/>
        <v>142743.47</v>
      </c>
      <c r="N44" s="296"/>
      <c r="O44" s="298">
        <v>142743.47</v>
      </c>
    </row>
    <row r="45" spans="1:15" ht="12.75" x14ac:dyDescent="0.2">
      <c r="A45" s="285" t="s">
        <v>877</v>
      </c>
      <c r="B45" s="285">
        <v>70290601</v>
      </c>
      <c r="C45" s="337">
        <v>0</v>
      </c>
      <c r="D45" s="337">
        <v>0</v>
      </c>
      <c r="E45" s="337">
        <v>106337</v>
      </c>
      <c r="F45" s="337">
        <v>0</v>
      </c>
      <c r="G45" s="337">
        <v>106337</v>
      </c>
      <c r="H45" s="286"/>
      <c r="I45" s="287"/>
      <c r="J45" s="345">
        <v>137000</v>
      </c>
      <c r="K45" s="345"/>
      <c r="L45" s="341">
        <f t="shared" si="2"/>
        <v>137000</v>
      </c>
      <c r="M45" s="340">
        <f t="shared" si="3"/>
        <v>110438.28</v>
      </c>
      <c r="N45" s="296"/>
      <c r="O45" s="298">
        <v>110438.28</v>
      </c>
    </row>
    <row r="46" spans="1:15" ht="12.75" x14ac:dyDescent="0.2">
      <c r="A46" s="285" t="s">
        <v>877</v>
      </c>
      <c r="B46" s="285">
        <v>70290602</v>
      </c>
      <c r="C46" s="337">
        <v>0</v>
      </c>
      <c r="D46" s="337">
        <v>0</v>
      </c>
      <c r="E46" s="337">
        <v>47630</v>
      </c>
      <c r="F46" s="337">
        <v>0</v>
      </c>
      <c r="G46" s="337">
        <v>47630</v>
      </c>
      <c r="H46" s="286"/>
      <c r="I46" s="287"/>
      <c r="J46" s="345">
        <v>48000</v>
      </c>
      <c r="K46" s="345"/>
      <c r="L46" s="341">
        <f t="shared" si="2"/>
        <v>48000</v>
      </c>
      <c r="M46" s="340">
        <f t="shared" si="3"/>
        <v>80345</v>
      </c>
      <c r="N46" s="296"/>
      <c r="O46" s="298">
        <v>80345</v>
      </c>
    </row>
    <row r="47" spans="1:15" ht="12.75" x14ac:dyDescent="0.2">
      <c r="A47" s="285" t="s">
        <v>877</v>
      </c>
      <c r="B47" s="285">
        <v>70290603</v>
      </c>
      <c r="C47" s="337">
        <v>0</v>
      </c>
      <c r="D47" s="337">
        <v>0</v>
      </c>
      <c r="E47" s="337">
        <v>39254</v>
      </c>
      <c r="F47" s="337">
        <v>0</v>
      </c>
      <c r="G47" s="337">
        <v>39254</v>
      </c>
      <c r="H47" s="286"/>
      <c r="I47" s="287"/>
      <c r="J47" s="345">
        <v>29000</v>
      </c>
      <c r="K47" s="345"/>
      <c r="L47" s="341">
        <f t="shared" si="2"/>
        <v>29000</v>
      </c>
      <c r="M47" s="340">
        <f t="shared" si="3"/>
        <v>35578</v>
      </c>
      <c r="N47" s="296"/>
      <c r="O47" s="298">
        <v>35578</v>
      </c>
    </row>
    <row r="48" spans="1:15" ht="12.75" x14ac:dyDescent="0.2">
      <c r="A48" s="285" t="s">
        <v>877</v>
      </c>
      <c r="B48" s="285">
        <v>70290604</v>
      </c>
      <c r="C48" s="337">
        <v>0</v>
      </c>
      <c r="D48" s="337">
        <v>0</v>
      </c>
      <c r="E48" s="337">
        <v>19992.8</v>
      </c>
      <c r="F48" s="337">
        <v>0</v>
      </c>
      <c r="G48" s="337">
        <v>19992.8</v>
      </c>
      <c r="H48" s="286"/>
      <c r="I48" s="287"/>
      <c r="J48" s="345">
        <v>50000</v>
      </c>
      <c r="K48" s="345"/>
      <c r="L48" s="341">
        <f t="shared" si="2"/>
        <v>50000</v>
      </c>
      <c r="M48" s="340">
        <f t="shared" si="3"/>
        <v>44038</v>
      </c>
      <c r="N48" s="296"/>
      <c r="O48" s="298">
        <v>44038</v>
      </c>
    </row>
    <row r="49" spans="1:15" ht="12.75" x14ac:dyDescent="0.2">
      <c r="A49" s="285" t="s">
        <v>549</v>
      </c>
      <c r="B49" s="285">
        <v>70290605</v>
      </c>
      <c r="C49" s="337">
        <v>0</v>
      </c>
      <c r="D49" s="337">
        <v>0</v>
      </c>
      <c r="E49" s="337">
        <v>278</v>
      </c>
      <c r="F49" s="337">
        <v>0</v>
      </c>
      <c r="G49" s="337">
        <v>278</v>
      </c>
      <c r="H49" s="286"/>
      <c r="I49" s="287"/>
      <c r="J49" s="345">
        <v>1500</v>
      </c>
      <c r="K49" s="345"/>
      <c r="L49" s="341">
        <f t="shared" si="2"/>
        <v>1500</v>
      </c>
      <c r="M49" s="340">
        <f t="shared" si="3"/>
        <v>2440</v>
      </c>
      <c r="N49" s="296"/>
      <c r="O49" s="298">
        <v>2440</v>
      </c>
    </row>
    <row r="50" spans="1:15" ht="12.75" x14ac:dyDescent="0.2">
      <c r="A50" s="285" t="s">
        <v>550</v>
      </c>
      <c r="B50" s="285">
        <v>70290650</v>
      </c>
      <c r="C50" s="337">
        <v>0</v>
      </c>
      <c r="D50" s="337">
        <v>0</v>
      </c>
      <c r="E50" s="337">
        <v>371438</v>
      </c>
      <c r="F50" s="337">
        <v>0</v>
      </c>
      <c r="G50" s="337">
        <v>371438</v>
      </c>
      <c r="H50" s="286"/>
      <c r="I50" s="287"/>
      <c r="J50" s="345">
        <v>424000</v>
      </c>
      <c r="K50" s="345"/>
      <c r="L50" s="341">
        <f t="shared" si="2"/>
        <v>424000</v>
      </c>
      <c r="M50" s="340">
        <f t="shared" si="3"/>
        <v>350199</v>
      </c>
      <c r="N50" s="296"/>
      <c r="O50" s="298">
        <v>350199</v>
      </c>
    </row>
    <row r="51" spans="1:15" ht="12.75" x14ac:dyDescent="0.2">
      <c r="A51" s="285" t="s">
        <v>551</v>
      </c>
      <c r="B51" s="285">
        <v>70290700</v>
      </c>
      <c r="C51" s="337">
        <v>0</v>
      </c>
      <c r="D51" s="337">
        <v>0</v>
      </c>
      <c r="E51" s="337">
        <v>165565.57</v>
      </c>
      <c r="F51" s="337">
        <v>0</v>
      </c>
      <c r="G51" s="337">
        <v>165565.57</v>
      </c>
      <c r="H51" s="286"/>
      <c r="I51" s="287"/>
      <c r="J51" s="345">
        <v>212000</v>
      </c>
      <c r="K51" s="345"/>
      <c r="L51" s="341">
        <f t="shared" si="2"/>
        <v>212000</v>
      </c>
      <c r="M51" s="340">
        <f t="shared" si="3"/>
        <v>136703.57999999999</v>
      </c>
      <c r="N51" s="296"/>
      <c r="O51" s="298">
        <v>136703.57999999999</v>
      </c>
    </row>
    <row r="52" spans="1:15" ht="12.75" x14ac:dyDescent="0.2">
      <c r="A52" s="285" t="s">
        <v>552</v>
      </c>
      <c r="B52" s="285">
        <v>70290701</v>
      </c>
      <c r="C52" s="337">
        <v>0</v>
      </c>
      <c r="D52" s="337">
        <v>0</v>
      </c>
      <c r="E52" s="337">
        <v>147096.65</v>
      </c>
      <c r="F52" s="337">
        <v>0</v>
      </c>
      <c r="G52" s="337">
        <v>147096.65</v>
      </c>
      <c r="H52" s="286"/>
      <c r="I52" s="287"/>
      <c r="J52" s="345">
        <v>78000</v>
      </c>
      <c r="K52" s="345"/>
      <c r="L52" s="341">
        <f t="shared" si="2"/>
        <v>78000</v>
      </c>
      <c r="M52" s="340">
        <f t="shared" si="3"/>
        <v>157809.9</v>
      </c>
      <c r="N52" s="296"/>
      <c r="O52" s="298">
        <v>157809.9</v>
      </c>
    </row>
    <row r="53" spans="1:15" ht="12.75" x14ac:dyDescent="0.2">
      <c r="A53" s="285" t="s">
        <v>552</v>
      </c>
      <c r="B53" s="285">
        <v>70290702</v>
      </c>
      <c r="C53" s="337">
        <v>0</v>
      </c>
      <c r="D53" s="337">
        <v>0</v>
      </c>
      <c r="E53" s="337">
        <v>21335.27</v>
      </c>
      <c r="F53" s="337">
        <v>0</v>
      </c>
      <c r="G53" s="337">
        <v>21335.27</v>
      </c>
      <c r="H53" s="286"/>
      <c r="I53" s="287"/>
      <c r="J53" s="345">
        <v>16000</v>
      </c>
      <c r="K53" s="345"/>
      <c r="L53" s="341">
        <f t="shared" si="2"/>
        <v>16000</v>
      </c>
      <c r="M53" s="340">
        <f t="shared" si="3"/>
        <v>22627</v>
      </c>
      <c r="N53" s="296"/>
      <c r="O53" s="298">
        <v>22627</v>
      </c>
    </row>
    <row r="54" spans="1:15" ht="12.75" x14ac:dyDescent="0.2">
      <c r="A54" s="285" t="s">
        <v>552</v>
      </c>
      <c r="B54" s="285">
        <v>70290703</v>
      </c>
      <c r="C54" s="337">
        <v>0</v>
      </c>
      <c r="D54" s="337">
        <v>0</v>
      </c>
      <c r="E54" s="337">
        <v>82932</v>
      </c>
      <c r="F54" s="337">
        <v>0</v>
      </c>
      <c r="G54" s="337">
        <v>82932</v>
      </c>
      <c r="H54" s="286"/>
      <c r="I54" s="287"/>
      <c r="J54" s="345">
        <v>140000</v>
      </c>
      <c r="K54" s="345"/>
      <c r="L54" s="341">
        <f t="shared" si="2"/>
        <v>140000</v>
      </c>
      <c r="M54" s="340">
        <f t="shared" si="3"/>
        <v>183233</v>
      </c>
      <c r="N54" s="296"/>
      <c r="O54" s="298">
        <v>183233</v>
      </c>
    </row>
    <row r="55" spans="1:15" ht="12.75" x14ac:dyDescent="0.2">
      <c r="A55" s="285" t="s">
        <v>553</v>
      </c>
      <c r="B55" s="285">
        <v>70290704</v>
      </c>
      <c r="C55" s="337">
        <v>0</v>
      </c>
      <c r="D55" s="337">
        <v>0</v>
      </c>
      <c r="E55" s="337">
        <v>5881</v>
      </c>
      <c r="F55" s="337">
        <v>0</v>
      </c>
      <c r="G55" s="337">
        <v>5881</v>
      </c>
      <c r="H55" s="286"/>
      <c r="I55" s="287"/>
      <c r="J55" s="345">
        <v>16000</v>
      </c>
      <c r="K55" s="345"/>
      <c r="L55" s="341">
        <f t="shared" si="2"/>
        <v>16000</v>
      </c>
      <c r="M55" s="340">
        <f t="shared" si="3"/>
        <v>10710</v>
      </c>
      <c r="N55" s="296"/>
      <c r="O55" s="298">
        <v>10710</v>
      </c>
    </row>
    <row r="56" spans="1:15" ht="12.75" x14ac:dyDescent="0.2">
      <c r="A56" s="285" t="s">
        <v>553</v>
      </c>
      <c r="B56" s="285">
        <v>70290705</v>
      </c>
      <c r="C56" s="337">
        <v>0</v>
      </c>
      <c r="D56" s="337">
        <v>0</v>
      </c>
      <c r="E56" s="337">
        <v>2603</v>
      </c>
      <c r="F56" s="337">
        <v>0</v>
      </c>
      <c r="G56" s="337">
        <v>2603</v>
      </c>
      <c r="H56" s="286"/>
      <c r="I56" s="287"/>
      <c r="J56" s="345">
        <v>3500</v>
      </c>
      <c r="K56" s="345"/>
      <c r="L56" s="341">
        <f t="shared" si="2"/>
        <v>3500</v>
      </c>
      <c r="M56" s="340">
        <f t="shared" si="3"/>
        <v>2553</v>
      </c>
      <c r="N56" s="296"/>
      <c r="O56" s="298">
        <v>2553</v>
      </c>
    </row>
    <row r="57" spans="1:15" ht="12.75" x14ac:dyDescent="0.2">
      <c r="A57" s="285" t="s">
        <v>555</v>
      </c>
      <c r="B57" s="285">
        <v>70300100</v>
      </c>
      <c r="C57" s="337">
        <v>0</v>
      </c>
      <c r="D57" s="337">
        <v>0</v>
      </c>
      <c r="E57" s="337">
        <v>14348.18</v>
      </c>
      <c r="F57" s="337">
        <v>0</v>
      </c>
      <c r="G57" s="337">
        <v>14348.18</v>
      </c>
      <c r="H57" s="286"/>
      <c r="I57" s="287"/>
      <c r="J57" s="345">
        <v>0</v>
      </c>
      <c r="K57" s="345"/>
      <c r="L57" s="341">
        <f t="shared" si="2"/>
        <v>0</v>
      </c>
      <c r="M57" s="340">
        <f t="shared" si="3"/>
        <v>0</v>
      </c>
      <c r="N57" s="296"/>
      <c r="O57" s="298"/>
    </row>
    <row r="58" spans="1:15" ht="12.75" x14ac:dyDescent="0.2">
      <c r="A58" s="285" t="s">
        <v>556</v>
      </c>
      <c r="B58" s="285">
        <v>70300300</v>
      </c>
      <c r="C58" s="337">
        <v>0</v>
      </c>
      <c r="D58" s="337">
        <v>0</v>
      </c>
      <c r="E58" s="337">
        <v>37981.72</v>
      </c>
      <c r="F58" s="337">
        <v>0</v>
      </c>
      <c r="G58" s="337">
        <v>37981.72</v>
      </c>
      <c r="H58" s="286"/>
      <c r="I58" s="287"/>
      <c r="J58" s="345">
        <v>75200</v>
      </c>
      <c r="K58" s="345"/>
      <c r="L58" s="341">
        <f t="shared" si="2"/>
        <v>75200</v>
      </c>
      <c r="M58" s="340">
        <f t="shared" si="3"/>
        <v>57620.83</v>
      </c>
      <c r="N58" s="296"/>
      <c r="O58" s="298">
        <v>57620.83</v>
      </c>
    </row>
    <row r="59" spans="1:15" ht="12.75" x14ac:dyDescent="0.2">
      <c r="A59" s="285" t="s">
        <v>557</v>
      </c>
      <c r="B59" s="285">
        <v>70300400</v>
      </c>
      <c r="C59" s="337">
        <v>0</v>
      </c>
      <c r="D59" s="337">
        <v>0</v>
      </c>
      <c r="E59" s="337">
        <v>37578.959999999999</v>
      </c>
      <c r="F59" s="337">
        <v>0</v>
      </c>
      <c r="G59" s="337">
        <v>37578.959999999999</v>
      </c>
      <c r="H59" s="286">
        <f>SUM(G35:G59)</f>
        <v>4413851.2899999991</v>
      </c>
      <c r="I59" s="287">
        <f>ROUND(H59,0)</f>
        <v>4413851</v>
      </c>
      <c r="J59" s="345">
        <v>42000</v>
      </c>
      <c r="K59" s="345"/>
      <c r="L59" s="341">
        <f t="shared" si="2"/>
        <v>42000</v>
      </c>
      <c r="M59" s="340">
        <f t="shared" si="3"/>
        <v>20833.400000000001</v>
      </c>
      <c r="N59" s="296"/>
      <c r="O59" s="298">
        <v>20833.400000000001</v>
      </c>
    </row>
    <row r="60" spans="1:15" x14ac:dyDescent="0.25">
      <c r="A60" s="214" t="s">
        <v>357</v>
      </c>
      <c r="B60" s="285">
        <v>70300500</v>
      </c>
      <c r="C60" s="337"/>
      <c r="D60" s="337"/>
      <c r="E60" s="337"/>
      <c r="F60" s="337"/>
      <c r="G60" s="337"/>
      <c r="H60" s="286"/>
      <c r="I60" s="287"/>
      <c r="J60" s="345"/>
      <c r="K60" s="345"/>
      <c r="L60" s="341">
        <f t="shared" si="2"/>
        <v>0</v>
      </c>
      <c r="M60" s="340">
        <f t="shared" si="3"/>
        <v>0</v>
      </c>
      <c r="N60" s="296"/>
      <c r="O60" s="298"/>
    </row>
    <row r="61" spans="1:15" ht="12.75" x14ac:dyDescent="0.2">
      <c r="A61" s="289"/>
      <c r="B61" s="285"/>
      <c r="C61" s="337"/>
      <c r="D61" s="337"/>
      <c r="E61" s="337"/>
      <c r="F61" s="337"/>
      <c r="G61" s="337"/>
      <c r="H61" s="286"/>
      <c r="I61" s="287"/>
      <c r="J61" s="292">
        <f>SUM(J35:J60)</f>
        <v>4321900</v>
      </c>
      <c r="K61" s="292">
        <f>SUM(K35:K60)</f>
        <v>0</v>
      </c>
      <c r="L61" s="292">
        <f>SUM(L35:L60)</f>
        <v>4321900</v>
      </c>
      <c r="M61" s="297">
        <f>SUM(M35:M60)</f>
        <v>4336869.290000001</v>
      </c>
      <c r="N61" s="298">
        <f>SUM(N35:N60)</f>
        <v>0</v>
      </c>
      <c r="O61" s="298">
        <f>SUM(O35:O59)</f>
        <v>4336869.290000001</v>
      </c>
    </row>
    <row r="62" spans="1:15" ht="12.75" x14ac:dyDescent="0.2">
      <c r="A62" s="289" t="s">
        <v>43</v>
      </c>
      <c r="B62" s="285"/>
      <c r="C62" s="337"/>
      <c r="D62" s="337"/>
      <c r="E62" s="337"/>
      <c r="F62" s="337"/>
      <c r="G62" s="337"/>
      <c r="H62" s="286"/>
      <c r="I62" s="287"/>
      <c r="J62" s="338"/>
      <c r="K62" s="338"/>
      <c r="L62" s="338"/>
      <c r="M62" s="304"/>
      <c r="N62" s="296"/>
      <c r="O62" s="296"/>
    </row>
    <row r="63" spans="1:15" x14ac:dyDescent="0.25">
      <c r="A63" s="285" t="s">
        <v>617</v>
      </c>
      <c r="B63" s="285">
        <v>70460400</v>
      </c>
      <c r="C63" s="337">
        <v>0</v>
      </c>
      <c r="D63" s="337">
        <v>0</v>
      </c>
      <c r="E63" s="337">
        <v>56379483.609999999</v>
      </c>
      <c r="F63" s="337">
        <v>0</v>
      </c>
      <c r="G63" s="337">
        <v>56379483.609999999</v>
      </c>
      <c r="H63" s="286">
        <f>+G63</f>
        <v>56379483.609999999</v>
      </c>
      <c r="I63" s="287">
        <f>ROUND(H63,0)</f>
        <v>56379484</v>
      </c>
      <c r="J63" s="339">
        <v>3000000</v>
      </c>
      <c r="K63" s="339"/>
      <c r="L63" s="341">
        <f>J63+K63</f>
        <v>3000000</v>
      </c>
      <c r="M63" s="340">
        <f>N63+O63</f>
        <v>8732112.959999999</v>
      </c>
      <c r="N63" s="303">
        <f>-198720.46+382780-173693.59+254089.99</f>
        <v>264455.94</v>
      </c>
      <c r="O63" s="298">
        <v>8467657.0199999996</v>
      </c>
    </row>
    <row r="64" spans="1:15" ht="12.75" x14ac:dyDescent="0.2">
      <c r="A64" s="289"/>
      <c r="B64" s="285"/>
      <c r="C64" s="337"/>
      <c r="D64" s="337"/>
      <c r="E64" s="337"/>
      <c r="F64" s="337"/>
      <c r="G64" s="337"/>
      <c r="H64" s="286"/>
      <c r="I64" s="287"/>
      <c r="J64" s="341"/>
      <c r="K64" s="341"/>
      <c r="L64" s="341"/>
      <c r="M64" s="342"/>
      <c r="N64" s="296"/>
      <c r="O64" s="296"/>
    </row>
    <row r="65" spans="1:15" ht="12.75" x14ac:dyDescent="0.2">
      <c r="A65" s="289" t="s">
        <v>44</v>
      </c>
      <c r="B65" s="285"/>
      <c r="C65" s="337"/>
      <c r="D65" s="337"/>
      <c r="E65" s="337"/>
      <c r="F65" s="337"/>
      <c r="G65" s="337"/>
      <c r="H65" s="286"/>
      <c r="I65" s="287"/>
      <c r="J65" s="341"/>
      <c r="K65" s="341"/>
      <c r="L65" s="341"/>
      <c r="M65" s="342"/>
      <c r="N65" s="296"/>
      <c r="O65" s="296"/>
    </row>
    <row r="66" spans="1:15" ht="12.75" x14ac:dyDescent="0.2">
      <c r="A66" s="285" t="s">
        <v>615</v>
      </c>
      <c r="B66" s="285">
        <v>70460100</v>
      </c>
      <c r="C66" s="337">
        <v>0</v>
      </c>
      <c r="D66" s="337">
        <v>0</v>
      </c>
      <c r="E66" s="337">
        <v>13134648.210000001</v>
      </c>
      <c r="F66" s="337">
        <v>0</v>
      </c>
      <c r="G66" s="337">
        <v>13134648.210000001</v>
      </c>
      <c r="H66" s="286"/>
      <c r="I66" s="287"/>
      <c r="J66" s="341">
        <v>19000000</v>
      </c>
      <c r="K66" s="341"/>
      <c r="L66" s="341">
        <f>J66+K66</f>
        <v>19000000</v>
      </c>
      <c r="M66" s="340">
        <f>N66+O66</f>
        <v>20078964.210000001</v>
      </c>
      <c r="N66" s="296">
        <v>-110078.39</v>
      </c>
      <c r="O66" s="298">
        <v>20189042.600000001</v>
      </c>
    </row>
    <row r="67" spans="1:15" ht="12.75" x14ac:dyDescent="0.2">
      <c r="A67" s="285" t="s">
        <v>616</v>
      </c>
      <c r="B67" s="285">
        <v>70460300</v>
      </c>
      <c r="C67" s="337">
        <v>0</v>
      </c>
      <c r="D67" s="337">
        <v>0</v>
      </c>
      <c r="E67" s="337">
        <v>108012</v>
      </c>
      <c r="F67" s="337">
        <v>0</v>
      </c>
      <c r="G67" s="337">
        <v>108012</v>
      </c>
      <c r="H67" s="286"/>
      <c r="I67" s="287"/>
      <c r="J67" s="341">
        <v>100</v>
      </c>
      <c r="K67" s="341"/>
      <c r="L67" s="341">
        <f>J67+K67</f>
        <v>100</v>
      </c>
      <c r="M67" s="340">
        <f>N67+O67</f>
        <v>0</v>
      </c>
      <c r="N67" s="296"/>
      <c r="O67" s="298"/>
    </row>
    <row r="68" spans="1:15" ht="12.75" x14ac:dyDescent="0.2">
      <c r="A68" s="285" t="s">
        <v>618</v>
      </c>
      <c r="B68" s="285">
        <v>70460500</v>
      </c>
      <c r="C68" s="337">
        <v>0</v>
      </c>
      <c r="D68" s="337">
        <v>0</v>
      </c>
      <c r="E68" s="337">
        <v>595848.12</v>
      </c>
      <c r="F68" s="337">
        <v>0</v>
      </c>
      <c r="G68" s="337">
        <v>595848.12</v>
      </c>
      <c r="H68" s="286">
        <f>SUM(G66:G68)</f>
        <v>13838508.33</v>
      </c>
      <c r="I68" s="287">
        <f>ROUND(H68,0)</f>
        <v>13838508</v>
      </c>
      <c r="J68" s="341">
        <v>400000</v>
      </c>
      <c r="K68" s="341"/>
      <c r="L68" s="341">
        <f>J68+K68</f>
        <v>400000</v>
      </c>
      <c r="M68" s="340">
        <f>N68+O68</f>
        <v>111113.21</v>
      </c>
      <c r="N68" s="296"/>
      <c r="O68" s="298">
        <v>111113.21</v>
      </c>
    </row>
    <row r="69" spans="1:15" ht="12.75" x14ac:dyDescent="0.2">
      <c r="A69" s="289"/>
      <c r="B69" s="285"/>
      <c r="C69" s="337"/>
      <c r="D69" s="337"/>
      <c r="E69" s="337"/>
      <c r="F69" s="337"/>
      <c r="G69" s="337"/>
      <c r="H69" s="286"/>
      <c r="I69" s="287"/>
      <c r="J69" s="343">
        <f t="shared" ref="J69:O69" si="4">SUM(J66:J68)</f>
        <v>19400100</v>
      </c>
      <c r="K69" s="343">
        <f t="shared" si="4"/>
        <v>0</v>
      </c>
      <c r="L69" s="343">
        <f t="shared" si="4"/>
        <v>19400100</v>
      </c>
      <c r="M69" s="344">
        <f t="shared" si="4"/>
        <v>20190077.420000002</v>
      </c>
      <c r="N69" s="298">
        <f t="shared" si="4"/>
        <v>-110078.39</v>
      </c>
      <c r="O69" s="298">
        <f t="shared" si="4"/>
        <v>20300155.810000002</v>
      </c>
    </row>
    <row r="70" spans="1:15" ht="12.75" x14ac:dyDescent="0.2">
      <c r="A70" s="289" t="s">
        <v>404</v>
      </c>
      <c r="B70" s="285"/>
      <c r="C70" s="337"/>
      <c r="D70" s="337"/>
      <c r="E70" s="337"/>
      <c r="F70" s="337"/>
      <c r="G70" s="337"/>
      <c r="H70" s="286"/>
      <c r="I70" s="287"/>
      <c r="J70" s="345"/>
      <c r="K70" s="345"/>
      <c r="L70" s="345"/>
      <c r="M70" s="346"/>
      <c r="N70" s="296"/>
      <c r="O70" s="296"/>
    </row>
    <row r="71" spans="1:15" ht="12.75" x14ac:dyDescent="0.2">
      <c r="A71" s="285" t="s">
        <v>10</v>
      </c>
      <c r="B71" s="285">
        <v>70020000</v>
      </c>
      <c r="C71" s="337">
        <v>0</v>
      </c>
      <c r="D71" s="337">
        <v>0</v>
      </c>
      <c r="E71" s="337">
        <v>2776067.05</v>
      </c>
      <c r="F71" s="337">
        <v>0</v>
      </c>
      <c r="G71" s="337">
        <v>2776067.05</v>
      </c>
      <c r="H71" s="286">
        <f>+G71</f>
        <v>2776067.05</v>
      </c>
      <c r="I71" s="287">
        <f>ROUND(H71,0)</f>
        <v>2776067</v>
      </c>
      <c r="J71" s="292">
        <v>3105700</v>
      </c>
      <c r="K71" s="292"/>
      <c r="L71" s="341">
        <f>J71+K71</f>
        <v>3105700</v>
      </c>
      <c r="M71" s="297">
        <v>4796810.5</v>
      </c>
      <c r="N71" s="296"/>
      <c r="O71" s="298">
        <v>4796810.5</v>
      </c>
    </row>
    <row r="72" spans="1:15" ht="12.75" x14ac:dyDescent="0.2">
      <c r="A72" s="289"/>
      <c r="B72" s="285"/>
      <c r="C72" s="337"/>
      <c r="D72" s="337"/>
      <c r="E72" s="337"/>
      <c r="F72" s="337"/>
      <c r="G72" s="337"/>
      <c r="H72" s="286"/>
      <c r="I72" s="287"/>
      <c r="J72" s="338"/>
      <c r="K72" s="338"/>
      <c r="L72" s="338"/>
      <c r="M72" s="304"/>
      <c r="N72" s="296"/>
      <c r="O72" s="296"/>
    </row>
    <row r="73" spans="1:15" ht="12.75" x14ac:dyDescent="0.2">
      <c r="A73" s="289" t="s">
        <v>45</v>
      </c>
      <c r="B73" s="285"/>
      <c r="C73" s="337"/>
      <c r="D73" s="337"/>
      <c r="E73" s="337"/>
      <c r="F73" s="337"/>
      <c r="G73" s="337"/>
      <c r="H73" s="286"/>
      <c r="I73" s="287"/>
      <c r="J73" s="338"/>
      <c r="K73" s="338"/>
      <c r="L73" s="338"/>
      <c r="M73" s="304"/>
      <c r="N73" s="296"/>
      <c r="O73" s="296"/>
    </row>
    <row r="74" spans="1:15" ht="12.75" x14ac:dyDescent="0.2">
      <c r="A74" s="285" t="s">
        <v>822</v>
      </c>
      <c r="B74" s="285">
        <v>70080050</v>
      </c>
      <c r="C74" s="337">
        <v>0</v>
      </c>
      <c r="D74" s="337">
        <v>0</v>
      </c>
      <c r="E74" s="337">
        <v>2245302.75</v>
      </c>
      <c r="F74" s="337">
        <v>0</v>
      </c>
      <c r="G74" s="337">
        <v>2245302.75</v>
      </c>
      <c r="H74" s="286"/>
      <c r="I74" s="287"/>
      <c r="J74" s="338">
        <v>5050000</v>
      </c>
      <c r="K74" s="338"/>
      <c r="L74" s="341">
        <f>J74+K74</f>
        <v>5050000</v>
      </c>
      <c r="M74" s="340">
        <f>N74+O74</f>
        <v>5075163.3</v>
      </c>
      <c r="N74" s="296"/>
      <c r="O74" s="298">
        <v>5075163.3</v>
      </c>
    </row>
    <row r="75" spans="1:15" ht="12.75" x14ac:dyDescent="0.2">
      <c r="A75" s="285" t="s">
        <v>823</v>
      </c>
      <c r="B75" s="285">
        <v>70080060</v>
      </c>
      <c r="C75" s="337">
        <v>0</v>
      </c>
      <c r="D75" s="337">
        <v>0</v>
      </c>
      <c r="E75" s="337">
        <v>2821578.7</v>
      </c>
      <c r="F75" s="337">
        <v>0</v>
      </c>
      <c r="G75" s="337">
        <v>2821578.7</v>
      </c>
      <c r="H75" s="286"/>
      <c r="I75" s="287"/>
      <c r="J75" s="338">
        <v>2962000</v>
      </c>
      <c r="K75" s="338"/>
      <c r="L75" s="341">
        <f>J75+K75</f>
        <v>2962000</v>
      </c>
      <c r="M75" s="340">
        <f>N75+O75</f>
        <v>2939031.2</v>
      </c>
      <c r="N75" s="296"/>
      <c r="O75" s="298">
        <v>2939031.2</v>
      </c>
    </row>
    <row r="76" spans="1:15" x14ac:dyDescent="0.25">
      <c r="A76" s="214" t="s">
        <v>354</v>
      </c>
      <c r="B76" s="285">
        <v>70440300</v>
      </c>
      <c r="C76" s="337"/>
      <c r="D76" s="337"/>
      <c r="E76" s="337"/>
      <c r="F76" s="337"/>
      <c r="G76" s="337"/>
      <c r="H76" s="286"/>
      <c r="I76" s="287"/>
      <c r="J76" s="338">
        <v>200</v>
      </c>
      <c r="K76" s="338"/>
      <c r="L76" s="341">
        <f>J76+K76</f>
        <v>200</v>
      </c>
      <c r="M76" s="340">
        <f>N76+O76</f>
        <v>0</v>
      </c>
      <c r="N76" s="296"/>
      <c r="O76" s="298"/>
    </row>
    <row r="77" spans="1:15" ht="12.75" x14ac:dyDescent="0.2">
      <c r="A77" s="285" t="s">
        <v>559</v>
      </c>
      <c r="B77" s="285">
        <v>70440400</v>
      </c>
      <c r="C77" s="337">
        <v>0</v>
      </c>
      <c r="D77" s="337">
        <v>0</v>
      </c>
      <c r="E77" s="337">
        <v>2014</v>
      </c>
      <c r="F77" s="337">
        <v>0</v>
      </c>
      <c r="G77" s="337">
        <v>2014</v>
      </c>
      <c r="H77" s="286"/>
      <c r="I77" s="287"/>
      <c r="J77" s="338">
        <v>100</v>
      </c>
      <c r="K77" s="338"/>
      <c r="L77" s="341">
        <f>J77+K77</f>
        <v>100</v>
      </c>
      <c r="M77" s="340">
        <f>N77+O77</f>
        <v>460</v>
      </c>
      <c r="N77" s="296"/>
      <c r="O77" s="298">
        <v>460</v>
      </c>
    </row>
    <row r="78" spans="1:15" ht="12.75" x14ac:dyDescent="0.2">
      <c r="A78" s="285" t="s">
        <v>611</v>
      </c>
      <c r="B78" s="285">
        <v>70440600</v>
      </c>
      <c r="C78" s="337">
        <v>0</v>
      </c>
      <c r="D78" s="337">
        <v>0</v>
      </c>
      <c r="E78" s="337">
        <v>56631</v>
      </c>
      <c r="F78" s="337">
        <v>0</v>
      </c>
      <c r="G78" s="337">
        <v>56631</v>
      </c>
      <c r="H78" s="286">
        <f>SUM(G74:G78)</f>
        <v>5125526.45</v>
      </c>
      <c r="I78" s="287">
        <f>ROUND(H78,0)</f>
        <v>5125526</v>
      </c>
      <c r="J78" s="338">
        <v>80000</v>
      </c>
      <c r="K78" s="338"/>
      <c r="L78" s="341">
        <f>J78+K78</f>
        <v>80000</v>
      </c>
      <c r="M78" s="340">
        <f>N78+O78</f>
        <v>50508.9</v>
      </c>
      <c r="N78" s="296"/>
      <c r="O78" s="298">
        <v>50508.9</v>
      </c>
    </row>
    <row r="79" spans="1:15" ht="12.75" x14ac:dyDescent="0.2">
      <c r="A79" s="289"/>
      <c r="B79" s="285"/>
      <c r="C79" s="337"/>
      <c r="D79" s="337"/>
      <c r="E79" s="337"/>
      <c r="F79" s="337"/>
      <c r="G79" s="337"/>
      <c r="H79" s="286"/>
      <c r="I79" s="287"/>
      <c r="J79" s="339">
        <f t="shared" ref="J79:O79" si="5">SUM(J74:J78)</f>
        <v>8092300</v>
      </c>
      <c r="K79" s="339">
        <f t="shared" si="5"/>
        <v>0</v>
      </c>
      <c r="L79" s="339">
        <f t="shared" si="5"/>
        <v>8092300</v>
      </c>
      <c r="M79" s="340">
        <f t="shared" si="5"/>
        <v>8065163.4000000004</v>
      </c>
      <c r="N79" s="298">
        <f t="shared" si="5"/>
        <v>0</v>
      </c>
      <c r="O79" s="298">
        <f t="shared" si="5"/>
        <v>8065163.4000000004</v>
      </c>
    </row>
    <row r="80" spans="1:15" ht="12.75" x14ac:dyDescent="0.2">
      <c r="A80" s="289" t="s">
        <v>46</v>
      </c>
      <c r="B80" s="285"/>
      <c r="C80" s="337"/>
      <c r="D80" s="337"/>
      <c r="E80" s="337"/>
      <c r="F80" s="337"/>
      <c r="G80" s="337"/>
      <c r="H80" s="286"/>
      <c r="I80" s="287"/>
      <c r="J80" s="341"/>
      <c r="K80" s="341"/>
      <c r="L80" s="341"/>
      <c r="M80" s="342"/>
      <c r="N80" s="296"/>
      <c r="O80" s="296"/>
    </row>
    <row r="81" spans="1:15" ht="12.75" x14ac:dyDescent="0.2">
      <c r="A81" s="285" t="s">
        <v>560</v>
      </c>
      <c r="B81" s="285">
        <v>70440500</v>
      </c>
      <c r="C81" s="337">
        <v>0</v>
      </c>
      <c r="D81" s="337">
        <v>0</v>
      </c>
      <c r="E81" s="337">
        <v>9975171.2300000004</v>
      </c>
      <c r="F81" s="337">
        <v>0</v>
      </c>
      <c r="G81" s="337">
        <v>9975171.2300000004</v>
      </c>
      <c r="H81" s="286">
        <f>+G81</f>
        <v>9975171.2300000004</v>
      </c>
      <c r="I81" s="287">
        <f>ROUND(H81,0)</f>
        <v>9975171</v>
      </c>
      <c r="J81" s="343">
        <v>13000000</v>
      </c>
      <c r="K81" s="343"/>
      <c r="L81" s="341">
        <f>J81+K81</f>
        <v>13000000</v>
      </c>
      <c r="M81" s="340">
        <f>N81+O81</f>
        <v>13460412.42</v>
      </c>
      <c r="N81" s="296"/>
      <c r="O81" s="298">
        <v>13460412.42</v>
      </c>
    </row>
    <row r="82" spans="1:15" ht="12.75" x14ac:dyDescent="0.2">
      <c r="A82" s="289"/>
      <c r="B82" s="285"/>
      <c r="C82" s="337"/>
      <c r="D82" s="337"/>
      <c r="E82" s="337"/>
      <c r="F82" s="337"/>
      <c r="G82" s="337"/>
      <c r="H82" s="286"/>
      <c r="I82" s="287"/>
      <c r="J82" s="345"/>
      <c r="K82" s="345"/>
      <c r="L82" s="345"/>
      <c r="M82" s="346"/>
      <c r="N82" s="296"/>
      <c r="O82" s="296"/>
    </row>
    <row r="83" spans="1:15" ht="12.75" x14ac:dyDescent="0.2">
      <c r="A83" s="289" t="s">
        <v>47</v>
      </c>
      <c r="B83" s="285"/>
      <c r="C83" s="337"/>
      <c r="D83" s="337"/>
      <c r="E83" s="337"/>
      <c r="F83" s="337"/>
      <c r="G83" s="337"/>
      <c r="H83" s="286"/>
      <c r="I83" s="287"/>
      <c r="J83" s="345"/>
      <c r="K83" s="345"/>
      <c r="L83" s="345"/>
      <c r="M83" s="346"/>
      <c r="N83" s="296"/>
      <c r="O83" s="296"/>
    </row>
    <row r="84" spans="1:15" ht="12.75" x14ac:dyDescent="0.2">
      <c r="A84" s="285" t="s">
        <v>1</v>
      </c>
      <c r="B84" s="285">
        <v>70000001</v>
      </c>
      <c r="C84" s="337">
        <v>0</v>
      </c>
      <c r="D84" s="337">
        <v>0</v>
      </c>
      <c r="E84" s="337">
        <v>147399675</v>
      </c>
      <c r="F84" s="337">
        <v>0</v>
      </c>
      <c r="G84" s="337">
        <v>147399675</v>
      </c>
      <c r="H84" s="286"/>
      <c r="I84" s="287"/>
      <c r="J84" s="345">
        <v>307859000</v>
      </c>
      <c r="K84" s="345"/>
      <c r="L84" s="341">
        <f t="shared" ref="L84:L96" si="6">J84+K84</f>
        <v>307859000</v>
      </c>
      <c r="M84" s="340">
        <f t="shared" ref="M84:M96" si="7">N84+O84</f>
        <v>307859481</v>
      </c>
      <c r="N84" s="296"/>
      <c r="O84" s="298">
        <v>307859481</v>
      </c>
    </row>
    <row r="85" spans="1:15" ht="12.75" x14ac:dyDescent="0.2">
      <c r="A85" s="285" t="s">
        <v>165</v>
      </c>
      <c r="B85" s="285">
        <v>70000003</v>
      </c>
      <c r="C85" s="337">
        <v>0</v>
      </c>
      <c r="D85" s="337">
        <v>0</v>
      </c>
      <c r="E85" s="337">
        <v>2389731.46</v>
      </c>
      <c r="F85" s="337">
        <v>0</v>
      </c>
      <c r="G85" s="337">
        <v>2389731.46</v>
      </c>
      <c r="H85" s="286"/>
      <c r="I85" s="287"/>
      <c r="J85" s="345"/>
      <c r="K85" s="345"/>
      <c r="L85" s="341">
        <f t="shared" si="6"/>
        <v>0</v>
      </c>
      <c r="M85" s="340">
        <f t="shared" si="7"/>
        <v>0</v>
      </c>
      <c r="N85" s="296"/>
      <c r="O85" s="298"/>
    </row>
    <row r="86" spans="1:15" ht="12.75" x14ac:dyDescent="0.2">
      <c r="A86" s="285" t="s">
        <v>957</v>
      </c>
      <c r="B86" s="285">
        <v>70000004</v>
      </c>
      <c r="C86" s="337"/>
      <c r="D86" s="337"/>
      <c r="E86" s="337"/>
      <c r="F86" s="337"/>
      <c r="G86" s="337"/>
      <c r="H86" s="286"/>
      <c r="I86" s="287"/>
      <c r="J86" s="345">
        <v>750000</v>
      </c>
      <c r="K86" s="345"/>
      <c r="L86" s="341">
        <f t="shared" si="6"/>
        <v>750000</v>
      </c>
      <c r="M86" s="340">
        <f t="shared" si="7"/>
        <v>750000</v>
      </c>
      <c r="N86" s="296"/>
      <c r="O86" s="298">
        <v>750000</v>
      </c>
    </row>
    <row r="87" spans="1:15" ht="12.75" x14ac:dyDescent="0.2">
      <c r="A87" s="285" t="s">
        <v>764</v>
      </c>
      <c r="B87" s="285">
        <v>70000008</v>
      </c>
      <c r="C87" s="337"/>
      <c r="D87" s="337"/>
      <c r="E87" s="337"/>
      <c r="F87" s="337"/>
      <c r="G87" s="337"/>
      <c r="H87" s="286"/>
      <c r="I87" s="287"/>
      <c r="J87" s="345"/>
      <c r="K87" s="345"/>
      <c r="L87" s="341">
        <f t="shared" si="6"/>
        <v>0</v>
      </c>
      <c r="M87" s="340">
        <f t="shared" si="7"/>
        <v>0</v>
      </c>
      <c r="N87" s="296"/>
      <c r="O87" s="298"/>
    </row>
    <row r="88" spans="1:15" ht="12.75" x14ac:dyDescent="0.2">
      <c r="A88" s="285" t="s">
        <v>4</v>
      </c>
      <c r="B88" s="285">
        <v>70000010</v>
      </c>
      <c r="C88" s="337">
        <v>0</v>
      </c>
      <c r="D88" s="337">
        <v>0</v>
      </c>
      <c r="E88" s="337">
        <v>742976.9</v>
      </c>
      <c r="F88" s="337">
        <v>0</v>
      </c>
      <c r="G88" s="337">
        <v>742976.9</v>
      </c>
      <c r="H88" s="286"/>
      <c r="I88" s="287"/>
      <c r="J88" s="345">
        <v>1000000</v>
      </c>
      <c r="K88" s="345"/>
      <c r="L88" s="341">
        <f t="shared" si="6"/>
        <v>1000000</v>
      </c>
      <c r="M88" s="340">
        <f t="shared" si="7"/>
        <v>632128.18999999994</v>
      </c>
      <c r="N88" s="296"/>
      <c r="O88" s="298">
        <v>632128.18999999994</v>
      </c>
    </row>
    <row r="89" spans="1:15" ht="12.75" x14ac:dyDescent="0.2">
      <c r="A89" s="285" t="s">
        <v>958</v>
      </c>
      <c r="B89" s="285">
        <v>70000012</v>
      </c>
      <c r="C89" s="337"/>
      <c r="D89" s="337"/>
      <c r="E89" s="337"/>
      <c r="F89" s="337"/>
      <c r="G89" s="337"/>
      <c r="H89" s="286"/>
      <c r="I89" s="287"/>
      <c r="J89" s="345"/>
      <c r="K89" s="345"/>
      <c r="L89" s="341">
        <f t="shared" si="6"/>
        <v>0</v>
      </c>
      <c r="M89" s="340">
        <f t="shared" si="7"/>
        <v>0</v>
      </c>
      <c r="N89" s="296"/>
      <c r="O89" s="298"/>
    </row>
    <row r="90" spans="1:15" ht="12.75" x14ac:dyDescent="0.2">
      <c r="A90" s="285" t="s">
        <v>5</v>
      </c>
      <c r="B90" s="285">
        <v>70000013</v>
      </c>
      <c r="C90" s="337"/>
      <c r="D90" s="337"/>
      <c r="E90" s="337"/>
      <c r="F90" s="337"/>
      <c r="G90" s="337"/>
      <c r="H90" s="286"/>
      <c r="I90" s="287"/>
      <c r="J90" s="345"/>
      <c r="K90" s="345"/>
      <c r="L90" s="341">
        <f t="shared" si="6"/>
        <v>0</v>
      </c>
      <c r="M90" s="340">
        <f t="shared" si="7"/>
        <v>0</v>
      </c>
      <c r="N90" s="296"/>
      <c r="O90" s="298"/>
    </row>
    <row r="91" spans="1:15" ht="12.75" x14ac:dyDescent="0.2">
      <c r="A91" s="285" t="s">
        <v>7</v>
      </c>
      <c r="B91" s="285">
        <v>70000016</v>
      </c>
      <c r="C91" s="337">
        <v>0</v>
      </c>
      <c r="D91" s="337">
        <v>0</v>
      </c>
      <c r="E91" s="337">
        <v>12839396</v>
      </c>
      <c r="F91" s="337">
        <v>0</v>
      </c>
      <c r="G91" s="337">
        <v>12839396</v>
      </c>
      <c r="H91" s="286"/>
      <c r="I91" s="287"/>
      <c r="J91" s="345">
        <v>17861000</v>
      </c>
      <c r="K91" s="345">
        <v>1271000</v>
      </c>
      <c r="L91" s="341">
        <f t="shared" si="6"/>
        <v>19132000</v>
      </c>
      <c r="M91" s="340">
        <f t="shared" si="7"/>
        <v>14667000</v>
      </c>
      <c r="N91" s="296"/>
      <c r="O91" s="298">
        <v>14667000</v>
      </c>
    </row>
    <row r="92" spans="1:15" ht="12.75" x14ac:dyDescent="0.2">
      <c r="A92" s="285" t="s">
        <v>6</v>
      </c>
      <c r="B92" s="285">
        <v>70000015</v>
      </c>
      <c r="C92" s="337">
        <v>0</v>
      </c>
      <c r="D92" s="337">
        <v>0</v>
      </c>
      <c r="E92" s="337">
        <v>2430092.2000000002</v>
      </c>
      <c r="F92" s="337">
        <v>0</v>
      </c>
      <c r="G92" s="337">
        <v>2430092.2000000002</v>
      </c>
      <c r="H92" s="286"/>
      <c r="I92" s="287"/>
      <c r="J92" s="345"/>
      <c r="K92" s="345"/>
      <c r="L92" s="341">
        <f t="shared" si="6"/>
        <v>0</v>
      </c>
      <c r="M92" s="340">
        <f t="shared" si="7"/>
        <v>0</v>
      </c>
      <c r="N92" s="296"/>
      <c r="O92" s="298"/>
    </row>
    <row r="93" spans="1:15" ht="12.75" x14ac:dyDescent="0.2">
      <c r="A93" s="285" t="s">
        <v>333</v>
      </c>
      <c r="B93" s="285">
        <v>70000014</v>
      </c>
      <c r="C93" s="337">
        <v>0</v>
      </c>
      <c r="D93" s="337">
        <v>0</v>
      </c>
      <c r="E93" s="337">
        <v>21944492.059999999</v>
      </c>
      <c r="F93" s="337">
        <v>0</v>
      </c>
      <c r="G93" s="337">
        <v>21944492.059999999</v>
      </c>
      <c r="H93" s="286">
        <f>SUM(G84:G93)</f>
        <v>187746363.62</v>
      </c>
      <c r="I93" s="287">
        <f>ROUND(H93,0)</f>
        <v>187746364</v>
      </c>
      <c r="J93" s="345"/>
      <c r="K93" s="345">
        <v>35000000</v>
      </c>
      <c r="L93" s="341">
        <f t="shared" si="6"/>
        <v>35000000</v>
      </c>
      <c r="M93" s="340">
        <f t="shared" si="7"/>
        <v>35000000</v>
      </c>
      <c r="N93" s="296"/>
      <c r="O93" s="298">
        <v>35000000</v>
      </c>
    </row>
    <row r="94" spans="1:15" ht="12.75" x14ac:dyDescent="0.2">
      <c r="A94" s="285" t="s">
        <v>322</v>
      </c>
      <c r="B94" s="285">
        <v>70000017</v>
      </c>
      <c r="C94" s="337"/>
      <c r="D94" s="337"/>
      <c r="E94" s="337"/>
      <c r="F94" s="337"/>
      <c r="G94" s="337"/>
      <c r="H94" s="286"/>
      <c r="I94" s="287"/>
      <c r="J94" s="345"/>
      <c r="K94" s="345"/>
      <c r="L94" s="341">
        <f t="shared" si="6"/>
        <v>0</v>
      </c>
      <c r="M94" s="340">
        <f t="shared" si="7"/>
        <v>0</v>
      </c>
      <c r="N94" s="296"/>
      <c r="O94" s="298"/>
    </row>
    <row r="95" spans="1:15" ht="12.75" x14ac:dyDescent="0.2">
      <c r="A95" s="285" t="s">
        <v>689</v>
      </c>
      <c r="B95" s="285">
        <v>70000018</v>
      </c>
      <c r="C95" s="337"/>
      <c r="D95" s="337"/>
      <c r="E95" s="337"/>
      <c r="F95" s="337"/>
      <c r="G95" s="337"/>
      <c r="H95" s="286"/>
      <c r="I95" s="287"/>
      <c r="J95" s="345">
        <v>14000000</v>
      </c>
      <c r="K95" s="345">
        <v>-14000000</v>
      </c>
      <c r="L95" s="341">
        <f t="shared" si="6"/>
        <v>0</v>
      </c>
      <c r="M95" s="340">
        <f t="shared" si="7"/>
        <v>0</v>
      </c>
      <c r="N95" s="296"/>
      <c r="O95" s="298"/>
    </row>
    <row r="96" spans="1:15" ht="12.75" x14ac:dyDescent="0.2">
      <c r="A96" s="285" t="s">
        <v>690</v>
      </c>
      <c r="B96" s="285">
        <v>70000020</v>
      </c>
      <c r="C96" s="337"/>
      <c r="D96" s="337"/>
      <c r="E96" s="337"/>
      <c r="F96" s="337"/>
      <c r="G96" s="337"/>
      <c r="H96" s="286"/>
      <c r="I96" s="287"/>
      <c r="J96" s="345"/>
      <c r="K96" s="345">
        <f>25000000+1567000</f>
        <v>26567000</v>
      </c>
      <c r="L96" s="341">
        <f t="shared" si="6"/>
        <v>26567000</v>
      </c>
      <c r="M96" s="340">
        <f t="shared" si="7"/>
        <v>1567350</v>
      </c>
      <c r="N96" s="296"/>
      <c r="O96" s="298">
        <v>1567350</v>
      </c>
    </row>
    <row r="97" spans="1:15" ht="12.75" x14ac:dyDescent="0.2">
      <c r="A97" s="285"/>
      <c r="B97" s="285"/>
      <c r="C97" s="337"/>
      <c r="D97" s="337"/>
      <c r="E97" s="337"/>
      <c r="F97" s="337"/>
      <c r="G97" s="337"/>
      <c r="H97" s="286"/>
      <c r="I97" s="287"/>
      <c r="J97" s="292">
        <f t="shared" ref="J97:O97" si="8">SUM(J84:J96)</f>
        <v>341470000</v>
      </c>
      <c r="K97" s="292">
        <f t="shared" si="8"/>
        <v>48838000</v>
      </c>
      <c r="L97" s="292">
        <f>SUM(L84:L96)</f>
        <v>390308000</v>
      </c>
      <c r="M97" s="297">
        <f t="shared" si="8"/>
        <v>360475959.19</v>
      </c>
      <c r="N97" s="298">
        <f t="shared" si="8"/>
        <v>0</v>
      </c>
      <c r="O97" s="298">
        <f t="shared" si="8"/>
        <v>360475959.19</v>
      </c>
    </row>
    <row r="98" spans="1:15" ht="12.75" x14ac:dyDescent="0.2">
      <c r="A98" s="289" t="s">
        <v>48</v>
      </c>
      <c r="B98" s="285"/>
      <c r="C98" s="337"/>
      <c r="D98" s="337"/>
      <c r="E98" s="337"/>
      <c r="F98" s="337"/>
      <c r="G98" s="337"/>
      <c r="H98" s="286"/>
      <c r="I98" s="287"/>
      <c r="J98" s="338"/>
      <c r="K98" s="338"/>
      <c r="L98" s="338"/>
      <c r="M98" s="304"/>
      <c r="N98" s="296"/>
      <c r="O98" s="296"/>
    </row>
    <row r="99" spans="1:15" ht="12.75" x14ac:dyDescent="0.2">
      <c r="A99" s="285" t="s">
        <v>2</v>
      </c>
      <c r="B99" s="285">
        <v>70000006</v>
      </c>
      <c r="C99" s="337">
        <v>0</v>
      </c>
      <c r="D99" s="337">
        <v>0</v>
      </c>
      <c r="E99" s="337">
        <v>392550988.42000002</v>
      </c>
      <c r="F99" s="337">
        <v>0</v>
      </c>
      <c r="G99" s="337">
        <v>392550988.42000002</v>
      </c>
      <c r="H99" s="286"/>
      <c r="I99" s="287"/>
      <c r="J99" s="338">
        <v>20000000</v>
      </c>
      <c r="K99" s="338">
        <v>-20000000</v>
      </c>
      <c r="L99" s="341">
        <f t="shared" ref="L99:L110" si="9">J99+K99</f>
        <v>0</v>
      </c>
      <c r="M99" s="340">
        <f t="shared" ref="M99:M110" si="10">N99+O99</f>
        <v>0</v>
      </c>
      <c r="N99" s="296"/>
      <c r="O99" s="298"/>
    </row>
    <row r="100" spans="1:15" ht="12.75" x14ac:dyDescent="0.2">
      <c r="A100" s="285" t="s">
        <v>791</v>
      </c>
      <c r="B100" s="285">
        <v>70000007</v>
      </c>
      <c r="C100" s="337"/>
      <c r="D100" s="337"/>
      <c r="E100" s="337"/>
      <c r="F100" s="337"/>
      <c r="G100" s="337"/>
      <c r="H100" s="286"/>
      <c r="I100" s="287"/>
      <c r="J100" s="338">
        <v>7035000</v>
      </c>
      <c r="K100" s="338"/>
      <c r="L100" s="341">
        <f t="shared" si="9"/>
        <v>7035000</v>
      </c>
      <c r="M100" s="340">
        <f t="shared" si="10"/>
        <v>2478852</v>
      </c>
      <c r="N100" s="296"/>
      <c r="O100" s="298">
        <v>2478852</v>
      </c>
    </row>
    <row r="101" spans="1:15" ht="12.75" x14ac:dyDescent="0.2">
      <c r="A101" s="285" t="s">
        <v>764</v>
      </c>
      <c r="B101" s="285">
        <v>70000008</v>
      </c>
      <c r="C101" s="337"/>
      <c r="D101" s="337"/>
      <c r="E101" s="337"/>
      <c r="F101" s="337"/>
      <c r="G101" s="337"/>
      <c r="H101" s="286"/>
      <c r="I101" s="287"/>
      <c r="J101" s="338"/>
      <c r="K101" s="338"/>
      <c r="L101" s="341">
        <f t="shared" si="9"/>
        <v>0</v>
      </c>
      <c r="M101" s="340">
        <f t="shared" si="10"/>
        <v>0</v>
      </c>
      <c r="N101" s="296"/>
      <c r="O101" s="298"/>
    </row>
    <row r="102" spans="1:15" ht="12.75" x14ac:dyDescent="0.2">
      <c r="A102" s="285" t="s">
        <v>3</v>
      </c>
      <c r="B102" s="285">
        <v>70000009</v>
      </c>
      <c r="C102" s="337"/>
      <c r="D102" s="337"/>
      <c r="E102" s="337"/>
      <c r="F102" s="337"/>
      <c r="G102" s="337"/>
      <c r="H102" s="286"/>
      <c r="I102" s="287"/>
      <c r="J102" s="338">
        <v>20000000</v>
      </c>
      <c r="K102" s="338"/>
      <c r="L102" s="341">
        <f t="shared" si="9"/>
        <v>20000000</v>
      </c>
      <c r="M102" s="340">
        <f t="shared" si="10"/>
        <v>29198535.670000002</v>
      </c>
      <c r="N102" s="296"/>
      <c r="O102" s="298">
        <v>29198535.670000002</v>
      </c>
    </row>
    <row r="103" spans="1:15" ht="12.75" x14ac:dyDescent="0.2">
      <c r="A103" s="285" t="s">
        <v>4</v>
      </c>
      <c r="B103" s="285">
        <v>70000010</v>
      </c>
      <c r="C103" s="337"/>
      <c r="D103" s="337"/>
      <c r="E103" s="337"/>
      <c r="F103" s="337"/>
      <c r="G103" s="337"/>
      <c r="H103" s="286"/>
      <c r="I103" s="287"/>
      <c r="J103" s="338"/>
      <c r="K103" s="338"/>
      <c r="L103" s="341">
        <f t="shared" si="9"/>
        <v>0</v>
      </c>
      <c r="M103" s="340">
        <f t="shared" si="10"/>
        <v>367871.81</v>
      </c>
      <c r="N103" s="296"/>
      <c r="O103" s="298">
        <v>367871.81</v>
      </c>
    </row>
    <row r="104" spans="1:15" ht="12.75" x14ac:dyDescent="0.2">
      <c r="A104" s="285" t="s">
        <v>958</v>
      </c>
      <c r="B104" s="285">
        <v>70000012</v>
      </c>
      <c r="C104" s="337"/>
      <c r="D104" s="337"/>
      <c r="E104" s="337"/>
      <c r="F104" s="337"/>
      <c r="G104" s="337"/>
      <c r="H104" s="286"/>
      <c r="I104" s="287"/>
      <c r="J104" s="338"/>
      <c r="K104" s="338"/>
      <c r="L104" s="341">
        <f t="shared" si="9"/>
        <v>0</v>
      </c>
      <c r="M104" s="340">
        <f t="shared" si="10"/>
        <v>0</v>
      </c>
      <c r="N104" s="296"/>
      <c r="O104" s="298"/>
    </row>
    <row r="105" spans="1:15" ht="12.75" x14ac:dyDescent="0.2">
      <c r="A105" s="285" t="s">
        <v>5</v>
      </c>
      <c r="B105" s="285">
        <v>70000013</v>
      </c>
      <c r="C105" s="337">
        <v>0</v>
      </c>
      <c r="D105" s="337">
        <v>0</v>
      </c>
      <c r="E105" s="337">
        <v>32008218.649999999</v>
      </c>
      <c r="F105" s="337">
        <v>0</v>
      </c>
      <c r="G105" s="337">
        <v>32008218.649999999</v>
      </c>
      <c r="H105" s="286"/>
      <c r="I105" s="287"/>
      <c r="J105" s="338"/>
      <c r="K105" s="338"/>
      <c r="L105" s="341">
        <f t="shared" si="9"/>
        <v>0</v>
      </c>
      <c r="M105" s="340">
        <f t="shared" si="10"/>
        <v>0</v>
      </c>
      <c r="N105" s="296"/>
      <c r="O105" s="298"/>
    </row>
    <row r="106" spans="1:15" ht="12.75" x14ac:dyDescent="0.2">
      <c r="A106" s="285" t="s">
        <v>333</v>
      </c>
      <c r="B106" s="285">
        <v>70000014</v>
      </c>
      <c r="C106" s="337"/>
      <c r="D106" s="337"/>
      <c r="E106" s="337"/>
      <c r="F106" s="337"/>
      <c r="G106" s="337"/>
      <c r="H106" s="286"/>
      <c r="I106" s="287"/>
      <c r="J106" s="338">
        <v>20000000</v>
      </c>
      <c r="K106" s="338">
        <f>-20000000+5250000</f>
        <v>-14750000</v>
      </c>
      <c r="L106" s="341">
        <f t="shared" si="9"/>
        <v>5250000</v>
      </c>
      <c r="M106" s="340">
        <f t="shared" si="10"/>
        <v>11528189.530000001</v>
      </c>
      <c r="N106" s="296"/>
      <c r="O106" s="298">
        <v>11528189.530000001</v>
      </c>
    </row>
    <row r="107" spans="1:15" ht="12.75" x14ac:dyDescent="0.2">
      <c r="A107" s="285" t="s">
        <v>7</v>
      </c>
      <c r="B107" s="285">
        <v>70000016</v>
      </c>
      <c r="C107" s="337"/>
      <c r="D107" s="337"/>
      <c r="E107" s="337"/>
      <c r="F107" s="337"/>
      <c r="G107" s="337"/>
      <c r="H107" s="286"/>
      <c r="I107" s="287"/>
      <c r="J107" s="338"/>
      <c r="K107" s="338"/>
      <c r="L107" s="341">
        <f t="shared" si="9"/>
        <v>0</v>
      </c>
      <c r="M107" s="340">
        <f t="shared" si="10"/>
        <v>16191147.470000001</v>
      </c>
      <c r="N107" s="296"/>
      <c r="O107" s="298">
        <v>16191147.470000001</v>
      </c>
    </row>
    <row r="108" spans="1:15" ht="12.75" x14ac:dyDescent="0.2">
      <c r="A108" s="285" t="s">
        <v>322</v>
      </c>
      <c r="B108" s="285">
        <v>70000017</v>
      </c>
      <c r="C108" s="337">
        <v>0</v>
      </c>
      <c r="D108" s="337">
        <v>0</v>
      </c>
      <c r="E108" s="337">
        <v>72983813.319999993</v>
      </c>
      <c r="F108" s="337">
        <v>0</v>
      </c>
      <c r="G108" s="337">
        <v>72983813.319999993</v>
      </c>
      <c r="H108" s="286">
        <f>SUM(G99:G108)</f>
        <v>497543020.38999999</v>
      </c>
      <c r="I108" s="287">
        <f>ROUND(H108,0)</f>
        <v>497543020</v>
      </c>
      <c r="J108" s="338">
        <v>151829000</v>
      </c>
      <c r="K108" s="338"/>
      <c r="L108" s="341">
        <f t="shared" si="9"/>
        <v>151829000</v>
      </c>
      <c r="M108" s="340">
        <f t="shared" si="10"/>
        <v>62236677.719999999</v>
      </c>
      <c r="N108" s="296"/>
      <c r="O108" s="298">
        <v>62236677.719999999</v>
      </c>
    </row>
    <row r="109" spans="1:15" ht="12.75" x14ac:dyDescent="0.2">
      <c r="A109" s="285" t="s">
        <v>537</v>
      </c>
      <c r="B109" s="285">
        <v>70000019</v>
      </c>
      <c r="C109" s="337"/>
      <c r="D109" s="337"/>
      <c r="E109" s="337"/>
      <c r="F109" s="337"/>
      <c r="G109" s="337"/>
      <c r="H109" s="286"/>
      <c r="I109" s="287"/>
      <c r="J109" s="338">
        <v>12000000</v>
      </c>
      <c r="K109" s="338"/>
      <c r="L109" s="341">
        <f t="shared" si="9"/>
        <v>12000000</v>
      </c>
      <c r="M109" s="340">
        <f t="shared" si="10"/>
        <v>5553257.6200000001</v>
      </c>
      <c r="N109" s="296"/>
      <c r="O109" s="298">
        <v>5553257.6200000001</v>
      </c>
    </row>
    <row r="110" spans="1:15" ht="12.75" x14ac:dyDescent="0.2">
      <c r="A110" s="285" t="s">
        <v>538</v>
      </c>
      <c r="B110" s="285">
        <v>70000020</v>
      </c>
      <c r="C110" s="337"/>
      <c r="D110" s="337"/>
      <c r="E110" s="337"/>
      <c r="F110" s="337"/>
      <c r="G110" s="337"/>
      <c r="H110" s="286"/>
      <c r="I110" s="287"/>
      <c r="J110" s="338"/>
      <c r="K110" s="338">
        <f>1961000</f>
        <v>1961000</v>
      </c>
      <c r="L110" s="341">
        <f t="shared" si="9"/>
        <v>1961000</v>
      </c>
      <c r="M110" s="340">
        <f t="shared" si="10"/>
        <v>1961093.53</v>
      </c>
      <c r="N110" s="296"/>
      <c r="O110" s="298">
        <v>1961093.53</v>
      </c>
    </row>
    <row r="111" spans="1:15" ht="12.75" x14ac:dyDescent="0.2">
      <c r="A111" s="285"/>
      <c r="B111" s="285"/>
      <c r="C111" s="337"/>
      <c r="D111" s="337"/>
      <c r="E111" s="337"/>
      <c r="F111" s="337"/>
      <c r="G111" s="337"/>
      <c r="H111" s="286"/>
      <c r="I111" s="287"/>
      <c r="J111" s="339">
        <f t="shared" ref="J111:O111" si="11">SUM(J99:J110)</f>
        <v>230864000</v>
      </c>
      <c r="K111" s="339">
        <f t="shared" si="11"/>
        <v>-32789000</v>
      </c>
      <c r="L111" s="339">
        <f t="shared" si="11"/>
        <v>198075000</v>
      </c>
      <c r="M111" s="340">
        <f t="shared" si="11"/>
        <v>129515625.35000001</v>
      </c>
      <c r="N111" s="298">
        <f t="shared" si="11"/>
        <v>0</v>
      </c>
      <c r="O111" s="340">
        <f t="shared" si="11"/>
        <v>129515625.35000001</v>
      </c>
    </row>
    <row r="112" spans="1:15" ht="12.75" x14ac:dyDescent="0.2">
      <c r="A112" s="289" t="s">
        <v>49</v>
      </c>
      <c r="B112" s="285"/>
      <c r="C112" s="337"/>
      <c r="D112" s="337"/>
      <c r="E112" s="337"/>
      <c r="F112" s="337"/>
      <c r="G112" s="337"/>
      <c r="H112" s="286"/>
      <c r="I112" s="287"/>
      <c r="J112" s="341"/>
      <c r="K112" s="341"/>
      <c r="L112" s="341"/>
      <c r="M112" s="342"/>
      <c r="N112" s="296"/>
      <c r="O112" s="296"/>
    </row>
    <row r="113" spans="1:15" ht="12.75" x14ac:dyDescent="0.2">
      <c r="A113" s="285" t="s">
        <v>3</v>
      </c>
      <c r="B113" s="285">
        <v>70000009</v>
      </c>
      <c r="C113" s="337">
        <v>0</v>
      </c>
      <c r="D113" s="337">
        <v>0</v>
      </c>
      <c r="E113" s="337">
        <v>5177292.84</v>
      </c>
      <c r="F113" s="337">
        <v>0</v>
      </c>
      <c r="G113" s="337">
        <v>5177292.84</v>
      </c>
      <c r="H113" s="286">
        <f>+G113</f>
        <v>5177292.84</v>
      </c>
      <c r="I113" s="287">
        <f>ROUND(H113,0)</f>
        <v>5177293</v>
      </c>
      <c r="J113" s="343"/>
      <c r="K113" s="343"/>
      <c r="L113" s="343"/>
      <c r="M113" s="344"/>
      <c r="N113" s="296"/>
      <c r="O113" s="298"/>
    </row>
    <row r="114" spans="1:15" ht="12.75" x14ac:dyDescent="0.2">
      <c r="A114" s="285"/>
      <c r="B114" s="285"/>
      <c r="C114" s="337"/>
      <c r="D114" s="337"/>
      <c r="E114" s="337"/>
      <c r="F114" s="337"/>
      <c r="G114" s="337"/>
      <c r="H114" s="286"/>
      <c r="I114" s="287"/>
      <c r="J114" s="345"/>
      <c r="K114" s="345"/>
      <c r="L114" s="345"/>
      <c r="M114" s="346"/>
      <c r="N114" s="296"/>
      <c r="O114" s="296"/>
    </row>
    <row r="115" spans="1:15" ht="12.75" x14ac:dyDescent="0.2">
      <c r="A115" s="289" t="s">
        <v>275</v>
      </c>
      <c r="B115" s="285"/>
      <c r="C115" s="337"/>
      <c r="D115" s="337"/>
      <c r="E115" s="337"/>
      <c r="F115" s="337"/>
      <c r="G115" s="337"/>
      <c r="H115" s="286"/>
      <c r="I115" s="287"/>
      <c r="J115" s="345"/>
      <c r="K115" s="345"/>
      <c r="L115" s="345"/>
      <c r="M115" s="346"/>
      <c r="N115" s="296"/>
      <c r="O115" s="296"/>
    </row>
    <row r="116" spans="1:15" ht="12.75" x14ac:dyDescent="0.2">
      <c r="A116" s="285" t="s">
        <v>8</v>
      </c>
      <c r="B116" s="285">
        <v>70010000</v>
      </c>
      <c r="C116" s="337">
        <v>0</v>
      </c>
      <c r="D116" s="337">
        <v>0</v>
      </c>
      <c r="E116" s="337">
        <v>9445.5</v>
      </c>
      <c r="F116" s="337">
        <v>0</v>
      </c>
      <c r="G116" s="337">
        <v>9445.5</v>
      </c>
      <c r="H116" s="286"/>
      <c r="I116" s="287"/>
      <c r="J116" s="345">
        <v>9000</v>
      </c>
      <c r="K116" s="345"/>
      <c r="L116" s="341">
        <f t="shared" ref="L116:L179" si="12">J116+K116</f>
        <v>9000</v>
      </c>
      <c r="M116" s="340">
        <f t="shared" ref="M116:M179" si="13">N116+O116</f>
        <v>7164.5</v>
      </c>
      <c r="N116" s="296"/>
      <c r="O116" s="346">
        <v>7164.5</v>
      </c>
    </row>
    <row r="117" spans="1:15" ht="12.75" x14ac:dyDescent="0.2">
      <c r="A117" s="285" t="s">
        <v>8</v>
      </c>
      <c r="B117" s="285">
        <v>70010050</v>
      </c>
      <c r="C117" s="337">
        <v>0</v>
      </c>
      <c r="D117" s="337">
        <v>0</v>
      </c>
      <c r="E117" s="337">
        <v>26314.37</v>
      </c>
      <c r="F117" s="337">
        <v>0</v>
      </c>
      <c r="G117" s="337">
        <v>26314.37</v>
      </c>
      <c r="H117" s="286"/>
      <c r="I117" s="287"/>
      <c r="J117" s="345">
        <v>20000</v>
      </c>
      <c r="K117" s="345"/>
      <c r="L117" s="341">
        <f t="shared" si="12"/>
        <v>20000</v>
      </c>
      <c r="M117" s="340">
        <f t="shared" si="13"/>
        <v>14070</v>
      </c>
      <c r="N117" s="296"/>
      <c r="O117" s="346">
        <v>14070</v>
      </c>
    </row>
    <row r="118" spans="1:15" ht="12.75" x14ac:dyDescent="0.2">
      <c r="A118" s="285" t="s">
        <v>8</v>
      </c>
      <c r="B118" s="285">
        <v>70010100</v>
      </c>
      <c r="C118" s="337">
        <v>0</v>
      </c>
      <c r="D118" s="337">
        <v>0</v>
      </c>
      <c r="E118" s="337">
        <v>3660</v>
      </c>
      <c r="F118" s="337">
        <v>0</v>
      </c>
      <c r="G118" s="337">
        <v>3660</v>
      </c>
      <c r="H118" s="286"/>
      <c r="I118" s="287"/>
      <c r="J118" s="345">
        <v>5000</v>
      </c>
      <c r="K118" s="345"/>
      <c r="L118" s="341">
        <f t="shared" si="12"/>
        <v>5000</v>
      </c>
      <c r="M118" s="340">
        <f t="shared" si="13"/>
        <v>660</v>
      </c>
      <c r="N118" s="296"/>
      <c r="O118" s="346">
        <v>660</v>
      </c>
    </row>
    <row r="119" spans="1:15" ht="12.75" x14ac:dyDescent="0.2">
      <c r="A119" s="285" t="s">
        <v>9</v>
      </c>
      <c r="B119" s="285">
        <v>70016000</v>
      </c>
      <c r="C119" s="337">
        <v>0</v>
      </c>
      <c r="D119" s="337">
        <v>0</v>
      </c>
      <c r="E119" s="337">
        <v>54100</v>
      </c>
      <c r="F119" s="337">
        <v>0</v>
      </c>
      <c r="G119" s="337">
        <v>54100</v>
      </c>
      <c r="H119" s="286"/>
      <c r="I119" s="287"/>
      <c r="J119" s="345">
        <v>35000</v>
      </c>
      <c r="K119" s="345"/>
      <c r="L119" s="341">
        <f t="shared" si="12"/>
        <v>35000</v>
      </c>
      <c r="M119" s="340">
        <f t="shared" si="13"/>
        <v>47491</v>
      </c>
      <c r="N119" s="296"/>
      <c r="O119" s="346">
        <v>47491</v>
      </c>
    </row>
    <row r="120" spans="1:15" ht="12.75" x14ac:dyDescent="0.2">
      <c r="A120" s="285" t="s">
        <v>959</v>
      </c>
      <c r="B120" s="285">
        <v>70065100</v>
      </c>
      <c r="C120" s="337"/>
      <c r="D120" s="337"/>
      <c r="E120" s="337"/>
      <c r="F120" s="337"/>
      <c r="G120" s="337"/>
      <c r="H120" s="286"/>
      <c r="I120" s="287"/>
      <c r="J120" s="345">
        <v>1250000</v>
      </c>
      <c r="K120" s="345"/>
      <c r="L120" s="341">
        <f t="shared" si="12"/>
        <v>1250000</v>
      </c>
      <c r="M120" s="340">
        <f t="shared" si="13"/>
        <v>1196154.24</v>
      </c>
      <c r="N120" s="296"/>
      <c r="O120" s="346">
        <v>1196154.24</v>
      </c>
    </row>
    <row r="121" spans="1:15" ht="12.75" x14ac:dyDescent="0.2">
      <c r="A121" s="285" t="s">
        <v>12</v>
      </c>
      <c r="B121" s="285">
        <v>70065200</v>
      </c>
      <c r="C121" s="337">
        <v>0</v>
      </c>
      <c r="D121" s="337">
        <v>0</v>
      </c>
      <c r="E121" s="337">
        <v>3096</v>
      </c>
      <c r="F121" s="337">
        <v>0</v>
      </c>
      <c r="G121" s="337">
        <v>3096</v>
      </c>
      <c r="H121" s="286"/>
      <c r="I121" s="287"/>
      <c r="J121" s="345">
        <v>2500</v>
      </c>
      <c r="K121" s="345"/>
      <c r="L121" s="341">
        <f t="shared" si="12"/>
        <v>2500</v>
      </c>
      <c r="M121" s="340">
        <f t="shared" si="13"/>
        <v>11805.1</v>
      </c>
      <c r="N121" s="296"/>
      <c r="O121" s="346">
        <v>11805.1</v>
      </c>
    </row>
    <row r="122" spans="1:15" ht="12.75" x14ac:dyDescent="0.2">
      <c r="A122" s="285" t="s">
        <v>13</v>
      </c>
      <c r="B122" s="285">
        <v>70065300</v>
      </c>
      <c r="C122" s="337">
        <v>0</v>
      </c>
      <c r="D122" s="337">
        <v>0</v>
      </c>
      <c r="E122" s="337">
        <v>11985.04</v>
      </c>
      <c r="F122" s="337">
        <v>0</v>
      </c>
      <c r="G122" s="337">
        <v>11985.04</v>
      </c>
      <c r="H122" s="286"/>
      <c r="I122" s="287"/>
      <c r="J122" s="345">
        <v>6200</v>
      </c>
      <c r="K122" s="345"/>
      <c r="L122" s="341">
        <f t="shared" si="12"/>
        <v>6200</v>
      </c>
      <c r="M122" s="340">
        <f t="shared" si="13"/>
        <v>22862.75</v>
      </c>
      <c r="N122" s="296"/>
      <c r="O122" s="346">
        <v>22862.75</v>
      </c>
    </row>
    <row r="123" spans="1:15" ht="12.75" x14ac:dyDescent="0.2">
      <c r="A123" s="285" t="s">
        <v>824</v>
      </c>
      <c r="B123" s="285">
        <v>70080100</v>
      </c>
      <c r="C123" s="337">
        <v>0</v>
      </c>
      <c r="D123" s="337">
        <v>0</v>
      </c>
      <c r="E123" s="337">
        <v>4758497.04</v>
      </c>
      <c r="F123" s="337">
        <v>0</v>
      </c>
      <c r="G123" s="337">
        <v>4758497.04</v>
      </c>
      <c r="H123" s="286"/>
      <c r="I123" s="287"/>
      <c r="J123" s="345">
        <v>7105000</v>
      </c>
      <c r="K123" s="345"/>
      <c r="L123" s="341">
        <f t="shared" si="12"/>
        <v>7105000</v>
      </c>
      <c r="M123" s="340">
        <f t="shared" si="13"/>
        <v>6300114.4699999997</v>
      </c>
      <c r="N123" s="296"/>
      <c r="O123" s="346">
        <v>6300114.4699999997</v>
      </c>
    </row>
    <row r="124" spans="1:15" ht="12.75" x14ac:dyDescent="0.2">
      <c r="A124" s="285" t="s">
        <v>826</v>
      </c>
      <c r="B124" s="285">
        <v>70080150</v>
      </c>
      <c r="C124" s="337">
        <v>0</v>
      </c>
      <c r="D124" s="337">
        <v>0</v>
      </c>
      <c r="E124" s="337">
        <v>574112.97</v>
      </c>
      <c r="F124" s="337">
        <v>0</v>
      </c>
      <c r="G124" s="337">
        <v>574112.97</v>
      </c>
      <c r="H124" s="286"/>
      <c r="I124" s="287"/>
      <c r="J124" s="345">
        <v>175000</v>
      </c>
      <c r="K124" s="345"/>
      <c r="L124" s="341">
        <f t="shared" si="12"/>
        <v>175000</v>
      </c>
      <c r="M124" s="340">
        <f t="shared" si="13"/>
        <v>1709346.6900000002</v>
      </c>
      <c r="N124" s="296">
        <v>173693.59</v>
      </c>
      <c r="O124" s="346">
        <v>1535653.1</v>
      </c>
    </row>
    <row r="125" spans="1:15" ht="12.75" x14ac:dyDescent="0.2">
      <c r="A125" s="285" t="s">
        <v>827</v>
      </c>
      <c r="B125" s="285">
        <v>70290350</v>
      </c>
      <c r="C125" s="337">
        <v>0</v>
      </c>
      <c r="D125" s="337">
        <v>0</v>
      </c>
      <c r="E125" s="337">
        <v>231151.69</v>
      </c>
      <c r="F125" s="337">
        <v>0</v>
      </c>
      <c r="G125" s="337">
        <v>231151.69</v>
      </c>
      <c r="H125" s="286"/>
      <c r="I125" s="287"/>
      <c r="J125" s="345">
        <v>730000</v>
      </c>
      <c r="K125" s="345"/>
      <c r="L125" s="341">
        <f t="shared" si="12"/>
        <v>730000</v>
      </c>
      <c r="M125" s="340">
        <f t="shared" si="13"/>
        <v>680926.09</v>
      </c>
      <c r="N125" s="296"/>
      <c r="O125" s="346">
        <v>680926.09</v>
      </c>
    </row>
    <row r="126" spans="1:15" ht="12.75" x14ac:dyDescent="0.2">
      <c r="A126" s="285" t="s">
        <v>828</v>
      </c>
      <c r="B126" s="285">
        <v>70080300</v>
      </c>
      <c r="C126" s="337">
        <v>0</v>
      </c>
      <c r="D126" s="337">
        <v>0</v>
      </c>
      <c r="E126" s="337">
        <v>153550.91</v>
      </c>
      <c r="F126" s="337">
        <v>0</v>
      </c>
      <c r="G126" s="337">
        <v>153550.91</v>
      </c>
      <c r="H126" s="286"/>
      <c r="I126" s="287"/>
      <c r="J126" s="345">
        <v>96300</v>
      </c>
      <c r="K126" s="345"/>
      <c r="L126" s="341">
        <f t="shared" si="12"/>
        <v>96300</v>
      </c>
      <c r="M126" s="340">
        <f t="shared" si="13"/>
        <v>3508172.21</v>
      </c>
      <c r="N126" s="296"/>
      <c r="O126" s="346">
        <v>3508172.21</v>
      </c>
    </row>
    <row r="127" spans="1:15" ht="12.75" x14ac:dyDescent="0.2">
      <c r="A127" s="285" t="s">
        <v>829</v>
      </c>
      <c r="B127" s="285">
        <v>70080350</v>
      </c>
      <c r="C127" s="337">
        <v>0</v>
      </c>
      <c r="D127" s="337">
        <v>0</v>
      </c>
      <c r="E127" s="337">
        <v>4588.8</v>
      </c>
      <c r="F127" s="337">
        <v>0</v>
      </c>
      <c r="G127" s="337">
        <v>4588.8</v>
      </c>
      <c r="H127" s="286"/>
      <c r="I127" s="287"/>
      <c r="J127" s="345"/>
      <c r="K127" s="345"/>
      <c r="L127" s="341">
        <f t="shared" si="12"/>
        <v>0</v>
      </c>
      <c r="M127" s="340">
        <f t="shared" si="13"/>
        <v>0</v>
      </c>
      <c r="N127" s="296"/>
      <c r="O127" s="346"/>
    </row>
    <row r="128" spans="1:15" ht="12.75" x14ac:dyDescent="0.2">
      <c r="A128" s="285" t="s">
        <v>830</v>
      </c>
      <c r="B128" s="285">
        <v>70080400</v>
      </c>
      <c r="C128" s="337">
        <v>0</v>
      </c>
      <c r="D128" s="337">
        <v>0</v>
      </c>
      <c r="E128" s="337">
        <v>344422.37</v>
      </c>
      <c r="F128" s="337">
        <v>0</v>
      </c>
      <c r="G128" s="337">
        <v>344422.37</v>
      </c>
      <c r="H128" s="286"/>
      <c r="I128" s="287"/>
      <c r="J128" s="345">
        <v>580000</v>
      </c>
      <c r="K128" s="345"/>
      <c r="L128" s="341">
        <f t="shared" si="12"/>
        <v>580000</v>
      </c>
      <c r="M128" s="340">
        <f t="shared" si="13"/>
        <v>585960.91</v>
      </c>
      <c r="N128" s="296"/>
      <c r="O128" s="346">
        <v>585960.91</v>
      </c>
    </row>
    <row r="129" spans="1:15" ht="12.75" x14ac:dyDescent="0.2">
      <c r="A129" s="285" t="s">
        <v>831</v>
      </c>
      <c r="B129" s="285">
        <v>70080600</v>
      </c>
      <c r="C129" s="337">
        <v>0</v>
      </c>
      <c r="D129" s="337">
        <v>0</v>
      </c>
      <c r="E129" s="337">
        <v>3152547.9</v>
      </c>
      <c r="F129" s="337">
        <v>0</v>
      </c>
      <c r="G129" s="337">
        <v>3152547.9</v>
      </c>
      <c r="H129" s="286"/>
      <c r="I129" s="287"/>
      <c r="J129" s="345">
        <v>2662000</v>
      </c>
      <c r="K129" s="345"/>
      <c r="L129" s="341">
        <f t="shared" si="12"/>
        <v>2662000</v>
      </c>
      <c r="M129" s="340">
        <f t="shared" si="13"/>
        <v>3190319.22</v>
      </c>
      <c r="N129" s="296"/>
      <c r="O129" s="346">
        <v>3190319.22</v>
      </c>
    </row>
    <row r="130" spans="1:15" ht="12.75" x14ac:dyDescent="0.2">
      <c r="A130" s="285" t="s">
        <v>832</v>
      </c>
      <c r="B130" s="285">
        <v>70080700</v>
      </c>
      <c r="C130" s="337">
        <v>0</v>
      </c>
      <c r="D130" s="337">
        <v>0</v>
      </c>
      <c r="E130" s="337">
        <v>54580.68</v>
      </c>
      <c r="F130" s="337">
        <v>0</v>
      </c>
      <c r="G130" s="337">
        <v>54580.68</v>
      </c>
      <c r="H130" s="286"/>
      <c r="I130" s="287"/>
      <c r="J130" s="345">
        <v>100000</v>
      </c>
      <c r="K130" s="345"/>
      <c r="L130" s="341">
        <f t="shared" si="12"/>
        <v>100000</v>
      </c>
      <c r="M130" s="340">
        <f t="shared" si="13"/>
        <v>91527.15</v>
      </c>
      <c r="N130" s="296"/>
      <c r="O130" s="346">
        <v>91527.15</v>
      </c>
    </row>
    <row r="131" spans="1:15" ht="12.75" x14ac:dyDescent="0.2">
      <c r="A131" s="285" t="s">
        <v>835</v>
      </c>
      <c r="B131" s="285">
        <v>70081100</v>
      </c>
      <c r="C131" s="337">
        <v>0</v>
      </c>
      <c r="D131" s="337">
        <v>0</v>
      </c>
      <c r="E131" s="337">
        <v>254982.47</v>
      </c>
      <c r="F131" s="337">
        <v>0</v>
      </c>
      <c r="G131" s="337">
        <v>254982.47</v>
      </c>
      <c r="H131" s="286"/>
      <c r="I131" s="287"/>
      <c r="J131" s="345">
        <v>150000</v>
      </c>
      <c r="K131" s="345"/>
      <c r="L131" s="341">
        <f t="shared" si="12"/>
        <v>150000</v>
      </c>
      <c r="M131" s="340">
        <f t="shared" si="13"/>
        <v>180398</v>
      </c>
      <c r="N131" s="296"/>
      <c r="O131" s="346">
        <v>180398</v>
      </c>
    </row>
    <row r="132" spans="1:15" ht="12.75" x14ac:dyDescent="0.2">
      <c r="A132" s="285" t="s">
        <v>836</v>
      </c>
      <c r="B132" s="285">
        <v>70081150</v>
      </c>
      <c r="C132" s="337">
        <v>0</v>
      </c>
      <c r="D132" s="337">
        <v>0</v>
      </c>
      <c r="E132" s="337">
        <v>6326.13</v>
      </c>
      <c r="F132" s="337">
        <v>0</v>
      </c>
      <c r="G132" s="337">
        <v>6326.13</v>
      </c>
      <c r="H132" s="286"/>
      <c r="I132" s="287"/>
      <c r="J132" s="345">
        <v>13700</v>
      </c>
      <c r="K132" s="345"/>
      <c r="L132" s="341">
        <f t="shared" si="12"/>
        <v>13700</v>
      </c>
      <c r="M132" s="340">
        <f t="shared" si="13"/>
        <v>49035.63</v>
      </c>
      <c r="N132" s="296"/>
      <c r="O132" s="346">
        <v>49035.63</v>
      </c>
    </row>
    <row r="133" spans="1:15" ht="12.75" x14ac:dyDescent="0.2">
      <c r="A133" s="285" t="s">
        <v>837</v>
      </c>
      <c r="B133" s="285">
        <v>70081300</v>
      </c>
      <c r="C133" s="337">
        <v>0</v>
      </c>
      <c r="D133" s="337">
        <v>0</v>
      </c>
      <c r="E133" s="337">
        <v>3140133.45</v>
      </c>
      <c r="F133" s="337">
        <v>0</v>
      </c>
      <c r="G133" s="337">
        <v>3140133.45</v>
      </c>
      <c r="H133" s="286"/>
      <c r="I133" s="287"/>
      <c r="J133" s="345">
        <v>5881200</v>
      </c>
      <c r="K133" s="345"/>
      <c r="L133" s="341">
        <f t="shared" si="12"/>
        <v>5881200</v>
      </c>
      <c r="M133" s="340">
        <f t="shared" si="13"/>
        <v>5471096.2999999998</v>
      </c>
      <c r="N133" s="296"/>
      <c r="O133" s="346">
        <v>5471096.2999999998</v>
      </c>
    </row>
    <row r="134" spans="1:15" ht="12.75" x14ac:dyDescent="0.2">
      <c r="A134" s="285" t="s">
        <v>838</v>
      </c>
      <c r="B134" s="285">
        <v>70081400</v>
      </c>
      <c r="C134" s="337">
        <v>0</v>
      </c>
      <c r="D134" s="337">
        <v>0</v>
      </c>
      <c r="E134" s="337">
        <v>16705</v>
      </c>
      <c r="F134" s="337">
        <v>0</v>
      </c>
      <c r="G134" s="337">
        <v>16705</v>
      </c>
      <c r="H134" s="286"/>
      <c r="I134" s="287"/>
      <c r="J134" s="345">
        <v>20000</v>
      </c>
      <c r="K134" s="345"/>
      <c r="L134" s="341">
        <f t="shared" si="12"/>
        <v>20000</v>
      </c>
      <c r="M134" s="340">
        <f t="shared" si="13"/>
        <v>26697</v>
      </c>
      <c r="N134" s="296"/>
      <c r="O134" s="346">
        <v>26697</v>
      </c>
    </row>
    <row r="135" spans="1:15" ht="12.75" x14ac:dyDescent="0.2">
      <c r="A135" s="285" t="s">
        <v>960</v>
      </c>
      <c r="B135" s="285">
        <v>70081625</v>
      </c>
      <c r="C135" s="337"/>
      <c r="D135" s="337"/>
      <c r="E135" s="337"/>
      <c r="F135" s="337"/>
      <c r="G135" s="337"/>
      <c r="H135" s="286"/>
      <c r="I135" s="287"/>
      <c r="J135" s="345">
        <v>5300</v>
      </c>
      <c r="K135" s="345"/>
      <c r="L135" s="341">
        <f t="shared" si="12"/>
        <v>5300</v>
      </c>
      <c r="M135" s="340">
        <f t="shared" si="13"/>
        <v>8084</v>
      </c>
      <c r="N135" s="296"/>
      <c r="O135" s="346">
        <v>8084</v>
      </c>
    </row>
    <row r="136" spans="1:15" ht="12.75" x14ac:dyDescent="0.2">
      <c r="A136" s="285" t="s">
        <v>839</v>
      </c>
      <c r="B136" s="285">
        <v>70081675</v>
      </c>
      <c r="C136" s="337">
        <v>0</v>
      </c>
      <c r="D136" s="337">
        <v>0</v>
      </c>
      <c r="E136" s="337">
        <v>1072485.03</v>
      </c>
      <c r="F136" s="337">
        <v>0</v>
      </c>
      <c r="G136" s="337">
        <v>1072485.03</v>
      </c>
      <c r="H136" s="286"/>
      <c r="I136" s="287"/>
      <c r="J136" s="345">
        <v>1005000</v>
      </c>
      <c r="K136" s="345"/>
      <c r="L136" s="341">
        <f t="shared" si="12"/>
        <v>1005000</v>
      </c>
      <c r="M136" s="340">
        <f t="shared" si="13"/>
        <v>1125591.33</v>
      </c>
      <c r="N136" s="296"/>
      <c r="O136" s="346">
        <v>1125591.33</v>
      </c>
    </row>
    <row r="137" spans="1:15" ht="12.75" x14ac:dyDescent="0.2">
      <c r="A137" s="285" t="s">
        <v>840</v>
      </c>
      <c r="B137" s="285">
        <v>70081900</v>
      </c>
      <c r="C137" s="337">
        <v>0</v>
      </c>
      <c r="D137" s="337">
        <v>0</v>
      </c>
      <c r="E137" s="337">
        <v>9698</v>
      </c>
      <c r="F137" s="337">
        <v>0</v>
      </c>
      <c r="G137" s="337">
        <v>9698</v>
      </c>
      <c r="H137" s="286"/>
      <c r="I137" s="287"/>
      <c r="J137" s="345">
        <v>5400</v>
      </c>
      <c r="K137" s="345"/>
      <c r="L137" s="341">
        <f t="shared" si="12"/>
        <v>5400</v>
      </c>
      <c r="M137" s="340">
        <f t="shared" si="13"/>
        <v>17282.5</v>
      </c>
      <c r="N137" s="296"/>
      <c r="O137" s="346">
        <v>17282.5</v>
      </c>
    </row>
    <row r="138" spans="1:15" ht="12.75" x14ac:dyDescent="0.2">
      <c r="A138" s="285" t="s">
        <v>841</v>
      </c>
      <c r="B138" s="285">
        <v>70082120</v>
      </c>
      <c r="C138" s="337">
        <v>0</v>
      </c>
      <c r="D138" s="337">
        <v>0</v>
      </c>
      <c r="E138" s="337">
        <v>530.70000000000005</v>
      </c>
      <c r="F138" s="337">
        <v>0</v>
      </c>
      <c r="G138" s="337">
        <v>530.70000000000005</v>
      </c>
      <c r="H138" s="286"/>
      <c r="I138" s="287"/>
      <c r="J138" s="345">
        <v>500</v>
      </c>
      <c r="K138" s="345"/>
      <c r="L138" s="341">
        <f t="shared" si="12"/>
        <v>500</v>
      </c>
      <c r="M138" s="340">
        <f t="shared" si="13"/>
        <v>1307.02</v>
      </c>
      <c r="N138" s="296"/>
      <c r="O138" s="346">
        <v>1307.02</v>
      </c>
    </row>
    <row r="139" spans="1:15" ht="12.75" x14ac:dyDescent="0.2">
      <c r="A139" s="285" t="s">
        <v>842</v>
      </c>
      <c r="B139" s="285">
        <v>70082200</v>
      </c>
      <c r="C139" s="337">
        <v>0</v>
      </c>
      <c r="D139" s="337">
        <v>0</v>
      </c>
      <c r="E139" s="337">
        <v>130005.21</v>
      </c>
      <c r="F139" s="337">
        <v>0</v>
      </c>
      <c r="G139" s="337">
        <v>130005.21</v>
      </c>
      <c r="H139" s="286"/>
      <c r="I139" s="287"/>
      <c r="J139" s="345">
        <v>103000</v>
      </c>
      <c r="K139" s="345"/>
      <c r="L139" s="341">
        <f t="shared" si="12"/>
        <v>103000</v>
      </c>
      <c r="M139" s="340">
        <f t="shared" si="13"/>
        <v>146637.29999999999</v>
      </c>
      <c r="N139" s="296"/>
      <c r="O139" s="346">
        <v>146637.29999999999</v>
      </c>
    </row>
    <row r="140" spans="1:15" ht="12.75" x14ac:dyDescent="0.2">
      <c r="A140" s="285" t="s">
        <v>843</v>
      </c>
      <c r="B140" s="285">
        <v>70082350</v>
      </c>
      <c r="C140" s="337">
        <v>0</v>
      </c>
      <c r="D140" s="337">
        <v>0</v>
      </c>
      <c r="E140" s="337">
        <v>164220</v>
      </c>
      <c r="F140" s="337">
        <v>0</v>
      </c>
      <c r="G140" s="337">
        <v>164220</v>
      </c>
      <c r="H140" s="286"/>
      <c r="I140" s="287"/>
      <c r="J140" s="345">
        <v>181500</v>
      </c>
      <c r="K140" s="345"/>
      <c r="L140" s="341">
        <f t="shared" si="12"/>
        <v>181500</v>
      </c>
      <c r="M140" s="340">
        <f t="shared" si="13"/>
        <v>73452</v>
      </c>
      <c r="N140" s="296"/>
      <c r="O140" s="346">
        <v>73452</v>
      </c>
    </row>
    <row r="141" spans="1:15" ht="12.75" x14ac:dyDescent="0.2">
      <c r="A141" s="285" t="s">
        <v>691</v>
      </c>
      <c r="B141" s="285">
        <v>70082400</v>
      </c>
      <c r="C141" s="337"/>
      <c r="D141" s="337"/>
      <c r="E141" s="337"/>
      <c r="F141" s="337"/>
      <c r="G141" s="337"/>
      <c r="H141" s="286"/>
      <c r="I141" s="287"/>
      <c r="J141" s="345">
        <v>1000</v>
      </c>
      <c r="K141" s="345"/>
      <c r="L141" s="341">
        <f t="shared" si="12"/>
        <v>1000</v>
      </c>
      <c r="M141" s="340">
        <f t="shared" si="13"/>
        <v>0</v>
      </c>
      <c r="N141" s="296"/>
      <c r="O141" s="346"/>
    </row>
    <row r="142" spans="1:15" ht="12.75" x14ac:dyDescent="0.2">
      <c r="A142" s="285" t="s">
        <v>844</v>
      </c>
      <c r="B142" s="285">
        <v>70082500</v>
      </c>
      <c r="C142" s="337">
        <v>0</v>
      </c>
      <c r="D142" s="337">
        <v>0</v>
      </c>
      <c r="E142" s="337">
        <v>200</v>
      </c>
      <c r="F142" s="337">
        <v>0</v>
      </c>
      <c r="G142" s="337">
        <v>200</v>
      </c>
      <c r="H142" s="286"/>
      <c r="I142" s="287"/>
      <c r="J142" s="345">
        <v>5500</v>
      </c>
      <c r="K142" s="345"/>
      <c r="L142" s="341">
        <f t="shared" si="12"/>
        <v>5500</v>
      </c>
      <c r="M142" s="340">
        <f t="shared" si="13"/>
        <v>0</v>
      </c>
      <c r="N142" s="296"/>
      <c r="O142" s="346"/>
    </row>
    <row r="143" spans="1:15" ht="12.75" x14ac:dyDescent="0.2">
      <c r="A143" s="285" t="s">
        <v>845</v>
      </c>
      <c r="B143" s="285">
        <v>70082510</v>
      </c>
      <c r="C143" s="337">
        <v>0</v>
      </c>
      <c r="D143" s="337">
        <v>0</v>
      </c>
      <c r="E143" s="337">
        <v>8800</v>
      </c>
      <c r="F143" s="337">
        <v>0</v>
      </c>
      <c r="G143" s="337">
        <v>8800</v>
      </c>
      <c r="H143" s="286"/>
      <c r="I143" s="287"/>
      <c r="J143" s="345"/>
      <c r="K143" s="345"/>
      <c r="L143" s="341">
        <f t="shared" si="12"/>
        <v>0</v>
      </c>
      <c r="M143" s="340">
        <f t="shared" si="13"/>
        <v>0</v>
      </c>
      <c r="N143" s="296"/>
      <c r="O143" s="346"/>
    </row>
    <row r="144" spans="1:15" ht="12.75" x14ac:dyDescent="0.2">
      <c r="A144" s="285" t="s">
        <v>848</v>
      </c>
      <c r="B144" s="285">
        <v>70082900</v>
      </c>
      <c r="C144" s="337">
        <v>0</v>
      </c>
      <c r="D144" s="337">
        <v>0</v>
      </c>
      <c r="E144" s="337">
        <v>45782.5</v>
      </c>
      <c r="F144" s="337">
        <v>0</v>
      </c>
      <c r="G144" s="337">
        <v>45782.5</v>
      </c>
      <c r="H144" s="286"/>
      <c r="I144" s="287"/>
      <c r="J144" s="345">
        <v>3000</v>
      </c>
      <c r="K144" s="345"/>
      <c r="L144" s="341">
        <f t="shared" si="12"/>
        <v>3000</v>
      </c>
      <c r="M144" s="340">
        <f t="shared" si="13"/>
        <v>900</v>
      </c>
      <c r="N144" s="296"/>
      <c r="O144" s="346">
        <v>900</v>
      </c>
    </row>
    <row r="145" spans="1:15" ht="12.75" x14ac:dyDescent="0.2">
      <c r="A145" s="285" t="s">
        <v>849</v>
      </c>
      <c r="B145" s="285">
        <v>70083100</v>
      </c>
      <c r="C145" s="337">
        <v>0</v>
      </c>
      <c r="D145" s="337">
        <v>0</v>
      </c>
      <c r="E145" s="337">
        <v>4078.5</v>
      </c>
      <c r="F145" s="337">
        <v>0</v>
      </c>
      <c r="G145" s="337">
        <v>4078.5</v>
      </c>
      <c r="H145" s="286"/>
      <c r="I145" s="287"/>
      <c r="J145" s="345">
        <v>3000</v>
      </c>
      <c r="K145" s="345"/>
      <c r="L145" s="341">
        <f t="shared" si="12"/>
        <v>3000</v>
      </c>
      <c r="M145" s="340">
        <f t="shared" si="13"/>
        <v>1034.5</v>
      </c>
      <c r="N145" s="296"/>
      <c r="O145" s="346">
        <v>1034.5</v>
      </c>
    </row>
    <row r="146" spans="1:15" ht="12.75" x14ac:dyDescent="0.2">
      <c r="A146" s="285" t="s">
        <v>851</v>
      </c>
      <c r="B146" s="285">
        <v>70083300</v>
      </c>
      <c r="C146" s="337">
        <v>0</v>
      </c>
      <c r="D146" s="337">
        <v>0</v>
      </c>
      <c r="E146" s="337">
        <v>292438.87</v>
      </c>
      <c r="F146" s="337">
        <v>0</v>
      </c>
      <c r="G146" s="337">
        <v>292438.87</v>
      </c>
      <c r="H146" s="286"/>
      <c r="I146" s="287"/>
      <c r="J146" s="345">
        <v>622700</v>
      </c>
      <c r="K146" s="345"/>
      <c r="L146" s="341">
        <f t="shared" si="12"/>
        <v>622700</v>
      </c>
      <c r="M146" s="340">
        <f t="shared" si="13"/>
        <v>673505.9</v>
      </c>
      <c r="N146" s="296"/>
      <c r="O146" s="346">
        <v>673505.9</v>
      </c>
    </row>
    <row r="147" spans="1:15" ht="12.75" x14ac:dyDescent="0.2">
      <c r="A147" s="285" t="s">
        <v>852</v>
      </c>
      <c r="B147" s="285">
        <v>70083301</v>
      </c>
      <c r="C147" s="337">
        <v>0</v>
      </c>
      <c r="D147" s="337">
        <v>0</v>
      </c>
      <c r="E147" s="337">
        <v>998.4</v>
      </c>
      <c r="F147" s="337">
        <v>0</v>
      </c>
      <c r="G147" s="337">
        <v>998.4</v>
      </c>
      <c r="H147" s="286"/>
      <c r="I147" s="287"/>
      <c r="J147" s="345">
        <v>80000</v>
      </c>
      <c r="K147" s="345"/>
      <c r="L147" s="341">
        <f t="shared" si="12"/>
        <v>80000</v>
      </c>
      <c r="M147" s="340">
        <f t="shared" si="13"/>
        <v>36037.599999999999</v>
      </c>
      <c r="N147" s="296"/>
      <c r="O147" s="346">
        <v>36037.599999999999</v>
      </c>
    </row>
    <row r="148" spans="1:15" ht="12.75" x14ac:dyDescent="0.2">
      <c r="A148" s="285" t="s">
        <v>853</v>
      </c>
      <c r="B148" s="285">
        <v>70083302</v>
      </c>
      <c r="C148" s="337">
        <v>0</v>
      </c>
      <c r="D148" s="337">
        <v>0</v>
      </c>
      <c r="E148" s="337">
        <v>25537.8</v>
      </c>
      <c r="F148" s="337">
        <v>0</v>
      </c>
      <c r="G148" s="337">
        <v>25537.8</v>
      </c>
      <c r="H148" s="286"/>
      <c r="I148" s="287"/>
      <c r="J148" s="345">
        <v>37000</v>
      </c>
      <c r="K148" s="345"/>
      <c r="L148" s="341">
        <f t="shared" si="12"/>
        <v>37000</v>
      </c>
      <c r="M148" s="340">
        <f t="shared" si="13"/>
        <v>25305</v>
      </c>
      <c r="N148" s="296"/>
      <c r="O148" s="346">
        <v>25305</v>
      </c>
    </row>
    <row r="149" spans="1:15" ht="12.75" x14ac:dyDescent="0.2">
      <c r="A149" s="285" t="s">
        <v>539</v>
      </c>
      <c r="B149" s="285">
        <v>70083303</v>
      </c>
      <c r="C149" s="337"/>
      <c r="D149" s="337"/>
      <c r="E149" s="337"/>
      <c r="F149" s="337"/>
      <c r="G149" s="337"/>
      <c r="H149" s="286"/>
      <c r="I149" s="287"/>
      <c r="J149" s="345">
        <v>0</v>
      </c>
      <c r="K149" s="345"/>
      <c r="L149" s="341">
        <f t="shared" si="12"/>
        <v>0</v>
      </c>
      <c r="M149" s="340">
        <f t="shared" si="13"/>
        <v>106592</v>
      </c>
      <c r="N149" s="296"/>
      <c r="O149" s="346">
        <v>106592</v>
      </c>
    </row>
    <row r="150" spans="1:15" ht="12.75" x14ac:dyDescent="0.2">
      <c r="A150" s="285" t="s">
        <v>854</v>
      </c>
      <c r="B150" s="285">
        <v>70083400</v>
      </c>
      <c r="C150" s="337">
        <v>0</v>
      </c>
      <c r="D150" s="337">
        <v>0</v>
      </c>
      <c r="E150" s="337">
        <v>822.82</v>
      </c>
      <c r="F150" s="337">
        <v>0</v>
      </c>
      <c r="G150" s="337">
        <v>822.82</v>
      </c>
      <c r="H150" s="286"/>
      <c r="I150" s="287"/>
      <c r="J150" s="345">
        <v>1500</v>
      </c>
      <c r="K150" s="345"/>
      <c r="L150" s="341">
        <f t="shared" si="12"/>
        <v>1500</v>
      </c>
      <c r="M150" s="340">
        <f t="shared" si="13"/>
        <v>511.28</v>
      </c>
      <c r="N150" s="296"/>
      <c r="O150" s="346">
        <v>511.28</v>
      </c>
    </row>
    <row r="151" spans="1:15" ht="12.75" x14ac:dyDescent="0.2">
      <c r="A151" s="285" t="s">
        <v>855</v>
      </c>
      <c r="B151" s="285">
        <v>70083500</v>
      </c>
      <c r="C151" s="337">
        <v>0</v>
      </c>
      <c r="D151" s="337">
        <v>0</v>
      </c>
      <c r="E151" s="337">
        <v>5692</v>
      </c>
      <c r="F151" s="337">
        <v>0</v>
      </c>
      <c r="G151" s="337">
        <v>5692</v>
      </c>
      <c r="H151" s="286"/>
      <c r="I151" s="287"/>
      <c r="J151" s="345">
        <v>52000</v>
      </c>
      <c r="K151" s="345"/>
      <c r="L151" s="341">
        <f t="shared" si="12"/>
        <v>52000</v>
      </c>
      <c r="M151" s="340">
        <f t="shared" si="13"/>
        <v>67140.05</v>
      </c>
      <c r="N151" s="296"/>
      <c r="O151" s="346">
        <v>67140.05</v>
      </c>
    </row>
    <row r="152" spans="1:15" ht="12.75" x14ac:dyDescent="0.2">
      <c r="A152" s="285" t="s">
        <v>856</v>
      </c>
      <c r="B152" s="285">
        <v>70083600</v>
      </c>
      <c r="C152" s="337">
        <v>0</v>
      </c>
      <c r="D152" s="337">
        <v>0</v>
      </c>
      <c r="E152" s="337">
        <v>12774.85</v>
      </c>
      <c r="F152" s="337">
        <v>0</v>
      </c>
      <c r="G152" s="337">
        <v>12774.85</v>
      </c>
      <c r="H152" s="286"/>
      <c r="I152" s="287"/>
      <c r="J152" s="345">
        <v>5000</v>
      </c>
      <c r="K152" s="345"/>
      <c r="L152" s="341">
        <f t="shared" si="12"/>
        <v>5000</v>
      </c>
      <c r="M152" s="340">
        <f t="shared" si="13"/>
        <v>15016.52</v>
      </c>
      <c r="N152" s="296"/>
      <c r="O152" s="346">
        <v>15016.52</v>
      </c>
    </row>
    <row r="153" spans="1:15" ht="12.75" x14ac:dyDescent="0.2">
      <c r="A153" s="285" t="s">
        <v>857</v>
      </c>
      <c r="B153" s="285">
        <v>70083700</v>
      </c>
      <c r="C153" s="337">
        <v>0</v>
      </c>
      <c r="D153" s="337">
        <v>0</v>
      </c>
      <c r="E153" s="337">
        <v>42565</v>
      </c>
      <c r="F153" s="337">
        <v>0</v>
      </c>
      <c r="G153" s="337">
        <v>42565</v>
      </c>
      <c r="H153" s="286"/>
      <c r="I153" s="287"/>
      <c r="J153" s="345">
        <v>57700</v>
      </c>
      <c r="K153" s="345"/>
      <c r="L153" s="341">
        <f t="shared" si="12"/>
        <v>57700</v>
      </c>
      <c r="M153" s="340">
        <f t="shared" si="13"/>
        <v>51482.94</v>
      </c>
      <c r="N153" s="296"/>
      <c r="O153" s="346">
        <v>51482.94</v>
      </c>
    </row>
    <row r="154" spans="1:15" ht="12.75" x14ac:dyDescent="0.2">
      <c r="A154" s="285" t="s">
        <v>859</v>
      </c>
      <c r="B154" s="285">
        <v>70084300</v>
      </c>
      <c r="C154" s="337">
        <v>0</v>
      </c>
      <c r="D154" s="337">
        <v>0</v>
      </c>
      <c r="E154" s="337">
        <v>224486</v>
      </c>
      <c r="F154" s="337">
        <v>0</v>
      </c>
      <c r="G154" s="337">
        <v>224486</v>
      </c>
      <c r="H154" s="286"/>
      <c r="I154" s="287"/>
      <c r="J154" s="345">
        <v>276100</v>
      </c>
      <c r="K154" s="345"/>
      <c r="L154" s="341">
        <f t="shared" si="12"/>
        <v>276100</v>
      </c>
      <c r="M154" s="340">
        <f t="shared" si="13"/>
        <v>261962.5</v>
      </c>
      <c r="N154" s="296"/>
      <c r="O154" s="346">
        <v>261962.5</v>
      </c>
    </row>
    <row r="155" spans="1:15" ht="12.75" x14ac:dyDescent="0.2">
      <c r="A155" s="285" t="s">
        <v>196</v>
      </c>
      <c r="B155" s="285">
        <v>70085005</v>
      </c>
      <c r="C155" s="337"/>
      <c r="D155" s="337"/>
      <c r="E155" s="337"/>
      <c r="F155" s="337"/>
      <c r="G155" s="337"/>
      <c r="H155" s="286"/>
      <c r="I155" s="287"/>
      <c r="J155" s="345"/>
      <c r="K155" s="345"/>
      <c r="L155" s="341">
        <f t="shared" si="12"/>
        <v>0</v>
      </c>
      <c r="M155" s="340">
        <f t="shared" si="13"/>
        <v>0</v>
      </c>
      <c r="N155" s="296"/>
      <c r="O155" s="346"/>
    </row>
    <row r="156" spans="1:15" ht="12.75" x14ac:dyDescent="0.2">
      <c r="A156" s="285" t="s">
        <v>860</v>
      </c>
      <c r="B156" s="285">
        <v>70090000</v>
      </c>
      <c r="C156" s="337">
        <v>0</v>
      </c>
      <c r="D156" s="337">
        <v>0</v>
      </c>
      <c r="E156" s="337">
        <v>20</v>
      </c>
      <c r="F156" s="337">
        <v>0</v>
      </c>
      <c r="G156" s="337">
        <v>20</v>
      </c>
      <c r="H156" s="286"/>
      <c r="I156" s="287"/>
      <c r="J156" s="345">
        <v>600</v>
      </c>
      <c r="K156" s="345"/>
      <c r="L156" s="341">
        <f t="shared" si="12"/>
        <v>600</v>
      </c>
      <c r="M156" s="340">
        <f t="shared" si="13"/>
        <v>18</v>
      </c>
      <c r="N156" s="296"/>
      <c r="O156" s="346">
        <v>18</v>
      </c>
    </row>
    <row r="157" spans="1:15" ht="12.75" x14ac:dyDescent="0.2">
      <c r="A157" s="285" t="s">
        <v>861</v>
      </c>
      <c r="B157" s="285">
        <v>70091000</v>
      </c>
      <c r="C157" s="337">
        <v>0</v>
      </c>
      <c r="D157" s="337">
        <v>0</v>
      </c>
      <c r="E157" s="337">
        <v>32620.58</v>
      </c>
      <c r="F157" s="337">
        <v>0</v>
      </c>
      <c r="G157" s="337">
        <v>32620.58</v>
      </c>
      <c r="H157" s="286"/>
      <c r="I157" s="287"/>
      <c r="J157" s="345">
        <v>55000</v>
      </c>
      <c r="K157" s="345"/>
      <c r="L157" s="341">
        <f t="shared" si="12"/>
        <v>55000</v>
      </c>
      <c r="M157" s="340">
        <f t="shared" si="13"/>
        <v>75880.45</v>
      </c>
      <c r="N157" s="296"/>
      <c r="O157" s="346">
        <v>75880.45</v>
      </c>
    </row>
    <row r="158" spans="1:15" ht="12.75" x14ac:dyDescent="0.2">
      <c r="A158" s="285" t="s">
        <v>868</v>
      </c>
      <c r="B158" s="285">
        <v>70290100</v>
      </c>
      <c r="C158" s="337">
        <v>0</v>
      </c>
      <c r="D158" s="337">
        <v>0</v>
      </c>
      <c r="E158" s="337">
        <v>130296.95</v>
      </c>
      <c r="F158" s="337">
        <v>0</v>
      </c>
      <c r="G158" s="337">
        <v>130296.95</v>
      </c>
      <c r="H158" s="286"/>
      <c r="I158" s="287"/>
      <c r="J158" s="345">
        <v>226000</v>
      </c>
      <c r="K158" s="345"/>
      <c r="L158" s="341">
        <f t="shared" si="12"/>
        <v>226000</v>
      </c>
      <c r="M158" s="340">
        <f t="shared" si="13"/>
        <v>370375.38</v>
      </c>
      <c r="N158" s="296"/>
      <c r="O158" s="346">
        <v>370375.38</v>
      </c>
    </row>
    <row r="159" spans="1:15" ht="12.75" x14ac:dyDescent="0.2">
      <c r="A159" s="285" t="s">
        <v>869</v>
      </c>
      <c r="B159" s="285">
        <v>70290150</v>
      </c>
      <c r="C159" s="337">
        <v>0</v>
      </c>
      <c r="D159" s="337">
        <v>0</v>
      </c>
      <c r="E159" s="337">
        <v>20000</v>
      </c>
      <c r="F159" s="337">
        <v>0</v>
      </c>
      <c r="G159" s="337">
        <v>20000</v>
      </c>
      <c r="H159" s="286"/>
      <c r="I159" s="287"/>
      <c r="J159" s="345">
        <v>24000</v>
      </c>
      <c r="K159" s="345"/>
      <c r="L159" s="341">
        <f t="shared" si="12"/>
        <v>24000</v>
      </c>
      <c r="M159" s="340">
        <f t="shared" si="13"/>
        <v>24000</v>
      </c>
      <c r="N159" s="296"/>
      <c r="O159" s="346">
        <v>24000</v>
      </c>
    </row>
    <row r="160" spans="1:15" ht="12.75" x14ac:dyDescent="0.2">
      <c r="A160" s="285" t="s">
        <v>870</v>
      </c>
      <c r="B160" s="285">
        <v>70290200</v>
      </c>
      <c r="C160" s="337">
        <v>0</v>
      </c>
      <c r="D160" s="337">
        <v>0</v>
      </c>
      <c r="E160" s="337">
        <v>427960.84</v>
      </c>
      <c r="F160" s="337">
        <v>0</v>
      </c>
      <c r="G160" s="337">
        <v>427960.84</v>
      </c>
      <c r="H160" s="286"/>
      <c r="I160" s="287"/>
      <c r="J160" s="345">
        <v>895000</v>
      </c>
      <c r="K160" s="345"/>
      <c r="L160" s="341">
        <f t="shared" si="12"/>
        <v>895000</v>
      </c>
      <c r="M160" s="340">
        <f t="shared" si="13"/>
        <v>0</v>
      </c>
      <c r="N160" s="296"/>
      <c r="O160" s="346"/>
    </row>
    <row r="161" spans="1:15" ht="12.75" x14ac:dyDescent="0.2">
      <c r="A161" s="285" t="s">
        <v>871</v>
      </c>
      <c r="B161" s="285">
        <v>70290210</v>
      </c>
      <c r="C161" s="337">
        <v>0</v>
      </c>
      <c r="D161" s="337">
        <v>0</v>
      </c>
      <c r="E161" s="337">
        <v>1142419.07</v>
      </c>
      <c r="F161" s="337">
        <v>0</v>
      </c>
      <c r="G161" s="337">
        <v>1142419.07</v>
      </c>
      <c r="H161" s="286"/>
      <c r="I161" s="287"/>
      <c r="J161" s="345">
        <v>990000</v>
      </c>
      <c r="K161" s="345"/>
      <c r="L161" s="341">
        <f t="shared" si="12"/>
        <v>990000</v>
      </c>
      <c r="M161" s="340">
        <f t="shared" si="13"/>
        <v>2192792.15</v>
      </c>
      <c r="N161" s="296"/>
      <c r="O161" s="346">
        <v>2192792.15</v>
      </c>
    </row>
    <row r="162" spans="1:15" ht="12.75" x14ac:dyDescent="0.2">
      <c r="A162" s="285" t="s">
        <v>872</v>
      </c>
      <c r="B162" s="285">
        <v>70290250</v>
      </c>
      <c r="C162" s="337">
        <v>0</v>
      </c>
      <c r="D162" s="337">
        <v>0</v>
      </c>
      <c r="E162" s="337">
        <v>1173175.9099999999</v>
      </c>
      <c r="F162" s="337">
        <v>0</v>
      </c>
      <c r="G162" s="337">
        <v>1173175.9099999999</v>
      </c>
      <c r="H162" s="286"/>
      <c r="I162" s="287"/>
      <c r="J162" s="345">
        <v>2002000</v>
      </c>
      <c r="K162" s="345"/>
      <c r="L162" s="341">
        <f t="shared" si="12"/>
        <v>2002000</v>
      </c>
      <c r="M162" s="340">
        <f t="shared" si="13"/>
        <v>1166320.5900000001</v>
      </c>
      <c r="N162" s="296"/>
      <c r="O162" s="346">
        <v>1166320.5900000001</v>
      </c>
    </row>
    <row r="163" spans="1:15" ht="12.75" x14ac:dyDescent="0.2">
      <c r="A163" s="285" t="s">
        <v>868</v>
      </c>
      <c r="B163" s="285">
        <v>70290300</v>
      </c>
      <c r="C163" s="337">
        <v>0</v>
      </c>
      <c r="D163" s="337">
        <v>0</v>
      </c>
      <c r="E163" s="337">
        <v>339238.14</v>
      </c>
      <c r="F163" s="337">
        <v>0</v>
      </c>
      <c r="G163" s="337">
        <v>339238.14</v>
      </c>
      <c r="H163" s="286"/>
      <c r="I163" s="287"/>
      <c r="J163" s="345">
        <v>200000</v>
      </c>
      <c r="K163" s="345"/>
      <c r="L163" s="341">
        <f t="shared" si="12"/>
        <v>200000</v>
      </c>
      <c r="M163" s="340">
        <f t="shared" si="13"/>
        <v>0</v>
      </c>
      <c r="N163" s="296"/>
      <c r="O163" s="346"/>
    </row>
    <row r="164" spans="1:15" ht="12.75" x14ac:dyDescent="0.2">
      <c r="A164" s="285" t="s">
        <v>554</v>
      </c>
      <c r="B164" s="285">
        <v>70290800</v>
      </c>
      <c r="C164" s="337">
        <v>0</v>
      </c>
      <c r="D164" s="337">
        <v>0</v>
      </c>
      <c r="E164" s="337">
        <v>5699</v>
      </c>
      <c r="F164" s="337">
        <v>0</v>
      </c>
      <c r="G164" s="337">
        <v>5699</v>
      </c>
      <c r="H164" s="286"/>
      <c r="I164" s="287"/>
      <c r="J164" s="345">
        <v>1100</v>
      </c>
      <c r="K164" s="345"/>
      <c r="L164" s="341">
        <f t="shared" si="12"/>
        <v>1100</v>
      </c>
      <c r="M164" s="340">
        <f t="shared" si="13"/>
        <v>1050</v>
      </c>
      <c r="N164" s="296"/>
      <c r="O164" s="346">
        <v>1050</v>
      </c>
    </row>
    <row r="165" spans="1:15" ht="12.75" x14ac:dyDescent="0.2">
      <c r="A165" s="285" t="s">
        <v>558</v>
      </c>
      <c r="B165" s="285">
        <v>70430000</v>
      </c>
      <c r="C165" s="337">
        <v>0</v>
      </c>
      <c r="D165" s="337">
        <v>0</v>
      </c>
      <c r="E165" s="337">
        <v>108985.5</v>
      </c>
      <c r="F165" s="337">
        <v>0</v>
      </c>
      <c r="G165" s="337">
        <v>108985.5</v>
      </c>
      <c r="H165" s="286"/>
      <c r="I165" s="287"/>
      <c r="J165" s="345">
        <v>150000</v>
      </c>
      <c r="K165" s="345"/>
      <c r="L165" s="341">
        <f t="shared" si="12"/>
        <v>150000</v>
      </c>
      <c r="M165" s="340">
        <f t="shared" si="13"/>
        <v>146648</v>
      </c>
      <c r="N165" s="296"/>
      <c r="O165" s="346">
        <v>146648</v>
      </c>
    </row>
    <row r="166" spans="1:15" ht="12.75" x14ac:dyDescent="0.2">
      <c r="A166" s="285" t="s">
        <v>612</v>
      </c>
      <c r="B166" s="285">
        <v>70444100</v>
      </c>
      <c r="C166" s="337">
        <v>0</v>
      </c>
      <c r="D166" s="337">
        <v>0</v>
      </c>
      <c r="E166" s="337">
        <v>89672</v>
      </c>
      <c r="F166" s="337">
        <v>0</v>
      </c>
      <c r="G166" s="337">
        <v>89672</v>
      </c>
      <c r="H166" s="286"/>
      <c r="I166" s="287"/>
      <c r="J166" s="345">
        <v>58000</v>
      </c>
      <c r="K166" s="345"/>
      <c r="L166" s="341">
        <f t="shared" si="12"/>
        <v>58000</v>
      </c>
      <c r="M166" s="340">
        <f t="shared" si="13"/>
        <v>41037.5</v>
      </c>
      <c r="N166" s="296"/>
      <c r="O166" s="346">
        <v>41037.5</v>
      </c>
    </row>
    <row r="167" spans="1:15" ht="12.75" x14ac:dyDescent="0.2">
      <c r="A167" s="285" t="s">
        <v>955</v>
      </c>
      <c r="B167" s="285">
        <v>70444200</v>
      </c>
      <c r="C167" s="337"/>
      <c r="D167" s="337"/>
      <c r="E167" s="337"/>
      <c r="F167" s="337"/>
      <c r="G167" s="337"/>
      <c r="H167" s="286"/>
      <c r="I167" s="287"/>
      <c r="J167" s="345">
        <v>1200</v>
      </c>
      <c r="K167" s="345"/>
      <c r="L167" s="341">
        <f t="shared" si="12"/>
        <v>1200</v>
      </c>
      <c r="M167" s="340">
        <f t="shared" si="13"/>
        <v>0</v>
      </c>
      <c r="N167" s="296"/>
      <c r="O167" s="346"/>
    </row>
    <row r="168" spans="1:15" ht="12.75" x14ac:dyDescent="0.2">
      <c r="A168" s="285" t="s">
        <v>613</v>
      </c>
      <c r="B168" s="285">
        <v>70445000</v>
      </c>
      <c r="C168" s="337">
        <v>0</v>
      </c>
      <c r="D168" s="337">
        <v>0</v>
      </c>
      <c r="E168" s="337">
        <v>213205.8</v>
      </c>
      <c r="F168" s="337">
        <v>0</v>
      </c>
      <c r="G168" s="337">
        <v>213205.8</v>
      </c>
      <c r="H168" s="286"/>
      <c r="I168" s="287"/>
      <c r="J168" s="345">
        <v>300000</v>
      </c>
      <c r="K168" s="345"/>
      <c r="L168" s="341">
        <f t="shared" si="12"/>
        <v>300000</v>
      </c>
      <c r="M168" s="340">
        <f t="shared" si="13"/>
        <v>47506</v>
      </c>
      <c r="N168" s="296"/>
      <c r="O168" s="346">
        <v>47506</v>
      </c>
    </row>
    <row r="169" spans="1:15" ht="12.75" x14ac:dyDescent="0.2">
      <c r="A169" s="285" t="s">
        <v>1001</v>
      </c>
      <c r="B169" s="285">
        <v>70440550</v>
      </c>
      <c r="C169" s="337"/>
      <c r="D169" s="337"/>
      <c r="E169" s="337"/>
      <c r="F169" s="337"/>
      <c r="G169" s="337"/>
      <c r="H169" s="286"/>
      <c r="I169" s="287"/>
      <c r="J169" s="345">
        <v>10000</v>
      </c>
      <c r="K169" s="345"/>
      <c r="L169" s="341">
        <f t="shared" si="12"/>
        <v>10000</v>
      </c>
      <c r="M169" s="340">
        <f t="shared" si="13"/>
        <v>0</v>
      </c>
      <c r="N169" s="296"/>
      <c r="O169" s="346"/>
    </row>
    <row r="170" spans="1:15" ht="12.75" x14ac:dyDescent="0.2">
      <c r="A170" s="285" t="s">
        <v>614</v>
      </c>
      <c r="B170" s="285">
        <v>70450000</v>
      </c>
      <c r="C170" s="337">
        <v>0</v>
      </c>
      <c r="D170" s="337">
        <v>0</v>
      </c>
      <c r="E170" s="337">
        <v>5526.3</v>
      </c>
      <c r="F170" s="337">
        <v>0</v>
      </c>
      <c r="G170" s="337">
        <v>5526.3</v>
      </c>
      <c r="H170" s="286"/>
      <c r="I170" s="287"/>
      <c r="J170" s="345">
        <v>25000</v>
      </c>
      <c r="K170" s="345"/>
      <c r="L170" s="341">
        <f t="shared" si="12"/>
        <v>25000</v>
      </c>
      <c r="M170" s="340">
        <f t="shared" si="13"/>
        <v>6341.22</v>
      </c>
      <c r="N170" s="296"/>
      <c r="O170" s="346">
        <v>6341.22</v>
      </c>
    </row>
    <row r="171" spans="1:15" ht="12.75" x14ac:dyDescent="0.2">
      <c r="A171" s="285" t="s">
        <v>619</v>
      </c>
      <c r="B171" s="285">
        <v>70570000</v>
      </c>
      <c r="C171" s="337">
        <v>0</v>
      </c>
      <c r="D171" s="337">
        <v>0</v>
      </c>
      <c r="E171" s="337">
        <v>15280.67</v>
      </c>
      <c r="F171" s="337">
        <v>0</v>
      </c>
      <c r="G171" s="337">
        <v>15280.67</v>
      </c>
      <c r="H171" s="286"/>
      <c r="I171" s="287"/>
      <c r="J171" s="345">
        <v>10400</v>
      </c>
      <c r="K171" s="345"/>
      <c r="L171" s="341">
        <f t="shared" si="12"/>
        <v>10400</v>
      </c>
      <c r="M171" s="340">
        <f t="shared" si="13"/>
        <v>658.91</v>
      </c>
      <c r="N171" s="296"/>
      <c r="O171" s="346">
        <v>658.91</v>
      </c>
    </row>
    <row r="172" spans="1:15" ht="12.75" x14ac:dyDescent="0.2">
      <c r="A172" s="285" t="s">
        <v>620</v>
      </c>
      <c r="B172" s="285">
        <v>70575000</v>
      </c>
      <c r="C172" s="337">
        <v>0</v>
      </c>
      <c r="D172" s="337">
        <v>0</v>
      </c>
      <c r="E172" s="337">
        <v>445524.3</v>
      </c>
      <c r="F172" s="337">
        <v>0</v>
      </c>
      <c r="G172" s="337">
        <v>445524.3</v>
      </c>
      <c r="H172" s="286"/>
      <c r="I172" s="287"/>
      <c r="J172" s="345">
        <v>530000</v>
      </c>
      <c r="K172" s="345"/>
      <c r="L172" s="341">
        <f t="shared" si="12"/>
        <v>530000</v>
      </c>
      <c r="M172" s="340">
        <f t="shared" si="13"/>
        <v>736610.85</v>
      </c>
      <c r="N172" s="296"/>
      <c r="O172" s="346">
        <v>736610.85</v>
      </c>
    </row>
    <row r="173" spans="1:15" ht="12.75" x14ac:dyDescent="0.2">
      <c r="A173" s="285" t="s">
        <v>621</v>
      </c>
      <c r="B173" s="285">
        <v>70585000</v>
      </c>
      <c r="C173" s="337">
        <v>0</v>
      </c>
      <c r="D173" s="337">
        <v>0</v>
      </c>
      <c r="E173" s="337">
        <v>45617.68</v>
      </c>
      <c r="F173" s="337">
        <v>0</v>
      </c>
      <c r="G173" s="337">
        <v>45617.68</v>
      </c>
      <c r="H173" s="286"/>
      <c r="I173" s="287"/>
      <c r="J173" s="345">
        <v>2000</v>
      </c>
      <c r="K173" s="345"/>
      <c r="L173" s="341">
        <f t="shared" si="12"/>
        <v>2000</v>
      </c>
      <c r="M173" s="340">
        <f t="shared" si="13"/>
        <v>0</v>
      </c>
      <c r="N173" s="296">
        <f>-11954260.66+2255581.16-258626.18-6398283.97</f>
        <v>-16355589.649999999</v>
      </c>
      <c r="O173" s="346">
        <v>16355589.65</v>
      </c>
    </row>
    <row r="174" spans="1:15" ht="12.75" x14ac:dyDescent="0.2">
      <c r="A174" s="285" t="s">
        <v>622</v>
      </c>
      <c r="B174" s="285">
        <v>70663700</v>
      </c>
      <c r="C174" s="337">
        <v>0</v>
      </c>
      <c r="D174" s="337">
        <v>0</v>
      </c>
      <c r="E174" s="337">
        <v>8455385.6500000004</v>
      </c>
      <c r="F174" s="337">
        <v>0</v>
      </c>
      <c r="G174" s="337">
        <v>8455385.6500000004</v>
      </c>
      <c r="H174" s="286"/>
      <c r="I174" s="287"/>
      <c r="J174" s="345">
        <v>50000000</v>
      </c>
      <c r="K174" s="345"/>
      <c r="L174" s="341">
        <f t="shared" si="12"/>
        <v>50000000</v>
      </c>
      <c r="M174" s="340">
        <f t="shared" si="13"/>
        <v>21430898.640000001</v>
      </c>
      <c r="N174" s="296"/>
      <c r="O174" s="346">
        <v>21430898.640000001</v>
      </c>
    </row>
    <row r="175" spans="1:15" ht="12.75" x14ac:dyDescent="0.2">
      <c r="A175" s="285" t="s">
        <v>623</v>
      </c>
      <c r="B175" s="285">
        <v>70660100</v>
      </c>
      <c r="C175" s="337">
        <v>0</v>
      </c>
      <c r="D175" s="337">
        <v>0</v>
      </c>
      <c r="E175" s="337">
        <v>366</v>
      </c>
      <c r="F175" s="337">
        <v>0</v>
      </c>
      <c r="G175" s="337">
        <v>366</v>
      </c>
      <c r="H175" s="286"/>
      <c r="I175" s="287"/>
      <c r="J175" s="345"/>
      <c r="K175" s="345"/>
      <c r="L175" s="341">
        <f t="shared" si="12"/>
        <v>0</v>
      </c>
      <c r="M175" s="340">
        <f t="shared" si="13"/>
        <v>0</v>
      </c>
      <c r="N175" s="296"/>
      <c r="O175" s="346"/>
    </row>
    <row r="176" spans="1:15" ht="12.75" x14ac:dyDescent="0.2">
      <c r="A176" s="285" t="s">
        <v>626</v>
      </c>
      <c r="B176" s="285">
        <v>70661400</v>
      </c>
      <c r="C176" s="337">
        <v>0</v>
      </c>
      <c r="D176" s="337">
        <v>0</v>
      </c>
      <c r="E176" s="337">
        <v>517.57000000000005</v>
      </c>
      <c r="F176" s="337">
        <v>0</v>
      </c>
      <c r="G176" s="337">
        <v>517.57000000000005</v>
      </c>
      <c r="H176" s="286"/>
      <c r="I176" s="287"/>
      <c r="J176" s="345">
        <v>100</v>
      </c>
      <c r="K176" s="345"/>
      <c r="L176" s="341">
        <f t="shared" si="12"/>
        <v>100</v>
      </c>
      <c r="M176" s="340">
        <f t="shared" si="13"/>
        <v>514.01</v>
      </c>
      <c r="N176" s="296"/>
      <c r="O176" s="346">
        <v>514.01</v>
      </c>
    </row>
    <row r="177" spans="1:16" ht="12.75" x14ac:dyDescent="0.2">
      <c r="A177" s="285" t="s">
        <v>355</v>
      </c>
      <c r="B177" s="285">
        <v>70661600</v>
      </c>
      <c r="C177" s="337"/>
      <c r="D177" s="337"/>
      <c r="E177" s="337"/>
      <c r="F177" s="337"/>
      <c r="G177" s="337"/>
      <c r="H177" s="286"/>
      <c r="I177" s="287"/>
      <c r="J177" s="345">
        <v>1000</v>
      </c>
      <c r="K177" s="345"/>
      <c r="L177" s="341">
        <f t="shared" si="12"/>
        <v>1000</v>
      </c>
      <c r="M177" s="340">
        <f t="shared" si="13"/>
        <v>1085.97</v>
      </c>
      <c r="N177" s="296"/>
      <c r="O177" s="346">
        <v>1085.97</v>
      </c>
    </row>
    <row r="178" spans="1:16" ht="12.75" x14ac:dyDescent="0.2">
      <c r="A178" s="285" t="s">
        <v>627</v>
      </c>
      <c r="B178" s="285">
        <v>70662500</v>
      </c>
      <c r="C178" s="337">
        <v>0</v>
      </c>
      <c r="D178" s="337">
        <v>0</v>
      </c>
      <c r="E178" s="337">
        <v>16463</v>
      </c>
      <c r="F178" s="337">
        <v>0</v>
      </c>
      <c r="G178" s="337">
        <v>16463</v>
      </c>
      <c r="H178" s="286"/>
      <c r="I178" s="287"/>
      <c r="J178" s="345">
        <v>1000</v>
      </c>
      <c r="K178" s="345"/>
      <c r="L178" s="341">
        <f t="shared" si="12"/>
        <v>1000</v>
      </c>
      <c r="M178" s="340">
        <f t="shared" si="13"/>
        <v>9433</v>
      </c>
      <c r="N178" s="296"/>
      <c r="O178" s="346">
        <v>9433</v>
      </c>
    </row>
    <row r="179" spans="1:16" ht="12.75" x14ac:dyDescent="0.2">
      <c r="A179" s="285" t="s">
        <v>630</v>
      </c>
      <c r="B179" s="285">
        <v>70662620</v>
      </c>
      <c r="C179" s="337">
        <v>0</v>
      </c>
      <c r="D179" s="337">
        <v>0</v>
      </c>
      <c r="E179" s="337">
        <v>21696712.219999999</v>
      </c>
      <c r="F179" s="337">
        <v>0</v>
      </c>
      <c r="G179" s="337">
        <v>21696712.219999999</v>
      </c>
      <c r="H179" s="286"/>
      <c r="I179" s="287"/>
      <c r="J179" s="345">
        <v>3200000</v>
      </c>
      <c r="K179" s="345"/>
      <c r="L179" s="341">
        <f t="shared" si="12"/>
        <v>3200000</v>
      </c>
      <c r="M179" s="340">
        <f t="shared" si="13"/>
        <v>20605785.129999999</v>
      </c>
      <c r="N179" s="296">
        <v>-8083980</v>
      </c>
      <c r="O179" s="346">
        <v>28689765.129999999</v>
      </c>
    </row>
    <row r="180" spans="1:16" ht="12.75" x14ac:dyDescent="0.2">
      <c r="A180" s="285" t="s">
        <v>724</v>
      </c>
      <c r="B180" s="285">
        <v>70663200</v>
      </c>
      <c r="C180" s="337">
        <v>0</v>
      </c>
      <c r="D180" s="337">
        <v>0</v>
      </c>
      <c r="E180" s="337">
        <v>4414</v>
      </c>
      <c r="F180" s="337">
        <v>0</v>
      </c>
      <c r="G180" s="337">
        <v>4414</v>
      </c>
      <c r="H180" s="286"/>
      <c r="I180" s="287"/>
      <c r="J180" s="345">
        <v>10000</v>
      </c>
      <c r="K180" s="345"/>
      <c r="L180" s="341">
        <f>J180+K180</f>
        <v>10000</v>
      </c>
      <c r="M180" s="340">
        <f>N180+O180</f>
        <v>0</v>
      </c>
      <c r="N180" s="296"/>
      <c r="O180" s="346"/>
    </row>
    <row r="181" spans="1:16" ht="12.75" x14ac:dyDescent="0.2">
      <c r="A181" s="285" t="s">
        <v>725</v>
      </c>
      <c r="B181" s="285">
        <v>70663600</v>
      </c>
      <c r="C181" s="337">
        <v>0</v>
      </c>
      <c r="D181" s="337">
        <v>0</v>
      </c>
      <c r="E181" s="337">
        <v>1276</v>
      </c>
      <c r="F181" s="337">
        <v>0</v>
      </c>
      <c r="G181" s="337">
        <v>1276</v>
      </c>
      <c r="H181" s="286"/>
      <c r="I181" s="287"/>
      <c r="J181" s="345"/>
      <c r="K181" s="345"/>
      <c r="L181" s="341">
        <f>J181+K181</f>
        <v>0</v>
      </c>
      <c r="M181" s="340">
        <f>N181+O181</f>
        <v>67</v>
      </c>
      <c r="N181" s="296"/>
      <c r="O181" s="346">
        <v>67</v>
      </c>
    </row>
    <row r="182" spans="1:16" ht="12.75" x14ac:dyDescent="0.2">
      <c r="A182" s="285" t="s">
        <v>356</v>
      </c>
      <c r="B182" s="285">
        <v>70663900</v>
      </c>
      <c r="C182" s="337"/>
      <c r="D182" s="337"/>
      <c r="E182" s="337"/>
      <c r="F182" s="337"/>
      <c r="G182" s="337"/>
      <c r="H182" s="286"/>
      <c r="I182" s="287"/>
      <c r="J182" s="345">
        <v>1000000</v>
      </c>
      <c r="K182" s="345"/>
      <c r="L182" s="341">
        <f>J182+K182</f>
        <v>1000000</v>
      </c>
      <c r="M182" s="340">
        <f>N182+O182</f>
        <v>0</v>
      </c>
      <c r="N182" s="296"/>
      <c r="O182" s="346"/>
    </row>
    <row r="183" spans="1:16" ht="12.75" x14ac:dyDescent="0.2">
      <c r="A183" s="285" t="s">
        <v>726</v>
      </c>
      <c r="B183" s="285">
        <v>70770000</v>
      </c>
      <c r="C183" s="337">
        <v>0</v>
      </c>
      <c r="D183" s="337">
        <v>0</v>
      </c>
      <c r="E183" s="337">
        <v>21383.85</v>
      </c>
      <c r="F183" s="337">
        <v>0</v>
      </c>
      <c r="G183" s="337">
        <v>21383.85</v>
      </c>
      <c r="H183" s="286"/>
      <c r="I183" s="287"/>
      <c r="J183" s="345">
        <v>15000</v>
      </c>
      <c r="K183" s="345"/>
      <c r="L183" s="341">
        <f>J183+K183</f>
        <v>15000</v>
      </c>
      <c r="M183" s="340">
        <f>N183+O183</f>
        <v>7084.8</v>
      </c>
      <c r="N183" s="296"/>
      <c r="O183" s="346">
        <v>7084.8</v>
      </c>
    </row>
    <row r="184" spans="1:16" ht="12.75" x14ac:dyDescent="0.2">
      <c r="A184" s="285" t="s">
        <v>727</v>
      </c>
      <c r="B184" s="285">
        <v>70790000</v>
      </c>
      <c r="C184" s="337">
        <v>0</v>
      </c>
      <c r="D184" s="337">
        <v>0</v>
      </c>
      <c r="E184" s="337">
        <v>137572.25</v>
      </c>
      <c r="F184" s="337">
        <v>0</v>
      </c>
      <c r="G184" s="337">
        <v>137572.25</v>
      </c>
      <c r="H184" s="286">
        <f>SUM(G116:G184)</f>
        <v>49370649.280000001</v>
      </c>
      <c r="I184" s="287">
        <f>ROUND(H184,0)</f>
        <v>49370649</v>
      </c>
      <c r="J184" s="345">
        <v>1000</v>
      </c>
      <c r="K184" s="345"/>
      <c r="L184" s="341">
        <f>J184+K184</f>
        <v>1000</v>
      </c>
      <c r="M184" s="340">
        <f>N184+O184</f>
        <v>0</v>
      </c>
      <c r="N184" s="296"/>
      <c r="O184" s="346"/>
    </row>
    <row r="185" spans="1:16" ht="12.75" x14ac:dyDescent="0.2">
      <c r="A185" s="285"/>
      <c r="B185" s="285"/>
      <c r="C185" s="337"/>
      <c r="D185" s="337"/>
      <c r="E185" s="337"/>
      <c r="F185" s="337"/>
      <c r="G185" s="337"/>
      <c r="H185" s="286"/>
      <c r="I185" s="287"/>
      <c r="J185" s="292">
        <f t="shared" ref="J185:O185" si="14">SUM(J116:J184)</f>
        <v>80994500</v>
      </c>
      <c r="K185" s="292">
        <f t="shared" si="14"/>
        <v>0</v>
      </c>
      <c r="L185" s="292">
        <f t="shared" si="14"/>
        <v>80994500</v>
      </c>
      <c r="M185" s="297">
        <f t="shared" si="14"/>
        <v>72569751.299999997</v>
      </c>
      <c r="N185" s="298">
        <f t="shared" si="14"/>
        <v>-24265876.059999999</v>
      </c>
      <c r="O185" s="298">
        <f t="shared" si="14"/>
        <v>96835627.359999999</v>
      </c>
      <c r="P185" s="283"/>
    </row>
    <row r="186" spans="1:16" ht="12.75" x14ac:dyDescent="0.2">
      <c r="A186" s="285"/>
      <c r="B186" s="285"/>
      <c r="C186" s="337"/>
      <c r="D186" s="337"/>
      <c r="E186" s="337"/>
      <c r="F186" s="337"/>
      <c r="G186" s="337"/>
      <c r="H186" s="286"/>
      <c r="I186" s="287"/>
      <c r="J186" s="297">
        <f t="shared" ref="J186:O186" si="15">J9+J17+J23+J28+J33+J61+J63+J69+J71+J79+J81+J97+J111+J113+J185</f>
        <v>1466552000</v>
      </c>
      <c r="K186" s="297">
        <f t="shared" si="15"/>
        <v>16049000</v>
      </c>
      <c r="L186" s="297">
        <f t="shared" si="15"/>
        <v>1482601000</v>
      </c>
      <c r="M186" s="297">
        <f t="shared" si="15"/>
        <v>1454885953.52</v>
      </c>
      <c r="N186" s="298">
        <f t="shared" si="15"/>
        <v>-27513024.07</v>
      </c>
      <c r="O186" s="298">
        <f t="shared" si="15"/>
        <v>1482398977.5899999</v>
      </c>
      <c r="P186" s="283"/>
    </row>
    <row r="187" spans="1:16" x14ac:dyDescent="0.25">
      <c r="A187" s="72"/>
      <c r="B187" s="72"/>
      <c r="C187" s="347"/>
      <c r="D187" s="347"/>
      <c r="E187" s="347"/>
      <c r="F187" s="347"/>
      <c r="G187" s="348"/>
      <c r="H187" s="299"/>
      <c r="P187" s="283"/>
    </row>
    <row r="188" spans="1:16" x14ac:dyDescent="0.25">
      <c r="A188" s="72"/>
      <c r="B188" s="72"/>
      <c r="C188" s="347"/>
      <c r="D188" s="347"/>
      <c r="E188" s="347"/>
      <c r="F188" s="347"/>
      <c r="G188" s="348"/>
      <c r="H188" s="299"/>
    </row>
    <row r="189" spans="1:16" x14ac:dyDescent="0.25">
      <c r="A189" s="72"/>
      <c r="B189" s="72"/>
      <c r="C189" s="347"/>
      <c r="D189" s="347"/>
      <c r="E189" s="347"/>
      <c r="F189" s="347"/>
      <c r="G189" s="348"/>
      <c r="H189" s="299"/>
    </row>
    <row r="190" spans="1:16" x14ac:dyDescent="0.25">
      <c r="A190" s="72"/>
      <c r="B190" s="72"/>
      <c r="C190" s="347"/>
      <c r="D190" s="347"/>
      <c r="E190" s="347"/>
      <c r="F190" s="347"/>
      <c r="G190" s="348"/>
      <c r="H190" s="299"/>
    </row>
    <row r="191" spans="1:16" x14ac:dyDescent="0.25">
      <c r="A191" s="72"/>
      <c r="B191" s="72"/>
      <c r="C191" s="347"/>
      <c r="D191" s="347"/>
      <c r="E191" s="347"/>
      <c r="F191" s="347"/>
      <c r="G191" s="348"/>
      <c r="H191" s="299"/>
    </row>
    <row r="192" spans="1:16" x14ac:dyDescent="0.25">
      <c r="A192" s="72"/>
      <c r="B192" s="72"/>
      <c r="C192" s="347"/>
      <c r="D192" s="347"/>
      <c r="E192" s="347"/>
      <c r="F192" s="347"/>
      <c r="G192" s="348">
        <f>SUM(G9:G189)</f>
        <v>1331491537.21</v>
      </c>
      <c r="H192" s="67">
        <f>+G192-H189</f>
        <v>1331491537.21</v>
      </c>
      <c r="I192" s="67">
        <f>SUM(I7:I189)</f>
        <v>1331491536</v>
      </c>
    </row>
    <row r="193" spans="1:32" x14ac:dyDescent="0.25">
      <c r="A193" s="72"/>
      <c r="B193" s="72"/>
      <c r="C193" s="347"/>
      <c r="D193" s="347"/>
      <c r="E193" s="347"/>
      <c r="F193" s="347"/>
      <c r="G193" s="348"/>
      <c r="H193" s="299"/>
      <c r="T193" s="278" t="s">
        <v>789</v>
      </c>
      <c r="AB193" s="278" t="s">
        <v>789</v>
      </c>
    </row>
    <row r="194" spans="1:32" x14ac:dyDescent="0.25">
      <c r="A194" s="295" t="s">
        <v>731</v>
      </c>
      <c r="B194" s="285" t="s">
        <v>296</v>
      </c>
      <c r="C194" s="337"/>
      <c r="D194" s="337"/>
      <c r="E194" s="337"/>
      <c r="F194" s="337"/>
      <c r="G194" s="337"/>
      <c r="H194" s="286"/>
      <c r="I194" s="287"/>
      <c r="J194" s="338"/>
      <c r="K194" s="338"/>
      <c r="L194" s="338"/>
      <c r="M194" s="304"/>
      <c r="N194" s="296"/>
      <c r="O194" s="213"/>
      <c r="T194" s="278" t="s">
        <v>578</v>
      </c>
      <c r="AB194" s="278" t="s">
        <v>790</v>
      </c>
    </row>
    <row r="195" spans="1:32" x14ac:dyDescent="0.25">
      <c r="A195" s="295"/>
      <c r="B195" s="285"/>
      <c r="C195" s="337"/>
      <c r="D195" s="337"/>
      <c r="E195" s="337"/>
      <c r="F195" s="337"/>
      <c r="G195" s="337"/>
      <c r="H195" s="286"/>
      <c r="I195" s="287"/>
      <c r="J195" s="338"/>
      <c r="K195" s="338"/>
      <c r="L195" s="338"/>
      <c r="M195" s="304"/>
      <c r="N195" s="296"/>
      <c r="O195" s="213"/>
      <c r="Q195" s="278" t="s">
        <v>783</v>
      </c>
      <c r="R195" s="278" t="s">
        <v>784</v>
      </c>
      <c r="S195" s="278" t="s">
        <v>785</v>
      </c>
      <c r="T195" s="278" t="s">
        <v>786</v>
      </c>
      <c r="U195" s="278" t="s">
        <v>787</v>
      </c>
      <c r="V195" s="278" t="s">
        <v>788</v>
      </c>
      <c r="W195" s="278">
        <v>2010</v>
      </c>
      <c r="X195" s="284" t="s">
        <v>374</v>
      </c>
      <c r="Y195" s="278" t="s">
        <v>783</v>
      </c>
      <c r="Z195" s="278" t="s">
        <v>784</v>
      </c>
      <c r="AA195" s="278" t="s">
        <v>785</v>
      </c>
      <c r="AB195" s="278" t="s">
        <v>786</v>
      </c>
      <c r="AC195" s="278" t="s">
        <v>787</v>
      </c>
      <c r="AD195" s="278" t="s">
        <v>788</v>
      </c>
      <c r="AE195" s="278">
        <v>2010</v>
      </c>
      <c r="AF195" s="284" t="s">
        <v>374</v>
      </c>
    </row>
    <row r="196" spans="1:32" ht="24" x14ac:dyDescent="0.25">
      <c r="A196" s="300" t="s">
        <v>921</v>
      </c>
      <c r="B196" s="285"/>
      <c r="C196" s="337"/>
      <c r="D196" s="337"/>
      <c r="E196" s="337"/>
      <c r="F196" s="337"/>
      <c r="G196" s="337"/>
      <c r="H196" s="286"/>
      <c r="I196" s="287"/>
      <c r="J196" s="338"/>
      <c r="K196" s="338"/>
      <c r="L196" s="338"/>
      <c r="M196" s="304"/>
      <c r="N196" s="296"/>
      <c r="O196" s="213"/>
    </row>
    <row r="197" spans="1:32" ht="15" customHeight="1" x14ac:dyDescent="0.25">
      <c r="A197" s="301" t="s">
        <v>166</v>
      </c>
      <c r="B197" s="285">
        <v>1004000</v>
      </c>
      <c r="C197" s="337"/>
      <c r="D197" s="337"/>
      <c r="E197" s="337"/>
      <c r="F197" s="337"/>
      <c r="G197" s="337"/>
      <c r="H197" s="286"/>
      <c r="I197" s="287"/>
      <c r="J197" s="338"/>
      <c r="K197" s="338"/>
      <c r="L197" s="338"/>
      <c r="M197" s="304"/>
      <c r="N197" s="296"/>
      <c r="O197" s="213"/>
    </row>
    <row r="198" spans="1:32" x14ac:dyDescent="0.25">
      <c r="A198" s="285" t="s">
        <v>732</v>
      </c>
      <c r="B198" s="285">
        <v>1005000</v>
      </c>
      <c r="C198" s="337">
        <v>0</v>
      </c>
      <c r="D198" s="337">
        <v>126859586.79000001</v>
      </c>
      <c r="E198" s="337">
        <v>0</v>
      </c>
      <c r="F198" s="337">
        <v>126859586.79000001</v>
      </c>
      <c r="G198" s="337">
        <v>0</v>
      </c>
      <c r="H198" s="286"/>
      <c r="I198" s="287"/>
      <c r="J198" s="338">
        <v>209335490</v>
      </c>
      <c r="K198" s="338">
        <v>660000</v>
      </c>
      <c r="L198" s="338">
        <f>J198+K198</f>
        <v>209995490</v>
      </c>
      <c r="M198" s="304">
        <f>N198+O198</f>
        <v>193872991.81</v>
      </c>
      <c r="N198" s="296">
        <v>844650.53</v>
      </c>
      <c r="O198" s="213">
        <v>193028341.28</v>
      </c>
    </row>
    <row r="199" spans="1:32" x14ac:dyDescent="0.25">
      <c r="A199" s="285" t="s">
        <v>956</v>
      </c>
      <c r="B199" s="285">
        <v>1005010</v>
      </c>
      <c r="C199" s="337"/>
      <c r="D199" s="337"/>
      <c r="E199" s="337"/>
      <c r="F199" s="337"/>
      <c r="G199" s="337"/>
      <c r="H199" s="286"/>
      <c r="I199" s="287"/>
      <c r="J199" s="338">
        <v>4163965</v>
      </c>
      <c r="K199" s="338"/>
      <c r="L199" s="338">
        <f t="shared" ref="L199:L205" si="16">J199+K199</f>
        <v>4163965</v>
      </c>
      <c r="M199" s="304">
        <f t="shared" ref="M199:M205" si="17">N199+O199</f>
        <v>2958298.55</v>
      </c>
      <c r="N199" s="296"/>
      <c r="O199" s="213">
        <v>2958298.55</v>
      </c>
    </row>
    <row r="200" spans="1:32" x14ac:dyDescent="0.25">
      <c r="A200" s="285" t="s">
        <v>733</v>
      </c>
      <c r="B200" s="285">
        <v>1005020</v>
      </c>
      <c r="C200" s="337">
        <v>0</v>
      </c>
      <c r="D200" s="337">
        <v>505141.57</v>
      </c>
      <c r="E200" s="337">
        <v>0</v>
      </c>
      <c r="F200" s="337">
        <v>505141.57</v>
      </c>
      <c r="G200" s="337">
        <v>0</v>
      </c>
      <c r="H200" s="286"/>
      <c r="I200" s="287"/>
      <c r="J200" s="338">
        <v>10770330</v>
      </c>
      <c r="K200" s="338"/>
      <c r="L200" s="338">
        <f t="shared" si="16"/>
        <v>10770330</v>
      </c>
      <c r="M200" s="304">
        <f t="shared" si="17"/>
        <v>7337732.9000000004</v>
      </c>
      <c r="N200" s="296"/>
      <c r="O200" s="213">
        <v>7337732.9000000004</v>
      </c>
    </row>
    <row r="201" spans="1:32" x14ac:dyDescent="0.25">
      <c r="A201" s="285" t="s">
        <v>736</v>
      </c>
      <c r="B201" s="285">
        <v>1080000</v>
      </c>
      <c r="C201" s="337">
        <v>0</v>
      </c>
      <c r="D201" s="337">
        <v>17802</v>
      </c>
      <c r="E201" s="337">
        <v>0</v>
      </c>
      <c r="F201" s="337">
        <v>17802</v>
      </c>
      <c r="G201" s="337">
        <v>0</v>
      </c>
      <c r="H201" s="286"/>
      <c r="I201" s="287"/>
      <c r="J201" s="338"/>
      <c r="K201" s="338"/>
      <c r="L201" s="338">
        <f t="shared" si="16"/>
        <v>0</v>
      </c>
      <c r="M201" s="304">
        <f t="shared" si="17"/>
        <v>42203.199999999997</v>
      </c>
      <c r="N201" s="296"/>
      <c r="O201" s="213">
        <v>42203.199999999997</v>
      </c>
    </row>
    <row r="202" spans="1:32" x14ac:dyDescent="0.25">
      <c r="A202" s="285" t="s">
        <v>737</v>
      </c>
      <c r="B202" s="285">
        <v>1030000</v>
      </c>
      <c r="C202" s="337">
        <v>0</v>
      </c>
      <c r="D202" s="337">
        <v>10146591.279999999</v>
      </c>
      <c r="E202" s="337">
        <v>0</v>
      </c>
      <c r="F202" s="337">
        <v>10146591.279999999</v>
      </c>
      <c r="G202" s="337">
        <v>0</v>
      </c>
      <c r="H202" s="286"/>
      <c r="I202" s="287"/>
      <c r="J202" s="338">
        <v>16186755</v>
      </c>
      <c r="K202" s="338"/>
      <c r="L202" s="338">
        <f t="shared" si="16"/>
        <v>16186755</v>
      </c>
      <c r="M202" s="304">
        <f t="shared" si="17"/>
        <v>15959877.859999999</v>
      </c>
      <c r="N202" s="296"/>
      <c r="O202" s="213">
        <v>15959877.859999999</v>
      </c>
    </row>
    <row r="203" spans="1:32" x14ac:dyDescent="0.25">
      <c r="A203" s="285" t="s">
        <v>741</v>
      </c>
      <c r="B203" s="285">
        <v>1100000</v>
      </c>
      <c r="C203" s="337">
        <v>0</v>
      </c>
      <c r="D203" s="337">
        <v>660404.77</v>
      </c>
      <c r="E203" s="337">
        <v>0</v>
      </c>
      <c r="F203" s="337">
        <v>660404.77</v>
      </c>
      <c r="G203" s="337">
        <v>0</v>
      </c>
      <c r="H203" s="286"/>
      <c r="I203" s="287"/>
      <c r="J203" s="338">
        <v>4732250</v>
      </c>
      <c r="K203" s="338"/>
      <c r="L203" s="338">
        <f t="shared" si="16"/>
        <v>4732250</v>
      </c>
      <c r="M203" s="304">
        <f t="shared" si="17"/>
        <v>1940880.95</v>
      </c>
      <c r="N203" s="296"/>
      <c r="O203" s="213">
        <v>1940880.95</v>
      </c>
    </row>
    <row r="204" spans="1:32" x14ac:dyDescent="0.25">
      <c r="A204" s="285" t="s">
        <v>744</v>
      </c>
      <c r="B204" s="285">
        <v>1165000</v>
      </c>
      <c r="C204" s="337"/>
      <c r="D204" s="337"/>
      <c r="E204" s="337"/>
      <c r="F204" s="337"/>
      <c r="G204" s="337"/>
      <c r="H204" s="286"/>
      <c r="I204" s="287"/>
      <c r="J204" s="338">
        <v>90000</v>
      </c>
      <c r="K204" s="338"/>
      <c r="L204" s="338">
        <f t="shared" si="16"/>
        <v>90000</v>
      </c>
      <c r="M204" s="304">
        <f t="shared" si="17"/>
        <v>0</v>
      </c>
      <c r="N204" s="296"/>
      <c r="O204" s="213"/>
    </row>
    <row r="205" spans="1:32" x14ac:dyDescent="0.25">
      <c r="A205" s="285" t="s">
        <v>176</v>
      </c>
      <c r="B205" s="285">
        <v>1005000</v>
      </c>
      <c r="C205" s="337"/>
      <c r="D205" s="337"/>
      <c r="E205" s="337"/>
      <c r="F205" s="337"/>
      <c r="G205" s="337"/>
      <c r="H205" s="286"/>
      <c r="I205" s="287"/>
      <c r="J205" s="338"/>
      <c r="K205" s="338"/>
      <c r="L205" s="338">
        <f t="shared" si="16"/>
        <v>0</v>
      </c>
      <c r="M205" s="304">
        <f t="shared" si="17"/>
        <v>-494437.69</v>
      </c>
      <c r="N205" s="296"/>
      <c r="O205" s="213">
        <v>-494437.69</v>
      </c>
    </row>
    <row r="206" spans="1:32" ht="12.75" x14ac:dyDescent="0.2">
      <c r="A206" s="285"/>
      <c r="B206" s="285"/>
      <c r="C206" s="337">
        <v>0</v>
      </c>
      <c r="D206" s="337">
        <v>86557.25</v>
      </c>
      <c r="E206" s="337">
        <v>0</v>
      </c>
      <c r="F206" s="337">
        <v>86557.25</v>
      </c>
      <c r="G206" s="337">
        <v>0</v>
      </c>
      <c r="H206" s="286">
        <f>SUM(F198:F206)</f>
        <v>138276083.66</v>
      </c>
      <c r="I206" s="287"/>
      <c r="J206" s="339">
        <f>SUM(J197:J205)</f>
        <v>245278790</v>
      </c>
      <c r="K206" s="339">
        <f>SUM(K197:K205)</f>
        <v>660000</v>
      </c>
      <c r="L206" s="339">
        <f>SUM(L197:L205)</f>
        <v>245938790</v>
      </c>
      <c r="M206" s="340">
        <f>SUM(M197:M205)</f>
        <v>221617547.57999998</v>
      </c>
      <c r="N206" s="298">
        <f>SUM(N197:N204)</f>
        <v>844650.53</v>
      </c>
      <c r="O206" s="298">
        <f>SUM(O197:O205)</f>
        <v>220772897.05000001</v>
      </c>
      <c r="Q206" s="278">
        <v>671101</v>
      </c>
      <c r="R206" s="278">
        <v>221702</v>
      </c>
      <c r="S206" s="278">
        <v>242617</v>
      </c>
      <c r="U206" s="278">
        <v>445099</v>
      </c>
      <c r="W206" s="278">
        <v>453156</v>
      </c>
      <c r="X206" s="351">
        <f>M206-Q206-R206-S206-T206-U206-V206-W206</f>
        <v>219583872.57999998</v>
      </c>
      <c r="Y206" s="278">
        <v>578054</v>
      </c>
      <c r="AA206" s="278">
        <v>453127</v>
      </c>
      <c r="AB206" s="278">
        <v>428213</v>
      </c>
      <c r="AC206" s="278">
        <v>408064</v>
      </c>
      <c r="AE206" s="278">
        <v>195796</v>
      </c>
      <c r="AF206" s="352">
        <f>H206-Y206-Z206-AA206-AB206-AC206-AD206-AE206</f>
        <v>136212829.66</v>
      </c>
    </row>
    <row r="207" spans="1:32" ht="12.75" x14ac:dyDescent="0.2">
      <c r="A207" s="285"/>
      <c r="B207" s="285"/>
      <c r="C207" s="337"/>
      <c r="D207" s="337"/>
      <c r="E207" s="337"/>
      <c r="F207" s="337"/>
      <c r="G207" s="337"/>
      <c r="H207" s="286"/>
      <c r="I207" s="287"/>
      <c r="J207" s="341"/>
      <c r="K207" s="341"/>
      <c r="L207" s="341"/>
      <c r="M207" s="342"/>
      <c r="N207" s="296"/>
      <c r="O207" s="296"/>
    </row>
    <row r="208" spans="1:32" ht="24" x14ac:dyDescent="0.2">
      <c r="A208" s="300" t="s">
        <v>922</v>
      </c>
      <c r="B208" s="285"/>
      <c r="C208" s="337"/>
      <c r="D208" s="337"/>
      <c r="E208" s="337"/>
      <c r="F208" s="337"/>
      <c r="G208" s="337"/>
      <c r="H208" s="286"/>
      <c r="I208" s="287"/>
      <c r="J208" s="341"/>
      <c r="K208" s="341"/>
      <c r="L208" s="341"/>
      <c r="M208" s="342"/>
      <c r="N208" s="296"/>
      <c r="O208" s="296"/>
    </row>
    <row r="209" spans="1:32" x14ac:dyDescent="0.25">
      <c r="A209" s="285" t="s">
        <v>742</v>
      </c>
      <c r="B209" s="285">
        <v>1120000</v>
      </c>
      <c r="C209" s="337">
        <v>0</v>
      </c>
      <c r="D209" s="337">
        <v>10420792.789999999</v>
      </c>
      <c r="E209" s="337">
        <v>0</v>
      </c>
      <c r="F209" s="337">
        <v>10420792.789999999</v>
      </c>
      <c r="G209" s="337">
        <v>0</v>
      </c>
      <c r="H209" s="286"/>
      <c r="I209" s="287"/>
      <c r="J209" s="341">
        <v>15162160</v>
      </c>
      <c r="K209" s="341"/>
      <c r="L209" s="338">
        <f t="shared" ref="L209:L216" si="18">J209+K209</f>
        <v>15162160</v>
      </c>
      <c r="M209" s="304">
        <f t="shared" ref="M209:M216" si="19">N209+O209</f>
        <v>14799363.98</v>
      </c>
      <c r="N209" s="296"/>
      <c r="O209" s="213">
        <v>14799363.98</v>
      </c>
    </row>
    <row r="210" spans="1:32" x14ac:dyDescent="0.25">
      <c r="A210" s="285" t="s">
        <v>743</v>
      </c>
      <c r="B210" s="285">
        <v>1140000</v>
      </c>
      <c r="C210" s="337">
        <v>0</v>
      </c>
      <c r="D210" s="337">
        <v>27707559.73</v>
      </c>
      <c r="E210" s="337">
        <v>0</v>
      </c>
      <c r="F210" s="337">
        <v>27707559.73</v>
      </c>
      <c r="G210" s="337">
        <v>0</v>
      </c>
      <c r="H210" s="286"/>
      <c r="I210" s="287"/>
      <c r="J210" s="341">
        <v>48324975</v>
      </c>
      <c r="K210" s="341"/>
      <c r="L210" s="338">
        <f t="shared" si="18"/>
        <v>48324975</v>
      </c>
      <c r="M210" s="304">
        <f t="shared" si="19"/>
        <v>41377977.960000001</v>
      </c>
      <c r="N210" s="296"/>
      <c r="O210" s="213">
        <v>41377977.960000001</v>
      </c>
    </row>
    <row r="211" spans="1:32" x14ac:dyDescent="0.25">
      <c r="A211" s="285" t="s">
        <v>745</v>
      </c>
      <c r="B211" s="285">
        <v>1180000</v>
      </c>
      <c r="C211" s="337">
        <v>0</v>
      </c>
      <c r="D211" s="337">
        <v>606502.04</v>
      </c>
      <c r="E211" s="337">
        <v>0</v>
      </c>
      <c r="F211" s="337">
        <v>606502.04</v>
      </c>
      <c r="G211" s="337">
        <v>0</v>
      </c>
      <c r="H211" s="286"/>
      <c r="I211" s="287"/>
      <c r="J211" s="341">
        <v>736875</v>
      </c>
      <c r="K211" s="341"/>
      <c r="L211" s="338">
        <f t="shared" si="18"/>
        <v>736875</v>
      </c>
      <c r="M211" s="304">
        <f t="shared" si="19"/>
        <v>670613.88</v>
      </c>
      <c r="N211" s="296"/>
      <c r="O211" s="213">
        <v>670613.88</v>
      </c>
    </row>
    <row r="212" spans="1:32" x14ac:dyDescent="0.25">
      <c r="A212" s="285" t="s">
        <v>746</v>
      </c>
      <c r="B212" s="285">
        <v>1190000</v>
      </c>
      <c r="C212" s="337">
        <v>0</v>
      </c>
      <c r="D212" s="337">
        <v>51251.8</v>
      </c>
      <c r="E212" s="337">
        <v>0</v>
      </c>
      <c r="F212" s="337">
        <v>51251.8</v>
      </c>
      <c r="G212" s="337">
        <v>0</v>
      </c>
      <c r="H212" s="286"/>
      <c r="I212" s="287"/>
      <c r="J212" s="341">
        <v>84980</v>
      </c>
      <c r="K212" s="341"/>
      <c r="L212" s="338">
        <f t="shared" si="18"/>
        <v>84980</v>
      </c>
      <c r="M212" s="304">
        <f t="shared" si="19"/>
        <v>69564.7</v>
      </c>
      <c r="N212" s="296"/>
      <c r="O212" s="213">
        <v>69564.7</v>
      </c>
    </row>
    <row r="213" spans="1:32" x14ac:dyDescent="0.25">
      <c r="A213" s="285" t="s">
        <v>336</v>
      </c>
      <c r="B213" s="285">
        <v>2895000</v>
      </c>
      <c r="C213" s="337">
        <v>0</v>
      </c>
      <c r="D213" s="337">
        <v>1307674.49</v>
      </c>
      <c r="E213" s="337">
        <v>0</v>
      </c>
      <c r="F213" s="337">
        <v>1307674.49</v>
      </c>
      <c r="G213" s="337">
        <v>0</v>
      </c>
      <c r="H213" s="286"/>
      <c r="I213" s="287"/>
      <c r="J213" s="341">
        <v>1854645</v>
      </c>
      <c r="K213" s="341"/>
      <c r="L213" s="338">
        <f t="shared" si="18"/>
        <v>1854645</v>
      </c>
      <c r="M213" s="304">
        <f t="shared" si="19"/>
        <v>1941093.42</v>
      </c>
      <c r="N213" s="296"/>
      <c r="O213" s="213">
        <v>1941093.42</v>
      </c>
    </row>
    <row r="214" spans="1:32" hidden="1" x14ac:dyDescent="0.25">
      <c r="A214" s="285" t="s">
        <v>653</v>
      </c>
      <c r="B214" s="285">
        <v>2430005</v>
      </c>
      <c r="C214" s="337">
        <v>0</v>
      </c>
      <c r="D214" s="337">
        <v>3093780.43</v>
      </c>
      <c r="E214" s="337">
        <v>0</v>
      </c>
      <c r="F214" s="337">
        <v>3093780.43</v>
      </c>
      <c r="G214" s="337">
        <v>0</v>
      </c>
      <c r="H214" s="286"/>
      <c r="I214" s="287"/>
      <c r="J214" s="341">
        <v>3675000</v>
      </c>
      <c r="K214" s="341"/>
      <c r="L214" s="338">
        <v>0</v>
      </c>
      <c r="M214" s="304">
        <f t="shared" si="19"/>
        <v>0</v>
      </c>
      <c r="N214" s="296"/>
      <c r="O214" s="213">
        <v>0</v>
      </c>
    </row>
    <row r="215" spans="1:32" x14ac:dyDescent="0.25">
      <c r="A215" s="285" t="s">
        <v>174</v>
      </c>
      <c r="B215" s="285">
        <v>1120000</v>
      </c>
      <c r="C215" s="337"/>
      <c r="D215" s="337"/>
      <c r="E215" s="337"/>
      <c r="F215" s="337"/>
      <c r="G215" s="337"/>
      <c r="H215" s="286"/>
      <c r="I215" s="287"/>
      <c r="J215" s="341">
        <v>-1292535</v>
      </c>
      <c r="K215" s="341"/>
      <c r="L215" s="338">
        <f t="shared" si="18"/>
        <v>-1292535</v>
      </c>
      <c r="M215" s="304">
        <f t="shared" si="19"/>
        <v>-1026184.58</v>
      </c>
      <c r="N215" s="296"/>
      <c r="O215" s="213">
        <v>-1026184.58</v>
      </c>
    </row>
    <row r="216" spans="1:32" x14ac:dyDescent="0.25">
      <c r="A216" s="285" t="s">
        <v>175</v>
      </c>
      <c r="B216" s="285">
        <v>1140000</v>
      </c>
      <c r="C216" s="337"/>
      <c r="D216" s="337"/>
      <c r="E216" s="337"/>
      <c r="F216" s="337"/>
      <c r="G216" s="337"/>
      <c r="H216" s="286"/>
      <c r="I216" s="287"/>
      <c r="J216" s="341">
        <v>-1980445</v>
      </c>
      <c r="K216" s="341"/>
      <c r="L216" s="338">
        <f t="shared" si="18"/>
        <v>-1980445</v>
      </c>
      <c r="M216" s="304">
        <f t="shared" si="19"/>
        <v>-1691864.85</v>
      </c>
      <c r="N216" s="296"/>
      <c r="O216" s="213">
        <v>-1691864.85</v>
      </c>
    </row>
    <row r="217" spans="1:32" ht="12.75" x14ac:dyDescent="0.2">
      <c r="A217" s="285"/>
      <c r="B217" s="285"/>
      <c r="C217" s="337"/>
      <c r="D217" s="337"/>
      <c r="E217" s="337"/>
      <c r="F217" s="337">
        <v>-3610635</v>
      </c>
      <c r="G217" s="337"/>
      <c r="H217" s="286">
        <f>SUM(F209:F217)</f>
        <v>39576926.279999994</v>
      </c>
      <c r="I217" s="287"/>
      <c r="J217" s="343">
        <f>SUM(J209:J216)</f>
        <v>66565655</v>
      </c>
      <c r="K217" s="343">
        <f>SUM(K209:K214)</f>
        <v>0</v>
      </c>
      <c r="L217" s="343">
        <f>SUM(L209:L216)</f>
        <v>62890655</v>
      </c>
      <c r="M217" s="344">
        <f>SUM(M209:M216)</f>
        <v>56140564.510000005</v>
      </c>
      <c r="N217" s="296"/>
      <c r="O217" s="298">
        <f>SUM(O209:O216)</f>
        <v>56140564.510000005</v>
      </c>
      <c r="P217" s="283">
        <f>M217+N217</f>
        <v>56140564.510000005</v>
      </c>
      <c r="Q217" s="278">
        <v>163671</v>
      </c>
      <c r="R217" s="278">
        <v>54298</v>
      </c>
      <c r="S217" s="278">
        <v>65141</v>
      </c>
      <c r="U217" s="278">
        <v>133145</v>
      </c>
      <c r="W217" s="278">
        <v>125429</v>
      </c>
      <c r="X217" s="351">
        <f>M217+N217-Q217-R217-S217-T217-U217-V217-W217</f>
        <v>55598880.510000005</v>
      </c>
      <c r="Y217" s="278">
        <v>154729</v>
      </c>
      <c r="AA217" s="278">
        <v>102062</v>
      </c>
      <c r="AB217" s="278">
        <v>100682</v>
      </c>
      <c r="AC217" s="278">
        <v>127406</v>
      </c>
      <c r="AE217" s="278">
        <v>59741</v>
      </c>
      <c r="AF217" s="352">
        <f>H217-Y217-Z217-AA217-AB217-AC217-AD217-AE217</f>
        <v>39032306.279999994</v>
      </c>
    </row>
    <row r="218" spans="1:32" ht="12.75" x14ac:dyDescent="0.2">
      <c r="A218" s="285"/>
      <c r="B218" s="285"/>
      <c r="C218" s="337"/>
      <c r="D218" s="337"/>
      <c r="E218" s="337"/>
      <c r="F218" s="337"/>
      <c r="G218" s="337"/>
      <c r="H218" s="286"/>
      <c r="I218" s="287"/>
      <c r="J218" s="345"/>
      <c r="K218" s="345"/>
      <c r="L218" s="345"/>
      <c r="M218" s="346"/>
      <c r="N218" s="296"/>
      <c r="O218" s="296"/>
    </row>
    <row r="219" spans="1:32" ht="24" x14ac:dyDescent="0.2">
      <c r="A219" s="300" t="s">
        <v>923</v>
      </c>
      <c r="B219" s="285"/>
      <c r="C219" s="337"/>
      <c r="D219" s="337"/>
      <c r="E219" s="337"/>
      <c r="F219" s="337"/>
      <c r="G219" s="337"/>
      <c r="H219" s="286"/>
      <c r="I219" s="287"/>
      <c r="J219" s="345"/>
      <c r="K219" s="345"/>
      <c r="L219" s="345"/>
      <c r="M219" s="346"/>
      <c r="N219" s="296"/>
      <c r="O219" s="296"/>
    </row>
    <row r="220" spans="1:32" x14ac:dyDescent="0.25">
      <c r="A220" s="285" t="s">
        <v>752</v>
      </c>
      <c r="B220" s="285">
        <v>1290000</v>
      </c>
      <c r="C220" s="337">
        <v>0</v>
      </c>
      <c r="D220" s="337">
        <v>10296414.789999999</v>
      </c>
      <c r="E220" s="337">
        <v>0</v>
      </c>
      <c r="F220" s="337">
        <v>10296414.789999999</v>
      </c>
      <c r="G220" s="337">
        <v>0</v>
      </c>
      <c r="H220" s="286"/>
      <c r="I220" s="287"/>
      <c r="J220" s="345">
        <v>15140135</v>
      </c>
      <c r="K220" s="345"/>
      <c r="L220" s="338">
        <f>J220+K220</f>
        <v>15140135</v>
      </c>
      <c r="M220" s="304">
        <f>N220+O220</f>
        <v>16063172.029999999</v>
      </c>
      <c r="N220" s="296"/>
      <c r="O220" s="213">
        <v>16063172.029999999</v>
      </c>
    </row>
    <row r="221" spans="1:32" x14ac:dyDescent="0.25">
      <c r="A221" s="285" t="s">
        <v>752</v>
      </c>
      <c r="B221" s="285">
        <v>1290100</v>
      </c>
      <c r="C221" s="337">
        <v>0</v>
      </c>
      <c r="D221" s="337">
        <v>5018231.42</v>
      </c>
      <c r="E221" s="337">
        <v>0</v>
      </c>
      <c r="F221" s="337">
        <v>5018231.42</v>
      </c>
      <c r="G221" s="337">
        <v>0</v>
      </c>
      <c r="H221" s="286">
        <f>SUM(F220:F221)</f>
        <v>15314646.209999999</v>
      </c>
      <c r="I221" s="287"/>
      <c r="J221" s="345">
        <v>7413940</v>
      </c>
      <c r="K221" s="345"/>
      <c r="L221" s="338">
        <f>J221+K221</f>
        <v>7413940</v>
      </c>
      <c r="M221" s="304">
        <f>N221+O221</f>
        <v>6206394.9900000002</v>
      </c>
      <c r="N221" s="296"/>
      <c r="O221" s="213">
        <v>6206394.9900000002</v>
      </c>
    </row>
    <row r="222" spans="1:32" ht="12.75" x14ac:dyDescent="0.2">
      <c r="A222" s="285"/>
      <c r="B222" s="285"/>
      <c r="C222" s="337"/>
      <c r="D222" s="337"/>
      <c r="E222" s="337"/>
      <c r="F222" s="337"/>
      <c r="G222" s="337"/>
      <c r="H222" s="286"/>
      <c r="I222" s="287"/>
      <c r="J222" s="292">
        <f>SUM(J220:J221)</f>
        <v>22554075</v>
      </c>
      <c r="K222" s="292">
        <f>SUM(K220:K221)</f>
        <v>0</v>
      </c>
      <c r="L222" s="292">
        <f>SUM(L220:L221)</f>
        <v>22554075</v>
      </c>
      <c r="M222" s="297">
        <f>SUM(M220:M221)</f>
        <v>22269567.02</v>
      </c>
      <c r="N222" s="296"/>
      <c r="O222" s="298">
        <v>22269567.02</v>
      </c>
      <c r="Q222" s="278">
        <v>174131</v>
      </c>
      <c r="R222" s="278">
        <v>24000</v>
      </c>
      <c r="S222" s="278">
        <v>89000</v>
      </c>
      <c r="U222" s="278">
        <v>168000</v>
      </c>
      <c r="W222" s="278">
        <v>163748</v>
      </c>
      <c r="X222" s="351">
        <f>M222-Q222-R222-S222-T222-U222-V222-W222</f>
        <v>21650688.02</v>
      </c>
      <c r="Y222" s="278">
        <v>173242</v>
      </c>
      <c r="AA222" s="278">
        <v>132000</v>
      </c>
      <c r="AB222" s="278">
        <v>168000</v>
      </c>
      <c r="AC222" s="278">
        <v>168000</v>
      </c>
      <c r="AE222" s="278">
        <v>75913</v>
      </c>
      <c r="AF222" s="352">
        <f>H221-Y222-Z222-AA222-AB222-AC222-AD222-AE222</f>
        <v>14597491.209999999</v>
      </c>
    </row>
    <row r="223" spans="1:32" ht="12.75" x14ac:dyDescent="0.2">
      <c r="A223" s="300" t="s">
        <v>924</v>
      </c>
      <c r="B223" s="285"/>
      <c r="C223" s="337"/>
      <c r="D223" s="337"/>
      <c r="E223" s="337"/>
      <c r="F223" s="337"/>
      <c r="G223" s="337"/>
      <c r="H223" s="286"/>
      <c r="I223" s="287"/>
      <c r="J223" s="338"/>
      <c r="K223" s="338"/>
      <c r="L223" s="338"/>
      <c r="M223" s="304"/>
      <c r="N223" s="296"/>
      <c r="O223" s="296"/>
      <c r="Q223" s="278">
        <f t="shared" ref="Q223:W223" si="20">Q206+Q217+Q222</f>
        <v>1008903</v>
      </c>
      <c r="R223" s="278">
        <f t="shared" si="20"/>
        <v>300000</v>
      </c>
      <c r="S223" s="278">
        <f t="shared" si="20"/>
        <v>396758</v>
      </c>
      <c r="T223" s="278">
        <f t="shared" si="20"/>
        <v>0</v>
      </c>
      <c r="U223" s="278">
        <f t="shared" si="20"/>
        <v>746244</v>
      </c>
      <c r="V223" s="278">
        <f t="shared" si="20"/>
        <v>0</v>
      </c>
      <c r="W223" s="278">
        <f t="shared" si="20"/>
        <v>742333</v>
      </c>
      <c r="Y223" s="278">
        <f t="shared" ref="Y223:AE223" si="21">Y206+Y217+Y222</f>
        <v>906025</v>
      </c>
      <c r="Z223" s="278">
        <f t="shared" si="21"/>
        <v>0</v>
      </c>
      <c r="AA223" s="278">
        <f t="shared" si="21"/>
        <v>687189</v>
      </c>
      <c r="AB223" s="278">
        <f t="shared" si="21"/>
        <v>696895</v>
      </c>
      <c r="AC223" s="278">
        <f t="shared" si="21"/>
        <v>703470</v>
      </c>
      <c r="AD223" s="278">
        <f t="shared" si="21"/>
        <v>0</v>
      </c>
      <c r="AE223" s="278">
        <f t="shared" si="21"/>
        <v>331450</v>
      </c>
    </row>
    <row r="224" spans="1:32" x14ac:dyDescent="0.25">
      <c r="A224" s="285" t="s">
        <v>747</v>
      </c>
      <c r="B224" s="285">
        <v>1220000</v>
      </c>
      <c r="C224" s="337">
        <v>0</v>
      </c>
      <c r="D224" s="337">
        <v>1328555.6399999999</v>
      </c>
      <c r="E224" s="337">
        <v>0</v>
      </c>
      <c r="F224" s="337">
        <v>1328555.6399999999</v>
      </c>
      <c r="G224" s="337">
        <v>0</v>
      </c>
      <c r="H224" s="286"/>
      <c r="I224" s="287"/>
      <c r="J224" s="338">
        <v>1751245</v>
      </c>
      <c r="K224" s="338"/>
      <c r="L224" s="338">
        <f t="shared" ref="L224:L229" si="22">J224+K224</f>
        <v>1751245</v>
      </c>
      <c r="M224" s="304">
        <f t="shared" ref="M224:M229" si="23">N224+O224</f>
        <v>1592395.64</v>
      </c>
      <c r="N224" s="296"/>
      <c r="O224" s="213">
        <v>1592395.64</v>
      </c>
    </row>
    <row r="225" spans="1:15" x14ac:dyDescent="0.25">
      <c r="A225" s="285" t="s">
        <v>748</v>
      </c>
      <c r="B225" s="285">
        <v>1240000</v>
      </c>
      <c r="C225" s="337">
        <v>0</v>
      </c>
      <c r="D225" s="337">
        <v>817173</v>
      </c>
      <c r="E225" s="337">
        <v>0</v>
      </c>
      <c r="F225" s="337">
        <v>817173</v>
      </c>
      <c r="G225" s="337">
        <v>0</v>
      </c>
      <c r="H225" s="286"/>
      <c r="I225" s="287"/>
      <c r="J225" s="338">
        <v>2195945</v>
      </c>
      <c r="K225" s="338"/>
      <c r="L225" s="338">
        <f t="shared" si="22"/>
        <v>2195945</v>
      </c>
      <c r="M225" s="304">
        <f t="shared" si="23"/>
        <v>2307984.6</v>
      </c>
      <c r="N225" s="296"/>
      <c r="O225" s="213">
        <v>2307984.6</v>
      </c>
    </row>
    <row r="226" spans="1:15" x14ac:dyDescent="0.25">
      <c r="A226" s="285" t="s">
        <v>749</v>
      </c>
      <c r="B226" s="285">
        <v>1260000</v>
      </c>
      <c r="C226" s="337">
        <v>0</v>
      </c>
      <c r="D226" s="337">
        <v>2310666.2799999998</v>
      </c>
      <c r="E226" s="337">
        <v>0</v>
      </c>
      <c r="F226" s="337">
        <v>2310666.2799999998</v>
      </c>
      <c r="G226" s="337">
        <v>0</v>
      </c>
      <c r="H226" s="286"/>
      <c r="I226" s="287"/>
      <c r="J226" s="338">
        <v>3572290</v>
      </c>
      <c r="K226" s="338"/>
      <c r="L226" s="338">
        <f t="shared" si="22"/>
        <v>3572290</v>
      </c>
      <c r="M226" s="304">
        <f t="shared" si="23"/>
        <v>3712172.04</v>
      </c>
      <c r="N226" s="296"/>
      <c r="O226" s="213">
        <v>3712172.04</v>
      </c>
    </row>
    <row r="227" spans="1:15" x14ac:dyDescent="0.25">
      <c r="A227" s="285" t="s">
        <v>750</v>
      </c>
      <c r="B227" s="285">
        <v>1280000</v>
      </c>
      <c r="C227" s="337">
        <v>0</v>
      </c>
      <c r="D227" s="337">
        <v>52559.45</v>
      </c>
      <c r="E227" s="337">
        <v>0</v>
      </c>
      <c r="F227" s="337">
        <v>52559.45</v>
      </c>
      <c r="G227" s="337">
        <v>0</v>
      </c>
      <c r="H227" s="286"/>
      <c r="I227" s="287"/>
      <c r="J227" s="338">
        <v>81100</v>
      </c>
      <c r="K227" s="338"/>
      <c r="L227" s="338">
        <f t="shared" si="22"/>
        <v>81100</v>
      </c>
      <c r="M227" s="304">
        <f t="shared" si="23"/>
        <v>80300.460000000006</v>
      </c>
      <c r="N227" s="296"/>
      <c r="O227" s="213">
        <v>80300.460000000006</v>
      </c>
    </row>
    <row r="228" spans="1:15" x14ac:dyDescent="0.25">
      <c r="A228" s="285" t="s">
        <v>751</v>
      </c>
      <c r="B228" s="285">
        <v>1285000</v>
      </c>
      <c r="C228" s="337">
        <v>0</v>
      </c>
      <c r="D228" s="337">
        <v>18914.8</v>
      </c>
      <c r="E228" s="337">
        <v>0</v>
      </c>
      <c r="F228" s="337">
        <v>18914.8</v>
      </c>
      <c r="G228" s="337">
        <v>0</v>
      </c>
      <c r="H228" s="286"/>
      <c r="I228" s="287"/>
      <c r="J228" s="338">
        <v>63700</v>
      </c>
      <c r="K228" s="338"/>
      <c r="L228" s="338">
        <f t="shared" si="22"/>
        <v>63700</v>
      </c>
      <c r="M228" s="304">
        <f t="shared" si="23"/>
        <v>52531.199999999997</v>
      </c>
      <c r="N228" s="296"/>
      <c r="O228" s="213">
        <v>52531.199999999997</v>
      </c>
    </row>
    <row r="229" spans="1:15" x14ac:dyDescent="0.25">
      <c r="A229" s="285" t="s">
        <v>757</v>
      </c>
      <c r="B229" s="285">
        <v>1295000</v>
      </c>
      <c r="C229" s="337">
        <v>0</v>
      </c>
      <c r="D229" s="337">
        <v>490580.16</v>
      </c>
      <c r="E229" s="337">
        <v>0</v>
      </c>
      <c r="F229" s="337">
        <v>490580.16</v>
      </c>
      <c r="G229" s="337">
        <v>0</v>
      </c>
      <c r="H229" s="286">
        <f>SUM(F224:F229)</f>
        <v>5018449.33</v>
      </c>
      <c r="I229" s="287"/>
      <c r="J229" s="338">
        <v>780500</v>
      </c>
      <c r="K229" s="338"/>
      <c r="L229" s="338">
        <f t="shared" si="22"/>
        <v>780500</v>
      </c>
      <c r="M229" s="304">
        <f t="shared" si="23"/>
        <v>713305.44</v>
      </c>
      <c r="N229" s="296"/>
      <c r="O229" s="213">
        <v>713305.44</v>
      </c>
    </row>
    <row r="230" spans="1:15" ht="12.75" x14ac:dyDescent="0.2">
      <c r="A230" s="285"/>
      <c r="B230" s="285"/>
      <c r="C230" s="337"/>
      <c r="D230" s="337"/>
      <c r="E230" s="337"/>
      <c r="F230" s="337"/>
      <c r="G230" s="337"/>
      <c r="H230" s="286"/>
      <c r="I230" s="287"/>
      <c r="J230" s="339">
        <f>SUM(J224:J229)</f>
        <v>8444780</v>
      </c>
      <c r="K230" s="339">
        <f>SUM(K224:K229)</f>
        <v>0</v>
      </c>
      <c r="L230" s="339">
        <f>SUM(L224:L229)</f>
        <v>8444780</v>
      </c>
      <c r="M230" s="340">
        <f>SUM(M224:M229)</f>
        <v>8458689.3800000008</v>
      </c>
      <c r="N230" s="296"/>
      <c r="O230" s="298">
        <f>SUM(O224:O229)</f>
        <v>8458689.3800000008</v>
      </c>
    </row>
    <row r="231" spans="1:15" ht="12.75" x14ac:dyDescent="0.2">
      <c r="A231" s="289" t="s">
        <v>383</v>
      </c>
      <c r="B231" s="285"/>
      <c r="C231" s="337"/>
      <c r="D231" s="337"/>
      <c r="E231" s="337"/>
      <c r="F231" s="337"/>
      <c r="G231" s="337"/>
      <c r="H231" s="286"/>
      <c r="I231" s="287"/>
      <c r="J231" s="341"/>
      <c r="K231" s="341"/>
      <c r="L231" s="341"/>
      <c r="M231" s="342"/>
      <c r="N231" s="296"/>
      <c r="O231" s="296"/>
    </row>
    <row r="232" spans="1:15" x14ac:dyDescent="0.25">
      <c r="A232" s="285" t="s">
        <v>740</v>
      </c>
      <c r="B232" s="285">
        <v>1060000</v>
      </c>
      <c r="C232" s="337">
        <v>0</v>
      </c>
      <c r="D232" s="337">
        <v>22296157.510000002</v>
      </c>
      <c r="E232" s="337">
        <v>0</v>
      </c>
      <c r="F232" s="337">
        <v>22296157.510000002</v>
      </c>
      <c r="G232" s="337">
        <v>0</v>
      </c>
      <c r="H232" s="286">
        <f>+F232</f>
        <v>22296157.510000002</v>
      </c>
      <c r="I232" s="287"/>
      <c r="J232" s="343">
        <v>36176100</v>
      </c>
      <c r="K232" s="343"/>
      <c r="L232" s="338">
        <f>J232+K232</f>
        <v>36176100</v>
      </c>
      <c r="M232" s="304">
        <f>N232+O232</f>
        <v>43026018.789999999</v>
      </c>
      <c r="N232" s="296"/>
      <c r="O232" s="213">
        <v>43026018.789999999</v>
      </c>
    </row>
    <row r="233" spans="1:15" ht="12.75" x14ac:dyDescent="0.2">
      <c r="A233" s="285"/>
      <c r="B233" s="285"/>
      <c r="C233" s="337"/>
      <c r="D233" s="337"/>
      <c r="E233" s="337"/>
      <c r="F233" s="337"/>
      <c r="G233" s="337"/>
      <c r="H233" s="286"/>
      <c r="I233" s="287"/>
      <c r="J233" s="345"/>
      <c r="K233" s="345"/>
      <c r="L233" s="345"/>
      <c r="M233" s="346"/>
      <c r="N233" s="296"/>
      <c r="O233" s="296"/>
    </row>
    <row r="234" spans="1:15" ht="12.75" x14ac:dyDescent="0.2">
      <c r="A234" s="289" t="s">
        <v>542</v>
      </c>
      <c r="B234" s="285"/>
      <c r="C234" s="337"/>
      <c r="D234" s="337"/>
      <c r="E234" s="337"/>
      <c r="F234" s="337"/>
      <c r="G234" s="337"/>
      <c r="H234" s="286"/>
      <c r="I234" s="287"/>
      <c r="J234" s="345"/>
      <c r="K234" s="345"/>
      <c r="L234" s="345"/>
      <c r="M234" s="346"/>
      <c r="N234" s="296"/>
      <c r="O234" s="296"/>
    </row>
    <row r="235" spans="1:15" x14ac:dyDescent="0.25">
      <c r="A235" s="285" t="s">
        <v>585</v>
      </c>
      <c r="B235" s="285">
        <v>2391000</v>
      </c>
      <c r="C235" s="337">
        <v>0</v>
      </c>
      <c r="D235" s="337">
        <v>17631159.07</v>
      </c>
      <c r="E235" s="337">
        <v>0</v>
      </c>
      <c r="F235" s="337">
        <v>17631159.07</v>
      </c>
      <c r="G235" s="337">
        <v>0</v>
      </c>
      <c r="H235" s="286">
        <f>+F235</f>
        <v>17631159.07</v>
      </c>
      <c r="I235" s="287"/>
      <c r="J235" s="292">
        <v>3000000</v>
      </c>
      <c r="K235" s="292"/>
      <c r="L235" s="338">
        <f>J235+K235</f>
        <v>3000000</v>
      </c>
      <c r="M235" s="304">
        <f>N235+O235</f>
        <v>5372469.25</v>
      </c>
      <c r="N235" s="296"/>
      <c r="O235" s="213">
        <v>5372469.25</v>
      </c>
    </row>
    <row r="236" spans="1:15" ht="12.75" x14ac:dyDescent="0.2">
      <c r="A236" s="285"/>
      <c r="B236" s="285"/>
      <c r="C236" s="337"/>
      <c r="D236" s="337"/>
      <c r="E236" s="337"/>
      <c r="F236" s="337"/>
      <c r="G236" s="337"/>
      <c r="H236" s="286"/>
      <c r="I236" s="287"/>
      <c r="J236" s="338"/>
      <c r="K236" s="338"/>
      <c r="L236" s="338"/>
      <c r="M236" s="304"/>
      <c r="N236" s="296"/>
      <c r="O236" s="296"/>
    </row>
    <row r="237" spans="1:15" ht="12.75" x14ac:dyDescent="0.2">
      <c r="A237" s="289" t="s">
        <v>382</v>
      </c>
      <c r="B237" s="285"/>
      <c r="C237" s="337"/>
      <c r="D237" s="337"/>
      <c r="E237" s="337"/>
      <c r="F237" s="337"/>
      <c r="G237" s="337"/>
      <c r="H237" s="286"/>
      <c r="I237" s="287"/>
      <c r="J237" s="338"/>
      <c r="K237" s="338"/>
      <c r="L237" s="338"/>
      <c r="M237" s="304"/>
      <c r="N237" s="296"/>
      <c r="O237" s="296"/>
    </row>
    <row r="238" spans="1:15" x14ac:dyDescent="0.25">
      <c r="A238" s="285" t="s">
        <v>738</v>
      </c>
      <c r="B238" s="285">
        <v>1040000</v>
      </c>
      <c r="C238" s="337">
        <v>0</v>
      </c>
      <c r="D238" s="337">
        <v>120388.45</v>
      </c>
      <c r="E238" s="337">
        <v>0</v>
      </c>
      <c r="F238" s="337">
        <v>120388.45</v>
      </c>
      <c r="G238" s="337">
        <v>0</v>
      </c>
      <c r="H238" s="286"/>
      <c r="I238" s="287"/>
      <c r="J238" s="338"/>
      <c r="K238" s="338"/>
      <c r="L238" s="338">
        <f>J238+K238</f>
        <v>0</v>
      </c>
      <c r="M238" s="304">
        <f>N238+O238</f>
        <v>494239.3</v>
      </c>
      <c r="N238" s="296"/>
      <c r="O238" s="213">
        <v>494239.3</v>
      </c>
    </row>
    <row r="239" spans="1:15" x14ac:dyDescent="0.25">
      <c r="A239" s="285" t="s">
        <v>739</v>
      </c>
      <c r="B239" s="285">
        <v>1050000</v>
      </c>
      <c r="C239" s="337">
        <v>0</v>
      </c>
      <c r="D239" s="337">
        <v>123203</v>
      </c>
      <c r="E239" s="337">
        <v>0</v>
      </c>
      <c r="F239" s="337">
        <v>123203</v>
      </c>
      <c r="G239" s="337">
        <v>0</v>
      </c>
      <c r="H239" s="286"/>
      <c r="I239" s="287"/>
      <c r="J239" s="338">
        <v>22280</v>
      </c>
      <c r="K239" s="338"/>
      <c r="L239" s="338">
        <f>J239+K239</f>
        <v>22280</v>
      </c>
      <c r="M239" s="304">
        <f>N239+O239</f>
        <v>1956622.29</v>
      </c>
      <c r="N239" s="296"/>
      <c r="O239" s="213">
        <v>1956622.29</v>
      </c>
    </row>
    <row r="240" spans="1:15" x14ac:dyDescent="0.25">
      <c r="A240" s="285" t="s">
        <v>739</v>
      </c>
      <c r="B240" s="285">
        <v>2392000</v>
      </c>
      <c r="C240" s="337"/>
      <c r="D240" s="337"/>
      <c r="E240" s="337"/>
      <c r="F240" s="337"/>
      <c r="G240" s="337"/>
      <c r="H240" s="286"/>
      <c r="I240" s="287"/>
      <c r="J240" s="338"/>
      <c r="K240" s="338"/>
      <c r="L240" s="338">
        <f>J240+K240</f>
        <v>0</v>
      </c>
      <c r="M240" s="304">
        <f>N240+O240</f>
        <v>0</v>
      </c>
      <c r="N240" s="296">
        <v>-1175755</v>
      </c>
      <c r="O240" s="213">
        <v>1175755</v>
      </c>
    </row>
    <row r="241" spans="1:15" x14ac:dyDescent="0.25">
      <c r="A241" s="285" t="s">
        <v>794</v>
      </c>
      <c r="B241" s="285">
        <v>2390000</v>
      </c>
      <c r="C241" s="337">
        <v>0</v>
      </c>
      <c r="D241" s="337">
        <v>40009.480000000003</v>
      </c>
      <c r="E241" s="337">
        <v>0</v>
      </c>
      <c r="F241" s="337">
        <v>40009.480000000003</v>
      </c>
      <c r="G241" s="337">
        <v>0</v>
      </c>
      <c r="H241" s="286">
        <f>SUM(F238:F241)</f>
        <v>283600.93</v>
      </c>
      <c r="I241" s="287"/>
      <c r="J241" s="338">
        <v>400000</v>
      </c>
      <c r="K241" s="338"/>
      <c r="L241" s="338">
        <f>J241+K241</f>
        <v>400000</v>
      </c>
      <c r="M241" s="304">
        <f>N241+O241</f>
        <v>2836101.28</v>
      </c>
      <c r="N241" s="296"/>
      <c r="O241" s="213">
        <v>2836101.28</v>
      </c>
    </row>
    <row r="242" spans="1:15" ht="12.75" x14ac:dyDescent="0.2">
      <c r="A242" s="285"/>
      <c r="B242" s="285"/>
      <c r="C242" s="337"/>
      <c r="D242" s="337"/>
      <c r="E242" s="337"/>
      <c r="F242" s="337"/>
      <c r="G242" s="337"/>
      <c r="H242" s="286"/>
      <c r="I242" s="287"/>
      <c r="J242" s="339">
        <f t="shared" ref="J242:O242" si="24">SUM(J238:J241)</f>
        <v>422280</v>
      </c>
      <c r="K242" s="339">
        <f t="shared" si="24"/>
        <v>0</v>
      </c>
      <c r="L242" s="339">
        <f t="shared" si="24"/>
        <v>422280</v>
      </c>
      <c r="M242" s="340">
        <f t="shared" si="24"/>
        <v>5286962.8699999992</v>
      </c>
      <c r="N242" s="298">
        <f t="shared" si="24"/>
        <v>-1175755</v>
      </c>
      <c r="O242" s="298">
        <f t="shared" si="24"/>
        <v>6462717.8699999992</v>
      </c>
    </row>
    <row r="243" spans="1:15" ht="12.75" x14ac:dyDescent="0.2">
      <c r="A243" s="289" t="s">
        <v>540</v>
      </c>
      <c r="B243" s="285"/>
      <c r="C243" s="337"/>
      <c r="D243" s="337"/>
      <c r="E243" s="337"/>
      <c r="F243" s="337"/>
      <c r="G243" s="337"/>
      <c r="H243" s="286"/>
      <c r="I243" s="287"/>
      <c r="J243" s="341"/>
      <c r="K243" s="341"/>
      <c r="L243" s="341"/>
      <c r="M243" s="342"/>
      <c r="N243" s="296"/>
      <c r="O243" s="296"/>
    </row>
    <row r="244" spans="1:15" x14ac:dyDescent="0.25">
      <c r="A244" s="285" t="s">
        <v>734</v>
      </c>
      <c r="B244" s="285">
        <v>1005100</v>
      </c>
      <c r="C244" s="337">
        <v>0</v>
      </c>
      <c r="D244" s="337">
        <v>334230.62</v>
      </c>
      <c r="E244" s="337">
        <v>0</v>
      </c>
      <c r="F244" s="337">
        <v>334230.62</v>
      </c>
      <c r="G244" s="337">
        <v>0</v>
      </c>
      <c r="H244" s="286"/>
      <c r="I244" s="287"/>
      <c r="J244" s="341">
        <v>509725</v>
      </c>
      <c r="K244" s="341"/>
      <c r="L244" s="338">
        <f t="shared" ref="L244:L259" si="25">J244+K244</f>
        <v>509725</v>
      </c>
      <c r="M244" s="304">
        <f t="shared" ref="M244:M259" si="26">N244+O244</f>
        <v>232466.61</v>
      </c>
      <c r="N244" s="296"/>
      <c r="O244" s="213">
        <v>232466.61</v>
      </c>
    </row>
    <row r="245" spans="1:15" x14ac:dyDescent="0.25">
      <c r="A245" s="285" t="s">
        <v>735</v>
      </c>
      <c r="B245" s="285">
        <v>1005200</v>
      </c>
      <c r="C245" s="337">
        <v>0</v>
      </c>
      <c r="D245" s="337">
        <v>264915.71999999997</v>
      </c>
      <c r="E245" s="337">
        <v>0</v>
      </c>
      <c r="F245" s="337">
        <v>264915.71999999997</v>
      </c>
      <c r="G245" s="337">
        <v>0</v>
      </c>
      <c r="H245" s="286"/>
      <c r="I245" s="287"/>
      <c r="J245" s="341">
        <v>405095</v>
      </c>
      <c r="K245" s="341"/>
      <c r="L245" s="338">
        <f t="shared" si="25"/>
        <v>405095</v>
      </c>
      <c r="M245" s="304">
        <f t="shared" si="26"/>
        <v>474860.26</v>
      </c>
      <c r="N245" s="296"/>
      <c r="O245" s="213">
        <v>474860.26</v>
      </c>
    </row>
    <row r="246" spans="1:15" x14ac:dyDescent="0.25">
      <c r="A246" s="285" t="s">
        <v>337</v>
      </c>
      <c r="B246" s="285">
        <v>1005300</v>
      </c>
      <c r="C246" s="337"/>
      <c r="D246" s="337"/>
      <c r="E246" s="337"/>
      <c r="F246" s="337"/>
      <c r="G246" s="337"/>
      <c r="H246" s="286"/>
      <c r="I246" s="287"/>
      <c r="J246" s="341">
        <v>1894690</v>
      </c>
      <c r="K246" s="341"/>
      <c r="L246" s="338">
        <f t="shared" si="25"/>
        <v>1894690</v>
      </c>
      <c r="M246" s="304">
        <f t="shared" si="26"/>
        <v>0</v>
      </c>
      <c r="N246" s="296"/>
      <c r="O246" s="213"/>
    </row>
    <row r="247" spans="1:15" x14ac:dyDescent="0.25">
      <c r="A247" s="285" t="s">
        <v>758</v>
      </c>
      <c r="B247" s="285">
        <v>1005400</v>
      </c>
      <c r="C247" s="337">
        <v>0</v>
      </c>
      <c r="D247" s="337">
        <v>1932404.64</v>
      </c>
      <c r="E247" s="337">
        <v>0</v>
      </c>
      <c r="F247" s="337">
        <v>1932404.64</v>
      </c>
      <c r="G247" s="337">
        <v>0</v>
      </c>
      <c r="H247" s="286"/>
      <c r="I247" s="287"/>
      <c r="J247" s="341">
        <v>1220695</v>
      </c>
      <c r="K247" s="341"/>
      <c r="L247" s="338">
        <f t="shared" si="25"/>
        <v>1220695</v>
      </c>
      <c r="M247" s="304">
        <f t="shared" si="26"/>
        <v>2454690.0499999998</v>
      </c>
      <c r="N247" s="296"/>
      <c r="O247" s="213">
        <v>2454690.0499999998</v>
      </c>
    </row>
    <row r="248" spans="1:15" x14ac:dyDescent="0.25">
      <c r="A248" s="285" t="s">
        <v>759</v>
      </c>
      <c r="B248" s="285">
        <v>1005500</v>
      </c>
      <c r="C248" s="337">
        <v>0</v>
      </c>
      <c r="D248" s="337">
        <v>5550238.5099999998</v>
      </c>
      <c r="E248" s="337">
        <v>0</v>
      </c>
      <c r="F248" s="337">
        <v>5550238.5099999998</v>
      </c>
      <c r="G248" s="337">
        <v>0</v>
      </c>
      <c r="H248" s="286"/>
      <c r="I248" s="287"/>
      <c r="J248" s="341">
        <v>8675820</v>
      </c>
      <c r="K248" s="341"/>
      <c r="L248" s="338">
        <f t="shared" si="25"/>
        <v>8675820</v>
      </c>
      <c r="M248" s="304">
        <f t="shared" si="26"/>
        <v>8448158.4100000001</v>
      </c>
      <c r="N248" s="296"/>
      <c r="O248" s="213">
        <v>8448158.4100000001</v>
      </c>
    </row>
    <row r="249" spans="1:15" x14ac:dyDescent="0.25">
      <c r="A249" s="285" t="s">
        <v>751</v>
      </c>
      <c r="B249" s="285">
        <v>1285100</v>
      </c>
      <c r="C249" s="337">
        <v>0</v>
      </c>
      <c r="D249" s="337">
        <v>26430</v>
      </c>
      <c r="E249" s="337">
        <v>0</v>
      </c>
      <c r="F249" s="337">
        <v>26430</v>
      </c>
      <c r="G249" s="337">
        <v>0</v>
      </c>
      <c r="H249" s="286"/>
      <c r="I249" s="287"/>
      <c r="J249" s="341">
        <v>34250</v>
      </c>
      <c r="K249" s="341"/>
      <c r="L249" s="338">
        <f t="shared" si="25"/>
        <v>34250</v>
      </c>
      <c r="M249" s="304">
        <f t="shared" si="26"/>
        <v>17696</v>
      </c>
      <c r="N249" s="296"/>
      <c r="O249" s="213">
        <v>17696</v>
      </c>
    </row>
    <row r="250" spans="1:15" x14ac:dyDescent="0.25">
      <c r="A250" s="285" t="s">
        <v>751</v>
      </c>
      <c r="B250" s="285">
        <v>1285200</v>
      </c>
      <c r="C250" s="337">
        <v>0</v>
      </c>
      <c r="D250" s="337">
        <v>14400</v>
      </c>
      <c r="E250" s="337">
        <v>0</v>
      </c>
      <c r="F250" s="337">
        <v>14400</v>
      </c>
      <c r="G250" s="337">
        <v>0</v>
      </c>
      <c r="H250" s="286"/>
      <c r="I250" s="287"/>
      <c r="J250" s="341">
        <v>17100</v>
      </c>
      <c r="K250" s="341"/>
      <c r="L250" s="338">
        <f t="shared" si="25"/>
        <v>17100</v>
      </c>
      <c r="M250" s="304">
        <f t="shared" si="26"/>
        <v>24078</v>
      </c>
      <c r="N250" s="296"/>
      <c r="O250" s="213">
        <v>24078</v>
      </c>
    </row>
    <row r="251" spans="1:15" x14ac:dyDescent="0.25">
      <c r="A251" s="285" t="s">
        <v>751</v>
      </c>
      <c r="B251" s="285">
        <v>1285300</v>
      </c>
      <c r="C251" s="337">
        <v>0</v>
      </c>
      <c r="D251" s="337">
        <v>125668</v>
      </c>
      <c r="E251" s="337">
        <v>0</v>
      </c>
      <c r="F251" s="337">
        <v>125668</v>
      </c>
      <c r="G251" s="337">
        <v>0</v>
      </c>
      <c r="H251" s="286"/>
      <c r="I251" s="287"/>
      <c r="J251" s="341">
        <v>149510</v>
      </c>
      <c r="K251" s="341"/>
      <c r="L251" s="338">
        <f t="shared" si="25"/>
        <v>149510</v>
      </c>
      <c r="M251" s="304">
        <f t="shared" si="26"/>
        <v>173364.1</v>
      </c>
      <c r="N251" s="296"/>
      <c r="O251" s="213">
        <v>173364.1</v>
      </c>
    </row>
    <row r="252" spans="1:15" x14ac:dyDescent="0.25">
      <c r="A252" s="285" t="s">
        <v>751</v>
      </c>
      <c r="B252" s="285">
        <v>1285400</v>
      </c>
      <c r="C252" s="337">
        <v>0</v>
      </c>
      <c r="D252" s="337">
        <v>548268</v>
      </c>
      <c r="E252" s="337">
        <v>0</v>
      </c>
      <c r="F252" s="337">
        <v>548268</v>
      </c>
      <c r="G252" s="337">
        <v>0</v>
      </c>
      <c r="H252" s="286"/>
      <c r="I252" s="287"/>
      <c r="J252" s="341">
        <v>640080</v>
      </c>
      <c r="K252" s="341"/>
      <c r="L252" s="338">
        <f t="shared" si="25"/>
        <v>640080</v>
      </c>
      <c r="M252" s="304">
        <f t="shared" si="26"/>
        <v>683715.52</v>
      </c>
      <c r="N252" s="296"/>
      <c r="O252" s="213">
        <v>683715.52</v>
      </c>
    </row>
    <row r="253" spans="1:15" x14ac:dyDescent="0.25">
      <c r="A253" s="285" t="s">
        <v>753</v>
      </c>
      <c r="B253" s="285">
        <v>1290200</v>
      </c>
      <c r="C253" s="337">
        <v>0</v>
      </c>
      <c r="D253" s="337">
        <v>83557.679999999993</v>
      </c>
      <c r="E253" s="337">
        <v>0</v>
      </c>
      <c r="F253" s="337">
        <v>83557.679999999993</v>
      </c>
      <c r="G253" s="337">
        <v>0</v>
      </c>
      <c r="H253" s="286"/>
      <c r="I253" s="287"/>
      <c r="J253" s="341">
        <v>127430</v>
      </c>
      <c r="K253" s="341"/>
      <c r="L253" s="338">
        <f t="shared" si="25"/>
        <v>127430</v>
      </c>
      <c r="M253" s="304">
        <f t="shared" si="26"/>
        <v>78594.42</v>
      </c>
      <c r="N253" s="296"/>
      <c r="O253" s="213">
        <v>78594.42</v>
      </c>
    </row>
    <row r="254" spans="1:15" x14ac:dyDescent="0.25">
      <c r="A254" s="285" t="s">
        <v>754</v>
      </c>
      <c r="B254" s="285">
        <v>1290300</v>
      </c>
      <c r="C254" s="337">
        <v>0</v>
      </c>
      <c r="D254" s="337">
        <v>66228.86</v>
      </c>
      <c r="E254" s="337">
        <v>0</v>
      </c>
      <c r="F254" s="337">
        <v>66228.86</v>
      </c>
      <c r="G254" s="337">
        <v>0</v>
      </c>
      <c r="H254" s="286"/>
      <c r="I254" s="287"/>
      <c r="J254" s="341">
        <v>101275</v>
      </c>
      <c r="K254" s="341"/>
      <c r="L254" s="338">
        <f t="shared" si="25"/>
        <v>101275</v>
      </c>
      <c r="M254" s="304">
        <f t="shared" si="26"/>
        <v>210804.42</v>
      </c>
      <c r="N254" s="296"/>
      <c r="O254" s="213">
        <v>210804.42</v>
      </c>
    </row>
    <row r="255" spans="1:15" x14ac:dyDescent="0.25">
      <c r="A255" s="285" t="s">
        <v>755</v>
      </c>
      <c r="B255" s="285">
        <v>1290400</v>
      </c>
      <c r="C255" s="337">
        <v>0</v>
      </c>
      <c r="D255" s="337">
        <v>497257.72</v>
      </c>
      <c r="E255" s="337">
        <v>0</v>
      </c>
      <c r="F255" s="337">
        <v>497257.72</v>
      </c>
      <c r="G255" s="337">
        <v>0</v>
      </c>
      <c r="H255" s="286"/>
      <c r="I255" s="287"/>
      <c r="J255" s="341">
        <v>778850</v>
      </c>
      <c r="K255" s="341"/>
      <c r="L255" s="338">
        <f t="shared" si="25"/>
        <v>778850</v>
      </c>
      <c r="M255" s="304">
        <f t="shared" si="26"/>
        <v>842853.46</v>
      </c>
      <c r="N255" s="296"/>
      <c r="O255" s="213">
        <v>842853.46</v>
      </c>
    </row>
    <row r="256" spans="1:15" x14ac:dyDescent="0.25">
      <c r="A256" s="285" t="s">
        <v>756</v>
      </c>
      <c r="B256" s="285">
        <v>1290600</v>
      </c>
      <c r="C256" s="337">
        <v>0</v>
      </c>
      <c r="D256" s="337">
        <v>1328940.08</v>
      </c>
      <c r="E256" s="337">
        <v>0</v>
      </c>
      <c r="F256" s="337">
        <v>1328940.08</v>
      </c>
      <c r="G256" s="337">
        <v>0</v>
      </c>
      <c r="H256" s="286"/>
      <c r="I256" s="287"/>
      <c r="J256" s="341">
        <v>2168955</v>
      </c>
      <c r="K256" s="341"/>
      <c r="L256" s="338">
        <f t="shared" si="25"/>
        <v>2168955</v>
      </c>
      <c r="M256" s="304">
        <f t="shared" si="26"/>
        <v>2925120.44</v>
      </c>
      <c r="N256" s="296"/>
      <c r="O256" s="213">
        <v>2925120.44</v>
      </c>
    </row>
    <row r="257" spans="1:16" x14ac:dyDescent="0.25">
      <c r="A257" s="285" t="s">
        <v>174</v>
      </c>
      <c r="B257" s="285">
        <v>1120000</v>
      </c>
      <c r="C257" s="337"/>
      <c r="D257" s="337"/>
      <c r="E257" s="337"/>
      <c r="F257" s="337"/>
      <c r="G257" s="337"/>
      <c r="H257" s="286"/>
      <c r="I257" s="287"/>
      <c r="J257" s="341">
        <v>1292535</v>
      </c>
      <c r="K257" s="341"/>
      <c r="L257" s="338">
        <f t="shared" si="25"/>
        <v>1292535</v>
      </c>
      <c r="M257" s="304">
        <f t="shared" si="26"/>
        <v>1026184.58</v>
      </c>
      <c r="N257" s="296"/>
      <c r="O257" s="213">
        <v>1026184.58</v>
      </c>
    </row>
    <row r="258" spans="1:16" x14ac:dyDescent="0.25">
      <c r="A258" s="285" t="s">
        <v>175</v>
      </c>
      <c r="B258" s="285">
        <v>1140000</v>
      </c>
      <c r="C258" s="337"/>
      <c r="D258" s="337"/>
      <c r="E258" s="337"/>
      <c r="F258" s="337"/>
      <c r="G258" s="337"/>
      <c r="H258" s="286"/>
      <c r="I258" s="287"/>
      <c r="J258" s="341">
        <v>1980445</v>
      </c>
      <c r="K258" s="341"/>
      <c r="L258" s="338">
        <f t="shared" si="25"/>
        <v>1980445</v>
      </c>
      <c r="M258" s="304">
        <f t="shared" si="26"/>
        <v>1691864.85</v>
      </c>
      <c r="N258" s="296"/>
      <c r="O258" s="213">
        <v>1691864.85</v>
      </c>
    </row>
    <row r="259" spans="1:16" x14ac:dyDescent="0.25">
      <c r="A259" s="285" t="s">
        <v>176</v>
      </c>
      <c r="B259" s="285">
        <v>1005000</v>
      </c>
      <c r="C259" s="337"/>
      <c r="D259" s="337"/>
      <c r="E259" s="337"/>
      <c r="F259" s="337"/>
      <c r="G259" s="337"/>
      <c r="H259" s="286"/>
      <c r="I259" s="287"/>
      <c r="J259" s="341"/>
      <c r="K259" s="341"/>
      <c r="L259" s="338">
        <f t="shared" si="25"/>
        <v>0</v>
      </c>
      <c r="M259" s="304">
        <f t="shared" si="26"/>
        <v>494437.69</v>
      </c>
      <c r="N259" s="296"/>
      <c r="O259" s="213">
        <v>494437.69</v>
      </c>
    </row>
    <row r="260" spans="1:16" ht="12.75" x14ac:dyDescent="0.2">
      <c r="A260" s="285"/>
      <c r="B260" s="285"/>
      <c r="C260" s="337"/>
      <c r="D260" s="337"/>
      <c r="E260" s="337"/>
      <c r="F260" s="337">
        <v>3610635</v>
      </c>
      <c r="G260" s="337"/>
      <c r="H260" s="286">
        <f>SUM(F244:F260)</f>
        <v>14383174.83</v>
      </c>
      <c r="I260" s="287"/>
      <c r="J260" s="343">
        <f>SUM(J244:J259)</f>
        <v>19996455</v>
      </c>
      <c r="K260" s="343">
        <f>SUM(K244:K259)</f>
        <v>0</v>
      </c>
      <c r="L260" s="343">
        <f>SUM(L244:L259)</f>
        <v>19996455</v>
      </c>
      <c r="M260" s="344">
        <f>SUM(M244:M259)</f>
        <v>19778888.810000002</v>
      </c>
      <c r="N260" s="298">
        <f>SUM(N244:N256)</f>
        <v>0</v>
      </c>
      <c r="O260" s="298">
        <f>SUM(O244:O259)</f>
        <v>19778888.810000002</v>
      </c>
      <c r="P260" s="283">
        <f>M260+N260</f>
        <v>19778888.810000002</v>
      </c>
    </row>
    <row r="261" spans="1:16" ht="12.75" x14ac:dyDescent="0.2">
      <c r="A261" s="285"/>
      <c r="B261" s="285"/>
      <c r="C261" s="337"/>
      <c r="D261" s="337"/>
      <c r="E261" s="337"/>
      <c r="F261" s="337"/>
      <c r="G261" s="337"/>
      <c r="H261" s="286"/>
      <c r="I261" s="287"/>
      <c r="J261" s="345"/>
      <c r="K261" s="345"/>
      <c r="L261" s="345"/>
      <c r="M261" s="346"/>
      <c r="N261" s="296"/>
      <c r="O261" s="296"/>
    </row>
    <row r="262" spans="1:16" ht="12.75" x14ac:dyDescent="0.2">
      <c r="A262" s="289" t="s">
        <v>279</v>
      </c>
      <c r="B262" s="285"/>
      <c r="C262" s="337"/>
      <c r="D262" s="337"/>
      <c r="E262" s="337"/>
      <c r="F262" s="337"/>
      <c r="G262" s="337"/>
      <c r="H262" s="286"/>
      <c r="I262" s="287"/>
      <c r="J262" s="345"/>
      <c r="K262" s="345"/>
      <c r="L262" s="345"/>
      <c r="M262" s="346"/>
      <c r="N262" s="296"/>
      <c r="O262" s="296"/>
    </row>
    <row r="263" spans="1:16" x14ac:dyDescent="0.25">
      <c r="A263" s="285" t="s">
        <v>688</v>
      </c>
      <c r="B263" s="285">
        <v>2084000</v>
      </c>
      <c r="C263" s="337">
        <v>0</v>
      </c>
      <c r="D263" s="337">
        <v>20000000.039999999</v>
      </c>
      <c r="E263" s="337">
        <v>0</v>
      </c>
      <c r="F263" s="337">
        <v>20000000.039999999</v>
      </c>
      <c r="G263" s="337">
        <v>0</v>
      </c>
      <c r="H263" s="286">
        <f>+F263</f>
        <v>20000000.039999999</v>
      </c>
      <c r="I263" s="287"/>
      <c r="J263" s="292">
        <v>30000000</v>
      </c>
      <c r="K263" s="292">
        <v>-19000000</v>
      </c>
      <c r="L263" s="338">
        <f>J263+K263</f>
        <v>11000000</v>
      </c>
      <c r="M263" s="304">
        <f>N263+O263</f>
        <v>47599029.159999996</v>
      </c>
      <c r="N263" s="296">
        <v>8478406.1600000001</v>
      </c>
      <c r="O263" s="213">
        <v>39120623</v>
      </c>
    </row>
    <row r="264" spans="1:16" ht="12.75" x14ac:dyDescent="0.2">
      <c r="A264" s="285"/>
      <c r="B264" s="285"/>
      <c r="C264" s="337"/>
      <c r="D264" s="337"/>
      <c r="E264" s="337"/>
      <c r="F264" s="337"/>
      <c r="G264" s="337"/>
      <c r="H264" s="286"/>
      <c r="I264" s="287"/>
      <c r="J264" s="338"/>
      <c r="K264" s="338"/>
      <c r="L264" s="338"/>
      <c r="M264" s="304"/>
      <c r="N264" s="296"/>
      <c r="O264" s="296"/>
    </row>
    <row r="265" spans="1:16" ht="12.75" x14ac:dyDescent="0.2">
      <c r="A265" s="289" t="s">
        <v>280</v>
      </c>
      <c r="B265" s="285"/>
      <c r="C265" s="337"/>
      <c r="D265" s="337"/>
      <c r="E265" s="337"/>
      <c r="F265" s="337"/>
      <c r="G265" s="337"/>
      <c r="H265" s="286"/>
      <c r="I265" s="287"/>
      <c r="J265" s="338"/>
      <c r="K265" s="338"/>
      <c r="L265" s="338"/>
      <c r="M265" s="304"/>
      <c r="N265" s="296"/>
      <c r="O265" s="296"/>
    </row>
    <row r="266" spans="1:16" x14ac:dyDescent="0.25">
      <c r="A266" s="285" t="s">
        <v>679</v>
      </c>
      <c r="B266" s="285">
        <v>2550000</v>
      </c>
      <c r="C266" s="337">
        <v>0</v>
      </c>
      <c r="D266" s="337">
        <v>2387708</v>
      </c>
      <c r="E266" s="337">
        <v>0</v>
      </c>
      <c r="F266" s="337">
        <v>2387708</v>
      </c>
      <c r="G266" s="337"/>
      <c r="H266" s="286">
        <f>+F266</f>
        <v>2387708</v>
      </c>
      <c r="I266" s="287"/>
      <c r="J266" s="339">
        <v>2200000</v>
      </c>
      <c r="K266" s="339"/>
      <c r="L266" s="338">
        <f>J266+K266</f>
        <v>2200000</v>
      </c>
      <c r="M266" s="304">
        <f>N266+O266</f>
        <v>1463112.09</v>
      </c>
      <c r="N266" s="296"/>
      <c r="O266" s="213">
        <v>1463112.09</v>
      </c>
    </row>
    <row r="267" spans="1:16" ht="12.75" x14ac:dyDescent="0.2">
      <c r="A267" s="285"/>
      <c r="B267" s="285"/>
      <c r="C267" s="337"/>
      <c r="D267" s="337"/>
      <c r="E267" s="337"/>
      <c r="F267" s="337"/>
      <c r="G267" s="337"/>
      <c r="H267" s="286"/>
      <c r="I267" s="287"/>
      <c r="J267" s="341"/>
      <c r="K267" s="341"/>
      <c r="L267" s="341"/>
      <c r="M267" s="342"/>
      <c r="N267" s="296"/>
      <c r="O267" s="296"/>
    </row>
    <row r="268" spans="1:16" ht="12.75" x14ac:dyDescent="0.2">
      <c r="A268" s="289" t="s">
        <v>365</v>
      </c>
      <c r="B268" s="285"/>
      <c r="C268" s="337"/>
      <c r="D268" s="337"/>
      <c r="E268" s="337"/>
      <c r="F268" s="337"/>
      <c r="G268" s="337"/>
      <c r="H268" s="286"/>
      <c r="I268" s="287"/>
      <c r="J268" s="341"/>
      <c r="K268" s="341"/>
      <c r="L268" s="341"/>
      <c r="M268" s="342"/>
      <c r="N268" s="296"/>
      <c r="O268" s="296"/>
    </row>
    <row r="269" spans="1:16" x14ac:dyDescent="0.25">
      <c r="A269" s="285" t="s">
        <v>583</v>
      </c>
      <c r="B269" s="285">
        <v>4020000</v>
      </c>
      <c r="C269" s="337">
        <v>0</v>
      </c>
      <c r="D269" s="337">
        <v>79925024.719999999</v>
      </c>
      <c r="E269" s="337">
        <v>0</v>
      </c>
      <c r="F269" s="337">
        <v>79925024.719999999</v>
      </c>
      <c r="G269" s="337">
        <v>0</v>
      </c>
      <c r="H269" s="286">
        <f>+F269</f>
        <v>79925024.719999999</v>
      </c>
      <c r="I269" s="287"/>
      <c r="J269" s="353">
        <v>112694000</v>
      </c>
      <c r="K269" s="353"/>
      <c r="L269" s="338">
        <f>J269+K269</f>
        <v>112694000</v>
      </c>
      <c r="M269" s="304">
        <f>N269+O269</f>
        <v>176460819.37</v>
      </c>
      <c r="N269" s="296">
        <f>3499486.34+365300.94+183790</f>
        <v>4048577.28</v>
      </c>
      <c r="O269" s="213">
        <v>172412242.09</v>
      </c>
    </row>
    <row r="270" spans="1:16" ht="12.75" x14ac:dyDescent="0.2">
      <c r="A270" s="289"/>
      <c r="B270" s="285"/>
      <c r="C270" s="337"/>
      <c r="D270" s="337"/>
      <c r="E270" s="337"/>
      <c r="F270" s="337"/>
      <c r="G270" s="337"/>
      <c r="H270" s="286"/>
      <c r="I270" s="287"/>
      <c r="J270" s="345"/>
      <c r="K270" s="345"/>
      <c r="L270" s="345"/>
      <c r="M270" s="346"/>
      <c r="N270" s="296"/>
      <c r="O270" s="296"/>
    </row>
    <row r="271" spans="1:16" ht="12.75" x14ac:dyDescent="0.2">
      <c r="A271" s="289" t="s">
        <v>359</v>
      </c>
      <c r="B271" s="285"/>
      <c r="C271" s="337"/>
      <c r="D271" s="337"/>
      <c r="E271" s="337"/>
      <c r="F271" s="337"/>
      <c r="G271" s="337"/>
      <c r="H271" s="286"/>
      <c r="I271" s="287"/>
      <c r="J271" s="345"/>
      <c r="K271" s="345"/>
      <c r="L271" s="345"/>
      <c r="M271" s="346"/>
      <c r="N271" s="296"/>
      <c r="O271" s="296"/>
    </row>
    <row r="272" spans="1:16" x14ac:dyDescent="0.25">
      <c r="A272" s="285" t="s">
        <v>238</v>
      </c>
      <c r="B272" s="285">
        <v>3005000</v>
      </c>
      <c r="C272" s="337">
        <v>0</v>
      </c>
      <c r="D272" s="337">
        <v>213762.07</v>
      </c>
      <c r="E272" s="337">
        <v>0</v>
      </c>
      <c r="F272" s="337">
        <v>213762.07</v>
      </c>
      <c r="G272" s="337">
        <v>0</v>
      </c>
      <c r="H272" s="286"/>
      <c r="I272" s="287"/>
      <c r="J272" s="345">
        <v>287000</v>
      </c>
      <c r="K272" s="345"/>
      <c r="L272" s="338">
        <f t="shared" ref="L272:L314" si="27">J272+K272</f>
        <v>287000</v>
      </c>
      <c r="M272" s="304">
        <f t="shared" ref="M272:M314" si="28">N272+O272</f>
        <v>216398.49</v>
      </c>
      <c r="N272" s="296"/>
      <c r="O272" s="213">
        <v>216398.49</v>
      </c>
    </row>
    <row r="273" spans="1:15" x14ac:dyDescent="0.25">
      <c r="A273" s="285" t="s">
        <v>239</v>
      </c>
      <c r="B273" s="285">
        <v>3010000</v>
      </c>
      <c r="C273" s="337">
        <v>0</v>
      </c>
      <c r="D273" s="337">
        <v>47780</v>
      </c>
      <c r="E273" s="337">
        <v>0</v>
      </c>
      <c r="F273" s="337">
        <v>47780</v>
      </c>
      <c r="G273" s="337">
        <v>0</v>
      </c>
      <c r="H273" s="286"/>
      <c r="I273" s="287"/>
      <c r="J273" s="345">
        <v>52500</v>
      </c>
      <c r="K273" s="345"/>
      <c r="L273" s="338">
        <f t="shared" si="27"/>
        <v>52500</v>
      </c>
      <c r="M273" s="304">
        <f t="shared" si="28"/>
        <v>34462.620000000003</v>
      </c>
      <c r="N273" s="296"/>
      <c r="O273" s="213">
        <v>34462.620000000003</v>
      </c>
    </row>
    <row r="274" spans="1:15" x14ac:dyDescent="0.25">
      <c r="A274" s="285" t="s">
        <v>240</v>
      </c>
      <c r="B274" s="285">
        <v>3015000</v>
      </c>
      <c r="C274" s="337">
        <v>0</v>
      </c>
      <c r="D274" s="337">
        <v>19152</v>
      </c>
      <c r="E274" s="337">
        <v>0</v>
      </c>
      <c r="F274" s="337">
        <v>19152</v>
      </c>
      <c r="G274" s="337">
        <v>0</v>
      </c>
      <c r="H274" s="286"/>
      <c r="I274" s="287"/>
      <c r="J274" s="345">
        <v>20000</v>
      </c>
      <c r="K274" s="345"/>
      <c r="L274" s="338">
        <f t="shared" si="27"/>
        <v>20000</v>
      </c>
      <c r="M274" s="304">
        <f t="shared" si="28"/>
        <v>16808</v>
      </c>
      <c r="N274" s="296"/>
      <c r="O274" s="213">
        <v>16808</v>
      </c>
    </row>
    <row r="275" spans="1:15" x14ac:dyDescent="0.25">
      <c r="A275" s="285" t="s">
        <v>241</v>
      </c>
      <c r="B275" s="285">
        <v>3016000</v>
      </c>
      <c r="C275" s="337">
        <v>0</v>
      </c>
      <c r="D275" s="337">
        <v>6601.91</v>
      </c>
      <c r="E275" s="337">
        <v>0</v>
      </c>
      <c r="F275" s="337">
        <v>6601.91</v>
      </c>
      <c r="G275" s="337">
        <v>0</v>
      </c>
      <c r="H275" s="286"/>
      <c r="I275" s="287"/>
      <c r="J275" s="345">
        <v>8000</v>
      </c>
      <c r="K275" s="345"/>
      <c r="L275" s="338">
        <f t="shared" si="27"/>
        <v>8000</v>
      </c>
      <c r="M275" s="304">
        <f t="shared" si="28"/>
        <v>0</v>
      </c>
      <c r="N275" s="296"/>
      <c r="O275" s="213"/>
    </row>
    <row r="276" spans="1:15" x14ac:dyDescent="0.25">
      <c r="A276" s="285" t="s">
        <v>242</v>
      </c>
      <c r="B276" s="285">
        <v>3020000</v>
      </c>
      <c r="C276" s="337">
        <v>0</v>
      </c>
      <c r="D276" s="337">
        <v>40060</v>
      </c>
      <c r="E276" s="337">
        <v>0</v>
      </c>
      <c r="F276" s="337">
        <v>40060</v>
      </c>
      <c r="G276" s="337">
        <v>0</v>
      </c>
      <c r="H276" s="286"/>
      <c r="I276" s="287"/>
      <c r="J276" s="345">
        <v>80000</v>
      </c>
      <c r="K276" s="345"/>
      <c r="L276" s="338">
        <f t="shared" si="27"/>
        <v>80000</v>
      </c>
      <c r="M276" s="304">
        <f t="shared" si="28"/>
        <v>0</v>
      </c>
      <c r="N276" s="296"/>
      <c r="O276" s="213"/>
    </row>
    <row r="277" spans="1:15" x14ac:dyDescent="0.25">
      <c r="A277" s="285" t="s">
        <v>243</v>
      </c>
      <c r="B277" s="285">
        <v>3040000</v>
      </c>
      <c r="C277" s="337">
        <v>0</v>
      </c>
      <c r="D277" s="337">
        <v>2413865.56</v>
      </c>
      <c r="E277" s="337">
        <v>0</v>
      </c>
      <c r="F277" s="337">
        <v>2413865.56</v>
      </c>
      <c r="G277" s="337">
        <v>0</v>
      </c>
      <c r="H277" s="286"/>
      <c r="I277" s="287"/>
      <c r="J277" s="345">
        <v>3756275</v>
      </c>
      <c r="K277" s="345"/>
      <c r="L277" s="338">
        <f t="shared" si="27"/>
        <v>3756275</v>
      </c>
      <c r="M277" s="304">
        <f t="shared" si="28"/>
        <v>3314672.97</v>
      </c>
      <c r="N277" s="296"/>
      <c r="O277" s="213">
        <v>3314672.97</v>
      </c>
    </row>
    <row r="278" spans="1:15" x14ac:dyDescent="0.25">
      <c r="A278" s="285" t="s">
        <v>244</v>
      </c>
      <c r="B278" s="285">
        <v>3040001</v>
      </c>
      <c r="C278" s="337">
        <v>0</v>
      </c>
      <c r="D278" s="337">
        <v>357263.68</v>
      </c>
      <c r="E278" s="337">
        <v>0</v>
      </c>
      <c r="F278" s="337">
        <v>357263.68</v>
      </c>
      <c r="G278" s="337">
        <v>0</v>
      </c>
      <c r="H278" s="286"/>
      <c r="I278" s="287"/>
      <c r="J278" s="345">
        <v>2100000</v>
      </c>
      <c r="K278" s="345"/>
      <c r="L278" s="338">
        <f t="shared" si="27"/>
        <v>2100000</v>
      </c>
      <c r="M278" s="304">
        <f t="shared" si="28"/>
        <v>1869254.25</v>
      </c>
      <c r="N278" s="296"/>
      <c r="O278" s="213">
        <v>1869254.25</v>
      </c>
    </row>
    <row r="279" spans="1:15" x14ac:dyDescent="0.25">
      <c r="A279" s="285" t="s">
        <v>245</v>
      </c>
      <c r="B279" s="285">
        <v>3040003</v>
      </c>
      <c r="C279" s="337">
        <v>0</v>
      </c>
      <c r="D279" s="337">
        <v>2700</v>
      </c>
      <c r="E279" s="337">
        <v>0</v>
      </c>
      <c r="F279" s="337">
        <v>2700</v>
      </c>
      <c r="G279" s="337">
        <v>0</v>
      </c>
      <c r="H279" s="286"/>
      <c r="I279" s="287"/>
      <c r="J279" s="345">
        <v>5000</v>
      </c>
      <c r="K279" s="345"/>
      <c r="L279" s="338">
        <f t="shared" si="27"/>
        <v>5000</v>
      </c>
      <c r="M279" s="304">
        <f t="shared" si="28"/>
        <v>0</v>
      </c>
      <c r="N279" s="296"/>
      <c r="O279" s="213"/>
    </row>
    <row r="280" spans="1:15" x14ac:dyDescent="0.25">
      <c r="A280" s="285" t="s">
        <v>245</v>
      </c>
      <c r="B280" s="285">
        <v>3040004</v>
      </c>
      <c r="C280" s="337">
        <v>0</v>
      </c>
      <c r="D280" s="337">
        <v>5883</v>
      </c>
      <c r="E280" s="337">
        <v>0</v>
      </c>
      <c r="F280" s="337">
        <v>5883</v>
      </c>
      <c r="G280" s="337">
        <v>0</v>
      </c>
      <c r="H280" s="286"/>
      <c r="I280" s="287"/>
      <c r="J280" s="345">
        <v>10000</v>
      </c>
      <c r="K280" s="345"/>
      <c r="L280" s="338">
        <f t="shared" si="27"/>
        <v>10000</v>
      </c>
      <c r="M280" s="304">
        <f t="shared" si="28"/>
        <v>0</v>
      </c>
      <c r="N280" s="296"/>
      <c r="O280" s="213"/>
    </row>
    <row r="281" spans="1:15" x14ac:dyDescent="0.25">
      <c r="A281" s="285" t="s">
        <v>246</v>
      </c>
      <c r="B281" s="285">
        <v>3045000</v>
      </c>
      <c r="C281" s="337">
        <v>0</v>
      </c>
      <c r="D281" s="337">
        <v>13979.75</v>
      </c>
      <c r="E281" s="337">
        <v>0</v>
      </c>
      <c r="F281" s="337">
        <v>13979.75</v>
      </c>
      <c r="G281" s="337">
        <v>0</v>
      </c>
      <c r="H281" s="286"/>
      <c r="I281" s="287"/>
      <c r="J281" s="345">
        <v>18450</v>
      </c>
      <c r="K281" s="345"/>
      <c r="L281" s="338">
        <f t="shared" si="27"/>
        <v>18450</v>
      </c>
      <c r="M281" s="304">
        <f t="shared" si="28"/>
        <v>9252</v>
      </c>
      <c r="N281" s="296"/>
      <c r="O281" s="213">
        <v>9252</v>
      </c>
    </row>
    <row r="282" spans="1:15" x14ac:dyDescent="0.25">
      <c r="A282" s="285" t="s">
        <v>702</v>
      </c>
      <c r="B282" s="285">
        <v>3045800</v>
      </c>
      <c r="C282" s="337"/>
      <c r="D282" s="337"/>
      <c r="E282" s="337"/>
      <c r="F282" s="337"/>
      <c r="G282" s="337"/>
      <c r="H282" s="286"/>
      <c r="I282" s="287"/>
      <c r="J282" s="345">
        <v>4000</v>
      </c>
      <c r="K282" s="345"/>
      <c r="L282" s="338">
        <f t="shared" si="27"/>
        <v>4000</v>
      </c>
      <c r="M282" s="304">
        <f t="shared" si="28"/>
        <v>0</v>
      </c>
      <c r="N282" s="296"/>
      <c r="O282" s="213"/>
    </row>
    <row r="283" spans="1:15" x14ac:dyDescent="0.25">
      <c r="A283" s="285" t="s">
        <v>247</v>
      </c>
      <c r="B283" s="285">
        <v>3050000</v>
      </c>
      <c r="C283" s="337">
        <v>0</v>
      </c>
      <c r="D283" s="337">
        <v>812887.5</v>
      </c>
      <c r="E283" s="337">
        <v>0</v>
      </c>
      <c r="F283" s="337">
        <v>812887.5</v>
      </c>
      <c r="G283" s="337">
        <v>0</v>
      </c>
      <c r="H283" s="286"/>
      <c r="I283" s="287"/>
      <c r="J283" s="345">
        <v>3147200</v>
      </c>
      <c r="K283" s="345"/>
      <c r="L283" s="338">
        <f t="shared" si="27"/>
        <v>3147200</v>
      </c>
      <c r="M283" s="304">
        <f t="shared" si="28"/>
        <v>1841472.01</v>
      </c>
      <c r="N283" s="296"/>
      <c r="O283" s="213">
        <v>1841472.01</v>
      </c>
    </row>
    <row r="284" spans="1:15" x14ac:dyDescent="0.25">
      <c r="A284" s="285" t="s">
        <v>338</v>
      </c>
      <c r="B284" s="285">
        <v>3055000</v>
      </c>
      <c r="C284" s="337"/>
      <c r="D284" s="337"/>
      <c r="E284" s="337"/>
      <c r="F284" s="337"/>
      <c r="G284" s="337"/>
      <c r="H284" s="286"/>
      <c r="I284" s="287"/>
      <c r="J284" s="345"/>
      <c r="K284" s="345">
        <v>10686000</v>
      </c>
      <c r="L284" s="338">
        <f t="shared" si="27"/>
        <v>10686000</v>
      </c>
      <c r="M284" s="304">
        <f t="shared" si="28"/>
        <v>0</v>
      </c>
      <c r="N284" s="296"/>
      <c r="O284" s="213"/>
    </row>
    <row r="285" spans="1:15" x14ac:dyDescent="0.25">
      <c r="A285" s="285" t="s">
        <v>248</v>
      </c>
      <c r="B285" s="285">
        <v>3060000</v>
      </c>
      <c r="C285" s="337">
        <v>0</v>
      </c>
      <c r="D285" s="337">
        <v>2487992.69</v>
      </c>
      <c r="E285" s="337">
        <v>0</v>
      </c>
      <c r="F285" s="337">
        <v>2487992.69</v>
      </c>
      <c r="G285" s="337">
        <v>0</v>
      </c>
      <c r="H285" s="286"/>
      <c r="I285" s="287"/>
      <c r="J285" s="345">
        <v>3034650</v>
      </c>
      <c r="K285" s="345"/>
      <c r="L285" s="338">
        <f t="shared" si="27"/>
        <v>3034650</v>
      </c>
      <c r="M285" s="304">
        <f t="shared" si="28"/>
        <v>2175747.94</v>
      </c>
      <c r="N285" s="296"/>
      <c r="O285" s="213">
        <v>2175747.94</v>
      </c>
    </row>
    <row r="286" spans="1:15" x14ac:dyDescent="0.25">
      <c r="A286" s="285" t="s">
        <v>249</v>
      </c>
      <c r="B286" s="285">
        <v>3070000</v>
      </c>
      <c r="C286" s="337">
        <v>0</v>
      </c>
      <c r="D286" s="337">
        <v>352395.15</v>
      </c>
      <c r="E286" s="337">
        <v>0</v>
      </c>
      <c r="F286" s="337">
        <v>352395.15</v>
      </c>
      <c r="G286" s="337">
        <v>0</v>
      </c>
      <c r="H286" s="286"/>
      <c r="I286" s="287"/>
      <c r="J286" s="345">
        <v>367075</v>
      </c>
      <c r="K286" s="345"/>
      <c r="L286" s="338">
        <f t="shared" si="27"/>
        <v>367075</v>
      </c>
      <c r="M286" s="304">
        <f t="shared" si="28"/>
        <v>805137.07</v>
      </c>
      <c r="N286" s="296"/>
      <c r="O286" s="213">
        <v>805137.07</v>
      </c>
    </row>
    <row r="287" spans="1:15" x14ac:dyDescent="0.25">
      <c r="A287" s="285" t="s">
        <v>703</v>
      </c>
      <c r="B287" s="285">
        <v>3085000</v>
      </c>
      <c r="C287" s="337"/>
      <c r="D287" s="337"/>
      <c r="E287" s="337"/>
      <c r="F287" s="337"/>
      <c r="G287" s="337"/>
      <c r="H287" s="286"/>
      <c r="I287" s="287"/>
      <c r="J287" s="345">
        <v>10000</v>
      </c>
      <c r="K287" s="345"/>
      <c r="L287" s="338">
        <f t="shared" si="27"/>
        <v>10000</v>
      </c>
      <c r="M287" s="304">
        <f t="shared" si="28"/>
        <v>0</v>
      </c>
      <c r="N287" s="296"/>
      <c r="O287" s="213"/>
    </row>
    <row r="288" spans="1:15" x14ac:dyDescent="0.25">
      <c r="A288" s="285" t="s">
        <v>250</v>
      </c>
      <c r="B288" s="285">
        <v>3090000</v>
      </c>
      <c r="C288" s="337">
        <v>0</v>
      </c>
      <c r="D288" s="337">
        <v>4036083.51</v>
      </c>
      <c r="E288" s="337">
        <v>0</v>
      </c>
      <c r="F288" s="337">
        <v>4036083.51</v>
      </c>
      <c r="G288" s="337">
        <v>0</v>
      </c>
      <c r="H288" s="286"/>
      <c r="I288" s="287"/>
      <c r="J288" s="345">
        <v>5639850</v>
      </c>
      <c r="K288" s="345"/>
      <c r="L288" s="338">
        <f t="shared" si="27"/>
        <v>5639850</v>
      </c>
      <c r="M288" s="304">
        <f t="shared" si="28"/>
        <v>5157799.5999999996</v>
      </c>
      <c r="N288" s="296"/>
      <c r="O288" s="213">
        <v>5157799.5999999996</v>
      </c>
    </row>
    <row r="289" spans="1:15" x14ac:dyDescent="0.25">
      <c r="A289" s="285" t="s">
        <v>251</v>
      </c>
      <c r="B289" s="285">
        <v>3200000</v>
      </c>
      <c r="C289" s="337">
        <v>0</v>
      </c>
      <c r="D289" s="337">
        <v>246405.43</v>
      </c>
      <c r="E289" s="337">
        <v>0</v>
      </c>
      <c r="F289" s="337">
        <v>246405.43</v>
      </c>
      <c r="G289" s="337">
        <v>0</v>
      </c>
      <c r="H289" s="286"/>
      <c r="I289" s="287"/>
      <c r="J289" s="345">
        <v>357930</v>
      </c>
      <c r="K289" s="345"/>
      <c r="L289" s="338">
        <f t="shared" si="27"/>
        <v>357930</v>
      </c>
      <c r="M289" s="304">
        <f t="shared" si="28"/>
        <v>320247.95</v>
      </c>
      <c r="N289" s="296"/>
      <c r="O289" s="213">
        <v>320247.95</v>
      </c>
    </row>
    <row r="290" spans="1:15" x14ac:dyDescent="0.25">
      <c r="A290" s="285" t="s">
        <v>252</v>
      </c>
      <c r="B290" s="285">
        <v>3210000</v>
      </c>
      <c r="C290" s="337">
        <v>0</v>
      </c>
      <c r="D290" s="337">
        <v>25890.14</v>
      </c>
      <c r="E290" s="337">
        <v>0</v>
      </c>
      <c r="F290" s="337">
        <v>25890.14</v>
      </c>
      <c r="G290" s="337">
        <v>0</v>
      </c>
      <c r="H290" s="286"/>
      <c r="I290" s="287"/>
      <c r="J290" s="345">
        <v>50500</v>
      </c>
      <c r="K290" s="345"/>
      <c r="L290" s="338">
        <f t="shared" si="27"/>
        <v>50500</v>
      </c>
      <c r="M290" s="304">
        <f t="shared" si="28"/>
        <v>13239.8</v>
      </c>
      <c r="N290" s="296"/>
      <c r="O290" s="213">
        <v>13239.8</v>
      </c>
    </row>
    <row r="291" spans="1:15" x14ac:dyDescent="0.25">
      <c r="A291" s="285" t="s">
        <v>253</v>
      </c>
      <c r="B291" s="285">
        <v>3215000</v>
      </c>
      <c r="C291" s="337">
        <v>0</v>
      </c>
      <c r="D291" s="337">
        <v>1845.22</v>
      </c>
      <c r="E291" s="337">
        <v>0</v>
      </c>
      <c r="F291" s="337">
        <v>1845.22</v>
      </c>
      <c r="G291" s="337">
        <v>0</v>
      </c>
      <c r="H291" s="286"/>
      <c r="I291" s="287"/>
      <c r="J291" s="345">
        <v>8925</v>
      </c>
      <c r="K291" s="345"/>
      <c r="L291" s="338">
        <f t="shared" si="27"/>
        <v>8925</v>
      </c>
      <c r="M291" s="304">
        <f t="shared" si="28"/>
        <v>0</v>
      </c>
      <c r="N291" s="296"/>
      <c r="O291" s="213"/>
    </row>
    <row r="292" spans="1:15" x14ac:dyDescent="0.25">
      <c r="A292" s="285" t="s">
        <v>254</v>
      </c>
      <c r="B292" s="285">
        <v>3225000</v>
      </c>
      <c r="C292" s="337">
        <v>0</v>
      </c>
      <c r="D292" s="337">
        <v>9307204.3599999994</v>
      </c>
      <c r="E292" s="337">
        <v>0</v>
      </c>
      <c r="F292" s="337">
        <v>9307204.3599999994</v>
      </c>
      <c r="G292" s="337">
        <v>0</v>
      </c>
      <c r="H292" s="286"/>
      <c r="I292" s="287"/>
      <c r="J292" s="345">
        <v>15503000</v>
      </c>
      <c r="K292" s="345"/>
      <c r="L292" s="338">
        <f t="shared" si="27"/>
        <v>15503000</v>
      </c>
      <c r="M292" s="304">
        <f t="shared" si="28"/>
        <v>13726690.789999999</v>
      </c>
      <c r="N292" s="296"/>
      <c r="O292" s="213">
        <v>13726690.789999999</v>
      </c>
    </row>
    <row r="293" spans="1:15" x14ac:dyDescent="0.25">
      <c r="A293" s="285" t="s">
        <v>255</v>
      </c>
      <c r="B293" s="285">
        <v>3230000</v>
      </c>
      <c r="C293" s="337">
        <v>0</v>
      </c>
      <c r="D293" s="337">
        <v>14328991.869999999</v>
      </c>
      <c r="E293" s="337">
        <v>0</v>
      </c>
      <c r="F293" s="337">
        <v>14328991.869999999</v>
      </c>
      <c r="G293" s="337">
        <v>0</v>
      </c>
      <c r="H293" s="286"/>
      <c r="I293" s="287"/>
      <c r="J293" s="345">
        <v>26400000</v>
      </c>
      <c r="K293" s="345"/>
      <c r="L293" s="338">
        <f t="shared" si="27"/>
        <v>26400000</v>
      </c>
      <c r="M293" s="304">
        <f t="shared" si="28"/>
        <v>26697536.260000002</v>
      </c>
      <c r="N293" s="296"/>
      <c r="O293" s="213">
        <v>26697536.260000002</v>
      </c>
    </row>
    <row r="294" spans="1:15" x14ac:dyDescent="0.25">
      <c r="A294" s="285" t="s">
        <v>256</v>
      </c>
      <c r="B294" s="285">
        <v>3235000</v>
      </c>
      <c r="C294" s="337">
        <v>0</v>
      </c>
      <c r="D294" s="337">
        <v>8360.0400000000009</v>
      </c>
      <c r="E294" s="337">
        <v>0</v>
      </c>
      <c r="F294" s="337">
        <v>8360.0400000000009</v>
      </c>
      <c r="G294" s="337">
        <v>0</v>
      </c>
      <c r="H294" s="286"/>
      <c r="I294" s="287"/>
      <c r="J294" s="345">
        <v>10000</v>
      </c>
      <c r="K294" s="345"/>
      <c r="L294" s="338">
        <f t="shared" si="27"/>
        <v>10000</v>
      </c>
      <c r="M294" s="304">
        <f t="shared" si="28"/>
        <v>1462.14</v>
      </c>
      <c r="N294" s="296"/>
      <c r="O294" s="213">
        <v>1462.14</v>
      </c>
    </row>
    <row r="295" spans="1:15" x14ac:dyDescent="0.25">
      <c r="A295" s="285" t="s">
        <v>257</v>
      </c>
      <c r="B295" s="285">
        <v>3240000</v>
      </c>
      <c r="C295" s="337">
        <v>0</v>
      </c>
      <c r="D295" s="337">
        <v>117889.92</v>
      </c>
      <c r="E295" s="337">
        <v>0</v>
      </c>
      <c r="F295" s="337">
        <v>117889.92</v>
      </c>
      <c r="G295" s="337">
        <v>0</v>
      </c>
      <c r="H295" s="286"/>
      <c r="I295" s="287"/>
      <c r="J295" s="345">
        <v>168000</v>
      </c>
      <c r="K295" s="345"/>
      <c r="L295" s="338">
        <f t="shared" si="27"/>
        <v>168000</v>
      </c>
      <c r="M295" s="304">
        <f t="shared" si="28"/>
        <v>64966.6</v>
      </c>
      <c r="N295" s="296"/>
      <c r="O295" s="213">
        <v>64966.6</v>
      </c>
    </row>
    <row r="296" spans="1:15" x14ac:dyDescent="0.25">
      <c r="A296" s="285" t="s">
        <v>258</v>
      </c>
      <c r="B296" s="285">
        <v>3250000</v>
      </c>
      <c r="C296" s="337">
        <v>0</v>
      </c>
      <c r="D296" s="337">
        <v>6444252.6600000001</v>
      </c>
      <c r="E296" s="337">
        <v>0</v>
      </c>
      <c r="F296" s="337">
        <v>6444252.6600000001</v>
      </c>
      <c r="G296" s="337">
        <v>0</v>
      </c>
      <c r="H296" s="286"/>
      <c r="I296" s="287"/>
      <c r="J296" s="345">
        <v>12311500</v>
      </c>
      <c r="K296" s="345"/>
      <c r="L296" s="338">
        <f t="shared" si="27"/>
        <v>12311500</v>
      </c>
      <c r="M296" s="304">
        <f t="shared" si="28"/>
        <v>17131193.34</v>
      </c>
      <c r="N296" s="296"/>
      <c r="O296" s="213">
        <v>17131193.34</v>
      </c>
    </row>
    <row r="297" spans="1:15" x14ac:dyDescent="0.25">
      <c r="A297" s="285" t="s">
        <v>259</v>
      </c>
      <c r="B297" s="285">
        <v>3250002</v>
      </c>
      <c r="C297" s="337">
        <v>0</v>
      </c>
      <c r="D297" s="337">
        <v>150356.67000000001</v>
      </c>
      <c r="E297" s="337">
        <v>0</v>
      </c>
      <c r="F297" s="337">
        <v>150356.67000000001</v>
      </c>
      <c r="G297" s="337">
        <v>0</v>
      </c>
      <c r="H297" s="286"/>
      <c r="I297" s="287"/>
      <c r="J297" s="345">
        <v>800000</v>
      </c>
      <c r="K297" s="345"/>
      <c r="L297" s="338">
        <f t="shared" si="27"/>
        <v>800000</v>
      </c>
      <c r="M297" s="304">
        <f t="shared" si="28"/>
        <v>778205</v>
      </c>
      <c r="N297" s="296"/>
      <c r="O297" s="213">
        <v>778205</v>
      </c>
    </row>
    <row r="298" spans="1:15" x14ac:dyDescent="0.25">
      <c r="A298" s="285" t="s">
        <v>260</v>
      </c>
      <c r="B298" s="285">
        <v>3260000</v>
      </c>
      <c r="C298" s="337">
        <v>0</v>
      </c>
      <c r="D298" s="337">
        <v>30368.03</v>
      </c>
      <c r="E298" s="337">
        <v>0</v>
      </c>
      <c r="F298" s="337">
        <v>30368.03</v>
      </c>
      <c r="G298" s="337">
        <v>0</v>
      </c>
      <c r="H298" s="286"/>
      <c r="I298" s="287"/>
      <c r="J298" s="345">
        <v>25750</v>
      </c>
      <c r="K298" s="345"/>
      <c r="L298" s="338">
        <f t="shared" si="27"/>
        <v>25750</v>
      </c>
      <c r="M298" s="304">
        <f t="shared" si="28"/>
        <v>12282.53</v>
      </c>
      <c r="N298" s="296"/>
      <c r="O298" s="213">
        <v>12282.53</v>
      </c>
    </row>
    <row r="299" spans="1:15" x14ac:dyDescent="0.25">
      <c r="A299" s="285" t="s">
        <v>704</v>
      </c>
      <c r="B299" s="285">
        <v>3265000</v>
      </c>
      <c r="C299" s="337"/>
      <c r="D299" s="337"/>
      <c r="E299" s="337"/>
      <c r="F299" s="337"/>
      <c r="G299" s="337"/>
      <c r="H299" s="286"/>
      <c r="I299" s="287"/>
      <c r="J299" s="345">
        <v>100000</v>
      </c>
      <c r="K299" s="345"/>
      <c r="L299" s="338">
        <f t="shared" si="27"/>
        <v>100000</v>
      </c>
      <c r="M299" s="304">
        <f t="shared" si="28"/>
        <v>97610.05</v>
      </c>
      <c r="N299" s="296"/>
      <c r="O299" s="213">
        <v>97610.05</v>
      </c>
    </row>
    <row r="300" spans="1:15" x14ac:dyDescent="0.25">
      <c r="A300" s="285" t="s">
        <v>261</v>
      </c>
      <c r="B300" s="285">
        <v>3270000</v>
      </c>
      <c r="C300" s="337">
        <v>0</v>
      </c>
      <c r="D300" s="337">
        <v>55140.02</v>
      </c>
      <c r="E300" s="337">
        <v>0</v>
      </c>
      <c r="F300" s="337">
        <v>55140.02</v>
      </c>
      <c r="G300" s="337">
        <v>0</v>
      </c>
      <c r="H300" s="286"/>
      <c r="I300" s="287"/>
      <c r="J300" s="345">
        <v>100800</v>
      </c>
      <c r="K300" s="345"/>
      <c r="L300" s="338">
        <f t="shared" si="27"/>
        <v>100800</v>
      </c>
      <c r="M300" s="304">
        <f t="shared" si="28"/>
        <v>87749.73</v>
      </c>
      <c r="N300" s="296"/>
      <c r="O300" s="213">
        <v>87749.73</v>
      </c>
    </row>
    <row r="301" spans="1:15" x14ac:dyDescent="0.25">
      <c r="A301" s="285" t="s">
        <v>262</v>
      </c>
      <c r="B301" s="285">
        <v>3270100</v>
      </c>
      <c r="C301" s="337">
        <v>0</v>
      </c>
      <c r="D301" s="337">
        <v>42593.41</v>
      </c>
      <c r="E301" s="337">
        <v>0</v>
      </c>
      <c r="F301" s="337">
        <v>42593.41</v>
      </c>
      <c r="G301" s="337">
        <v>0</v>
      </c>
      <c r="H301" s="286"/>
      <c r="I301" s="287"/>
      <c r="J301" s="345">
        <v>78750</v>
      </c>
      <c r="K301" s="345"/>
      <c r="L301" s="338">
        <f t="shared" si="27"/>
        <v>78750</v>
      </c>
      <c r="M301" s="304">
        <f t="shared" si="28"/>
        <v>70417.5</v>
      </c>
      <c r="N301" s="296"/>
      <c r="O301" s="213">
        <v>70417.5</v>
      </c>
    </row>
    <row r="302" spans="1:15" x14ac:dyDescent="0.25">
      <c r="A302" s="285" t="s">
        <v>263</v>
      </c>
      <c r="B302" s="285">
        <v>3270200</v>
      </c>
      <c r="C302" s="337">
        <v>0</v>
      </c>
      <c r="D302" s="337">
        <v>30420.75</v>
      </c>
      <c r="E302" s="337">
        <v>0</v>
      </c>
      <c r="F302" s="337">
        <v>30420.75</v>
      </c>
      <c r="G302" s="337">
        <v>0</v>
      </c>
      <c r="H302" s="286"/>
      <c r="I302" s="287"/>
      <c r="J302" s="345">
        <v>68250</v>
      </c>
      <c r="K302" s="345"/>
      <c r="L302" s="338">
        <f t="shared" si="27"/>
        <v>68250</v>
      </c>
      <c r="M302" s="304">
        <f t="shared" si="28"/>
        <v>45360</v>
      </c>
      <c r="N302" s="296"/>
      <c r="O302" s="213">
        <v>45360</v>
      </c>
    </row>
    <row r="303" spans="1:15" x14ac:dyDescent="0.25">
      <c r="A303" s="285" t="s">
        <v>264</v>
      </c>
      <c r="B303" s="285">
        <v>3280100</v>
      </c>
      <c r="C303" s="337">
        <v>0</v>
      </c>
      <c r="D303" s="337">
        <v>4153.57</v>
      </c>
      <c r="E303" s="337">
        <v>0</v>
      </c>
      <c r="F303" s="337">
        <v>4153.57</v>
      </c>
      <c r="G303" s="337">
        <v>0</v>
      </c>
      <c r="H303" s="286"/>
      <c r="I303" s="287"/>
      <c r="J303" s="345">
        <v>10000</v>
      </c>
      <c r="K303" s="345"/>
      <c r="L303" s="338">
        <f t="shared" si="27"/>
        <v>10000</v>
      </c>
      <c r="M303" s="304">
        <f t="shared" si="28"/>
        <v>9299.5</v>
      </c>
      <c r="N303" s="296"/>
      <c r="O303" s="213">
        <v>9299.5</v>
      </c>
    </row>
    <row r="304" spans="1:15" x14ac:dyDescent="0.25">
      <c r="A304" s="285" t="s">
        <v>305</v>
      </c>
      <c r="B304" s="285">
        <v>3280800</v>
      </c>
      <c r="C304" s="337">
        <v>0</v>
      </c>
      <c r="D304" s="337">
        <v>891272.82</v>
      </c>
      <c r="E304" s="337">
        <v>0</v>
      </c>
      <c r="F304" s="337">
        <v>891272.82</v>
      </c>
      <c r="G304" s="337">
        <v>0</v>
      </c>
      <c r="H304" s="286"/>
      <c r="I304" s="287"/>
      <c r="J304" s="345">
        <v>1050000</v>
      </c>
      <c r="K304" s="345"/>
      <c r="L304" s="338">
        <f t="shared" si="27"/>
        <v>1050000</v>
      </c>
      <c r="M304" s="304">
        <f t="shared" si="28"/>
        <v>790622.18</v>
      </c>
      <c r="N304" s="296"/>
      <c r="O304" s="213">
        <v>790622.18</v>
      </c>
    </row>
    <row r="305" spans="1:15" x14ac:dyDescent="0.25">
      <c r="A305" s="285" t="s">
        <v>306</v>
      </c>
      <c r="B305" s="285">
        <v>3290000</v>
      </c>
      <c r="C305" s="337">
        <v>0</v>
      </c>
      <c r="D305" s="337">
        <v>50142.39</v>
      </c>
      <c r="E305" s="337">
        <v>0</v>
      </c>
      <c r="F305" s="337">
        <v>50142.39</v>
      </c>
      <c r="G305" s="337">
        <v>0</v>
      </c>
      <c r="H305" s="286"/>
      <c r="I305" s="287"/>
      <c r="J305" s="345">
        <v>33600</v>
      </c>
      <c r="K305" s="345"/>
      <c r="L305" s="338">
        <f t="shared" si="27"/>
        <v>33600</v>
      </c>
      <c r="M305" s="304">
        <f t="shared" si="28"/>
        <v>24399.72</v>
      </c>
      <c r="N305" s="296"/>
      <c r="O305" s="213">
        <v>24399.72</v>
      </c>
    </row>
    <row r="306" spans="1:15" x14ac:dyDescent="0.25">
      <c r="A306" s="285" t="s">
        <v>307</v>
      </c>
      <c r="B306" s="285">
        <v>3295000</v>
      </c>
      <c r="C306" s="337">
        <v>0</v>
      </c>
      <c r="D306" s="337">
        <v>1651080.99</v>
      </c>
      <c r="E306" s="337">
        <v>0</v>
      </c>
      <c r="F306" s="337">
        <v>1651080.99</v>
      </c>
      <c r="G306" s="337">
        <v>0</v>
      </c>
      <c r="H306" s="286"/>
      <c r="I306" s="287"/>
      <c r="J306" s="345">
        <v>2000000</v>
      </c>
      <c r="K306" s="345"/>
      <c r="L306" s="338">
        <f t="shared" si="27"/>
        <v>2000000</v>
      </c>
      <c r="M306" s="304">
        <f t="shared" si="28"/>
        <v>2293407.2000000002</v>
      </c>
      <c r="N306" s="296"/>
      <c r="O306" s="213">
        <v>2293407.2000000002</v>
      </c>
    </row>
    <row r="307" spans="1:15" x14ac:dyDescent="0.25">
      <c r="A307" s="285" t="s">
        <v>308</v>
      </c>
      <c r="B307" s="285">
        <v>3300000</v>
      </c>
      <c r="C307" s="337">
        <v>0</v>
      </c>
      <c r="D307" s="337">
        <v>245824.49</v>
      </c>
      <c r="E307" s="337">
        <v>0</v>
      </c>
      <c r="F307" s="337">
        <v>245824.49</v>
      </c>
      <c r="G307" s="337">
        <v>0</v>
      </c>
      <c r="H307" s="286"/>
      <c r="I307" s="287"/>
      <c r="J307" s="345">
        <v>630000</v>
      </c>
      <c r="K307" s="345"/>
      <c r="L307" s="338">
        <f t="shared" si="27"/>
        <v>630000</v>
      </c>
      <c r="M307" s="304">
        <f t="shared" si="28"/>
        <v>2017679.73</v>
      </c>
      <c r="N307" s="296"/>
      <c r="O307" s="213">
        <v>2017679.73</v>
      </c>
    </row>
    <row r="308" spans="1:15" x14ac:dyDescent="0.25">
      <c r="A308" s="285" t="s">
        <v>309</v>
      </c>
      <c r="B308" s="285">
        <v>3310000</v>
      </c>
      <c r="C308" s="337">
        <v>0</v>
      </c>
      <c r="D308" s="337">
        <v>257747.22</v>
      </c>
      <c r="E308" s="337">
        <v>0</v>
      </c>
      <c r="F308" s="337">
        <v>257747.22</v>
      </c>
      <c r="G308" s="337">
        <v>0</v>
      </c>
      <c r="H308" s="286"/>
      <c r="I308" s="287"/>
      <c r="J308" s="345">
        <v>508250</v>
      </c>
      <c r="K308" s="345"/>
      <c r="L308" s="338">
        <f t="shared" si="27"/>
        <v>508250</v>
      </c>
      <c r="M308" s="304">
        <f t="shared" si="28"/>
        <v>435894.49</v>
      </c>
      <c r="N308" s="296"/>
      <c r="O308" s="213">
        <v>435894.49</v>
      </c>
    </row>
    <row r="309" spans="1:15" x14ac:dyDescent="0.25">
      <c r="A309" s="285" t="s">
        <v>310</v>
      </c>
      <c r="B309" s="285">
        <v>3310100</v>
      </c>
      <c r="C309" s="337">
        <v>0</v>
      </c>
      <c r="D309" s="337">
        <v>593284.29</v>
      </c>
      <c r="E309" s="337">
        <v>0</v>
      </c>
      <c r="F309" s="337">
        <v>593284.29</v>
      </c>
      <c r="G309" s="337">
        <v>0</v>
      </c>
      <c r="H309" s="286"/>
      <c r="I309" s="287"/>
      <c r="J309" s="345">
        <v>1000000</v>
      </c>
      <c r="K309" s="345"/>
      <c r="L309" s="338">
        <f t="shared" si="27"/>
        <v>1000000</v>
      </c>
      <c r="M309" s="304">
        <f t="shared" si="28"/>
        <v>854376.33</v>
      </c>
      <c r="N309" s="296"/>
      <c r="O309" s="213">
        <v>854376.33</v>
      </c>
    </row>
    <row r="310" spans="1:15" x14ac:dyDescent="0.25">
      <c r="A310" s="285" t="s">
        <v>311</v>
      </c>
      <c r="B310" s="285">
        <v>3320000</v>
      </c>
      <c r="C310" s="337">
        <v>0</v>
      </c>
      <c r="D310" s="337">
        <v>882549.48</v>
      </c>
      <c r="E310" s="337">
        <v>0</v>
      </c>
      <c r="F310" s="337">
        <v>882549.48</v>
      </c>
      <c r="G310" s="337">
        <v>0</v>
      </c>
      <c r="H310" s="286"/>
      <c r="I310" s="287"/>
      <c r="J310" s="345">
        <v>1050000</v>
      </c>
      <c r="K310" s="345"/>
      <c r="L310" s="338">
        <f t="shared" si="27"/>
        <v>1050000</v>
      </c>
      <c r="M310" s="304">
        <f t="shared" si="28"/>
        <v>873089.53</v>
      </c>
      <c r="N310" s="296"/>
      <c r="O310" s="213">
        <v>873089.53</v>
      </c>
    </row>
    <row r="311" spans="1:15" x14ac:dyDescent="0.25">
      <c r="A311" s="285" t="s">
        <v>312</v>
      </c>
      <c r="B311" s="285">
        <v>3330000</v>
      </c>
      <c r="C311" s="337">
        <v>0</v>
      </c>
      <c r="D311" s="337">
        <v>10995229.09</v>
      </c>
      <c r="E311" s="337">
        <v>0</v>
      </c>
      <c r="F311" s="337">
        <v>10995229.09</v>
      </c>
      <c r="G311" s="337">
        <v>0</v>
      </c>
      <c r="H311" s="286"/>
      <c r="I311" s="287"/>
      <c r="J311" s="345">
        <v>13685900</v>
      </c>
      <c r="K311" s="345"/>
      <c r="L311" s="338">
        <f t="shared" si="27"/>
        <v>13685900</v>
      </c>
      <c r="M311" s="304">
        <f t="shared" si="28"/>
        <v>10214700.75</v>
      </c>
      <c r="N311" s="296"/>
      <c r="O311" s="213">
        <v>10214700.75</v>
      </c>
    </row>
    <row r="312" spans="1:15" x14ac:dyDescent="0.25">
      <c r="A312" s="285" t="s">
        <v>313</v>
      </c>
      <c r="B312" s="285">
        <v>3340000</v>
      </c>
      <c r="C312" s="337">
        <v>0</v>
      </c>
      <c r="D312" s="337">
        <v>209324</v>
      </c>
      <c r="E312" s="337">
        <v>0</v>
      </c>
      <c r="F312" s="337">
        <v>209324</v>
      </c>
      <c r="G312" s="337">
        <v>0</v>
      </c>
      <c r="H312" s="286"/>
      <c r="I312" s="287"/>
      <c r="J312" s="345">
        <v>936750</v>
      </c>
      <c r="K312" s="345"/>
      <c r="L312" s="338">
        <f t="shared" si="27"/>
        <v>936750</v>
      </c>
      <c r="M312" s="304">
        <f t="shared" si="28"/>
        <v>407397.18</v>
      </c>
      <c r="N312" s="296"/>
      <c r="O312" s="213">
        <v>407397.18</v>
      </c>
    </row>
    <row r="313" spans="1:15" x14ac:dyDescent="0.25">
      <c r="A313" s="285" t="s">
        <v>581</v>
      </c>
      <c r="B313" s="285">
        <v>3350000</v>
      </c>
      <c r="C313" s="337">
        <v>0</v>
      </c>
      <c r="D313" s="337">
        <v>2419558.59</v>
      </c>
      <c r="E313" s="337">
        <v>0</v>
      </c>
      <c r="F313" s="337">
        <v>2419558.59</v>
      </c>
      <c r="G313" s="337">
        <v>0</v>
      </c>
      <c r="H313" s="286"/>
      <c r="I313" s="287"/>
      <c r="J313" s="345">
        <v>3535000</v>
      </c>
      <c r="K313" s="345"/>
      <c r="L313" s="338">
        <f t="shared" si="27"/>
        <v>3535000</v>
      </c>
      <c r="M313" s="304">
        <f t="shared" si="28"/>
        <v>2891924.82</v>
      </c>
      <c r="N313" s="296"/>
      <c r="O313" s="213">
        <v>2891924.82</v>
      </c>
    </row>
    <row r="314" spans="1:15" x14ac:dyDescent="0.25">
      <c r="A314" s="285" t="s">
        <v>582</v>
      </c>
      <c r="B314" s="285">
        <v>3400000</v>
      </c>
      <c r="C314" s="337">
        <v>0</v>
      </c>
      <c r="D314" s="337">
        <v>6186199.4000000004</v>
      </c>
      <c r="E314" s="337">
        <v>0</v>
      </c>
      <c r="F314" s="337">
        <v>6186199.4000000004</v>
      </c>
      <c r="G314" s="337">
        <v>0</v>
      </c>
      <c r="H314" s="286">
        <f>SUM(D272:D314)</f>
        <v>65986491.669999994</v>
      </c>
      <c r="I314" s="287"/>
      <c r="J314" s="345"/>
      <c r="K314" s="345"/>
      <c r="L314" s="338">
        <f t="shared" si="27"/>
        <v>0</v>
      </c>
      <c r="M314" s="304">
        <f t="shared" si="28"/>
        <v>0</v>
      </c>
      <c r="N314" s="296"/>
      <c r="O314" s="213"/>
    </row>
    <row r="315" spans="1:15" ht="12.75" x14ac:dyDescent="0.2">
      <c r="A315" s="289"/>
      <c r="B315" s="285"/>
      <c r="C315" s="337"/>
      <c r="D315" s="337"/>
      <c r="E315" s="337"/>
      <c r="F315" s="337"/>
      <c r="G315" s="337"/>
      <c r="H315" s="286"/>
      <c r="I315" s="287"/>
      <c r="J315" s="292">
        <f t="shared" ref="J315:O315" si="29">SUM(J272:J314)</f>
        <v>98962905</v>
      </c>
      <c r="K315" s="292">
        <f t="shared" si="29"/>
        <v>10686000</v>
      </c>
      <c r="L315" s="292">
        <f t="shared" si="29"/>
        <v>109648905</v>
      </c>
      <c r="M315" s="297">
        <f t="shared" si="29"/>
        <v>95300758.070000008</v>
      </c>
      <c r="N315" s="298">
        <f t="shared" si="29"/>
        <v>0</v>
      </c>
      <c r="O315" s="298">
        <f t="shared" si="29"/>
        <v>95300758.070000008</v>
      </c>
    </row>
    <row r="316" spans="1:15" ht="12.75" x14ac:dyDescent="0.2">
      <c r="A316" s="289" t="s">
        <v>271</v>
      </c>
      <c r="B316" s="285"/>
      <c r="C316" s="337"/>
      <c r="D316" s="337"/>
      <c r="E316" s="337"/>
      <c r="F316" s="337"/>
      <c r="G316" s="337"/>
      <c r="H316" s="286"/>
      <c r="I316" s="287"/>
      <c r="J316" s="338"/>
      <c r="K316" s="338"/>
      <c r="L316" s="338"/>
      <c r="M316" s="304"/>
      <c r="N316" s="296"/>
      <c r="O316" s="296"/>
    </row>
    <row r="317" spans="1:15" x14ac:dyDescent="0.25">
      <c r="A317" s="285" t="s">
        <v>584</v>
      </c>
      <c r="B317" s="285">
        <v>2346000</v>
      </c>
      <c r="C317" s="337">
        <v>0</v>
      </c>
      <c r="D317" s="337">
        <v>14554689.75</v>
      </c>
      <c r="E317" s="337">
        <v>0</v>
      </c>
      <c r="F317" s="337">
        <v>14554689.75</v>
      </c>
      <c r="G317" s="337">
        <v>0</v>
      </c>
      <c r="H317" s="286">
        <f>+F317</f>
        <v>14554689.75</v>
      </c>
      <c r="I317" s="287"/>
      <c r="J317" s="339">
        <v>5800000</v>
      </c>
      <c r="K317" s="339"/>
      <c r="L317" s="338">
        <f>J317+K317</f>
        <v>5800000</v>
      </c>
      <c r="M317" s="297">
        <f>N317+O317</f>
        <v>13072740.33</v>
      </c>
      <c r="N317" s="298">
        <f>759799.73+54163.58</f>
        <v>813963.30999999994</v>
      </c>
      <c r="O317" s="354">
        <v>12258777.02</v>
      </c>
    </row>
    <row r="318" spans="1:15" ht="12.75" x14ac:dyDescent="0.2">
      <c r="A318" s="289"/>
      <c r="B318" s="285"/>
      <c r="C318" s="337"/>
      <c r="D318" s="337"/>
      <c r="E318" s="337"/>
      <c r="F318" s="337"/>
      <c r="G318" s="337"/>
      <c r="H318" s="286"/>
      <c r="I318" s="287"/>
      <c r="J318" s="341"/>
      <c r="K318" s="341"/>
      <c r="L318" s="341"/>
      <c r="M318" s="342"/>
      <c r="N318" s="296"/>
      <c r="O318" s="296"/>
    </row>
    <row r="319" spans="1:15" ht="12.75" x14ac:dyDescent="0.2">
      <c r="A319" s="289" t="s">
        <v>62</v>
      </c>
      <c r="B319" s="285"/>
      <c r="C319" s="337"/>
      <c r="D319" s="337"/>
      <c r="E319" s="337"/>
      <c r="F319" s="337"/>
      <c r="G319" s="337"/>
      <c r="H319" s="286"/>
      <c r="I319" s="287"/>
      <c r="J319" s="341"/>
      <c r="K319" s="341"/>
      <c r="L319" s="341"/>
      <c r="M319" s="342"/>
      <c r="N319" s="296"/>
      <c r="O319" s="296"/>
    </row>
    <row r="320" spans="1:15" x14ac:dyDescent="0.25">
      <c r="A320" s="285" t="s">
        <v>760</v>
      </c>
      <c r="B320" s="285">
        <v>2010000</v>
      </c>
      <c r="C320" s="337">
        <v>0</v>
      </c>
      <c r="D320" s="337">
        <v>117078429.5</v>
      </c>
      <c r="E320" s="337">
        <v>0</v>
      </c>
      <c r="F320" s="337">
        <v>117078429.5</v>
      </c>
      <c r="G320" s="337">
        <v>0</v>
      </c>
      <c r="H320" s="286"/>
      <c r="I320" s="287"/>
      <c r="J320" s="341">
        <v>302700000</v>
      </c>
      <c r="K320" s="341">
        <v>14000000</v>
      </c>
      <c r="L320" s="338">
        <f>J320+K320</f>
        <v>316700000</v>
      </c>
      <c r="M320" s="304">
        <f>N320+O320</f>
        <v>313590342.85000002</v>
      </c>
      <c r="N320" s="296"/>
      <c r="O320" s="213">
        <v>313590342.85000002</v>
      </c>
    </row>
    <row r="321" spans="1:15" x14ac:dyDescent="0.25">
      <c r="A321" s="285" t="s">
        <v>488</v>
      </c>
      <c r="B321" s="285">
        <v>2016000</v>
      </c>
      <c r="C321" s="337">
        <v>0</v>
      </c>
      <c r="D321" s="337">
        <v>26831223.239999998</v>
      </c>
      <c r="E321" s="337">
        <v>0</v>
      </c>
      <c r="F321" s="337">
        <v>26831223.239999998</v>
      </c>
      <c r="G321" s="337">
        <v>0</v>
      </c>
      <c r="H321" s="286"/>
      <c r="I321" s="287"/>
      <c r="J321" s="341">
        <v>55000000</v>
      </c>
      <c r="K321" s="341">
        <v>3000000</v>
      </c>
      <c r="L321" s="338">
        <f>J321+K321</f>
        <v>58000000</v>
      </c>
      <c r="M321" s="304">
        <f>N321+O321</f>
        <v>43670631.530000001</v>
      </c>
      <c r="N321" s="296"/>
      <c r="O321" s="213">
        <v>43670631.530000001</v>
      </c>
    </row>
    <row r="322" spans="1:15" x14ac:dyDescent="0.25">
      <c r="A322" s="285" t="s">
        <v>762</v>
      </c>
      <c r="B322" s="285">
        <v>2015000</v>
      </c>
      <c r="C322" s="337">
        <v>0</v>
      </c>
      <c r="D322" s="337">
        <v>46354882.369999997</v>
      </c>
      <c r="E322" s="337">
        <v>0</v>
      </c>
      <c r="F322" s="337">
        <v>46354882.369999997</v>
      </c>
      <c r="G322" s="337">
        <v>0</v>
      </c>
      <c r="H322" s="286">
        <f>SUM(F320:F322)</f>
        <v>190264535.11000001</v>
      </c>
      <c r="I322" s="287"/>
      <c r="J322" s="341">
        <v>35000000</v>
      </c>
      <c r="K322" s="341">
        <v>4000000</v>
      </c>
      <c r="L322" s="338">
        <f>J322+K322</f>
        <v>39000000</v>
      </c>
      <c r="M322" s="304">
        <f>N322+O322</f>
        <v>61141219.609999999</v>
      </c>
      <c r="N322" s="296"/>
      <c r="O322" s="213">
        <v>61141219.609999999</v>
      </c>
    </row>
    <row r="323" spans="1:15" ht="12.75" x14ac:dyDescent="0.2">
      <c r="A323" s="289"/>
      <c r="B323" s="285"/>
      <c r="C323" s="337"/>
      <c r="D323" s="337"/>
      <c r="E323" s="337"/>
      <c r="F323" s="337"/>
      <c r="G323" s="337"/>
      <c r="H323" s="286"/>
      <c r="I323" s="287"/>
      <c r="J323" s="343">
        <f t="shared" ref="J323:O323" si="30">SUM(J320:J322)</f>
        <v>392700000</v>
      </c>
      <c r="K323" s="343">
        <f t="shared" si="30"/>
        <v>21000000</v>
      </c>
      <c r="L323" s="343">
        <f t="shared" si="30"/>
        <v>413700000</v>
      </c>
      <c r="M323" s="344">
        <f t="shared" si="30"/>
        <v>418402193.99000001</v>
      </c>
      <c r="N323" s="298">
        <f t="shared" si="30"/>
        <v>0</v>
      </c>
      <c r="O323" s="298">
        <f t="shared" si="30"/>
        <v>418402193.99000001</v>
      </c>
    </row>
    <row r="324" spans="1:15" ht="12.75" x14ac:dyDescent="0.2">
      <c r="A324" s="289" t="s">
        <v>368</v>
      </c>
      <c r="B324" s="285"/>
      <c r="C324" s="337"/>
      <c r="D324" s="337"/>
      <c r="E324" s="337"/>
      <c r="F324" s="337"/>
      <c r="G324" s="337"/>
      <c r="H324" s="286"/>
      <c r="I324" s="287"/>
      <c r="J324" s="345"/>
      <c r="K324" s="345"/>
      <c r="L324" s="345"/>
      <c r="M324" s="346"/>
      <c r="N324" s="296"/>
      <c r="O324" s="296"/>
    </row>
    <row r="325" spans="1:15" ht="12.75" x14ac:dyDescent="0.2">
      <c r="A325" s="285" t="s">
        <v>350</v>
      </c>
      <c r="B325" s="285">
        <v>2270000</v>
      </c>
      <c r="C325" s="337">
        <v>0</v>
      </c>
      <c r="D325" s="337">
        <v>1763552.79</v>
      </c>
      <c r="E325" s="337">
        <v>0</v>
      </c>
      <c r="F325" s="337">
        <v>1763552.79</v>
      </c>
      <c r="G325" s="337">
        <v>0</v>
      </c>
      <c r="H325" s="286">
        <f>+F325</f>
        <v>1763552.79</v>
      </c>
      <c r="I325" s="287"/>
      <c r="J325" s="292">
        <v>240000</v>
      </c>
      <c r="K325" s="292"/>
      <c r="L325" s="338">
        <f>J325+K325</f>
        <v>240000</v>
      </c>
      <c r="M325" s="304">
        <f>N325+O325</f>
        <v>240000</v>
      </c>
      <c r="N325" s="298"/>
      <c r="O325" s="297">
        <v>240000</v>
      </c>
    </row>
    <row r="326" spans="1:15" ht="12.75" x14ac:dyDescent="0.2">
      <c r="A326" s="289"/>
      <c r="B326" s="285"/>
      <c r="C326" s="337"/>
      <c r="D326" s="337"/>
      <c r="E326" s="337"/>
      <c r="F326" s="337"/>
      <c r="G326" s="337"/>
      <c r="H326" s="286"/>
      <c r="I326" s="287"/>
      <c r="J326" s="338"/>
      <c r="K326" s="338"/>
      <c r="L326" s="338"/>
      <c r="M326" s="304"/>
      <c r="N326" s="296"/>
      <c r="O326" s="304"/>
    </row>
    <row r="327" spans="1:15" ht="12.75" x14ac:dyDescent="0.2">
      <c r="A327" s="289" t="s">
        <v>361</v>
      </c>
      <c r="B327" s="285"/>
      <c r="C327" s="337"/>
      <c r="D327" s="337"/>
      <c r="E327" s="337"/>
      <c r="F327" s="337"/>
      <c r="G327" s="337"/>
      <c r="H327" s="286"/>
      <c r="I327" s="287"/>
      <c r="J327" s="338"/>
      <c r="K327" s="338"/>
      <c r="L327" s="338"/>
      <c r="M327" s="304"/>
      <c r="N327" s="296"/>
      <c r="O327" s="304"/>
    </row>
    <row r="328" spans="1:15" ht="12.75" x14ac:dyDescent="0.2">
      <c r="A328" s="285" t="s">
        <v>761</v>
      </c>
      <c r="B328" s="285">
        <v>2010500</v>
      </c>
      <c r="C328" s="337">
        <v>0</v>
      </c>
      <c r="D328" s="337">
        <v>3023470.78</v>
      </c>
      <c r="E328" s="337">
        <v>0</v>
      </c>
      <c r="F328" s="337">
        <v>3023470.78</v>
      </c>
      <c r="G328" s="337">
        <v>0</v>
      </c>
      <c r="H328" s="286"/>
      <c r="I328" s="287"/>
      <c r="J328" s="338"/>
      <c r="K328" s="338"/>
      <c r="L328" s="338">
        <f t="shared" ref="L328:L391" si="31">J328+K328</f>
        <v>0</v>
      </c>
      <c r="M328" s="304">
        <f t="shared" ref="M328:M391" si="32">N328+O328</f>
        <v>0</v>
      </c>
      <c r="N328" s="296"/>
      <c r="O328" s="304"/>
    </row>
    <row r="329" spans="1:15" ht="12.75" x14ac:dyDescent="0.2">
      <c r="A329" s="285" t="s">
        <v>763</v>
      </c>
      <c r="B329" s="285">
        <v>2015100</v>
      </c>
      <c r="C329" s="337">
        <v>0</v>
      </c>
      <c r="D329" s="337">
        <v>2575938.6</v>
      </c>
      <c r="E329" s="337">
        <v>0</v>
      </c>
      <c r="F329" s="337">
        <v>2575938.6</v>
      </c>
      <c r="G329" s="337">
        <v>0</v>
      </c>
      <c r="H329" s="286"/>
      <c r="I329" s="287"/>
      <c r="J329" s="338"/>
      <c r="K329" s="338">
        <f>46492000</f>
        <v>46492000</v>
      </c>
      <c r="L329" s="338">
        <f t="shared" si="31"/>
        <v>46492000</v>
      </c>
      <c r="M329" s="304">
        <f t="shared" si="32"/>
        <v>0</v>
      </c>
      <c r="N329" s="296"/>
      <c r="O329" s="304"/>
    </row>
    <row r="330" spans="1:15" ht="12.75" x14ac:dyDescent="0.2">
      <c r="A330" s="285" t="s">
        <v>346</v>
      </c>
      <c r="B330" s="285">
        <v>2020000</v>
      </c>
      <c r="C330" s="337"/>
      <c r="D330" s="337"/>
      <c r="E330" s="337"/>
      <c r="F330" s="337"/>
      <c r="G330" s="337"/>
      <c r="H330" s="286"/>
      <c r="I330" s="287"/>
      <c r="J330" s="338">
        <v>2000</v>
      </c>
      <c r="K330" s="338"/>
      <c r="L330" s="338">
        <f t="shared" si="31"/>
        <v>2000</v>
      </c>
      <c r="M330" s="304">
        <f t="shared" si="32"/>
        <v>0</v>
      </c>
      <c r="N330" s="296"/>
      <c r="O330" s="304"/>
    </row>
    <row r="331" spans="1:15" ht="12.75" x14ac:dyDescent="0.2">
      <c r="A331" s="285" t="s">
        <v>489</v>
      </c>
      <c r="B331" s="285">
        <v>2030000</v>
      </c>
      <c r="C331" s="337">
        <v>0</v>
      </c>
      <c r="D331" s="337">
        <v>105927748.08</v>
      </c>
      <c r="E331" s="337">
        <v>0</v>
      </c>
      <c r="F331" s="337">
        <v>105927748.08</v>
      </c>
      <c r="G331" s="337">
        <v>0</v>
      </c>
      <c r="H331" s="286"/>
      <c r="I331" s="287"/>
      <c r="J331" s="338">
        <v>147280910</v>
      </c>
      <c r="K331" s="338"/>
      <c r="L331" s="338">
        <f t="shared" si="31"/>
        <v>147280910</v>
      </c>
      <c r="M331" s="304">
        <f t="shared" si="32"/>
        <v>31658.38</v>
      </c>
      <c r="N331" s="296"/>
      <c r="O331" s="304">
        <v>31658.38</v>
      </c>
    </row>
    <row r="332" spans="1:15" ht="12.75" x14ac:dyDescent="0.2">
      <c r="A332" s="285" t="s">
        <v>490</v>
      </c>
      <c r="B332" s="285">
        <v>2040000</v>
      </c>
      <c r="C332" s="337">
        <v>0</v>
      </c>
      <c r="D332" s="337">
        <v>1885.5</v>
      </c>
      <c r="E332" s="337">
        <v>0</v>
      </c>
      <c r="F332" s="337">
        <v>1885.5</v>
      </c>
      <c r="G332" s="337">
        <v>0</v>
      </c>
      <c r="H332" s="286"/>
      <c r="I332" s="287"/>
      <c r="J332" s="338">
        <v>2035</v>
      </c>
      <c r="K332" s="338"/>
      <c r="L332" s="338">
        <f t="shared" si="31"/>
        <v>2035</v>
      </c>
      <c r="M332" s="304">
        <f t="shared" si="32"/>
        <v>1744.5</v>
      </c>
      <c r="N332" s="296"/>
      <c r="O332" s="304">
        <v>1744.5</v>
      </c>
    </row>
    <row r="333" spans="1:15" ht="12.75" x14ac:dyDescent="0.2">
      <c r="A333" s="285" t="s">
        <v>491</v>
      </c>
      <c r="B333" s="285">
        <v>2060000</v>
      </c>
      <c r="C333" s="337">
        <v>0</v>
      </c>
      <c r="D333" s="337">
        <v>580479.57999999996</v>
      </c>
      <c r="E333" s="337">
        <v>0</v>
      </c>
      <c r="F333" s="337">
        <v>580479.57999999996</v>
      </c>
      <c r="G333" s="337">
        <v>0</v>
      </c>
      <c r="H333" s="286"/>
      <c r="I333" s="287"/>
      <c r="J333" s="338">
        <v>1106850</v>
      </c>
      <c r="K333" s="338"/>
      <c r="L333" s="338">
        <f t="shared" si="31"/>
        <v>1106850</v>
      </c>
      <c r="M333" s="304">
        <f t="shared" si="32"/>
        <v>809284.37</v>
      </c>
      <c r="N333" s="296"/>
      <c r="O333" s="304">
        <v>809284.37</v>
      </c>
    </row>
    <row r="334" spans="1:15" ht="12.75" x14ac:dyDescent="0.2">
      <c r="A334" s="285" t="s">
        <v>492</v>
      </c>
      <c r="B334" s="285">
        <v>2065000</v>
      </c>
      <c r="C334" s="337">
        <v>0</v>
      </c>
      <c r="D334" s="337">
        <v>39642.61</v>
      </c>
      <c r="E334" s="337">
        <v>0</v>
      </c>
      <c r="F334" s="337">
        <v>39642.61</v>
      </c>
      <c r="G334" s="337">
        <v>0</v>
      </c>
      <c r="H334" s="286"/>
      <c r="I334" s="287"/>
      <c r="J334" s="338">
        <v>700000</v>
      </c>
      <c r="K334" s="338"/>
      <c r="L334" s="338">
        <f t="shared" si="31"/>
        <v>700000</v>
      </c>
      <c r="M334" s="304">
        <f t="shared" si="32"/>
        <v>71025.990000000005</v>
      </c>
      <c r="N334" s="296"/>
      <c r="O334" s="304">
        <v>71025.990000000005</v>
      </c>
    </row>
    <row r="335" spans="1:15" ht="12.75" x14ac:dyDescent="0.2">
      <c r="A335" s="285" t="s">
        <v>493</v>
      </c>
      <c r="B335" s="285">
        <v>2070000</v>
      </c>
      <c r="C335" s="337">
        <v>0</v>
      </c>
      <c r="D335" s="337">
        <v>3949.76</v>
      </c>
      <c r="E335" s="337">
        <v>0</v>
      </c>
      <c r="F335" s="337">
        <v>3949.76</v>
      </c>
      <c r="G335" s="337">
        <v>0</v>
      </c>
      <c r="H335" s="286"/>
      <c r="I335" s="287"/>
      <c r="J335" s="338">
        <v>10000</v>
      </c>
      <c r="K335" s="338"/>
      <c r="L335" s="338">
        <f t="shared" si="31"/>
        <v>10000</v>
      </c>
      <c r="M335" s="304">
        <f t="shared" si="32"/>
        <v>0</v>
      </c>
      <c r="N335" s="296"/>
      <c r="O335" s="304"/>
    </row>
    <row r="336" spans="1:15" ht="12.75" x14ac:dyDescent="0.2">
      <c r="A336" s="285" t="s">
        <v>494</v>
      </c>
      <c r="B336" s="285">
        <v>2080000</v>
      </c>
      <c r="C336" s="337">
        <v>0</v>
      </c>
      <c r="D336" s="337">
        <v>1332671.73</v>
      </c>
      <c r="E336" s="337">
        <v>0</v>
      </c>
      <c r="F336" s="337">
        <v>1332671.73</v>
      </c>
      <c r="G336" s="337">
        <v>0</v>
      </c>
      <c r="H336" s="286"/>
      <c r="I336" s="287"/>
      <c r="J336" s="338">
        <v>1720000</v>
      </c>
      <c r="K336" s="338"/>
      <c r="L336" s="338">
        <f t="shared" si="31"/>
        <v>1720000</v>
      </c>
      <c r="M336" s="304">
        <f t="shared" si="32"/>
        <v>3213986.8200000003</v>
      </c>
      <c r="N336" s="296">
        <v>254089.99</v>
      </c>
      <c r="O336" s="304">
        <v>2959896.83</v>
      </c>
    </row>
    <row r="337" spans="1:15" ht="12.75" x14ac:dyDescent="0.2">
      <c r="A337" s="285" t="s">
        <v>495</v>
      </c>
      <c r="B337" s="285">
        <v>2080100</v>
      </c>
      <c r="C337" s="337">
        <v>0</v>
      </c>
      <c r="D337" s="337">
        <v>606769.62</v>
      </c>
      <c r="E337" s="337">
        <v>0</v>
      </c>
      <c r="F337" s="337">
        <v>606769.62</v>
      </c>
      <c r="G337" s="337">
        <v>0</v>
      </c>
      <c r="H337" s="286"/>
      <c r="I337" s="287"/>
      <c r="J337" s="338">
        <v>900000</v>
      </c>
      <c r="K337" s="338"/>
      <c r="L337" s="338">
        <f t="shared" si="31"/>
        <v>900000</v>
      </c>
      <c r="M337" s="304">
        <f t="shared" si="32"/>
        <v>836479.25</v>
      </c>
      <c r="N337" s="296"/>
      <c r="O337" s="304">
        <v>836479.25</v>
      </c>
    </row>
    <row r="338" spans="1:15" ht="12.75" x14ac:dyDescent="0.2">
      <c r="A338" s="285" t="s">
        <v>496</v>
      </c>
      <c r="B338" s="285">
        <v>2081000</v>
      </c>
      <c r="C338" s="337">
        <v>0</v>
      </c>
      <c r="D338" s="337">
        <v>13228.53</v>
      </c>
      <c r="E338" s="337">
        <v>0</v>
      </c>
      <c r="F338" s="337">
        <v>13228.53</v>
      </c>
      <c r="G338" s="337">
        <v>0</v>
      </c>
      <c r="H338" s="286"/>
      <c r="I338" s="287"/>
      <c r="J338" s="338">
        <v>1230000</v>
      </c>
      <c r="K338" s="338"/>
      <c r="L338" s="338">
        <f t="shared" si="31"/>
        <v>1230000</v>
      </c>
      <c r="M338" s="304">
        <f t="shared" si="32"/>
        <v>1261317.48</v>
      </c>
      <c r="N338" s="296"/>
      <c r="O338" s="304">
        <v>1261317.48</v>
      </c>
    </row>
    <row r="339" spans="1:15" ht="12.75" x14ac:dyDescent="0.2">
      <c r="A339" s="285" t="s">
        <v>497</v>
      </c>
      <c r="B339" s="285">
        <v>2082000</v>
      </c>
      <c r="C339" s="337">
        <v>0</v>
      </c>
      <c r="D339" s="337">
        <v>8180701.6399999997</v>
      </c>
      <c r="E339" s="337">
        <v>0</v>
      </c>
      <c r="F339" s="337">
        <v>8180701.6399999997</v>
      </c>
      <c r="G339" s="337">
        <v>0</v>
      </c>
      <c r="H339" s="286"/>
      <c r="I339" s="287"/>
      <c r="J339" s="338">
        <v>11761800</v>
      </c>
      <c r="K339" s="338"/>
      <c r="L339" s="338">
        <f t="shared" si="31"/>
        <v>11761800</v>
      </c>
      <c r="M339" s="304">
        <f t="shared" si="32"/>
        <v>16139113.4</v>
      </c>
      <c r="N339" s="296"/>
      <c r="O339" s="304">
        <v>16139113.4</v>
      </c>
    </row>
    <row r="340" spans="1:15" ht="12.75" x14ac:dyDescent="0.2">
      <c r="A340" s="285" t="s">
        <v>498</v>
      </c>
      <c r="B340" s="285">
        <v>2088000</v>
      </c>
      <c r="C340" s="337">
        <v>0</v>
      </c>
      <c r="D340" s="337">
        <v>2413</v>
      </c>
      <c r="E340" s="337">
        <v>0</v>
      </c>
      <c r="F340" s="337">
        <v>2413</v>
      </c>
      <c r="G340" s="337">
        <v>0</v>
      </c>
      <c r="H340" s="286"/>
      <c r="I340" s="287"/>
      <c r="J340" s="338">
        <v>17100</v>
      </c>
      <c r="K340" s="338"/>
      <c r="L340" s="338">
        <f t="shared" si="31"/>
        <v>17100</v>
      </c>
      <c r="M340" s="304">
        <f t="shared" si="32"/>
        <v>5502</v>
      </c>
      <c r="N340" s="296"/>
      <c r="O340" s="304">
        <v>5502</v>
      </c>
    </row>
    <row r="341" spans="1:15" ht="12.75" x14ac:dyDescent="0.2">
      <c r="A341" s="285" t="s">
        <v>499</v>
      </c>
      <c r="B341" s="285">
        <v>2100000</v>
      </c>
      <c r="C341" s="337">
        <v>0</v>
      </c>
      <c r="D341" s="337">
        <v>166844.07999999999</v>
      </c>
      <c r="E341" s="337">
        <v>0</v>
      </c>
      <c r="F341" s="337">
        <v>166844.07999999999</v>
      </c>
      <c r="G341" s="337">
        <v>0</v>
      </c>
      <c r="H341" s="286"/>
      <c r="I341" s="287"/>
      <c r="J341" s="338">
        <v>330385</v>
      </c>
      <c r="K341" s="338"/>
      <c r="L341" s="338">
        <f t="shared" si="31"/>
        <v>330385</v>
      </c>
      <c r="M341" s="304">
        <f t="shared" si="32"/>
        <v>246542.89</v>
      </c>
      <c r="N341" s="296"/>
      <c r="O341" s="304">
        <v>246542.89</v>
      </c>
    </row>
    <row r="342" spans="1:15" ht="12.75" x14ac:dyDescent="0.2">
      <c r="A342" s="285" t="s">
        <v>500</v>
      </c>
      <c r="B342" s="285">
        <v>2110000</v>
      </c>
      <c r="C342" s="337">
        <v>0</v>
      </c>
      <c r="D342" s="337">
        <v>848.68</v>
      </c>
      <c r="E342" s="337">
        <v>0</v>
      </c>
      <c r="F342" s="337">
        <v>848.68</v>
      </c>
      <c r="G342" s="337">
        <v>0</v>
      </c>
      <c r="H342" s="286"/>
      <c r="I342" s="287"/>
      <c r="J342" s="338">
        <v>50000</v>
      </c>
      <c r="K342" s="338"/>
      <c r="L342" s="338">
        <f t="shared" si="31"/>
        <v>50000</v>
      </c>
      <c r="M342" s="304">
        <f t="shared" si="32"/>
        <v>467.11</v>
      </c>
      <c r="N342" s="296"/>
      <c r="O342" s="304">
        <v>467.11</v>
      </c>
    </row>
    <row r="343" spans="1:15" ht="12.75" x14ac:dyDescent="0.2">
      <c r="A343" s="285" t="s">
        <v>501</v>
      </c>
      <c r="B343" s="285">
        <v>2115000</v>
      </c>
      <c r="C343" s="337">
        <v>0</v>
      </c>
      <c r="D343" s="337">
        <v>113043</v>
      </c>
      <c r="E343" s="337">
        <v>0</v>
      </c>
      <c r="F343" s="337">
        <v>113043</v>
      </c>
      <c r="G343" s="337">
        <v>0</v>
      </c>
      <c r="H343" s="286"/>
      <c r="I343" s="287"/>
      <c r="J343" s="338">
        <v>150000</v>
      </c>
      <c r="K343" s="338"/>
      <c r="L343" s="338">
        <f t="shared" si="31"/>
        <v>150000</v>
      </c>
      <c r="M343" s="304">
        <f t="shared" si="32"/>
        <v>137738.13</v>
      </c>
      <c r="N343" s="296"/>
      <c r="O343" s="304">
        <v>137738.13</v>
      </c>
    </row>
    <row r="344" spans="1:15" ht="12.75" x14ac:dyDescent="0.2">
      <c r="A344" s="285" t="s">
        <v>978</v>
      </c>
      <c r="B344" s="285">
        <v>2116000</v>
      </c>
      <c r="C344" s="337"/>
      <c r="D344" s="337"/>
      <c r="E344" s="337"/>
      <c r="F344" s="337"/>
      <c r="G344" s="337"/>
      <c r="H344" s="286"/>
      <c r="I344" s="287"/>
      <c r="J344" s="338">
        <v>100000</v>
      </c>
      <c r="K344" s="338"/>
      <c r="L344" s="338">
        <f t="shared" si="31"/>
        <v>100000</v>
      </c>
      <c r="M344" s="304">
        <f t="shared" si="32"/>
        <v>0</v>
      </c>
      <c r="N344" s="296"/>
      <c r="O344" s="304"/>
    </row>
    <row r="345" spans="1:15" ht="12.75" x14ac:dyDescent="0.2">
      <c r="A345" s="285" t="s">
        <v>902</v>
      </c>
      <c r="B345" s="285">
        <v>2117000</v>
      </c>
      <c r="C345" s="337"/>
      <c r="D345" s="337"/>
      <c r="E345" s="337"/>
      <c r="F345" s="337"/>
      <c r="G345" s="337"/>
      <c r="H345" s="286"/>
      <c r="I345" s="287"/>
      <c r="J345" s="338">
        <v>900000</v>
      </c>
      <c r="K345" s="338"/>
      <c r="L345" s="338">
        <f t="shared" si="31"/>
        <v>900000</v>
      </c>
      <c r="M345" s="304">
        <f t="shared" si="32"/>
        <v>148000</v>
      </c>
      <c r="N345" s="296"/>
      <c r="O345" s="304">
        <v>148000</v>
      </c>
    </row>
    <row r="346" spans="1:15" ht="12.75" x14ac:dyDescent="0.2">
      <c r="A346" s="285" t="s">
        <v>903</v>
      </c>
      <c r="B346" s="285">
        <v>2117001</v>
      </c>
      <c r="C346" s="337"/>
      <c r="D346" s="337"/>
      <c r="E346" s="337"/>
      <c r="F346" s="337"/>
      <c r="G346" s="337"/>
      <c r="H346" s="286"/>
      <c r="I346" s="287"/>
      <c r="J346" s="338"/>
      <c r="K346" s="338"/>
      <c r="L346" s="338">
        <f t="shared" si="31"/>
        <v>0</v>
      </c>
      <c r="M346" s="304">
        <f t="shared" si="32"/>
        <v>0</v>
      </c>
      <c r="N346" s="296"/>
      <c r="O346" s="304"/>
    </row>
    <row r="347" spans="1:15" ht="12.75" x14ac:dyDescent="0.2">
      <c r="A347" s="285" t="s">
        <v>904</v>
      </c>
      <c r="B347" s="285">
        <v>2117002</v>
      </c>
      <c r="C347" s="337"/>
      <c r="D347" s="337"/>
      <c r="E347" s="337"/>
      <c r="F347" s="337"/>
      <c r="G347" s="337"/>
      <c r="H347" s="286"/>
      <c r="I347" s="287"/>
      <c r="J347" s="338"/>
      <c r="K347" s="338"/>
      <c r="L347" s="338">
        <f t="shared" si="31"/>
        <v>0</v>
      </c>
      <c r="M347" s="304">
        <f t="shared" si="32"/>
        <v>3208281.54</v>
      </c>
      <c r="N347" s="296"/>
      <c r="O347" s="304">
        <v>3208281.54</v>
      </c>
    </row>
    <row r="348" spans="1:15" ht="12.75" x14ac:dyDescent="0.2">
      <c r="A348" s="285" t="s">
        <v>905</v>
      </c>
      <c r="B348" s="285">
        <v>2117003</v>
      </c>
      <c r="C348" s="337"/>
      <c r="D348" s="337"/>
      <c r="E348" s="337"/>
      <c r="F348" s="337"/>
      <c r="G348" s="337"/>
      <c r="H348" s="286"/>
      <c r="I348" s="287"/>
      <c r="J348" s="338">
        <v>14000000</v>
      </c>
      <c r="K348" s="338"/>
      <c r="L348" s="338">
        <f t="shared" si="31"/>
        <v>14000000</v>
      </c>
      <c r="M348" s="304">
        <f t="shared" si="32"/>
        <v>25313487.93</v>
      </c>
      <c r="N348" s="296"/>
      <c r="O348" s="304">
        <v>25313487.93</v>
      </c>
    </row>
    <row r="349" spans="1:15" ht="12.75" x14ac:dyDescent="0.2">
      <c r="A349" s="285" t="s">
        <v>906</v>
      </c>
      <c r="B349" s="285">
        <v>2117004</v>
      </c>
      <c r="C349" s="337"/>
      <c r="D349" s="337"/>
      <c r="E349" s="337"/>
      <c r="F349" s="337"/>
      <c r="G349" s="337"/>
      <c r="H349" s="286"/>
      <c r="I349" s="287"/>
      <c r="J349" s="338"/>
      <c r="K349" s="338"/>
      <c r="L349" s="338">
        <f t="shared" si="31"/>
        <v>0</v>
      </c>
      <c r="M349" s="304">
        <f t="shared" si="32"/>
        <v>5756710.8600000003</v>
      </c>
      <c r="N349" s="296"/>
      <c r="O349" s="304">
        <v>5756710.8600000003</v>
      </c>
    </row>
    <row r="350" spans="1:15" ht="12.75" x14ac:dyDescent="0.2">
      <c r="A350" s="285" t="s">
        <v>681</v>
      </c>
      <c r="B350" s="285">
        <v>2117005</v>
      </c>
      <c r="C350" s="337"/>
      <c r="D350" s="337"/>
      <c r="E350" s="337"/>
      <c r="F350" s="337"/>
      <c r="G350" s="337"/>
      <c r="H350" s="286"/>
      <c r="I350" s="287"/>
      <c r="J350" s="338"/>
      <c r="K350" s="338"/>
      <c r="L350" s="338">
        <f t="shared" si="31"/>
        <v>0</v>
      </c>
      <c r="M350" s="304">
        <f t="shared" si="32"/>
        <v>0</v>
      </c>
      <c r="N350" s="296"/>
      <c r="O350" s="304"/>
    </row>
    <row r="351" spans="1:15" ht="12.75" x14ac:dyDescent="0.2">
      <c r="A351" s="285" t="s">
        <v>682</v>
      </c>
      <c r="B351" s="285">
        <v>2117006</v>
      </c>
      <c r="C351" s="337"/>
      <c r="D351" s="337"/>
      <c r="E351" s="337"/>
      <c r="F351" s="337"/>
      <c r="G351" s="337"/>
      <c r="H351" s="286"/>
      <c r="I351" s="287"/>
      <c r="J351" s="338"/>
      <c r="K351" s="338"/>
      <c r="L351" s="338">
        <f t="shared" si="31"/>
        <v>0</v>
      </c>
      <c r="M351" s="304">
        <f t="shared" si="32"/>
        <v>1630182.79</v>
      </c>
      <c r="N351" s="296"/>
      <c r="O351" s="304">
        <v>1630182.79</v>
      </c>
    </row>
    <row r="352" spans="1:15" ht="12.75" x14ac:dyDescent="0.2">
      <c r="A352" s="285" t="s">
        <v>85</v>
      </c>
      <c r="B352" s="285">
        <v>2117007</v>
      </c>
      <c r="C352" s="337"/>
      <c r="D352" s="337"/>
      <c r="E352" s="337"/>
      <c r="F352" s="337"/>
      <c r="G352" s="337"/>
      <c r="H352" s="286"/>
      <c r="I352" s="287"/>
      <c r="J352" s="338"/>
      <c r="K352" s="338"/>
      <c r="L352" s="338">
        <f t="shared" si="31"/>
        <v>0</v>
      </c>
      <c r="M352" s="304">
        <f t="shared" si="32"/>
        <v>3838033.62</v>
      </c>
      <c r="N352" s="296"/>
      <c r="O352" s="304">
        <v>3838033.62</v>
      </c>
    </row>
    <row r="353" spans="1:15" ht="12.75" x14ac:dyDescent="0.2">
      <c r="A353" s="285" t="s">
        <v>683</v>
      </c>
      <c r="B353" s="285">
        <v>2117008</v>
      </c>
      <c r="C353" s="337"/>
      <c r="D353" s="337"/>
      <c r="E353" s="337"/>
      <c r="F353" s="337"/>
      <c r="G353" s="337"/>
      <c r="H353" s="286"/>
      <c r="I353" s="287"/>
      <c r="J353" s="338"/>
      <c r="K353" s="338"/>
      <c r="L353" s="338">
        <f t="shared" si="31"/>
        <v>0</v>
      </c>
      <c r="M353" s="304">
        <f t="shared" si="32"/>
        <v>10093706.390000001</v>
      </c>
      <c r="N353" s="296"/>
      <c r="O353" s="304">
        <v>10093706.390000001</v>
      </c>
    </row>
    <row r="354" spans="1:15" ht="12.75" x14ac:dyDescent="0.2">
      <c r="A354" s="285" t="s">
        <v>684</v>
      </c>
      <c r="B354" s="285">
        <v>2117009</v>
      </c>
      <c r="C354" s="337"/>
      <c r="D354" s="337"/>
      <c r="E354" s="337"/>
      <c r="F354" s="337"/>
      <c r="G354" s="337"/>
      <c r="H354" s="286"/>
      <c r="I354" s="287"/>
      <c r="J354" s="338"/>
      <c r="K354" s="338"/>
      <c r="L354" s="338">
        <f t="shared" si="31"/>
        <v>0</v>
      </c>
      <c r="M354" s="304">
        <f t="shared" si="32"/>
        <v>1599846.74</v>
      </c>
      <c r="N354" s="296"/>
      <c r="O354" s="304">
        <v>1599846.74</v>
      </c>
    </row>
    <row r="355" spans="1:15" ht="12.75" x14ac:dyDescent="0.2">
      <c r="A355" s="285" t="s">
        <v>185</v>
      </c>
      <c r="B355" s="285">
        <v>2117010</v>
      </c>
      <c r="C355" s="337"/>
      <c r="D355" s="337"/>
      <c r="E355" s="337"/>
      <c r="F355" s="337"/>
      <c r="G355" s="337"/>
      <c r="H355" s="286"/>
      <c r="I355" s="287"/>
      <c r="J355" s="338"/>
      <c r="K355" s="338"/>
      <c r="L355" s="338">
        <f t="shared" si="31"/>
        <v>0</v>
      </c>
      <c r="M355" s="304">
        <f t="shared" si="32"/>
        <v>0</v>
      </c>
      <c r="N355" s="296"/>
      <c r="O355" s="304"/>
    </row>
    <row r="356" spans="1:15" ht="12.75" x14ac:dyDescent="0.2">
      <c r="A356" s="285" t="s">
        <v>186</v>
      </c>
      <c r="B356" s="285">
        <v>2117011</v>
      </c>
      <c r="C356" s="337"/>
      <c r="D356" s="337"/>
      <c r="E356" s="337"/>
      <c r="F356" s="337"/>
      <c r="G356" s="337"/>
      <c r="H356" s="286"/>
      <c r="I356" s="287"/>
      <c r="J356" s="338"/>
      <c r="K356" s="338"/>
      <c r="L356" s="338">
        <f t="shared" si="31"/>
        <v>0</v>
      </c>
      <c r="M356" s="304">
        <f t="shared" si="32"/>
        <v>0</v>
      </c>
      <c r="N356" s="296"/>
      <c r="O356" s="304"/>
    </row>
    <row r="357" spans="1:15" ht="12.75" x14ac:dyDescent="0.2">
      <c r="A357" s="285" t="s">
        <v>187</v>
      </c>
      <c r="B357" s="285">
        <v>2117012</v>
      </c>
      <c r="C357" s="337"/>
      <c r="D357" s="337"/>
      <c r="E357" s="337"/>
      <c r="F357" s="337"/>
      <c r="G357" s="337"/>
      <c r="H357" s="286"/>
      <c r="I357" s="287"/>
      <c r="J357" s="338"/>
      <c r="K357" s="338"/>
      <c r="L357" s="338">
        <f t="shared" si="31"/>
        <v>0</v>
      </c>
      <c r="M357" s="304">
        <f t="shared" si="32"/>
        <v>1870186.98</v>
      </c>
      <c r="N357" s="296"/>
      <c r="O357" s="304">
        <v>1870186.98</v>
      </c>
    </row>
    <row r="358" spans="1:15" ht="12.75" x14ac:dyDescent="0.2">
      <c r="A358" s="285" t="s">
        <v>188</v>
      </c>
      <c r="B358" s="285">
        <v>2117014</v>
      </c>
      <c r="C358" s="337"/>
      <c r="D358" s="337"/>
      <c r="E358" s="337"/>
      <c r="F358" s="337"/>
      <c r="G358" s="337"/>
      <c r="H358" s="286"/>
      <c r="I358" s="287"/>
      <c r="J358" s="338"/>
      <c r="K358" s="338"/>
      <c r="L358" s="338">
        <f t="shared" si="31"/>
        <v>0</v>
      </c>
      <c r="M358" s="304">
        <f t="shared" si="32"/>
        <v>0</v>
      </c>
      <c r="N358" s="296"/>
      <c r="O358" s="304"/>
    </row>
    <row r="359" spans="1:15" ht="12.75" x14ac:dyDescent="0.2">
      <c r="A359" s="285" t="s">
        <v>502</v>
      </c>
      <c r="B359" s="285">
        <v>2120000</v>
      </c>
      <c r="C359" s="337">
        <v>0</v>
      </c>
      <c r="D359" s="337">
        <v>820607.21</v>
      </c>
      <c r="E359" s="337">
        <v>0</v>
      </c>
      <c r="F359" s="337">
        <v>820607.21</v>
      </c>
      <c r="G359" s="337">
        <v>0</v>
      </c>
      <c r="H359" s="286"/>
      <c r="I359" s="287"/>
      <c r="J359" s="338">
        <v>6780690</v>
      </c>
      <c r="K359" s="338"/>
      <c r="L359" s="338">
        <f t="shared" si="31"/>
        <v>6780690</v>
      </c>
      <c r="M359" s="304">
        <f t="shared" si="32"/>
        <v>5896418.6200000001</v>
      </c>
      <c r="N359" s="296"/>
      <c r="O359" s="304">
        <v>5896418.6200000001</v>
      </c>
    </row>
    <row r="360" spans="1:15" ht="12.75" x14ac:dyDescent="0.2">
      <c r="A360" s="285" t="s">
        <v>504</v>
      </c>
      <c r="B360" s="285">
        <v>2130000</v>
      </c>
      <c r="C360" s="337">
        <v>0</v>
      </c>
      <c r="D360" s="337">
        <v>712829.82</v>
      </c>
      <c r="E360" s="337">
        <v>0</v>
      </c>
      <c r="F360" s="337">
        <v>712829.82</v>
      </c>
      <c r="G360" s="337">
        <v>0</v>
      </c>
      <c r="H360" s="286"/>
      <c r="I360" s="287"/>
      <c r="J360" s="338">
        <v>810000</v>
      </c>
      <c r="K360" s="338"/>
      <c r="L360" s="338">
        <f t="shared" si="31"/>
        <v>810000</v>
      </c>
      <c r="M360" s="304">
        <f t="shared" si="32"/>
        <v>1510665.95</v>
      </c>
      <c r="N360" s="296"/>
      <c r="O360" s="304">
        <v>1510665.95</v>
      </c>
    </row>
    <row r="361" spans="1:15" ht="12.75" x14ac:dyDescent="0.2">
      <c r="A361" s="285" t="s">
        <v>505</v>
      </c>
      <c r="B361" s="285">
        <v>2160000</v>
      </c>
      <c r="C361" s="337">
        <v>0</v>
      </c>
      <c r="D361" s="337">
        <v>477901.53</v>
      </c>
      <c r="E361" s="337">
        <v>0</v>
      </c>
      <c r="F361" s="337">
        <v>477901.53</v>
      </c>
      <c r="G361" s="337">
        <v>0</v>
      </c>
      <c r="H361" s="286"/>
      <c r="I361" s="287"/>
      <c r="J361" s="338">
        <v>1197500</v>
      </c>
      <c r="K361" s="338"/>
      <c r="L361" s="338">
        <f t="shared" si="31"/>
        <v>1197500</v>
      </c>
      <c r="M361" s="304">
        <f t="shared" si="32"/>
        <v>893485.29</v>
      </c>
      <c r="N361" s="296"/>
      <c r="O361" s="304">
        <v>893485.29</v>
      </c>
    </row>
    <row r="362" spans="1:15" ht="12.75" x14ac:dyDescent="0.2">
      <c r="A362" s="285" t="s">
        <v>506</v>
      </c>
      <c r="B362" s="285">
        <v>2170000</v>
      </c>
      <c r="C362" s="337">
        <v>0</v>
      </c>
      <c r="D362" s="337">
        <v>10743.14</v>
      </c>
      <c r="E362" s="337">
        <v>0</v>
      </c>
      <c r="F362" s="337">
        <v>10743.14</v>
      </c>
      <c r="G362" s="337">
        <v>0</v>
      </c>
      <c r="H362" s="286"/>
      <c r="I362" s="287"/>
      <c r="J362" s="338">
        <v>23100</v>
      </c>
      <c r="K362" s="338"/>
      <c r="L362" s="338">
        <f t="shared" si="31"/>
        <v>23100</v>
      </c>
      <c r="M362" s="304">
        <f t="shared" si="32"/>
        <v>18883.03</v>
      </c>
      <c r="N362" s="296"/>
      <c r="O362" s="304">
        <v>18883.03</v>
      </c>
    </row>
    <row r="363" spans="1:15" ht="12.75" x14ac:dyDescent="0.2">
      <c r="A363" s="285" t="s">
        <v>507</v>
      </c>
      <c r="B363" s="285">
        <v>2180000</v>
      </c>
      <c r="C363" s="337">
        <v>0</v>
      </c>
      <c r="D363" s="337">
        <v>2260.52</v>
      </c>
      <c r="E363" s="337">
        <v>0</v>
      </c>
      <c r="F363" s="337">
        <v>2260.52</v>
      </c>
      <c r="G363" s="337">
        <v>0</v>
      </c>
      <c r="H363" s="286"/>
      <c r="I363" s="287"/>
      <c r="J363" s="338">
        <v>84000</v>
      </c>
      <c r="K363" s="338"/>
      <c r="L363" s="338">
        <f t="shared" si="31"/>
        <v>84000</v>
      </c>
      <c r="M363" s="304">
        <f t="shared" si="32"/>
        <v>72198.59</v>
      </c>
      <c r="N363" s="296"/>
      <c r="O363" s="304">
        <v>72198.59</v>
      </c>
    </row>
    <row r="364" spans="1:15" ht="12.75" x14ac:dyDescent="0.2">
      <c r="A364" s="285" t="s">
        <v>508</v>
      </c>
      <c r="B364" s="285">
        <v>2200000</v>
      </c>
      <c r="C364" s="337">
        <v>0</v>
      </c>
      <c r="D364" s="337">
        <v>152235.14000000001</v>
      </c>
      <c r="E364" s="337">
        <v>0</v>
      </c>
      <c r="F364" s="337">
        <v>152235.14000000001</v>
      </c>
      <c r="G364" s="337">
        <v>0</v>
      </c>
      <c r="H364" s="286"/>
      <c r="I364" s="287"/>
      <c r="J364" s="338">
        <v>400000</v>
      </c>
      <c r="K364" s="338"/>
      <c r="L364" s="338">
        <f t="shared" si="31"/>
        <v>400000</v>
      </c>
      <c r="M364" s="304">
        <f t="shared" si="32"/>
        <v>11444.63</v>
      </c>
      <c r="N364" s="296"/>
      <c r="O364" s="304">
        <v>11444.63</v>
      </c>
    </row>
    <row r="365" spans="1:15" ht="12.75" x14ac:dyDescent="0.2">
      <c r="A365" s="285" t="s">
        <v>900</v>
      </c>
      <c r="B365" s="285">
        <v>2210000</v>
      </c>
      <c r="C365" s="337">
        <v>0</v>
      </c>
      <c r="D365" s="337">
        <v>2632777.79</v>
      </c>
      <c r="E365" s="337">
        <v>0</v>
      </c>
      <c r="F365" s="337">
        <v>2632777.79</v>
      </c>
      <c r="G365" s="337">
        <v>0</v>
      </c>
      <c r="H365" s="286"/>
      <c r="I365" s="287"/>
      <c r="J365" s="338">
        <v>5257935</v>
      </c>
      <c r="K365" s="338"/>
      <c r="L365" s="338">
        <f t="shared" si="31"/>
        <v>5257935</v>
      </c>
      <c r="M365" s="304">
        <f t="shared" si="32"/>
        <v>4049695.91</v>
      </c>
      <c r="N365" s="296"/>
      <c r="O365" s="304">
        <v>4049695.91</v>
      </c>
    </row>
    <row r="366" spans="1:15" ht="12.75" x14ac:dyDescent="0.2">
      <c r="A366" s="285" t="s">
        <v>467</v>
      </c>
      <c r="B366" s="285">
        <v>2210001</v>
      </c>
      <c r="C366" s="337">
        <v>0</v>
      </c>
      <c r="D366" s="337">
        <v>88081.36</v>
      </c>
      <c r="E366" s="337">
        <v>0</v>
      </c>
      <c r="F366" s="337">
        <v>88081.36</v>
      </c>
      <c r="G366" s="337">
        <v>0</v>
      </c>
      <c r="H366" s="286"/>
      <c r="I366" s="287"/>
      <c r="J366" s="338">
        <v>125000</v>
      </c>
      <c r="K366" s="338"/>
      <c r="L366" s="338">
        <f t="shared" si="31"/>
        <v>125000</v>
      </c>
      <c r="M366" s="304">
        <f t="shared" si="32"/>
        <v>27291.58</v>
      </c>
      <c r="N366" s="296"/>
      <c r="O366" s="304">
        <v>27291.58</v>
      </c>
    </row>
    <row r="367" spans="1:15" ht="12.75" x14ac:dyDescent="0.2">
      <c r="A367" s="285" t="s">
        <v>468</v>
      </c>
      <c r="B367" s="285">
        <v>2210004</v>
      </c>
      <c r="C367" s="337">
        <v>0</v>
      </c>
      <c r="D367" s="337">
        <v>778702.86</v>
      </c>
      <c r="E367" s="337">
        <v>0</v>
      </c>
      <c r="F367" s="337">
        <v>778702.86</v>
      </c>
      <c r="G367" s="337">
        <v>0</v>
      </c>
      <c r="H367" s="286"/>
      <c r="I367" s="287"/>
      <c r="J367" s="338">
        <v>2050000</v>
      </c>
      <c r="K367" s="338"/>
      <c r="L367" s="338">
        <f t="shared" si="31"/>
        <v>2050000</v>
      </c>
      <c r="M367" s="304">
        <f t="shared" si="32"/>
        <v>1784139.75</v>
      </c>
      <c r="N367" s="296"/>
      <c r="O367" s="304">
        <v>1784139.75</v>
      </c>
    </row>
    <row r="368" spans="1:15" ht="12.75" x14ac:dyDescent="0.2">
      <c r="A368" s="285" t="s">
        <v>469</v>
      </c>
      <c r="B368" s="285">
        <v>2212000</v>
      </c>
      <c r="C368" s="337">
        <v>0</v>
      </c>
      <c r="D368" s="337">
        <v>480981.09</v>
      </c>
      <c r="E368" s="337">
        <v>0</v>
      </c>
      <c r="F368" s="337">
        <v>480981.09</v>
      </c>
      <c r="G368" s="337">
        <v>0</v>
      </c>
      <c r="H368" s="286"/>
      <c r="I368" s="287"/>
      <c r="J368" s="338">
        <v>1600000</v>
      </c>
      <c r="K368" s="338"/>
      <c r="L368" s="338">
        <f t="shared" si="31"/>
        <v>1600000</v>
      </c>
      <c r="M368" s="304">
        <f t="shared" si="32"/>
        <v>0</v>
      </c>
      <c r="N368" s="296"/>
      <c r="O368" s="304"/>
    </row>
    <row r="369" spans="1:15" ht="12.75" x14ac:dyDescent="0.2">
      <c r="A369" s="285" t="s">
        <v>470</v>
      </c>
      <c r="B369" s="285">
        <v>2220000</v>
      </c>
      <c r="C369" s="337">
        <v>0</v>
      </c>
      <c r="D369" s="337">
        <v>3079956.93</v>
      </c>
      <c r="E369" s="337">
        <v>0</v>
      </c>
      <c r="F369" s="337">
        <v>3079956.93</v>
      </c>
      <c r="G369" s="337">
        <v>0</v>
      </c>
      <c r="H369" s="286"/>
      <c r="I369" s="287"/>
      <c r="J369" s="338">
        <v>8088045</v>
      </c>
      <c r="K369" s="338"/>
      <c r="L369" s="338">
        <f t="shared" si="31"/>
        <v>8088045</v>
      </c>
      <c r="M369" s="304">
        <f t="shared" si="32"/>
        <v>11024809.439999999</v>
      </c>
      <c r="N369" s="296"/>
      <c r="O369" s="304">
        <v>11024809.439999999</v>
      </c>
    </row>
    <row r="370" spans="1:15" ht="12.75" x14ac:dyDescent="0.2">
      <c r="A370" s="285" t="s">
        <v>471</v>
      </c>
      <c r="B370" s="285">
        <v>2220500</v>
      </c>
      <c r="C370" s="337">
        <v>0</v>
      </c>
      <c r="D370" s="337">
        <v>193373.56</v>
      </c>
      <c r="E370" s="337">
        <v>0</v>
      </c>
      <c r="F370" s="337">
        <v>193373.56</v>
      </c>
      <c r="G370" s="337">
        <v>0</v>
      </c>
      <c r="H370" s="286"/>
      <c r="I370" s="287"/>
      <c r="J370" s="338">
        <v>624650</v>
      </c>
      <c r="K370" s="338"/>
      <c r="L370" s="338">
        <f t="shared" si="31"/>
        <v>624650</v>
      </c>
      <c r="M370" s="304">
        <f t="shared" si="32"/>
        <v>768583.26</v>
      </c>
      <c r="N370" s="296"/>
      <c r="O370" s="304">
        <v>768583.26</v>
      </c>
    </row>
    <row r="371" spans="1:15" ht="12.75" x14ac:dyDescent="0.2">
      <c r="A371" s="285" t="s">
        <v>472</v>
      </c>
      <c r="B371" s="285">
        <v>2222000</v>
      </c>
      <c r="C371" s="337">
        <v>0</v>
      </c>
      <c r="D371" s="337">
        <v>777190.77</v>
      </c>
      <c r="E371" s="337">
        <v>0</v>
      </c>
      <c r="F371" s="337">
        <v>777190.77</v>
      </c>
      <c r="G371" s="337">
        <v>0</v>
      </c>
      <c r="H371" s="286"/>
      <c r="I371" s="287"/>
      <c r="J371" s="338">
        <v>1500000</v>
      </c>
      <c r="K371" s="338"/>
      <c r="L371" s="338">
        <f t="shared" si="31"/>
        <v>1500000</v>
      </c>
      <c r="M371" s="304">
        <f t="shared" si="32"/>
        <v>1410283.37</v>
      </c>
      <c r="N371" s="296"/>
      <c r="O371" s="304">
        <v>1410283.37</v>
      </c>
    </row>
    <row r="372" spans="1:15" ht="12.75" x14ac:dyDescent="0.2">
      <c r="A372" s="285" t="s">
        <v>455</v>
      </c>
      <c r="B372" s="285">
        <v>2230000</v>
      </c>
      <c r="C372" s="337"/>
      <c r="D372" s="337"/>
      <c r="E372" s="337"/>
      <c r="F372" s="337"/>
      <c r="G372" s="337"/>
      <c r="H372" s="286"/>
      <c r="I372" s="287"/>
      <c r="J372" s="338">
        <v>10000</v>
      </c>
      <c r="K372" s="338"/>
      <c r="L372" s="338">
        <f t="shared" si="31"/>
        <v>10000</v>
      </c>
      <c r="M372" s="304">
        <f t="shared" si="32"/>
        <v>831.31</v>
      </c>
      <c r="N372" s="296"/>
      <c r="O372" s="304">
        <v>831.31</v>
      </c>
    </row>
    <row r="373" spans="1:15" ht="12.75" x14ac:dyDescent="0.2">
      <c r="A373" s="285" t="s">
        <v>473</v>
      </c>
      <c r="B373" s="285">
        <v>2240000</v>
      </c>
      <c r="C373" s="337">
        <v>0</v>
      </c>
      <c r="D373" s="337">
        <v>257659.07</v>
      </c>
      <c r="E373" s="337">
        <v>0</v>
      </c>
      <c r="F373" s="337">
        <v>257659.07</v>
      </c>
      <c r="G373" s="337">
        <v>0</v>
      </c>
      <c r="H373" s="286"/>
      <c r="I373" s="287"/>
      <c r="J373" s="338">
        <v>435300</v>
      </c>
      <c r="K373" s="338"/>
      <c r="L373" s="338">
        <f t="shared" si="31"/>
        <v>435300</v>
      </c>
      <c r="M373" s="304">
        <f t="shared" si="32"/>
        <v>446974.28</v>
      </c>
      <c r="N373" s="296"/>
      <c r="O373" s="304">
        <v>446974.28</v>
      </c>
    </row>
    <row r="374" spans="1:15" ht="12.75" x14ac:dyDescent="0.2">
      <c r="A374" s="285" t="s">
        <v>474</v>
      </c>
      <c r="B374" s="285">
        <v>2245500</v>
      </c>
      <c r="C374" s="337">
        <v>0</v>
      </c>
      <c r="D374" s="337">
        <v>113726.66</v>
      </c>
      <c r="E374" s="337">
        <v>0</v>
      </c>
      <c r="F374" s="337">
        <v>113726.66</v>
      </c>
      <c r="G374" s="337">
        <v>0</v>
      </c>
      <c r="H374" s="286"/>
      <c r="I374" s="287"/>
      <c r="J374" s="338">
        <v>600000</v>
      </c>
      <c r="K374" s="338"/>
      <c r="L374" s="338">
        <f t="shared" si="31"/>
        <v>600000</v>
      </c>
      <c r="M374" s="304">
        <f t="shared" si="32"/>
        <v>573185.81000000006</v>
      </c>
      <c r="N374" s="296"/>
      <c r="O374" s="304">
        <v>573185.81000000006</v>
      </c>
    </row>
    <row r="375" spans="1:15" ht="12.75" x14ac:dyDescent="0.2">
      <c r="A375" s="285" t="s">
        <v>475</v>
      </c>
      <c r="B375" s="285">
        <v>2251000</v>
      </c>
      <c r="C375" s="337">
        <v>0</v>
      </c>
      <c r="D375" s="337">
        <v>514.6</v>
      </c>
      <c r="E375" s="337">
        <v>0</v>
      </c>
      <c r="F375" s="337">
        <v>514.6</v>
      </c>
      <c r="G375" s="337">
        <v>0</v>
      </c>
      <c r="H375" s="286"/>
      <c r="I375" s="287"/>
      <c r="J375" s="338"/>
      <c r="K375" s="338"/>
      <c r="L375" s="338">
        <f t="shared" si="31"/>
        <v>0</v>
      </c>
      <c r="M375" s="304">
        <f t="shared" si="32"/>
        <v>0</v>
      </c>
      <c r="N375" s="296"/>
      <c r="O375" s="304"/>
    </row>
    <row r="376" spans="1:15" ht="12.75" x14ac:dyDescent="0.2">
      <c r="A376" s="285" t="s">
        <v>476</v>
      </c>
      <c r="B376" s="285">
        <v>2254000</v>
      </c>
      <c r="C376" s="337">
        <v>0</v>
      </c>
      <c r="D376" s="337">
        <v>309562.33</v>
      </c>
      <c r="E376" s="337">
        <v>0</v>
      </c>
      <c r="F376" s="337">
        <v>309562.33</v>
      </c>
      <c r="G376" s="337">
        <v>0</v>
      </c>
      <c r="H376" s="286"/>
      <c r="I376" s="287"/>
      <c r="J376" s="338">
        <v>350000</v>
      </c>
      <c r="K376" s="338"/>
      <c r="L376" s="338">
        <f t="shared" si="31"/>
        <v>350000</v>
      </c>
      <c r="M376" s="304">
        <f t="shared" si="32"/>
        <v>415313.2</v>
      </c>
      <c r="N376" s="296"/>
      <c r="O376" s="304">
        <v>415313.2</v>
      </c>
    </row>
    <row r="377" spans="1:15" ht="12.75" x14ac:dyDescent="0.2">
      <c r="A377" s="285" t="s">
        <v>477</v>
      </c>
      <c r="B377" s="285">
        <v>2260500</v>
      </c>
      <c r="C377" s="337">
        <v>0</v>
      </c>
      <c r="D377" s="337">
        <v>1581522.37</v>
      </c>
      <c r="E377" s="337">
        <v>0</v>
      </c>
      <c r="F377" s="337">
        <v>1581522.37</v>
      </c>
      <c r="G377" s="337">
        <v>0</v>
      </c>
      <c r="H377" s="286"/>
      <c r="I377" s="287"/>
      <c r="J377" s="338">
        <v>2743685</v>
      </c>
      <c r="K377" s="338"/>
      <c r="L377" s="338">
        <f t="shared" si="31"/>
        <v>2743685</v>
      </c>
      <c r="M377" s="304">
        <f t="shared" si="32"/>
        <v>2966776.41</v>
      </c>
      <c r="N377" s="296"/>
      <c r="O377" s="304">
        <v>2966776.41</v>
      </c>
    </row>
    <row r="378" spans="1:15" ht="12.75" x14ac:dyDescent="0.2">
      <c r="A378" s="285" t="s">
        <v>478</v>
      </c>
      <c r="B378" s="285">
        <v>2261000</v>
      </c>
      <c r="C378" s="337">
        <v>0</v>
      </c>
      <c r="D378" s="337">
        <v>676</v>
      </c>
      <c r="E378" s="337">
        <v>0</v>
      </c>
      <c r="F378" s="337">
        <v>676</v>
      </c>
      <c r="G378" s="337">
        <v>0</v>
      </c>
      <c r="H378" s="286"/>
      <c r="I378" s="287"/>
      <c r="J378" s="338">
        <v>4000</v>
      </c>
      <c r="K378" s="338"/>
      <c r="L378" s="338">
        <f t="shared" si="31"/>
        <v>4000</v>
      </c>
      <c r="M378" s="304">
        <f t="shared" si="32"/>
        <v>2784</v>
      </c>
      <c r="N378" s="296"/>
      <c r="O378" s="304">
        <v>2784</v>
      </c>
    </row>
    <row r="379" spans="1:15" ht="12.75" x14ac:dyDescent="0.2">
      <c r="A379" s="285" t="s">
        <v>479</v>
      </c>
      <c r="B379" s="285">
        <v>2267000</v>
      </c>
      <c r="C379" s="337">
        <v>0</v>
      </c>
      <c r="D379" s="337">
        <v>249372.33</v>
      </c>
      <c r="E379" s="337">
        <v>0</v>
      </c>
      <c r="F379" s="337">
        <v>249372.33</v>
      </c>
      <c r="G379" s="337">
        <v>0</v>
      </c>
      <c r="H379" s="286"/>
      <c r="I379" s="287"/>
      <c r="J379" s="338">
        <v>333900</v>
      </c>
      <c r="K379" s="338"/>
      <c r="L379" s="338">
        <f t="shared" si="31"/>
        <v>333900</v>
      </c>
      <c r="M379" s="304">
        <f t="shared" si="32"/>
        <v>622798.26</v>
      </c>
      <c r="N379" s="296"/>
      <c r="O379" s="304">
        <v>622798.26</v>
      </c>
    </row>
    <row r="380" spans="1:15" ht="12.75" x14ac:dyDescent="0.2">
      <c r="A380" s="285" t="s">
        <v>480</v>
      </c>
      <c r="B380" s="285">
        <v>2268000</v>
      </c>
      <c r="C380" s="337">
        <v>0</v>
      </c>
      <c r="D380" s="337">
        <v>430238.31</v>
      </c>
      <c r="E380" s="337">
        <v>0</v>
      </c>
      <c r="F380" s="337">
        <v>430238.31</v>
      </c>
      <c r="G380" s="337">
        <v>0</v>
      </c>
      <c r="H380" s="286"/>
      <c r="I380" s="287"/>
      <c r="J380" s="338">
        <v>866385</v>
      </c>
      <c r="K380" s="338"/>
      <c r="L380" s="338">
        <f t="shared" si="31"/>
        <v>866385</v>
      </c>
      <c r="M380" s="304">
        <f t="shared" si="32"/>
        <v>583271.91</v>
      </c>
      <c r="N380" s="296"/>
      <c r="O380" s="304">
        <v>583271.91</v>
      </c>
    </row>
    <row r="381" spans="1:15" ht="12.75" x14ac:dyDescent="0.2">
      <c r="A381" s="285" t="s">
        <v>481</v>
      </c>
      <c r="B381" s="285">
        <v>2270000</v>
      </c>
      <c r="C381" s="337">
        <v>0</v>
      </c>
      <c r="D381" s="337">
        <v>251853.01</v>
      </c>
      <c r="E381" s="337">
        <v>0</v>
      </c>
      <c r="F381" s="337">
        <v>251853.01</v>
      </c>
      <c r="G381" s="337">
        <v>0</v>
      </c>
      <c r="H381" s="286"/>
      <c r="I381" s="287"/>
      <c r="J381" s="338">
        <f>400000-240000</f>
        <v>160000</v>
      </c>
      <c r="K381" s="338"/>
      <c r="L381" s="338">
        <f t="shared" si="31"/>
        <v>160000</v>
      </c>
      <c r="M381" s="304">
        <f t="shared" si="32"/>
        <v>8000</v>
      </c>
      <c r="N381" s="296"/>
      <c r="O381" s="304">
        <v>8000</v>
      </c>
    </row>
    <row r="382" spans="1:15" ht="12.75" x14ac:dyDescent="0.2">
      <c r="A382" s="285" t="s">
        <v>456</v>
      </c>
      <c r="B382" s="285">
        <v>2270100</v>
      </c>
      <c r="C382" s="337"/>
      <c r="D382" s="337"/>
      <c r="E382" s="337"/>
      <c r="F382" s="337"/>
      <c r="G382" s="337"/>
      <c r="H382" s="286"/>
      <c r="I382" s="287"/>
      <c r="J382" s="338"/>
      <c r="K382" s="338"/>
      <c r="L382" s="338">
        <f t="shared" si="31"/>
        <v>0</v>
      </c>
      <c r="M382" s="304">
        <f t="shared" si="32"/>
        <v>0</v>
      </c>
      <c r="N382" s="296"/>
      <c r="O382" s="304"/>
    </row>
    <row r="383" spans="1:15" ht="12.75" x14ac:dyDescent="0.2">
      <c r="A383" s="285" t="s">
        <v>865</v>
      </c>
      <c r="B383" s="285">
        <v>2280000</v>
      </c>
      <c r="C383" s="337">
        <v>0</v>
      </c>
      <c r="D383" s="337">
        <v>892</v>
      </c>
      <c r="E383" s="337">
        <v>0</v>
      </c>
      <c r="F383" s="337">
        <v>892</v>
      </c>
      <c r="G383" s="337">
        <v>0</v>
      </c>
      <c r="H383" s="286"/>
      <c r="I383" s="287"/>
      <c r="J383" s="338">
        <v>975</v>
      </c>
      <c r="K383" s="338"/>
      <c r="L383" s="338">
        <f t="shared" si="31"/>
        <v>975</v>
      </c>
      <c r="M383" s="304">
        <f t="shared" si="32"/>
        <v>825.9</v>
      </c>
      <c r="N383" s="296"/>
      <c r="O383" s="304">
        <v>825.9</v>
      </c>
    </row>
    <row r="384" spans="1:15" ht="12.75" x14ac:dyDescent="0.2">
      <c r="A384" s="285" t="s">
        <v>482</v>
      </c>
      <c r="B384" s="285">
        <v>2285000</v>
      </c>
      <c r="C384" s="337">
        <v>0</v>
      </c>
      <c r="D384" s="337">
        <v>68568.86</v>
      </c>
      <c r="E384" s="337">
        <v>0</v>
      </c>
      <c r="F384" s="337">
        <v>68568.86</v>
      </c>
      <c r="G384" s="337">
        <v>0</v>
      </c>
      <c r="H384" s="286"/>
      <c r="I384" s="287"/>
      <c r="J384" s="338">
        <v>108500</v>
      </c>
      <c r="K384" s="338"/>
      <c r="L384" s="338">
        <f t="shared" si="31"/>
        <v>108500</v>
      </c>
      <c r="M384" s="304">
        <f t="shared" si="32"/>
        <v>108131.79</v>
      </c>
      <c r="N384" s="296"/>
      <c r="O384" s="304">
        <v>108131.79</v>
      </c>
    </row>
    <row r="385" spans="1:15" ht="12.75" x14ac:dyDescent="0.2">
      <c r="A385" s="285" t="s">
        <v>483</v>
      </c>
      <c r="B385" s="285">
        <v>2290000</v>
      </c>
      <c r="C385" s="337">
        <v>0</v>
      </c>
      <c r="D385" s="337">
        <v>5336589.72</v>
      </c>
      <c r="E385" s="337">
        <v>0</v>
      </c>
      <c r="F385" s="337">
        <v>5336589.72</v>
      </c>
      <c r="G385" s="337">
        <v>0</v>
      </c>
      <c r="H385" s="286"/>
      <c r="I385" s="287"/>
      <c r="J385" s="338">
        <v>6360945</v>
      </c>
      <c r="K385" s="338"/>
      <c r="L385" s="338">
        <f t="shared" si="31"/>
        <v>6360945</v>
      </c>
      <c r="M385" s="304">
        <f t="shared" si="32"/>
        <v>23151.51</v>
      </c>
      <c r="N385" s="296"/>
      <c r="O385" s="304">
        <v>23151.51</v>
      </c>
    </row>
    <row r="386" spans="1:15" ht="12.75" x14ac:dyDescent="0.2">
      <c r="A386" s="285" t="s">
        <v>484</v>
      </c>
      <c r="B386" s="285">
        <v>2290100</v>
      </c>
      <c r="C386" s="337">
        <v>0</v>
      </c>
      <c r="D386" s="337">
        <v>158484.95000000001</v>
      </c>
      <c r="E386" s="337">
        <v>0</v>
      </c>
      <c r="F386" s="337">
        <v>158484.95000000001</v>
      </c>
      <c r="G386" s="337">
        <v>0</v>
      </c>
      <c r="H386" s="286"/>
      <c r="I386" s="287"/>
      <c r="J386" s="338">
        <v>399000</v>
      </c>
      <c r="K386" s="338"/>
      <c r="L386" s="338">
        <f t="shared" si="31"/>
        <v>399000</v>
      </c>
      <c r="M386" s="304">
        <f t="shared" si="32"/>
        <v>225233.25</v>
      </c>
      <c r="N386" s="296"/>
      <c r="O386" s="304">
        <v>225233.25</v>
      </c>
    </row>
    <row r="387" spans="1:15" ht="12.75" x14ac:dyDescent="0.2">
      <c r="A387" s="285" t="s">
        <v>485</v>
      </c>
      <c r="B387" s="285">
        <v>2300000</v>
      </c>
      <c r="C387" s="337">
        <v>0</v>
      </c>
      <c r="D387" s="337">
        <v>6910744.4800000004</v>
      </c>
      <c r="E387" s="337">
        <v>0</v>
      </c>
      <c r="F387" s="337">
        <v>6910744.4800000004</v>
      </c>
      <c r="G387" s="337">
        <v>0</v>
      </c>
      <c r="H387" s="286"/>
      <c r="I387" s="287"/>
      <c r="J387" s="338">
        <v>8872375</v>
      </c>
      <c r="K387" s="338"/>
      <c r="L387" s="338">
        <f t="shared" si="31"/>
        <v>8872375</v>
      </c>
      <c r="M387" s="304">
        <f t="shared" si="32"/>
        <v>5908477.2899999991</v>
      </c>
      <c r="N387" s="296">
        <f>-4035559.32-421260</f>
        <v>-4456819.32</v>
      </c>
      <c r="O387" s="304">
        <v>10365296.609999999</v>
      </c>
    </row>
    <row r="388" spans="1:15" ht="12.75" x14ac:dyDescent="0.2">
      <c r="A388" s="285" t="s">
        <v>486</v>
      </c>
      <c r="B388" s="285">
        <v>2300100</v>
      </c>
      <c r="C388" s="337">
        <v>0</v>
      </c>
      <c r="D388" s="337">
        <v>327026.89</v>
      </c>
      <c r="E388" s="337">
        <v>0</v>
      </c>
      <c r="F388" s="337">
        <v>327026.89</v>
      </c>
      <c r="G388" s="337">
        <v>0</v>
      </c>
      <c r="H388" s="286"/>
      <c r="I388" s="287"/>
      <c r="J388" s="338">
        <v>584000</v>
      </c>
      <c r="K388" s="338"/>
      <c r="L388" s="338">
        <f t="shared" si="31"/>
        <v>584000</v>
      </c>
      <c r="M388" s="304">
        <f t="shared" si="32"/>
        <v>560394.64</v>
      </c>
      <c r="N388" s="296"/>
      <c r="O388" s="304">
        <v>560394.64</v>
      </c>
    </row>
    <row r="389" spans="1:15" ht="12.75" x14ac:dyDescent="0.2">
      <c r="A389" s="285" t="s">
        <v>487</v>
      </c>
      <c r="B389" s="285">
        <v>2345000</v>
      </c>
      <c r="C389" s="337">
        <v>0</v>
      </c>
      <c r="D389" s="337">
        <v>516775.49</v>
      </c>
      <c r="E389" s="337">
        <v>0</v>
      </c>
      <c r="F389" s="337">
        <v>516775.49</v>
      </c>
      <c r="G389" s="337">
        <v>0</v>
      </c>
      <c r="H389" s="286"/>
      <c r="I389" s="287"/>
      <c r="J389" s="338">
        <v>1000000</v>
      </c>
      <c r="K389" s="338"/>
      <c r="L389" s="338">
        <f t="shared" si="31"/>
        <v>1000000</v>
      </c>
      <c r="M389" s="304">
        <f t="shared" si="32"/>
        <v>1177030.31</v>
      </c>
      <c r="N389" s="296"/>
      <c r="O389" s="304">
        <v>1177030.31</v>
      </c>
    </row>
    <row r="390" spans="1:15" ht="12.75" x14ac:dyDescent="0.2">
      <c r="A390" s="285" t="s">
        <v>196</v>
      </c>
      <c r="B390" s="285">
        <v>2360000</v>
      </c>
      <c r="C390" s="337">
        <v>0</v>
      </c>
      <c r="D390" s="337">
        <v>820</v>
      </c>
      <c r="E390" s="337">
        <v>0</v>
      </c>
      <c r="F390" s="337">
        <v>820</v>
      </c>
      <c r="G390" s="337">
        <v>0</v>
      </c>
      <c r="H390" s="286"/>
      <c r="I390" s="287"/>
      <c r="J390" s="338"/>
      <c r="K390" s="338"/>
      <c r="L390" s="338">
        <f t="shared" si="31"/>
        <v>0</v>
      </c>
      <c r="M390" s="304">
        <f t="shared" si="32"/>
        <v>1033297.22</v>
      </c>
      <c r="N390" s="296"/>
      <c r="O390" s="304">
        <v>1033297.22</v>
      </c>
    </row>
    <row r="391" spans="1:15" ht="12.75" x14ac:dyDescent="0.2">
      <c r="A391" s="285" t="s">
        <v>792</v>
      </c>
      <c r="B391" s="285">
        <v>2380000</v>
      </c>
      <c r="C391" s="337">
        <v>0</v>
      </c>
      <c r="D391" s="337">
        <v>124109.92</v>
      </c>
      <c r="E391" s="337">
        <v>0</v>
      </c>
      <c r="F391" s="337">
        <v>124109.92</v>
      </c>
      <c r="G391" s="337">
        <v>0</v>
      </c>
      <c r="H391" s="286"/>
      <c r="I391" s="287"/>
      <c r="J391" s="338">
        <v>1537200</v>
      </c>
      <c r="K391" s="338"/>
      <c r="L391" s="338">
        <f t="shared" si="31"/>
        <v>1537200</v>
      </c>
      <c r="M391" s="304">
        <f t="shared" si="32"/>
        <v>143734.32</v>
      </c>
      <c r="N391" s="296"/>
      <c r="O391" s="304">
        <v>143734.32</v>
      </c>
    </row>
    <row r="392" spans="1:15" ht="12.75" x14ac:dyDescent="0.2">
      <c r="A392" s="285" t="s">
        <v>339</v>
      </c>
      <c r="B392" s="285">
        <v>2382000</v>
      </c>
      <c r="C392" s="337"/>
      <c r="D392" s="337"/>
      <c r="E392" s="337"/>
      <c r="F392" s="337"/>
      <c r="G392" s="337"/>
      <c r="H392" s="286"/>
      <c r="I392" s="287"/>
      <c r="J392" s="338">
        <v>400</v>
      </c>
      <c r="K392" s="338"/>
      <c r="L392" s="338">
        <f t="shared" ref="L392:L456" si="33">J392+K392</f>
        <v>400</v>
      </c>
      <c r="M392" s="304">
        <f t="shared" ref="M392:M455" si="34">N392+O392</f>
        <v>0</v>
      </c>
      <c r="N392" s="296"/>
      <c r="O392" s="304"/>
    </row>
    <row r="393" spans="1:15" ht="12.75" x14ac:dyDescent="0.2">
      <c r="A393" s="285" t="s">
        <v>793</v>
      </c>
      <c r="B393" s="285">
        <v>2385000</v>
      </c>
      <c r="C393" s="337">
        <v>0</v>
      </c>
      <c r="D393" s="337">
        <v>1250</v>
      </c>
      <c r="E393" s="337">
        <v>0</v>
      </c>
      <c r="F393" s="337">
        <v>1250</v>
      </c>
      <c r="G393" s="337">
        <v>0</v>
      </c>
      <c r="H393" s="286"/>
      <c r="I393" s="287"/>
      <c r="J393" s="338">
        <v>1000000</v>
      </c>
      <c r="K393" s="338"/>
      <c r="L393" s="338">
        <f t="shared" si="33"/>
        <v>1000000</v>
      </c>
      <c r="M393" s="304">
        <f t="shared" si="34"/>
        <v>1944974.57</v>
      </c>
      <c r="N393" s="296"/>
      <c r="O393" s="304">
        <v>1944974.57</v>
      </c>
    </row>
    <row r="394" spans="1:15" ht="12.75" x14ac:dyDescent="0.2">
      <c r="A394" s="285" t="s">
        <v>795</v>
      </c>
      <c r="B394" s="285">
        <v>2400000</v>
      </c>
      <c r="C394" s="337">
        <v>0</v>
      </c>
      <c r="D394" s="337">
        <v>1146567.19</v>
      </c>
      <c r="E394" s="337">
        <v>0</v>
      </c>
      <c r="F394" s="337">
        <v>1146567.19</v>
      </c>
      <c r="G394" s="337">
        <v>0</v>
      </c>
      <c r="H394" s="286"/>
      <c r="I394" s="287"/>
      <c r="J394" s="338">
        <v>3042310</v>
      </c>
      <c r="K394" s="338"/>
      <c r="L394" s="338">
        <f t="shared" si="33"/>
        <v>3042310</v>
      </c>
      <c r="M394" s="304">
        <f t="shared" si="34"/>
        <v>2687031.68</v>
      </c>
      <c r="N394" s="296"/>
      <c r="O394" s="304">
        <v>2687031.68</v>
      </c>
    </row>
    <row r="395" spans="1:15" ht="12.75" x14ac:dyDescent="0.2">
      <c r="A395" s="285" t="s">
        <v>648</v>
      </c>
      <c r="B395" s="285">
        <v>2410000</v>
      </c>
      <c r="C395" s="337">
        <v>0</v>
      </c>
      <c r="D395" s="337">
        <v>6263.56</v>
      </c>
      <c r="E395" s="337">
        <v>0</v>
      </c>
      <c r="F395" s="337">
        <v>6263.56</v>
      </c>
      <c r="G395" s="337">
        <v>0</v>
      </c>
      <c r="H395" s="286"/>
      <c r="I395" s="287"/>
      <c r="J395" s="338">
        <v>10500</v>
      </c>
      <c r="K395" s="338"/>
      <c r="L395" s="338">
        <f t="shared" si="33"/>
        <v>10500</v>
      </c>
      <c r="M395" s="304">
        <f t="shared" si="34"/>
        <v>7872.17</v>
      </c>
      <c r="N395" s="296"/>
      <c r="O395" s="304">
        <v>7872.17</v>
      </c>
    </row>
    <row r="396" spans="1:15" ht="12.75" x14ac:dyDescent="0.2">
      <c r="A396" s="285" t="s">
        <v>649</v>
      </c>
      <c r="B396" s="285">
        <v>2410100</v>
      </c>
      <c r="C396" s="337">
        <v>0</v>
      </c>
      <c r="D396" s="337">
        <v>78676.37</v>
      </c>
      <c r="E396" s="337">
        <v>0</v>
      </c>
      <c r="F396" s="337">
        <v>78676.37</v>
      </c>
      <c r="G396" s="337">
        <v>0</v>
      </c>
      <c r="H396" s="286"/>
      <c r="I396" s="287"/>
      <c r="J396" s="338">
        <v>150200</v>
      </c>
      <c r="K396" s="338"/>
      <c r="L396" s="338">
        <f t="shared" si="33"/>
        <v>150200</v>
      </c>
      <c r="M396" s="304">
        <f t="shared" si="34"/>
        <v>13599.75</v>
      </c>
      <c r="N396" s="296"/>
      <c r="O396" s="304">
        <v>13599.75</v>
      </c>
    </row>
    <row r="397" spans="1:15" ht="12.75" x14ac:dyDescent="0.2">
      <c r="A397" s="285" t="s">
        <v>340</v>
      </c>
      <c r="B397" s="285">
        <v>2410300</v>
      </c>
      <c r="C397" s="337"/>
      <c r="D397" s="337"/>
      <c r="E397" s="337"/>
      <c r="F397" s="337"/>
      <c r="G397" s="337"/>
      <c r="H397" s="286"/>
      <c r="I397" s="287"/>
      <c r="J397" s="338">
        <v>10000</v>
      </c>
      <c r="K397" s="338"/>
      <c r="L397" s="338">
        <f t="shared" si="33"/>
        <v>10000</v>
      </c>
      <c r="M397" s="304">
        <f t="shared" si="34"/>
        <v>0</v>
      </c>
      <c r="N397" s="296"/>
      <c r="O397" s="304"/>
    </row>
    <row r="398" spans="1:15" ht="12.75" x14ac:dyDescent="0.2">
      <c r="A398" s="285" t="s">
        <v>56</v>
      </c>
      <c r="B398" s="285">
        <v>2417000</v>
      </c>
      <c r="C398" s="337"/>
      <c r="D398" s="337"/>
      <c r="E398" s="337"/>
      <c r="F398" s="337"/>
      <c r="G398" s="337"/>
      <c r="H398" s="286"/>
      <c r="I398" s="287"/>
      <c r="J398" s="338">
        <v>100000</v>
      </c>
      <c r="K398" s="338"/>
      <c r="L398" s="338">
        <f t="shared" si="33"/>
        <v>100000</v>
      </c>
      <c r="M398" s="304">
        <f t="shared" si="34"/>
        <v>1132125.0300000003</v>
      </c>
      <c r="N398" s="296">
        <f>3367076.21+2255581.16-6398283.97</f>
        <v>-775626.59999999963</v>
      </c>
      <c r="O398" s="304">
        <v>1907751.63</v>
      </c>
    </row>
    <row r="399" spans="1:15" ht="12.75" x14ac:dyDescent="0.2">
      <c r="A399" s="285" t="s">
        <v>650</v>
      </c>
      <c r="B399" s="285">
        <v>2419000</v>
      </c>
      <c r="C399" s="337">
        <v>0</v>
      </c>
      <c r="D399" s="337">
        <v>667199.85</v>
      </c>
      <c r="E399" s="337">
        <v>0</v>
      </c>
      <c r="F399" s="337">
        <v>667199.85</v>
      </c>
      <c r="G399" s="337">
        <v>0</v>
      </c>
      <c r="H399" s="286"/>
      <c r="I399" s="287"/>
      <c r="J399" s="338">
        <v>763350</v>
      </c>
      <c r="K399" s="338"/>
      <c r="L399" s="338">
        <f t="shared" si="33"/>
        <v>763350</v>
      </c>
      <c r="M399" s="304">
        <f t="shared" si="34"/>
        <v>757730.1</v>
      </c>
      <c r="N399" s="296"/>
      <c r="O399" s="304">
        <v>757730.1</v>
      </c>
    </row>
    <row r="400" spans="1:15" ht="12.75" x14ac:dyDescent="0.2">
      <c r="A400" s="285" t="s">
        <v>651</v>
      </c>
      <c r="B400" s="285">
        <v>2420000</v>
      </c>
      <c r="C400" s="337">
        <v>0</v>
      </c>
      <c r="D400" s="337">
        <v>2014393.98</v>
      </c>
      <c r="E400" s="337">
        <v>0</v>
      </c>
      <c r="F400" s="337">
        <v>2014393.98</v>
      </c>
      <c r="G400" s="337">
        <v>0</v>
      </c>
      <c r="H400" s="286"/>
      <c r="I400" s="287"/>
      <c r="J400" s="338">
        <v>3711550</v>
      </c>
      <c r="K400" s="338"/>
      <c r="L400" s="338">
        <f t="shared" si="33"/>
        <v>3711550</v>
      </c>
      <c r="M400" s="304">
        <f t="shared" si="34"/>
        <v>2844529.4799999995</v>
      </c>
      <c r="N400" s="296">
        <v>-844650.53</v>
      </c>
      <c r="O400" s="304">
        <v>3689180.01</v>
      </c>
    </row>
    <row r="401" spans="1:15" ht="12.75" x14ac:dyDescent="0.2">
      <c r="A401" s="285" t="s">
        <v>652</v>
      </c>
      <c r="B401" s="285">
        <v>2430000</v>
      </c>
      <c r="C401" s="337">
        <v>0</v>
      </c>
      <c r="D401" s="337">
        <v>297.24</v>
      </c>
      <c r="E401" s="337">
        <v>0</v>
      </c>
      <c r="F401" s="337">
        <v>297.24</v>
      </c>
      <c r="G401" s="337">
        <v>0</v>
      </c>
      <c r="H401" s="286"/>
      <c r="I401" s="287"/>
      <c r="J401" s="338"/>
      <c r="K401" s="338"/>
      <c r="L401" s="338">
        <f t="shared" si="33"/>
        <v>0</v>
      </c>
      <c r="M401" s="304">
        <f t="shared" si="34"/>
        <v>0</v>
      </c>
      <c r="N401" s="296"/>
      <c r="O401" s="304"/>
    </row>
    <row r="402" spans="1:15" ht="12.75" x14ac:dyDescent="0.2">
      <c r="A402" s="285" t="s">
        <v>653</v>
      </c>
      <c r="B402" s="285">
        <v>2430005</v>
      </c>
      <c r="C402" s="337">
        <v>0</v>
      </c>
      <c r="D402" s="337">
        <v>3093780.43</v>
      </c>
      <c r="E402" s="337">
        <v>0</v>
      </c>
      <c r="F402" s="337">
        <v>3093780.43</v>
      </c>
      <c r="G402" s="337">
        <v>0</v>
      </c>
      <c r="H402" s="286"/>
      <c r="I402" s="287"/>
      <c r="J402" s="341">
        <v>3675000</v>
      </c>
      <c r="K402" s="341"/>
      <c r="L402" s="338">
        <f t="shared" si="33"/>
        <v>3675000</v>
      </c>
      <c r="M402" s="304">
        <f t="shared" si="34"/>
        <v>22631322.52</v>
      </c>
      <c r="N402" s="296"/>
      <c r="O402" s="342">
        <v>22631322.52</v>
      </c>
    </row>
    <row r="403" spans="1:15" ht="12.75" x14ac:dyDescent="0.2">
      <c r="A403" s="285" t="s">
        <v>654</v>
      </c>
      <c r="B403" s="285">
        <v>2430100</v>
      </c>
      <c r="C403" s="337">
        <v>0</v>
      </c>
      <c r="D403" s="337">
        <v>6856.94</v>
      </c>
      <c r="E403" s="337">
        <v>0</v>
      </c>
      <c r="F403" s="337">
        <v>6856.94</v>
      </c>
      <c r="G403" s="337">
        <v>0</v>
      </c>
      <c r="H403" s="286"/>
      <c r="I403" s="287"/>
      <c r="J403" s="338">
        <v>25000</v>
      </c>
      <c r="K403" s="338"/>
      <c r="L403" s="338">
        <f t="shared" si="33"/>
        <v>25000</v>
      </c>
      <c r="M403" s="304">
        <f t="shared" si="34"/>
        <v>9980.1200000000008</v>
      </c>
      <c r="N403" s="296"/>
      <c r="O403" s="304">
        <v>9980.1200000000008</v>
      </c>
    </row>
    <row r="404" spans="1:15" ht="12.75" x14ac:dyDescent="0.2">
      <c r="A404" s="285" t="s">
        <v>341</v>
      </c>
      <c r="B404" s="285">
        <v>2431000</v>
      </c>
      <c r="C404" s="337"/>
      <c r="D404" s="337"/>
      <c r="E404" s="337"/>
      <c r="F404" s="337"/>
      <c r="G404" s="337"/>
      <c r="H404" s="286"/>
      <c r="I404" s="287"/>
      <c r="J404" s="338">
        <v>3000</v>
      </c>
      <c r="K404" s="338"/>
      <c r="L404" s="338">
        <f t="shared" si="33"/>
        <v>3000</v>
      </c>
      <c r="M404" s="304">
        <f t="shared" si="34"/>
        <v>0</v>
      </c>
      <c r="N404" s="296"/>
      <c r="O404" s="304"/>
    </row>
    <row r="405" spans="1:15" ht="12.75" x14ac:dyDescent="0.2">
      <c r="A405" s="285" t="s">
        <v>655</v>
      </c>
      <c r="B405" s="285">
        <v>2435000</v>
      </c>
      <c r="C405" s="337">
        <v>0</v>
      </c>
      <c r="D405" s="337">
        <v>1503805.18</v>
      </c>
      <c r="E405" s="337">
        <v>0</v>
      </c>
      <c r="F405" s="337">
        <v>1503805.18</v>
      </c>
      <c r="G405" s="337">
        <v>0</v>
      </c>
      <c r="H405" s="286"/>
      <c r="I405" s="287"/>
      <c r="J405" s="338">
        <v>3177600</v>
      </c>
      <c r="K405" s="338"/>
      <c r="L405" s="338">
        <f t="shared" si="33"/>
        <v>3177600</v>
      </c>
      <c r="M405" s="304">
        <f t="shared" si="34"/>
        <v>4200976.34</v>
      </c>
      <c r="N405" s="296"/>
      <c r="O405" s="304">
        <v>4200976.34</v>
      </c>
    </row>
    <row r="406" spans="1:15" ht="12.75" x14ac:dyDescent="0.2">
      <c r="A406" s="285" t="s">
        <v>457</v>
      </c>
      <c r="B406" s="285">
        <v>2440000</v>
      </c>
      <c r="C406" s="337"/>
      <c r="D406" s="337"/>
      <c r="E406" s="337"/>
      <c r="F406" s="337"/>
      <c r="G406" s="337"/>
      <c r="H406" s="286"/>
      <c r="I406" s="287"/>
      <c r="J406" s="338">
        <v>10000</v>
      </c>
      <c r="K406" s="338"/>
      <c r="L406" s="338">
        <f t="shared" si="33"/>
        <v>10000</v>
      </c>
      <c r="M406" s="304">
        <f t="shared" si="34"/>
        <v>1091.51</v>
      </c>
      <c r="N406" s="296"/>
      <c r="O406" s="304">
        <v>1091.51</v>
      </c>
    </row>
    <row r="407" spans="1:15" ht="12.75" x14ac:dyDescent="0.2">
      <c r="A407" s="285" t="s">
        <v>483</v>
      </c>
      <c r="B407" s="285">
        <v>2441000</v>
      </c>
      <c r="C407" s="337">
        <v>0</v>
      </c>
      <c r="D407" s="337">
        <v>3425964.96</v>
      </c>
      <c r="E407" s="337">
        <v>0</v>
      </c>
      <c r="F407" s="337">
        <v>3425964.96</v>
      </c>
      <c r="G407" s="337">
        <v>0</v>
      </c>
      <c r="H407" s="286"/>
      <c r="I407" s="287"/>
      <c r="J407" s="338">
        <v>4143180</v>
      </c>
      <c r="K407" s="338"/>
      <c r="L407" s="338">
        <f t="shared" si="33"/>
        <v>4143180</v>
      </c>
      <c r="M407" s="304">
        <f t="shared" si="34"/>
        <v>2010</v>
      </c>
      <c r="N407" s="296"/>
      <c r="O407" s="304">
        <v>2010</v>
      </c>
    </row>
    <row r="408" spans="1:15" ht="12.75" x14ac:dyDescent="0.2">
      <c r="A408" s="285" t="s">
        <v>656</v>
      </c>
      <c r="B408" s="285">
        <v>2445000</v>
      </c>
      <c r="C408" s="337">
        <v>0</v>
      </c>
      <c r="D408" s="337">
        <v>172637.56</v>
      </c>
      <c r="E408" s="337">
        <v>0</v>
      </c>
      <c r="F408" s="337">
        <v>172637.56</v>
      </c>
      <c r="G408" s="337">
        <v>0</v>
      </c>
      <c r="H408" s="286"/>
      <c r="I408" s="287"/>
      <c r="J408" s="338">
        <v>500000</v>
      </c>
      <c r="K408" s="338"/>
      <c r="L408" s="338">
        <f t="shared" si="33"/>
        <v>500000</v>
      </c>
      <c r="M408" s="304">
        <f t="shared" si="34"/>
        <v>594691.82999999996</v>
      </c>
      <c r="N408" s="296"/>
      <c r="O408" s="304">
        <v>594691.82999999996</v>
      </c>
    </row>
    <row r="409" spans="1:15" ht="12.75" x14ac:dyDescent="0.2">
      <c r="A409" s="285" t="s">
        <v>657</v>
      </c>
      <c r="B409" s="285">
        <v>2460000</v>
      </c>
      <c r="C409" s="337">
        <v>0</v>
      </c>
      <c r="D409" s="337">
        <v>3674871.31</v>
      </c>
      <c r="E409" s="337">
        <v>0</v>
      </c>
      <c r="F409" s="337">
        <v>3674871.31</v>
      </c>
      <c r="G409" s="337">
        <v>0</v>
      </c>
      <c r="H409" s="286"/>
      <c r="I409" s="287"/>
      <c r="J409" s="338">
        <v>10300000</v>
      </c>
      <c r="K409" s="338"/>
      <c r="L409" s="338">
        <f t="shared" si="33"/>
        <v>10300000</v>
      </c>
      <c r="M409" s="304">
        <f t="shared" si="34"/>
        <v>1679953.16</v>
      </c>
      <c r="N409" s="296"/>
      <c r="O409" s="304">
        <v>1679953.16</v>
      </c>
    </row>
    <row r="410" spans="1:15" ht="12.75" x14ac:dyDescent="0.2">
      <c r="A410" s="285" t="s">
        <v>342</v>
      </c>
      <c r="B410" s="285">
        <v>2460300</v>
      </c>
      <c r="C410" s="337"/>
      <c r="D410" s="337"/>
      <c r="E410" s="337"/>
      <c r="F410" s="337"/>
      <c r="G410" s="337"/>
      <c r="H410" s="286"/>
      <c r="I410" s="287"/>
      <c r="J410" s="338">
        <v>150000</v>
      </c>
      <c r="K410" s="338"/>
      <c r="L410" s="338">
        <f t="shared" si="33"/>
        <v>150000</v>
      </c>
      <c r="M410" s="304">
        <f t="shared" si="34"/>
        <v>24704</v>
      </c>
      <c r="N410" s="296"/>
      <c r="O410" s="304">
        <v>24704</v>
      </c>
    </row>
    <row r="411" spans="1:15" ht="12.75" x14ac:dyDescent="0.2">
      <c r="A411" s="285" t="s">
        <v>658</v>
      </c>
      <c r="B411" s="285">
        <v>2470000</v>
      </c>
      <c r="C411" s="337">
        <v>0</v>
      </c>
      <c r="D411" s="337">
        <v>367402.68</v>
      </c>
      <c r="E411" s="337">
        <v>0</v>
      </c>
      <c r="F411" s="337">
        <v>367402.68</v>
      </c>
      <c r="G411" s="337">
        <v>0</v>
      </c>
      <c r="H411" s="286"/>
      <c r="I411" s="287"/>
      <c r="J411" s="338">
        <v>800000</v>
      </c>
      <c r="K411" s="338"/>
      <c r="L411" s="338">
        <f t="shared" si="33"/>
        <v>800000</v>
      </c>
      <c r="M411" s="304">
        <f t="shared" si="34"/>
        <v>536470.93999999994</v>
      </c>
      <c r="N411" s="296"/>
      <c r="O411" s="304">
        <v>536470.93999999994</v>
      </c>
    </row>
    <row r="412" spans="1:15" ht="12.75" x14ac:dyDescent="0.2">
      <c r="A412" s="285" t="s">
        <v>659</v>
      </c>
      <c r="B412" s="285">
        <v>2475500</v>
      </c>
      <c r="C412" s="337">
        <v>0</v>
      </c>
      <c r="D412" s="337">
        <v>105925.44</v>
      </c>
      <c r="E412" s="337">
        <v>0</v>
      </c>
      <c r="F412" s="337">
        <v>105925.44</v>
      </c>
      <c r="G412" s="337">
        <v>0</v>
      </c>
      <c r="H412" s="286"/>
      <c r="I412" s="287"/>
      <c r="J412" s="338">
        <v>122250</v>
      </c>
      <c r="K412" s="338"/>
      <c r="L412" s="338">
        <f t="shared" si="33"/>
        <v>122250</v>
      </c>
      <c r="M412" s="304">
        <f t="shared" si="34"/>
        <v>61251.9</v>
      </c>
      <c r="N412" s="296"/>
      <c r="O412" s="304">
        <v>61251.9</v>
      </c>
    </row>
    <row r="413" spans="1:15" ht="12.75" x14ac:dyDescent="0.2">
      <c r="A413" s="285" t="s">
        <v>660</v>
      </c>
      <c r="B413" s="285">
        <v>2480000</v>
      </c>
      <c r="C413" s="337">
        <v>0</v>
      </c>
      <c r="D413" s="337">
        <v>403041.81</v>
      </c>
      <c r="E413" s="337">
        <v>0</v>
      </c>
      <c r="F413" s="337">
        <v>403041.81</v>
      </c>
      <c r="G413" s="337">
        <v>0</v>
      </c>
      <c r="H413" s="286"/>
      <c r="I413" s="287"/>
      <c r="J413" s="338">
        <v>549000</v>
      </c>
      <c r="K413" s="338"/>
      <c r="L413" s="338">
        <f t="shared" si="33"/>
        <v>549000</v>
      </c>
      <c r="M413" s="304">
        <f t="shared" si="34"/>
        <v>451901.52</v>
      </c>
      <c r="N413" s="296"/>
      <c r="O413" s="304">
        <v>451901.52</v>
      </c>
    </row>
    <row r="414" spans="1:15" ht="12.75" x14ac:dyDescent="0.2">
      <c r="A414" s="285" t="s">
        <v>661</v>
      </c>
      <c r="B414" s="285">
        <v>2480100</v>
      </c>
      <c r="C414" s="337">
        <v>0</v>
      </c>
      <c r="D414" s="337">
        <v>64187.39</v>
      </c>
      <c r="E414" s="337">
        <v>0</v>
      </c>
      <c r="F414" s="337">
        <v>64187.39</v>
      </c>
      <c r="G414" s="337">
        <v>0</v>
      </c>
      <c r="H414" s="286"/>
      <c r="I414" s="287"/>
      <c r="J414" s="338">
        <v>101250</v>
      </c>
      <c r="K414" s="338"/>
      <c r="L414" s="338">
        <f t="shared" si="33"/>
        <v>101250</v>
      </c>
      <c r="M414" s="304">
        <f t="shared" si="34"/>
        <v>51238.13</v>
      </c>
      <c r="N414" s="296"/>
      <c r="O414" s="304">
        <v>51238.13</v>
      </c>
    </row>
    <row r="415" spans="1:15" ht="12.75" x14ac:dyDescent="0.2">
      <c r="A415" s="285" t="s">
        <v>662</v>
      </c>
      <c r="B415" s="285">
        <v>2480200</v>
      </c>
      <c r="C415" s="337">
        <v>0</v>
      </c>
      <c r="D415" s="337">
        <v>474522</v>
      </c>
      <c r="E415" s="337">
        <v>0</v>
      </c>
      <c r="F415" s="337">
        <v>474522</v>
      </c>
      <c r="G415" s="337">
        <v>0</v>
      </c>
      <c r="H415" s="286"/>
      <c r="I415" s="287"/>
      <c r="J415" s="338">
        <v>920000</v>
      </c>
      <c r="K415" s="338"/>
      <c r="L415" s="338">
        <f t="shared" si="33"/>
        <v>920000</v>
      </c>
      <c r="M415" s="304">
        <f t="shared" si="34"/>
        <v>828692.53</v>
      </c>
      <c r="N415" s="296"/>
      <c r="O415" s="304">
        <v>828692.53</v>
      </c>
    </row>
    <row r="416" spans="1:15" ht="12.75" x14ac:dyDescent="0.2">
      <c r="A416" s="285" t="s">
        <v>663</v>
      </c>
      <c r="B416" s="285">
        <v>2500000</v>
      </c>
      <c r="C416" s="337">
        <v>0</v>
      </c>
      <c r="D416" s="337">
        <v>1642494.68</v>
      </c>
      <c r="E416" s="337">
        <v>0</v>
      </c>
      <c r="F416" s="337">
        <v>1642494.68</v>
      </c>
      <c r="G416" s="337">
        <v>0</v>
      </c>
      <c r="H416" s="286"/>
      <c r="I416" s="287"/>
      <c r="J416" s="338">
        <v>2560000</v>
      </c>
      <c r="K416" s="338"/>
      <c r="L416" s="338">
        <f t="shared" si="33"/>
        <v>2560000</v>
      </c>
      <c r="M416" s="304">
        <f t="shared" si="34"/>
        <v>2491357.85</v>
      </c>
      <c r="N416" s="296"/>
      <c r="O416" s="304">
        <v>2491357.85</v>
      </c>
    </row>
    <row r="417" spans="1:15" ht="12.75" x14ac:dyDescent="0.2">
      <c r="A417" s="285" t="s">
        <v>664</v>
      </c>
      <c r="B417" s="285">
        <v>2500200</v>
      </c>
      <c r="C417" s="337">
        <v>0</v>
      </c>
      <c r="D417" s="337">
        <v>340400.88</v>
      </c>
      <c r="E417" s="337">
        <v>0</v>
      </c>
      <c r="F417" s="337">
        <v>340400.88</v>
      </c>
      <c r="G417" s="337">
        <v>0</v>
      </c>
      <c r="H417" s="286"/>
      <c r="I417" s="287"/>
      <c r="J417" s="338">
        <v>500000</v>
      </c>
      <c r="K417" s="338"/>
      <c r="L417" s="338">
        <f t="shared" si="33"/>
        <v>500000</v>
      </c>
      <c r="M417" s="304">
        <f t="shared" si="34"/>
        <v>0</v>
      </c>
      <c r="N417" s="296"/>
      <c r="O417" s="304"/>
    </row>
    <row r="418" spans="1:15" ht="12.75" x14ac:dyDescent="0.2">
      <c r="A418" s="285" t="s">
        <v>665</v>
      </c>
      <c r="B418" s="285">
        <v>2500400</v>
      </c>
      <c r="C418" s="337">
        <v>0</v>
      </c>
      <c r="D418" s="337">
        <v>68674</v>
      </c>
      <c r="E418" s="337">
        <v>0</v>
      </c>
      <c r="F418" s="337">
        <v>68674</v>
      </c>
      <c r="G418" s="337">
        <v>0</v>
      </c>
      <c r="H418" s="286"/>
      <c r="I418" s="287"/>
      <c r="J418" s="338">
        <v>210000</v>
      </c>
      <c r="K418" s="338"/>
      <c r="L418" s="338">
        <f t="shared" si="33"/>
        <v>210000</v>
      </c>
      <c r="M418" s="304">
        <f t="shared" si="34"/>
        <v>69486.929999999993</v>
      </c>
      <c r="N418" s="296"/>
      <c r="O418" s="304">
        <v>69486.929999999993</v>
      </c>
    </row>
    <row r="419" spans="1:15" ht="12.75" x14ac:dyDescent="0.2">
      <c r="A419" s="285" t="s">
        <v>666</v>
      </c>
      <c r="B419" s="285">
        <v>2500500</v>
      </c>
      <c r="C419" s="337">
        <v>0</v>
      </c>
      <c r="D419" s="337">
        <v>75500</v>
      </c>
      <c r="E419" s="337">
        <v>0</v>
      </c>
      <c r="F419" s="337">
        <v>75500</v>
      </c>
      <c r="G419" s="337">
        <v>0</v>
      </c>
      <c r="H419" s="286"/>
      <c r="I419" s="287"/>
      <c r="J419" s="338">
        <v>210000</v>
      </c>
      <c r="K419" s="338"/>
      <c r="L419" s="338">
        <f t="shared" si="33"/>
        <v>210000</v>
      </c>
      <c r="M419" s="304">
        <f t="shared" si="34"/>
        <v>23168.6</v>
      </c>
      <c r="N419" s="296"/>
      <c r="O419" s="304">
        <v>23168.6</v>
      </c>
    </row>
    <row r="420" spans="1:15" ht="12.75" x14ac:dyDescent="0.2">
      <c r="A420" s="285" t="s">
        <v>667</v>
      </c>
      <c r="B420" s="285">
        <v>2510000</v>
      </c>
      <c r="C420" s="337">
        <v>0</v>
      </c>
      <c r="D420" s="337">
        <v>697601.38</v>
      </c>
      <c r="E420" s="337">
        <v>0</v>
      </c>
      <c r="F420" s="337">
        <v>697601.38</v>
      </c>
      <c r="G420" s="337">
        <v>0</v>
      </c>
      <c r="H420" s="286"/>
      <c r="I420" s="287"/>
      <c r="J420" s="338">
        <v>1600000</v>
      </c>
      <c r="K420" s="338"/>
      <c r="L420" s="338">
        <f t="shared" si="33"/>
        <v>1600000</v>
      </c>
      <c r="M420" s="304">
        <f t="shared" si="34"/>
        <v>3101941.43</v>
      </c>
      <c r="N420" s="296"/>
      <c r="O420" s="304">
        <v>3101941.43</v>
      </c>
    </row>
    <row r="421" spans="1:15" ht="12.75" x14ac:dyDescent="0.2">
      <c r="A421" s="285" t="s">
        <v>696</v>
      </c>
      <c r="B421" s="285">
        <v>2512000</v>
      </c>
      <c r="C421" s="337"/>
      <c r="D421" s="337"/>
      <c r="E421" s="337"/>
      <c r="F421" s="337"/>
      <c r="G421" s="337"/>
      <c r="H421" s="286"/>
      <c r="I421" s="287"/>
      <c r="J421" s="338">
        <v>70000</v>
      </c>
      <c r="K421" s="338"/>
      <c r="L421" s="338">
        <f t="shared" si="33"/>
        <v>70000</v>
      </c>
      <c r="M421" s="304">
        <f t="shared" si="34"/>
        <v>182933.11</v>
      </c>
      <c r="N421" s="296"/>
      <c r="O421" s="304">
        <v>182933.11</v>
      </c>
    </row>
    <row r="422" spans="1:15" ht="12.75" x14ac:dyDescent="0.2">
      <c r="A422" s="285" t="s">
        <v>668</v>
      </c>
      <c r="B422" s="285">
        <v>2515000</v>
      </c>
      <c r="C422" s="337">
        <v>0</v>
      </c>
      <c r="D422" s="337">
        <v>496601.45</v>
      </c>
      <c r="E422" s="337">
        <v>0</v>
      </c>
      <c r="F422" s="337">
        <v>496601.45</v>
      </c>
      <c r="G422" s="337">
        <v>0</v>
      </c>
      <c r="H422" s="286"/>
      <c r="I422" s="287"/>
      <c r="J422" s="338">
        <v>700000</v>
      </c>
      <c r="K422" s="338"/>
      <c r="L422" s="338">
        <f t="shared" si="33"/>
        <v>700000</v>
      </c>
      <c r="M422" s="304">
        <f t="shared" si="34"/>
        <v>4704</v>
      </c>
      <c r="N422" s="296"/>
      <c r="O422" s="304">
        <v>4704</v>
      </c>
    </row>
    <row r="423" spans="1:15" ht="12.75" x14ac:dyDescent="0.2">
      <c r="A423" s="285" t="s">
        <v>669</v>
      </c>
      <c r="B423" s="285">
        <v>2518000</v>
      </c>
      <c r="C423" s="337">
        <v>0</v>
      </c>
      <c r="D423" s="337">
        <v>546192</v>
      </c>
      <c r="E423" s="337">
        <v>0</v>
      </c>
      <c r="F423" s="337">
        <v>546192</v>
      </c>
      <c r="G423" s="337">
        <v>0</v>
      </c>
      <c r="H423" s="286"/>
      <c r="I423" s="287"/>
      <c r="J423" s="338">
        <v>250000</v>
      </c>
      <c r="K423" s="338"/>
      <c r="L423" s="338">
        <f t="shared" si="33"/>
        <v>250000</v>
      </c>
      <c r="M423" s="304">
        <f t="shared" si="34"/>
        <v>172826</v>
      </c>
      <c r="N423" s="296"/>
      <c r="O423" s="304">
        <v>172826</v>
      </c>
    </row>
    <row r="424" spans="1:15" ht="12.75" x14ac:dyDescent="0.2">
      <c r="A424" s="285" t="s">
        <v>670</v>
      </c>
      <c r="B424" s="285">
        <v>2520000</v>
      </c>
      <c r="C424" s="337">
        <v>0</v>
      </c>
      <c r="D424" s="337">
        <v>21581.96</v>
      </c>
      <c r="E424" s="337">
        <v>0</v>
      </c>
      <c r="F424" s="337">
        <v>21581.96</v>
      </c>
      <c r="G424" s="337">
        <v>0</v>
      </c>
      <c r="H424" s="286"/>
      <c r="I424" s="287"/>
      <c r="J424" s="338">
        <v>180000</v>
      </c>
      <c r="K424" s="338"/>
      <c r="L424" s="338">
        <f t="shared" si="33"/>
        <v>180000</v>
      </c>
      <c r="M424" s="304">
        <f t="shared" si="34"/>
        <v>1281427.07</v>
      </c>
      <c r="N424" s="296"/>
      <c r="O424" s="304">
        <v>1281427.07</v>
      </c>
    </row>
    <row r="425" spans="1:15" ht="12.75" x14ac:dyDescent="0.2">
      <c r="A425" s="285" t="s">
        <v>671</v>
      </c>
      <c r="B425" s="285">
        <v>2522000</v>
      </c>
      <c r="C425" s="337">
        <v>0</v>
      </c>
      <c r="D425" s="337">
        <v>550001.4</v>
      </c>
      <c r="E425" s="337">
        <v>0</v>
      </c>
      <c r="F425" s="337">
        <v>550001.4</v>
      </c>
      <c r="G425" s="337">
        <v>0</v>
      </c>
      <c r="H425" s="286"/>
      <c r="I425" s="287"/>
      <c r="J425" s="338">
        <v>858030</v>
      </c>
      <c r="K425" s="338"/>
      <c r="L425" s="338">
        <f t="shared" si="33"/>
        <v>858030</v>
      </c>
      <c r="M425" s="304">
        <f t="shared" si="34"/>
        <v>800681.34</v>
      </c>
      <c r="N425" s="296"/>
      <c r="O425" s="304">
        <v>800681.34</v>
      </c>
    </row>
    <row r="426" spans="1:15" ht="12.75" x14ac:dyDescent="0.2">
      <c r="A426" s="285" t="s">
        <v>672</v>
      </c>
      <c r="B426" s="285">
        <v>2530000</v>
      </c>
      <c r="C426" s="337">
        <v>0</v>
      </c>
      <c r="D426" s="337">
        <v>1382470.18</v>
      </c>
      <c r="E426" s="337">
        <v>0</v>
      </c>
      <c r="F426" s="337">
        <v>1382470.18</v>
      </c>
      <c r="G426" s="337">
        <v>0</v>
      </c>
      <c r="H426" s="286"/>
      <c r="I426" s="287"/>
      <c r="J426" s="338">
        <v>2112700</v>
      </c>
      <c r="K426" s="338"/>
      <c r="L426" s="338">
        <f t="shared" si="33"/>
        <v>2112700</v>
      </c>
      <c r="M426" s="304">
        <f t="shared" si="34"/>
        <v>1966669.07</v>
      </c>
      <c r="N426" s="296"/>
      <c r="O426" s="304">
        <v>1966669.07</v>
      </c>
    </row>
    <row r="427" spans="1:15" ht="12.75" x14ac:dyDescent="0.2">
      <c r="A427" s="285" t="s">
        <v>673</v>
      </c>
      <c r="B427" s="285">
        <v>2535000</v>
      </c>
      <c r="C427" s="337">
        <v>0</v>
      </c>
      <c r="D427" s="337">
        <v>13524.28</v>
      </c>
      <c r="E427" s="337">
        <v>0</v>
      </c>
      <c r="F427" s="337">
        <v>13524.28</v>
      </c>
      <c r="G427" s="337">
        <v>0</v>
      </c>
      <c r="H427" s="286"/>
      <c r="I427" s="287"/>
      <c r="J427" s="338">
        <v>120000</v>
      </c>
      <c r="K427" s="338"/>
      <c r="L427" s="338">
        <f t="shared" si="33"/>
        <v>120000</v>
      </c>
      <c r="M427" s="304">
        <f t="shared" si="34"/>
        <v>104135.86</v>
      </c>
      <c r="N427" s="296"/>
      <c r="O427" s="304">
        <v>104135.86</v>
      </c>
    </row>
    <row r="428" spans="1:15" ht="12.75" x14ac:dyDescent="0.2">
      <c r="A428" s="285" t="s">
        <v>674</v>
      </c>
      <c r="B428" s="285">
        <v>2535005</v>
      </c>
      <c r="C428" s="337">
        <v>0</v>
      </c>
      <c r="D428" s="337">
        <v>591271.75</v>
      </c>
      <c r="E428" s="337">
        <v>0</v>
      </c>
      <c r="F428" s="337">
        <v>591271.75</v>
      </c>
      <c r="G428" s="337">
        <v>0</v>
      </c>
      <c r="H428" s="286"/>
      <c r="I428" s="287"/>
      <c r="J428" s="338">
        <v>3400000</v>
      </c>
      <c r="K428" s="338"/>
      <c r="L428" s="338">
        <f t="shared" si="33"/>
        <v>3400000</v>
      </c>
      <c r="M428" s="304">
        <f t="shared" si="34"/>
        <v>3195699.49</v>
      </c>
      <c r="N428" s="296"/>
      <c r="O428" s="304">
        <v>3195699.49</v>
      </c>
    </row>
    <row r="429" spans="1:15" ht="12.75" x14ac:dyDescent="0.2">
      <c r="A429" s="285" t="s">
        <v>675</v>
      </c>
      <c r="B429" s="285">
        <v>2536000</v>
      </c>
      <c r="C429" s="337">
        <v>0</v>
      </c>
      <c r="D429" s="337">
        <v>5381.2</v>
      </c>
      <c r="E429" s="337">
        <v>0</v>
      </c>
      <c r="F429" s="337">
        <v>5381.2</v>
      </c>
      <c r="G429" s="337">
        <v>0</v>
      </c>
      <c r="H429" s="286"/>
      <c r="I429" s="287"/>
      <c r="J429" s="338"/>
      <c r="K429" s="338"/>
      <c r="L429" s="338">
        <f t="shared" si="33"/>
        <v>0</v>
      </c>
      <c r="M429" s="304">
        <f t="shared" si="34"/>
        <v>0</v>
      </c>
      <c r="N429" s="296"/>
      <c r="O429" s="304"/>
    </row>
    <row r="430" spans="1:15" ht="12.75" x14ac:dyDescent="0.2">
      <c r="A430" s="285" t="s">
        <v>343</v>
      </c>
      <c r="B430" s="285">
        <v>2536100</v>
      </c>
      <c r="C430" s="337"/>
      <c r="D430" s="337"/>
      <c r="E430" s="337"/>
      <c r="F430" s="337"/>
      <c r="G430" s="337"/>
      <c r="H430" s="286"/>
      <c r="I430" s="287"/>
      <c r="J430" s="338">
        <v>5000</v>
      </c>
      <c r="K430" s="338"/>
      <c r="L430" s="338">
        <f t="shared" si="33"/>
        <v>5000</v>
      </c>
      <c r="M430" s="304">
        <f t="shared" si="34"/>
        <v>4996</v>
      </c>
      <c r="N430" s="296"/>
      <c r="O430" s="304">
        <v>4996</v>
      </c>
    </row>
    <row r="431" spans="1:15" ht="12.75" x14ac:dyDescent="0.2">
      <c r="A431" s="285" t="s">
        <v>676</v>
      </c>
      <c r="B431" s="285">
        <v>2536200</v>
      </c>
      <c r="C431" s="337">
        <v>0</v>
      </c>
      <c r="D431" s="337">
        <v>38133.78</v>
      </c>
      <c r="E431" s="337">
        <v>0</v>
      </c>
      <c r="F431" s="337">
        <v>38133.78</v>
      </c>
      <c r="G431" s="337">
        <v>0</v>
      </c>
      <c r="H431" s="286"/>
      <c r="I431" s="287"/>
      <c r="J431" s="338">
        <v>35000</v>
      </c>
      <c r="K431" s="338"/>
      <c r="L431" s="338">
        <f t="shared" si="33"/>
        <v>35000</v>
      </c>
      <c r="M431" s="304">
        <f t="shared" si="34"/>
        <v>51251.08</v>
      </c>
      <c r="N431" s="296"/>
      <c r="O431" s="304">
        <v>51251.08</v>
      </c>
    </row>
    <row r="432" spans="1:15" ht="12.75" x14ac:dyDescent="0.2">
      <c r="A432" s="285" t="s">
        <v>677</v>
      </c>
      <c r="B432" s="285">
        <v>2540000</v>
      </c>
      <c r="C432" s="337">
        <v>0</v>
      </c>
      <c r="D432" s="337">
        <v>18620</v>
      </c>
      <c r="E432" s="337">
        <v>0</v>
      </c>
      <c r="F432" s="337">
        <v>18620</v>
      </c>
      <c r="G432" s="337">
        <v>0</v>
      </c>
      <c r="H432" s="286"/>
      <c r="I432" s="287"/>
      <c r="J432" s="338">
        <v>360500</v>
      </c>
      <c r="K432" s="338"/>
      <c r="L432" s="338">
        <f t="shared" si="33"/>
        <v>360500</v>
      </c>
      <c r="M432" s="304">
        <f t="shared" si="34"/>
        <v>275445</v>
      </c>
      <c r="N432" s="296"/>
      <c r="O432" s="304">
        <v>275445</v>
      </c>
    </row>
    <row r="433" spans="1:15" ht="12.75" x14ac:dyDescent="0.2">
      <c r="A433" s="285" t="s">
        <v>678</v>
      </c>
      <c r="B433" s="285">
        <v>2541000</v>
      </c>
      <c r="C433" s="337">
        <v>0</v>
      </c>
      <c r="D433" s="337">
        <v>1692.5</v>
      </c>
      <c r="E433" s="337">
        <v>0</v>
      </c>
      <c r="F433" s="337">
        <v>1692.5</v>
      </c>
      <c r="G433" s="337">
        <v>0</v>
      </c>
      <c r="H433" s="286"/>
      <c r="I433" s="287"/>
      <c r="J433" s="338">
        <v>21000</v>
      </c>
      <c r="K433" s="338"/>
      <c r="L433" s="338">
        <f t="shared" si="33"/>
        <v>21000</v>
      </c>
      <c r="M433" s="304">
        <f t="shared" si="34"/>
        <v>1805.6</v>
      </c>
      <c r="N433" s="296"/>
      <c r="O433" s="304">
        <v>1805.6</v>
      </c>
    </row>
    <row r="434" spans="1:15" ht="12.75" x14ac:dyDescent="0.2">
      <c r="A434" s="285" t="s">
        <v>679</v>
      </c>
      <c r="B434" s="285">
        <v>2550000</v>
      </c>
      <c r="C434" s="337">
        <v>0</v>
      </c>
      <c r="D434" s="337">
        <f>3544001.96-2387708</f>
        <v>1156293.96</v>
      </c>
      <c r="E434" s="337">
        <v>0</v>
      </c>
      <c r="F434" s="337">
        <f>3544001.96-2387708</f>
        <v>1156293.96</v>
      </c>
      <c r="G434" s="337">
        <v>0</v>
      </c>
      <c r="H434" s="286"/>
      <c r="I434" s="287"/>
      <c r="J434" s="338">
        <f>6450000-2200000</f>
        <v>4250000</v>
      </c>
      <c r="K434" s="338"/>
      <c r="L434" s="338">
        <f t="shared" si="33"/>
        <v>4250000</v>
      </c>
      <c r="M434" s="304">
        <f t="shared" si="34"/>
        <v>2159656.7699999996</v>
      </c>
      <c r="N434" s="296"/>
      <c r="O434" s="304">
        <f>3622768.86-1463112.09</f>
        <v>2159656.7699999996</v>
      </c>
    </row>
    <row r="435" spans="1:15" ht="12.75" x14ac:dyDescent="0.2">
      <c r="A435" s="285" t="s">
        <v>961</v>
      </c>
      <c r="B435" s="285">
        <v>2555000</v>
      </c>
      <c r="C435" s="337">
        <v>0</v>
      </c>
      <c r="D435" s="337">
        <v>750582.59</v>
      </c>
      <c r="E435" s="337">
        <v>0</v>
      </c>
      <c r="F435" s="337">
        <v>750582.59</v>
      </c>
      <c r="G435" s="337">
        <v>0</v>
      </c>
      <c r="H435" s="286"/>
      <c r="I435" s="287"/>
      <c r="J435" s="338">
        <v>2700000</v>
      </c>
      <c r="K435" s="338"/>
      <c r="L435" s="338">
        <f t="shared" si="33"/>
        <v>2700000</v>
      </c>
      <c r="M435" s="304">
        <f t="shared" si="34"/>
        <v>2538546.19</v>
      </c>
      <c r="N435" s="296"/>
      <c r="O435" s="304">
        <v>2538546.19</v>
      </c>
    </row>
    <row r="436" spans="1:15" ht="12.75" x14ac:dyDescent="0.2">
      <c r="A436" s="285" t="s">
        <v>962</v>
      </c>
      <c r="B436" s="285">
        <v>2555500</v>
      </c>
      <c r="C436" s="337">
        <v>0</v>
      </c>
      <c r="D436" s="337">
        <v>664241.91</v>
      </c>
      <c r="E436" s="337">
        <v>0</v>
      </c>
      <c r="F436" s="337">
        <v>664241.91</v>
      </c>
      <c r="G436" s="337">
        <v>0</v>
      </c>
      <c r="H436" s="286"/>
      <c r="I436" s="287"/>
      <c r="J436" s="338">
        <v>2075010</v>
      </c>
      <c r="K436" s="338"/>
      <c r="L436" s="338">
        <f t="shared" si="33"/>
        <v>2075010</v>
      </c>
      <c r="M436" s="304">
        <f t="shared" si="34"/>
        <v>2061369</v>
      </c>
      <c r="N436" s="296"/>
      <c r="O436" s="304">
        <v>2061369</v>
      </c>
    </row>
    <row r="437" spans="1:15" ht="12.75" x14ac:dyDescent="0.2">
      <c r="A437" s="285" t="s">
        <v>963</v>
      </c>
      <c r="B437" s="285">
        <v>2560000</v>
      </c>
      <c r="C437" s="337">
        <v>0</v>
      </c>
      <c r="D437" s="337">
        <v>2130218.13</v>
      </c>
      <c r="E437" s="337">
        <v>0</v>
      </c>
      <c r="F437" s="337">
        <v>2130218.13</v>
      </c>
      <c r="G437" s="337">
        <v>0</v>
      </c>
      <c r="H437" s="286"/>
      <c r="I437" s="287"/>
      <c r="J437" s="338">
        <v>5359550</v>
      </c>
      <c r="K437" s="338"/>
      <c r="L437" s="338">
        <f t="shared" si="33"/>
        <v>5359550</v>
      </c>
      <c r="M437" s="304">
        <f t="shared" si="34"/>
        <v>3817266.31</v>
      </c>
      <c r="N437" s="296"/>
      <c r="O437" s="304">
        <v>3817266.31</v>
      </c>
    </row>
    <row r="438" spans="1:15" ht="12.75" x14ac:dyDescent="0.2">
      <c r="A438" s="285" t="s">
        <v>964</v>
      </c>
      <c r="B438" s="285">
        <v>2560100</v>
      </c>
      <c r="C438" s="337">
        <v>0</v>
      </c>
      <c r="D438" s="337">
        <v>155305.56</v>
      </c>
      <c r="E438" s="337">
        <v>0</v>
      </c>
      <c r="F438" s="337">
        <v>155305.56</v>
      </c>
      <c r="G438" s="337">
        <v>0</v>
      </c>
      <c r="H438" s="286"/>
      <c r="I438" s="287"/>
      <c r="J438" s="338">
        <v>150000</v>
      </c>
      <c r="K438" s="338"/>
      <c r="L438" s="338">
        <f t="shared" si="33"/>
        <v>150000</v>
      </c>
      <c r="M438" s="304">
        <f t="shared" si="34"/>
        <v>270857</v>
      </c>
      <c r="N438" s="296"/>
      <c r="O438" s="304">
        <v>270857</v>
      </c>
    </row>
    <row r="439" spans="1:15" ht="12.75" x14ac:dyDescent="0.2">
      <c r="A439" s="285" t="s">
        <v>483</v>
      </c>
      <c r="B439" s="285">
        <v>2565000</v>
      </c>
      <c r="C439" s="337">
        <v>0</v>
      </c>
      <c r="D439" s="337">
        <v>13365836.800000001</v>
      </c>
      <c r="E439" s="337">
        <v>0</v>
      </c>
      <c r="F439" s="337">
        <v>13365836.800000001</v>
      </c>
      <c r="G439" s="337">
        <v>0</v>
      </c>
      <c r="H439" s="286"/>
      <c r="I439" s="287"/>
      <c r="J439" s="338">
        <v>15783865</v>
      </c>
      <c r="K439" s="338"/>
      <c r="L439" s="338">
        <f t="shared" si="33"/>
        <v>15783865</v>
      </c>
      <c r="M439" s="304">
        <f t="shared" si="34"/>
        <v>112437</v>
      </c>
      <c r="N439" s="296"/>
      <c r="O439" s="304">
        <v>112437</v>
      </c>
    </row>
    <row r="440" spans="1:15" ht="12.75" x14ac:dyDescent="0.2">
      <c r="A440" s="285" t="s">
        <v>965</v>
      </c>
      <c r="B440" s="285">
        <v>2570000</v>
      </c>
      <c r="C440" s="337">
        <v>0</v>
      </c>
      <c r="D440" s="337">
        <v>68172.91</v>
      </c>
      <c r="E440" s="337">
        <v>0</v>
      </c>
      <c r="F440" s="337">
        <v>68172.91</v>
      </c>
      <c r="G440" s="337">
        <v>0</v>
      </c>
      <c r="H440" s="286"/>
      <c r="I440" s="287"/>
      <c r="J440" s="338">
        <v>78000</v>
      </c>
      <c r="K440" s="338"/>
      <c r="L440" s="338">
        <f t="shared" si="33"/>
        <v>78000</v>
      </c>
      <c r="M440" s="304">
        <f t="shared" si="34"/>
        <v>71316.84</v>
      </c>
      <c r="N440" s="296"/>
      <c r="O440" s="304">
        <v>71316.84</v>
      </c>
    </row>
    <row r="441" spans="1:15" ht="12.75" x14ac:dyDescent="0.2">
      <c r="A441" s="285" t="s">
        <v>980</v>
      </c>
      <c r="B441" s="285">
        <v>2570500</v>
      </c>
      <c r="C441" s="337">
        <v>0</v>
      </c>
      <c r="D441" s="337">
        <v>474807.53</v>
      </c>
      <c r="E441" s="337">
        <v>0</v>
      </c>
      <c r="F441" s="337">
        <v>474807.53</v>
      </c>
      <c r="G441" s="337">
        <v>0</v>
      </c>
      <c r="H441" s="286"/>
      <c r="I441" s="287"/>
      <c r="J441" s="338">
        <v>388500</v>
      </c>
      <c r="K441" s="338"/>
      <c r="L441" s="338">
        <f t="shared" si="33"/>
        <v>388500</v>
      </c>
      <c r="M441" s="304">
        <f t="shared" si="34"/>
        <v>366792.5</v>
      </c>
      <c r="N441" s="296"/>
      <c r="O441" s="304">
        <v>366792.5</v>
      </c>
    </row>
    <row r="442" spans="1:15" ht="12.75" x14ac:dyDescent="0.2">
      <c r="A442" s="285" t="s">
        <v>966</v>
      </c>
      <c r="B442" s="285">
        <v>2580000</v>
      </c>
      <c r="C442" s="337">
        <v>0</v>
      </c>
      <c r="D442" s="337">
        <v>1018.42</v>
      </c>
      <c r="E442" s="337">
        <v>0</v>
      </c>
      <c r="F442" s="337">
        <v>1018.42</v>
      </c>
      <c r="G442" s="337">
        <v>0</v>
      </c>
      <c r="H442" s="286"/>
      <c r="I442" s="287"/>
      <c r="J442" s="338">
        <v>1000</v>
      </c>
      <c r="K442" s="338"/>
      <c r="L442" s="338">
        <f t="shared" si="33"/>
        <v>1000</v>
      </c>
      <c r="M442" s="304">
        <f t="shared" si="34"/>
        <v>0</v>
      </c>
      <c r="N442" s="296"/>
      <c r="O442" s="304"/>
    </row>
    <row r="443" spans="1:15" ht="12.75" x14ac:dyDescent="0.2">
      <c r="A443" s="285" t="s">
        <v>967</v>
      </c>
      <c r="B443" s="285">
        <v>2585000</v>
      </c>
      <c r="C443" s="337">
        <v>0</v>
      </c>
      <c r="D443" s="337">
        <v>52967.69</v>
      </c>
      <c r="E443" s="337">
        <v>0</v>
      </c>
      <c r="F443" s="337">
        <v>52967.69</v>
      </c>
      <c r="G443" s="337">
        <v>0</v>
      </c>
      <c r="H443" s="286"/>
      <c r="I443" s="287"/>
      <c r="J443" s="338">
        <v>56000</v>
      </c>
      <c r="K443" s="338"/>
      <c r="L443" s="338">
        <f t="shared" si="33"/>
        <v>56000</v>
      </c>
      <c r="M443" s="304">
        <f t="shared" si="34"/>
        <v>24125.42</v>
      </c>
      <c r="N443" s="296"/>
      <c r="O443" s="304">
        <v>24125.42</v>
      </c>
    </row>
    <row r="444" spans="1:15" ht="12.75" x14ac:dyDescent="0.2">
      <c r="A444" s="285" t="s">
        <v>697</v>
      </c>
      <c r="B444" s="285">
        <v>2586000</v>
      </c>
      <c r="C444" s="337"/>
      <c r="D444" s="337"/>
      <c r="E444" s="337"/>
      <c r="F444" s="337"/>
      <c r="G444" s="337"/>
      <c r="H444" s="286"/>
      <c r="I444" s="287"/>
      <c r="J444" s="338"/>
      <c r="K444" s="338"/>
      <c r="L444" s="338">
        <f t="shared" si="33"/>
        <v>0</v>
      </c>
      <c r="M444" s="304">
        <f t="shared" si="34"/>
        <v>60200</v>
      </c>
      <c r="N444" s="296"/>
      <c r="O444" s="304">
        <v>60200</v>
      </c>
    </row>
    <row r="445" spans="1:15" ht="12.75" x14ac:dyDescent="0.2">
      <c r="A445" s="285" t="s">
        <v>698</v>
      </c>
      <c r="B445" s="285">
        <v>2590000</v>
      </c>
      <c r="C445" s="337"/>
      <c r="D445" s="337"/>
      <c r="E445" s="337"/>
      <c r="F445" s="337"/>
      <c r="G445" s="337"/>
      <c r="H445" s="286"/>
      <c r="I445" s="287"/>
      <c r="J445" s="338">
        <v>5000</v>
      </c>
      <c r="K445" s="338"/>
      <c r="L445" s="338">
        <f t="shared" si="33"/>
        <v>5000</v>
      </c>
      <c r="M445" s="304">
        <f t="shared" si="34"/>
        <v>4332.62</v>
      </c>
      <c r="N445" s="296"/>
      <c r="O445" s="304">
        <v>4332.62</v>
      </c>
    </row>
    <row r="446" spans="1:15" ht="12.75" x14ac:dyDescent="0.2">
      <c r="A446" s="285" t="s">
        <v>968</v>
      </c>
      <c r="B446" s="285">
        <v>2600000</v>
      </c>
      <c r="C446" s="337">
        <v>0</v>
      </c>
      <c r="D446" s="337">
        <v>686682</v>
      </c>
      <c r="E446" s="337">
        <v>0</v>
      </c>
      <c r="F446" s="337">
        <v>686682</v>
      </c>
      <c r="G446" s="337">
        <v>0</v>
      </c>
      <c r="H446" s="286"/>
      <c r="I446" s="287"/>
      <c r="J446" s="338">
        <v>1003205</v>
      </c>
      <c r="K446" s="338"/>
      <c r="L446" s="338">
        <f t="shared" si="33"/>
        <v>1003205</v>
      </c>
      <c r="M446" s="304">
        <f t="shared" si="34"/>
        <v>1002213.4</v>
      </c>
      <c r="N446" s="296"/>
      <c r="O446" s="304">
        <v>1002213.4</v>
      </c>
    </row>
    <row r="447" spans="1:15" ht="12.75" x14ac:dyDescent="0.2">
      <c r="A447" s="285" t="s">
        <v>969</v>
      </c>
      <c r="B447" s="285">
        <v>2600020</v>
      </c>
      <c r="C447" s="337">
        <v>0</v>
      </c>
      <c r="D447" s="337">
        <v>321784.64</v>
      </c>
      <c r="E447" s="337">
        <v>0</v>
      </c>
      <c r="F447" s="337">
        <v>321784.64</v>
      </c>
      <c r="G447" s="337">
        <v>0</v>
      </c>
      <c r="H447" s="286"/>
      <c r="I447" s="287"/>
      <c r="J447" s="338">
        <v>351750</v>
      </c>
      <c r="K447" s="338"/>
      <c r="L447" s="338">
        <f t="shared" si="33"/>
        <v>351750</v>
      </c>
      <c r="M447" s="304">
        <f t="shared" si="34"/>
        <v>404227.01</v>
      </c>
      <c r="N447" s="296"/>
      <c r="O447" s="304">
        <v>404227.01</v>
      </c>
    </row>
    <row r="448" spans="1:15" ht="12.75" x14ac:dyDescent="0.2">
      <c r="A448" s="285" t="s">
        <v>970</v>
      </c>
      <c r="B448" s="285">
        <v>2610000</v>
      </c>
      <c r="C448" s="337">
        <v>0</v>
      </c>
      <c r="D448" s="337">
        <v>26966.5</v>
      </c>
      <c r="E448" s="337">
        <v>0</v>
      </c>
      <c r="F448" s="337">
        <v>26966.5</v>
      </c>
      <c r="G448" s="337">
        <v>0</v>
      </c>
      <c r="H448" s="286"/>
      <c r="I448" s="287"/>
      <c r="J448" s="338">
        <v>48300</v>
      </c>
      <c r="K448" s="338"/>
      <c r="L448" s="338">
        <f t="shared" si="33"/>
        <v>48300</v>
      </c>
      <c r="M448" s="304">
        <f t="shared" si="34"/>
        <v>42563.39</v>
      </c>
      <c r="N448" s="296"/>
      <c r="O448" s="304">
        <v>42563.39</v>
      </c>
    </row>
    <row r="449" spans="1:15" ht="12.75" x14ac:dyDescent="0.2">
      <c r="A449" s="285" t="s">
        <v>971</v>
      </c>
      <c r="B449" s="285">
        <v>2615000</v>
      </c>
      <c r="C449" s="337">
        <v>0</v>
      </c>
      <c r="D449" s="337">
        <v>132480.32000000001</v>
      </c>
      <c r="E449" s="337">
        <v>0</v>
      </c>
      <c r="F449" s="337">
        <v>132480.32000000001</v>
      </c>
      <c r="G449" s="337">
        <v>0</v>
      </c>
      <c r="H449" s="286"/>
      <c r="I449" s="287"/>
      <c r="J449" s="338">
        <v>180000</v>
      </c>
      <c r="K449" s="338"/>
      <c r="L449" s="338">
        <f t="shared" si="33"/>
        <v>180000</v>
      </c>
      <c r="M449" s="304">
        <f t="shared" si="34"/>
        <v>168283.9</v>
      </c>
      <c r="N449" s="296"/>
      <c r="O449" s="304">
        <v>168283.9</v>
      </c>
    </row>
    <row r="450" spans="1:15" ht="12.75" x14ac:dyDescent="0.2">
      <c r="A450" s="285" t="s">
        <v>483</v>
      </c>
      <c r="B450" s="285">
        <v>2620000</v>
      </c>
      <c r="C450" s="337">
        <v>0</v>
      </c>
      <c r="D450" s="337">
        <v>13978150.880000001</v>
      </c>
      <c r="E450" s="337">
        <v>0</v>
      </c>
      <c r="F450" s="337">
        <v>13978150.880000001</v>
      </c>
      <c r="G450" s="337">
        <v>0</v>
      </c>
      <c r="H450" s="286"/>
      <c r="I450" s="287"/>
      <c r="J450" s="338">
        <v>12977950</v>
      </c>
      <c r="K450" s="338"/>
      <c r="L450" s="338">
        <f t="shared" si="33"/>
        <v>12977950</v>
      </c>
      <c r="M450" s="304">
        <f t="shared" si="34"/>
        <v>419798.14</v>
      </c>
      <c r="N450" s="296"/>
      <c r="O450" s="304">
        <v>419798.14</v>
      </c>
    </row>
    <row r="451" spans="1:15" ht="12.75" x14ac:dyDescent="0.2">
      <c r="A451" s="285" t="s">
        <v>699</v>
      </c>
      <c r="B451" s="285">
        <v>2620100</v>
      </c>
      <c r="C451" s="337"/>
      <c r="D451" s="337"/>
      <c r="E451" s="337"/>
      <c r="F451" s="337"/>
      <c r="G451" s="337"/>
      <c r="H451" s="286"/>
      <c r="I451" s="287"/>
      <c r="J451" s="338">
        <v>382000</v>
      </c>
      <c r="K451" s="338"/>
      <c r="L451" s="338">
        <f t="shared" si="33"/>
        <v>382000</v>
      </c>
      <c r="M451" s="304">
        <f t="shared" si="34"/>
        <v>124818.42</v>
      </c>
      <c r="N451" s="296"/>
      <c r="O451" s="304">
        <v>124818.42</v>
      </c>
    </row>
    <row r="452" spans="1:15" ht="12.75" x14ac:dyDescent="0.2">
      <c r="A452" s="285" t="s">
        <v>972</v>
      </c>
      <c r="B452" s="285">
        <v>2622000</v>
      </c>
      <c r="C452" s="337">
        <v>0</v>
      </c>
      <c r="D452" s="337">
        <v>259205.47</v>
      </c>
      <c r="E452" s="337">
        <v>0</v>
      </c>
      <c r="F452" s="337">
        <v>259205.47</v>
      </c>
      <c r="G452" s="337">
        <v>0</v>
      </c>
      <c r="H452" s="286"/>
      <c r="I452" s="287"/>
      <c r="J452" s="338">
        <v>558875</v>
      </c>
      <c r="K452" s="338"/>
      <c r="L452" s="338">
        <f t="shared" si="33"/>
        <v>558875</v>
      </c>
      <c r="M452" s="304">
        <f t="shared" si="34"/>
        <v>426363.14</v>
      </c>
      <c r="N452" s="296"/>
      <c r="O452" s="304">
        <v>426363.14</v>
      </c>
    </row>
    <row r="453" spans="1:15" ht="12.75" x14ac:dyDescent="0.2">
      <c r="A453" s="285" t="s">
        <v>973</v>
      </c>
      <c r="B453" s="285">
        <v>2625000</v>
      </c>
      <c r="C453" s="337">
        <v>0</v>
      </c>
      <c r="D453" s="337">
        <v>35745.839999999997</v>
      </c>
      <c r="E453" s="337">
        <v>0</v>
      </c>
      <c r="F453" s="337">
        <v>35745.839999999997</v>
      </c>
      <c r="G453" s="337">
        <v>0</v>
      </c>
      <c r="H453" s="286"/>
      <c r="I453" s="287"/>
      <c r="J453" s="338">
        <v>20000</v>
      </c>
      <c r="K453" s="338"/>
      <c r="L453" s="338">
        <f t="shared" si="33"/>
        <v>20000</v>
      </c>
      <c r="M453" s="304">
        <f t="shared" si="34"/>
        <v>1200</v>
      </c>
      <c r="N453" s="296"/>
      <c r="O453" s="304">
        <v>1200</v>
      </c>
    </row>
    <row r="454" spans="1:15" ht="12.75" x14ac:dyDescent="0.2">
      <c r="A454" s="285" t="s">
        <v>962</v>
      </c>
      <c r="B454" s="285">
        <v>2630000</v>
      </c>
      <c r="C454" s="337">
        <v>0</v>
      </c>
      <c r="D454" s="337">
        <v>337072.5</v>
      </c>
      <c r="E454" s="337">
        <v>0</v>
      </c>
      <c r="F454" s="337">
        <v>337072.5</v>
      </c>
      <c r="G454" s="337">
        <v>0</v>
      </c>
      <c r="H454" s="286"/>
      <c r="I454" s="287"/>
      <c r="J454" s="338">
        <v>310000</v>
      </c>
      <c r="K454" s="338"/>
      <c r="L454" s="338">
        <f t="shared" si="33"/>
        <v>310000</v>
      </c>
      <c r="M454" s="304">
        <f t="shared" si="34"/>
        <v>118407.81</v>
      </c>
      <c r="N454" s="296"/>
      <c r="O454" s="304">
        <v>118407.81</v>
      </c>
    </row>
    <row r="455" spans="1:15" ht="12.75" x14ac:dyDescent="0.2">
      <c r="A455" s="285" t="s">
        <v>344</v>
      </c>
      <c r="B455" s="285">
        <v>2630500</v>
      </c>
      <c r="C455" s="337"/>
      <c r="D455" s="337"/>
      <c r="E455" s="337"/>
      <c r="F455" s="337"/>
      <c r="G455" s="337"/>
      <c r="H455" s="286"/>
      <c r="I455" s="287"/>
      <c r="J455" s="338">
        <v>10000</v>
      </c>
      <c r="K455" s="338"/>
      <c r="L455" s="338">
        <f t="shared" si="33"/>
        <v>10000</v>
      </c>
      <c r="M455" s="304">
        <f t="shared" si="34"/>
        <v>0</v>
      </c>
      <c r="N455" s="296"/>
      <c r="O455" s="304"/>
    </row>
    <row r="456" spans="1:15" ht="12.75" x14ac:dyDescent="0.2">
      <c r="A456" s="285" t="s">
        <v>974</v>
      </c>
      <c r="B456" s="285">
        <v>2630505</v>
      </c>
      <c r="C456" s="337">
        <v>0</v>
      </c>
      <c r="D456" s="337">
        <v>16255</v>
      </c>
      <c r="E456" s="337">
        <v>0</v>
      </c>
      <c r="F456" s="337">
        <v>16255</v>
      </c>
      <c r="G456" s="337">
        <v>0</v>
      </c>
      <c r="H456" s="286"/>
      <c r="I456" s="287"/>
      <c r="J456" s="338">
        <v>525000</v>
      </c>
      <c r="K456" s="338"/>
      <c r="L456" s="338">
        <f t="shared" si="33"/>
        <v>525000</v>
      </c>
      <c r="M456" s="304">
        <f t="shared" ref="M456:M508" si="35">N456+O456</f>
        <v>418696.72</v>
      </c>
      <c r="N456" s="296"/>
      <c r="O456" s="304">
        <v>418696.72</v>
      </c>
    </row>
    <row r="457" spans="1:15" ht="12.75" x14ac:dyDescent="0.2">
      <c r="A457" s="285" t="s">
        <v>796</v>
      </c>
      <c r="B457" s="285">
        <v>2635500</v>
      </c>
      <c r="C457" s="337"/>
      <c r="D457" s="337"/>
      <c r="E457" s="337"/>
      <c r="F457" s="337"/>
      <c r="G457" s="337"/>
      <c r="H457" s="286"/>
      <c r="I457" s="287"/>
      <c r="J457" s="338">
        <v>100000</v>
      </c>
      <c r="K457" s="338"/>
      <c r="L457" s="338">
        <f t="shared" ref="L457:L508" si="36">J457+K457</f>
        <v>100000</v>
      </c>
      <c r="M457" s="304">
        <f t="shared" si="35"/>
        <v>276971</v>
      </c>
      <c r="N457" s="296"/>
      <c r="O457" s="304">
        <v>276971</v>
      </c>
    </row>
    <row r="458" spans="1:15" ht="12.75" x14ac:dyDescent="0.2">
      <c r="A458" s="285" t="s">
        <v>975</v>
      </c>
      <c r="B458" s="285">
        <v>2660000</v>
      </c>
      <c r="C458" s="337">
        <v>0</v>
      </c>
      <c r="D458" s="337">
        <v>950</v>
      </c>
      <c r="E458" s="337">
        <v>0</v>
      </c>
      <c r="F458" s="337">
        <v>950</v>
      </c>
      <c r="G458" s="337">
        <v>0</v>
      </c>
      <c r="H458" s="286"/>
      <c r="I458" s="287"/>
      <c r="J458" s="338">
        <v>10000</v>
      </c>
      <c r="K458" s="338"/>
      <c r="L458" s="338">
        <f t="shared" si="36"/>
        <v>10000</v>
      </c>
      <c r="M458" s="304">
        <f t="shared" si="35"/>
        <v>0</v>
      </c>
      <c r="N458" s="296"/>
      <c r="O458" s="304"/>
    </row>
    <row r="459" spans="1:15" ht="12.75" x14ac:dyDescent="0.2">
      <c r="A459" s="285" t="s">
        <v>685</v>
      </c>
      <c r="B459" s="285">
        <v>2665000</v>
      </c>
      <c r="C459" s="337"/>
      <c r="D459" s="337"/>
      <c r="E459" s="337"/>
      <c r="F459" s="337"/>
      <c r="G459" s="337"/>
      <c r="H459" s="286"/>
      <c r="I459" s="287"/>
      <c r="J459" s="338">
        <v>10000</v>
      </c>
      <c r="K459" s="338"/>
      <c r="L459" s="338">
        <f t="shared" si="36"/>
        <v>10000</v>
      </c>
      <c r="M459" s="304">
        <f t="shared" si="35"/>
        <v>0</v>
      </c>
      <c r="N459" s="296"/>
      <c r="O459" s="304"/>
    </row>
    <row r="460" spans="1:15" ht="12.75" x14ac:dyDescent="0.2">
      <c r="A460" s="285" t="s">
        <v>976</v>
      </c>
      <c r="B460" s="285">
        <v>2665100</v>
      </c>
      <c r="C460" s="337">
        <v>0</v>
      </c>
      <c r="D460" s="337">
        <v>3902492.8</v>
      </c>
      <c r="E460" s="337">
        <v>0</v>
      </c>
      <c r="F460" s="337">
        <v>3902492.8</v>
      </c>
      <c r="G460" s="337">
        <v>0</v>
      </c>
      <c r="H460" s="286"/>
      <c r="I460" s="287"/>
      <c r="J460" s="338">
        <v>13300000</v>
      </c>
      <c r="K460" s="338"/>
      <c r="L460" s="338">
        <f t="shared" si="36"/>
        <v>13300000</v>
      </c>
      <c r="M460" s="304">
        <f t="shared" si="35"/>
        <v>17780759.309999999</v>
      </c>
      <c r="N460" s="296"/>
      <c r="O460" s="304">
        <v>17780759.309999999</v>
      </c>
    </row>
    <row r="461" spans="1:15" ht="12.75" x14ac:dyDescent="0.2">
      <c r="A461" s="285" t="s">
        <v>700</v>
      </c>
      <c r="B461" s="285">
        <v>2670000</v>
      </c>
      <c r="C461" s="337"/>
      <c r="D461" s="337"/>
      <c r="E461" s="337"/>
      <c r="F461" s="337"/>
      <c r="G461" s="337"/>
      <c r="H461" s="286"/>
      <c r="I461" s="287"/>
      <c r="J461" s="338">
        <v>14500</v>
      </c>
      <c r="K461" s="338"/>
      <c r="L461" s="338">
        <f t="shared" si="36"/>
        <v>14500</v>
      </c>
      <c r="M461" s="304">
        <f t="shared" si="35"/>
        <v>0</v>
      </c>
      <c r="N461" s="296"/>
      <c r="O461" s="304"/>
    </row>
    <row r="462" spans="1:15" ht="12.75" x14ac:dyDescent="0.2">
      <c r="A462" s="285" t="s">
        <v>977</v>
      </c>
      <c r="B462" s="285">
        <v>2675000</v>
      </c>
      <c r="C462" s="337">
        <v>0</v>
      </c>
      <c r="D462" s="337">
        <v>1032291.6</v>
      </c>
      <c r="E462" s="337">
        <v>0</v>
      </c>
      <c r="F462" s="337">
        <v>1032291.6</v>
      </c>
      <c r="G462" s="337">
        <v>0</v>
      </c>
      <c r="H462" s="286"/>
      <c r="I462" s="287"/>
      <c r="J462" s="338">
        <v>850000</v>
      </c>
      <c r="K462" s="338"/>
      <c r="L462" s="338">
        <f t="shared" si="36"/>
        <v>850000</v>
      </c>
      <c r="M462" s="304">
        <f t="shared" si="35"/>
        <v>1046855.42</v>
      </c>
      <c r="N462" s="296"/>
      <c r="O462" s="304">
        <v>1046855.42</v>
      </c>
    </row>
    <row r="463" spans="1:15" ht="12.75" x14ac:dyDescent="0.2">
      <c r="A463" s="285" t="s">
        <v>978</v>
      </c>
      <c r="B463" s="285">
        <v>2680000</v>
      </c>
      <c r="C463" s="337">
        <v>0</v>
      </c>
      <c r="D463" s="337">
        <v>1070302.51</v>
      </c>
      <c r="E463" s="337">
        <v>0</v>
      </c>
      <c r="F463" s="337">
        <v>1070302.51</v>
      </c>
      <c r="G463" s="337">
        <v>0</v>
      </c>
      <c r="H463" s="286"/>
      <c r="I463" s="287"/>
      <c r="J463" s="338"/>
      <c r="K463" s="338"/>
      <c r="L463" s="338">
        <f t="shared" si="36"/>
        <v>0</v>
      </c>
      <c r="M463" s="304">
        <f t="shared" si="35"/>
        <v>0</v>
      </c>
      <c r="N463" s="296"/>
      <c r="O463" s="304"/>
    </row>
    <row r="464" spans="1:15" ht="12.75" x14ac:dyDescent="0.2">
      <c r="A464" s="285" t="s">
        <v>981</v>
      </c>
      <c r="B464" s="285">
        <v>2685000</v>
      </c>
      <c r="C464" s="337">
        <v>0</v>
      </c>
      <c r="D464" s="337">
        <v>961024.19</v>
      </c>
      <c r="E464" s="337">
        <v>0</v>
      </c>
      <c r="F464" s="337">
        <v>961024.19</v>
      </c>
      <c r="G464" s="337">
        <v>0</v>
      </c>
      <c r="H464" s="286"/>
      <c r="I464" s="287"/>
      <c r="J464" s="338">
        <v>1315000</v>
      </c>
      <c r="K464" s="338"/>
      <c r="L464" s="338">
        <f t="shared" si="36"/>
        <v>1315000</v>
      </c>
      <c r="M464" s="304">
        <f t="shared" si="35"/>
        <v>1426381.66</v>
      </c>
      <c r="N464" s="296"/>
      <c r="O464" s="304">
        <v>1426381.66</v>
      </c>
    </row>
    <row r="465" spans="1:15" ht="12.75" x14ac:dyDescent="0.2">
      <c r="A465" s="285" t="s">
        <v>979</v>
      </c>
      <c r="B465" s="285">
        <v>2690000</v>
      </c>
      <c r="C465" s="337">
        <v>0</v>
      </c>
      <c r="D465" s="337">
        <v>46929.82</v>
      </c>
      <c r="E465" s="337">
        <v>0</v>
      </c>
      <c r="F465" s="337">
        <v>46929.82</v>
      </c>
      <c r="G465" s="337">
        <v>0</v>
      </c>
      <c r="H465" s="286"/>
      <c r="I465" s="287"/>
      <c r="J465" s="338"/>
      <c r="K465" s="338"/>
      <c r="L465" s="338">
        <f t="shared" si="36"/>
        <v>0</v>
      </c>
      <c r="M465" s="304">
        <f t="shared" si="35"/>
        <v>0</v>
      </c>
      <c r="N465" s="296"/>
      <c r="O465" s="304"/>
    </row>
    <row r="466" spans="1:15" ht="12.75" x14ac:dyDescent="0.2">
      <c r="A466" s="285" t="s">
        <v>686</v>
      </c>
      <c r="B466" s="285">
        <v>2700300</v>
      </c>
      <c r="C466" s="337"/>
      <c r="D466" s="337"/>
      <c r="E466" s="337"/>
      <c r="F466" s="337"/>
      <c r="G466" s="337"/>
      <c r="H466" s="286"/>
      <c r="I466" s="287"/>
      <c r="J466" s="338"/>
      <c r="K466" s="338"/>
      <c r="L466" s="338">
        <f t="shared" si="36"/>
        <v>0</v>
      </c>
      <c r="M466" s="304">
        <f t="shared" si="35"/>
        <v>0</v>
      </c>
      <c r="N466" s="296"/>
      <c r="O466" s="304"/>
    </row>
    <row r="467" spans="1:15" ht="12.75" x14ac:dyDescent="0.2">
      <c r="A467" s="285" t="s">
        <v>982</v>
      </c>
      <c r="B467" s="285">
        <v>2735500</v>
      </c>
      <c r="C467" s="337">
        <v>0</v>
      </c>
      <c r="D467" s="337">
        <v>144289.44</v>
      </c>
      <c r="E467" s="337">
        <v>0</v>
      </c>
      <c r="F467" s="337">
        <v>144289.44</v>
      </c>
      <c r="G467" s="337">
        <v>0</v>
      </c>
      <c r="H467" s="286"/>
      <c r="I467" s="287"/>
      <c r="J467" s="338">
        <v>504000</v>
      </c>
      <c r="K467" s="338"/>
      <c r="L467" s="338">
        <f t="shared" si="36"/>
        <v>504000</v>
      </c>
      <c r="M467" s="304">
        <f t="shared" si="35"/>
        <v>311320</v>
      </c>
      <c r="N467" s="296"/>
      <c r="O467" s="304">
        <v>311320</v>
      </c>
    </row>
    <row r="468" spans="1:15" ht="12.75" x14ac:dyDescent="0.2">
      <c r="A468" s="285" t="s">
        <v>983</v>
      </c>
      <c r="B468" s="285">
        <v>2740000</v>
      </c>
      <c r="C468" s="337">
        <v>0</v>
      </c>
      <c r="D468" s="337">
        <v>5086110.54</v>
      </c>
      <c r="E468" s="337">
        <v>0</v>
      </c>
      <c r="F468" s="337">
        <v>5086110.54</v>
      </c>
      <c r="G468" s="337">
        <v>0</v>
      </c>
      <c r="H468" s="286"/>
      <c r="I468" s="287"/>
      <c r="J468" s="338">
        <v>5926365</v>
      </c>
      <c r="K468" s="338"/>
      <c r="L468" s="338">
        <f t="shared" si="36"/>
        <v>5926365</v>
      </c>
      <c r="M468" s="304">
        <f t="shared" si="35"/>
        <v>4661394.51</v>
      </c>
      <c r="N468" s="296"/>
      <c r="O468" s="304">
        <v>4661394.51</v>
      </c>
    </row>
    <row r="469" spans="1:15" ht="12.75" x14ac:dyDescent="0.2">
      <c r="A469" s="285" t="s">
        <v>503</v>
      </c>
      <c r="B469" s="285">
        <v>2741000</v>
      </c>
      <c r="C469" s="337">
        <v>0</v>
      </c>
      <c r="D469" s="337">
        <v>4538.82</v>
      </c>
      <c r="E469" s="337">
        <v>0</v>
      </c>
      <c r="F469" s="337">
        <v>4538.82</v>
      </c>
      <c r="G469" s="337">
        <v>0</v>
      </c>
      <c r="H469" s="286"/>
      <c r="I469" s="287"/>
      <c r="J469" s="338">
        <v>7350</v>
      </c>
      <c r="K469" s="338"/>
      <c r="L469" s="338">
        <f t="shared" si="36"/>
        <v>7350</v>
      </c>
      <c r="M469" s="304">
        <f t="shared" si="35"/>
        <v>0</v>
      </c>
      <c r="N469" s="296"/>
      <c r="O469" s="304"/>
    </row>
    <row r="470" spans="1:15" ht="12.75" x14ac:dyDescent="0.2">
      <c r="A470" s="285" t="s">
        <v>984</v>
      </c>
      <c r="B470" s="285">
        <v>2744000</v>
      </c>
      <c r="C470" s="337">
        <v>0</v>
      </c>
      <c r="D470" s="337">
        <v>5324.5</v>
      </c>
      <c r="E470" s="337">
        <v>0</v>
      </c>
      <c r="F470" s="337">
        <v>5324.5</v>
      </c>
      <c r="G470" s="337">
        <v>0</v>
      </c>
      <c r="H470" s="286"/>
      <c r="I470" s="287"/>
      <c r="J470" s="338">
        <v>8400</v>
      </c>
      <c r="K470" s="338"/>
      <c r="L470" s="338">
        <f t="shared" si="36"/>
        <v>8400</v>
      </c>
      <c r="M470" s="304">
        <f t="shared" si="35"/>
        <v>7445.56</v>
      </c>
      <c r="N470" s="296"/>
      <c r="O470" s="304">
        <v>7445.56</v>
      </c>
    </row>
    <row r="471" spans="1:15" ht="12.75" x14ac:dyDescent="0.2">
      <c r="A471" s="285" t="s">
        <v>985</v>
      </c>
      <c r="B471" s="285">
        <v>2745000</v>
      </c>
      <c r="C471" s="337">
        <v>0</v>
      </c>
      <c r="D471" s="337">
        <v>104579.28</v>
      </c>
      <c r="E471" s="337">
        <v>0</v>
      </c>
      <c r="F471" s="337">
        <v>104579.28</v>
      </c>
      <c r="G471" s="337">
        <v>0</v>
      </c>
      <c r="H471" s="286"/>
      <c r="I471" s="287"/>
      <c r="J471" s="338">
        <v>373800</v>
      </c>
      <c r="K471" s="338"/>
      <c r="L471" s="338">
        <f t="shared" si="36"/>
        <v>373800</v>
      </c>
      <c r="M471" s="304">
        <f t="shared" si="35"/>
        <v>176390</v>
      </c>
      <c r="N471" s="296"/>
      <c r="O471" s="304">
        <v>176390</v>
      </c>
    </row>
    <row r="472" spans="1:15" ht="12.75" x14ac:dyDescent="0.2">
      <c r="A472" s="285" t="s">
        <v>986</v>
      </c>
      <c r="B472" s="285">
        <v>2750000</v>
      </c>
      <c r="C472" s="337">
        <v>0</v>
      </c>
      <c r="D472" s="337">
        <v>17000</v>
      </c>
      <c r="E472" s="337">
        <v>0</v>
      </c>
      <c r="F472" s="337">
        <v>17000</v>
      </c>
      <c r="G472" s="337">
        <v>0</v>
      </c>
      <c r="H472" s="286"/>
      <c r="I472" s="287"/>
      <c r="J472" s="338">
        <v>100000</v>
      </c>
      <c r="K472" s="338"/>
      <c r="L472" s="338">
        <f t="shared" si="36"/>
        <v>100000</v>
      </c>
      <c r="M472" s="304">
        <f t="shared" si="35"/>
        <v>0</v>
      </c>
      <c r="N472" s="296"/>
      <c r="O472" s="304"/>
    </row>
    <row r="473" spans="1:15" ht="12.75" x14ac:dyDescent="0.2">
      <c r="A473" s="285" t="s">
        <v>987</v>
      </c>
      <c r="B473" s="285">
        <v>2790000</v>
      </c>
      <c r="C473" s="337">
        <v>0</v>
      </c>
      <c r="D473" s="337">
        <v>80836.740000000005</v>
      </c>
      <c r="E473" s="337">
        <v>0</v>
      </c>
      <c r="F473" s="337">
        <v>80836.740000000005</v>
      </c>
      <c r="G473" s="337">
        <v>0</v>
      </c>
      <c r="H473" s="286"/>
      <c r="I473" s="287"/>
      <c r="J473" s="338">
        <v>100000</v>
      </c>
      <c r="K473" s="338"/>
      <c r="L473" s="338">
        <f t="shared" si="36"/>
        <v>100000</v>
      </c>
      <c r="M473" s="304">
        <f t="shared" si="35"/>
        <v>126145</v>
      </c>
      <c r="N473" s="296"/>
      <c r="O473" s="304">
        <v>126145</v>
      </c>
    </row>
    <row r="474" spans="1:15" ht="12.75" x14ac:dyDescent="0.2">
      <c r="A474" s="285" t="s">
        <v>988</v>
      </c>
      <c r="B474" s="285">
        <v>2835500</v>
      </c>
      <c r="C474" s="337">
        <v>0</v>
      </c>
      <c r="D474" s="337">
        <v>2857823.16</v>
      </c>
      <c r="E474" s="337">
        <v>0</v>
      </c>
      <c r="F474" s="337">
        <v>2857823.16</v>
      </c>
      <c r="G474" s="337">
        <v>0</v>
      </c>
      <c r="H474" s="286"/>
      <c r="I474" s="287"/>
      <c r="J474" s="338">
        <v>2513000</v>
      </c>
      <c r="K474" s="338"/>
      <c r="L474" s="338">
        <f t="shared" si="36"/>
        <v>2513000</v>
      </c>
      <c r="M474" s="304">
        <f t="shared" si="35"/>
        <v>4955220.79</v>
      </c>
      <c r="N474" s="296"/>
      <c r="O474" s="304">
        <v>4955220.79</v>
      </c>
    </row>
    <row r="475" spans="1:15" ht="12.75" x14ac:dyDescent="0.2">
      <c r="A475" s="285" t="s">
        <v>989</v>
      </c>
      <c r="B475" s="285">
        <v>2840000</v>
      </c>
      <c r="C475" s="337">
        <v>0</v>
      </c>
      <c r="D475" s="337">
        <v>9526</v>
      </c>
      <c r="E475" s="337">
        <v>0</v>
      </c>
      <c r="F475" s="337">
        <v>9526</v>
      </c>
      <c r="G475" s="337">
        <v>0</v>
      </c>
      <c r="H475" s="286"/>
      <c r="I475" s="287"/>
      <c r="J475" s="338">
        <v>45750</v>
      </c>
      <c r="K475" s="338"/>
      <c r="L475" s="338">
        <f t="shared" si="36"/>
        <v>45750</v>
      </c>
      <c r="M475" s="304">
        <f t="shared" si="35"/>
        <v>32384.21</v>
      </c>
      <c r="N475" s="296"/>
      <c r="O475" s="304">
        <v>32384.21</v>
      </c>
    </row>
    <row r="476" spans="1:15" ht="12.75" x14ac:dyDescent="0.2">
      <c r="A476" s="285" t="s">
        <v>990</v>
      </c>
      <c r="B476" s="285">
        <v>2841000</v>
      </c>
      <c r="C476" s="337">
        <v>0</v>
      </c>
      <c r="D476" s="337">
        <v>7330</v>
      </c>
      <c r="E476" s="337">
        <v>0</v>
      </c>
      <c r="F476" s="337">
        <v>7330</v>
      </c>
      <c r="G476" s="337">
        <v>0</v>
      </c>
      <c r="H476" s="286"/>
      <c r="I476" s="287"/>
      <c r="J476" s="338"/>
      <c r="K476" s="338"/>
      <c r="L476" s="338">
        <f t="shared" si="36"/>
        <v>0</v>
      </c>
      <c r="M476" s="304">
        <f t="shared" si="35"/>
        <v>0</v>
      </c>
      <c r="N476" s="296"/>
      <c r="O476" s="304"/>
    </row>
    <row r="477" spans="1:15" ht="12.75" x14ac:dyDescent="0.2">
      <c r="A477" s="285" t="s">
        <v>991</v>
      </c>
      <c r="B477" s="285">
        <v>2843000</v>
      </c>
      <c r="C477" s="337">
        <v>0</v>
      </c>
      <c r="D477" s="337">
        <v>193690.5</v>
      </c>
      <c r="E477" s="337">
        <v>0</v>
      </c>
      <c r="F477" s="337">
        <v>193690.5</v>
      </c>
      <c r="G477" s="337">
        <v>0</v>
      </c>
      <c r="H477" s="286"/>
      <c r="I477" s="287"/>
      <c r="J477" s="338">
        <v>60000</v>
      </c>
      <c r="K477" s="338"/>
      <c r="L477" s="338">
        <f t="shared" si="36"/>
        <v>60000</v>
      </c>
      <c r="M477" s="304">
        <f t="shared" si="35"/>
        <v>18550</v>
      </c>
      <c r="N477" s="296"/>
      <c r="O477" s="304">
        <v>18550</v>
      </c>
    </row>
    <row r="478" spans="1:15" ht="12.75" x14ac:dyDescent="0.2">
      <c r="A478" s="285" t="s">
        <v>992</v>
      </c>
      <c r="B478" s="285">
        <v>2845000</v>
      </c>
      <c r="C478" s="337">
        <v>0</v>
      </c>
      <c r="D478" s="337">
        <v>2778.85</v>
      </c>
      <c r="E478" s="337">
        <v>0</v>
      </c>
      <c r="F478" s="337">
        <v>2778.85</v>
      </c>
      <c r="G478" s="337">
        <v>0</v>
      </c>
      <c r="H478" s="286"/>
      <c r="I478" s="287"/>
      <c r="J478" s="338">
        <v>5000</v>
      </c>
      <c r="K478" s="338"/>
      <c r="L478" s="338">
        <f t="shared" si="36"/>
        <v>5000</v>
      </c>
      <c r="M478" s="304">
        <f t="shared" si="35"/>
        <v>3040</v>
      </c>
      <c r="N478" s="296"/>
      <c r="O478" s="304">
        <v>3040</v>
      </c>
    </row>
    <row r="479" spans="1:15" ht="12.75" x14ac:dyDescent="0.2">
      <c r="A479" s="285" t="s">
        <v>993</v>
      </c>
      <c r="B479" s="285">
        <v>2850000</v>
      </c>
      <c r="C479" s="337">
        <v>0</v>
      </c>
      <c r="D479" s="337">
        <v>1572.66</v>
      </c>
      <c r="E479" s="337">
        <v>0</v>
      </c>
      <c r="F479" s="337">
        <v>1572.66</v>
      </c>
      <c r="G479" s="337">
        <v>0</v>
      </c>
      <c r="H479" s="286"/>
      <c r="I479" s="287"/>
      <c r="J479" s="338">
        <v>12000</v>
      </c>
      <c r="K479" s="338"/>
      <c r="L479" s="338">
        <f t="shared" si="36"/>
        <v>12000</v>
      </c>
      <c r="M479" s="304">
        <f t="shared" si="35"/>
        <v>0</v>
      </c>
      <c r="N479" s="296"/>
      <c r="O479" s="304"/>
    </row>
    <row r="480" spans="1:15" ht="12.75" x14ac:dyDescent="0.2">
      <c r="A480" s="285" t="s">
        <v>57</v>
      </c>
      <c r="B480" s="285">
        <v>2855000</v>
      </c>
      <c r="C480" s="337"/>
      <c r="D480" s="337"/>
      <c r="E480" s="337"/>
      <c r="F480" s="337"/>
      <c r="G480" s="337"/>
      <c r="H480" s="286"/>
      <c r="I480" s="287"/>
      <c r="J480" s="338"/>
      <c r="K480" s="338"/>
      <c r="L480" s="338">
        <f t="shared" si="36"/>
        <v>0</v>
      </c>
      <c r="M480" s="304">
        <f t="shared" si="35"/>
        <v>0</v>
      </c>
      <c r="N480" s="296"/>
      <c r="O480" s="304"/>
    </row>
    <row r="481" spans="1:15" ht="12.75" x14ac:dyDescent="0.2">
      <c r="A481" s="285" t="s">
        <v>994</v>
      </c>
      <c r="B481" s="285">
        <v>2855000</v>
      </c>
      <c r="C481" s="337">
        <v>0</v>
      </c>
      <c r="D481" s="337">
        <v>8696863.3200000003</v>
      </c>
      <c r="E481" s="337">
        <v>0</v>
      </c>
      <c r="F481" s="337">
        <v>8696863.3200000003</v>
      </c>
      <c r="G481" s="337">
        <v>0</v>
      </c>
      <c r="H481" s="286"/>
      <c r="I481" s="287"/>
      <c r="J481" s="338">
        <v>223500</v>
      </c>
      <c r="K481" s="338"/>
      <c r="L481" s="338">
        <f t="shared" si="36"/>
        <v>223500</v>
      </c>
      <c r="M481" s="304">
        <f t="shared" si="35"/>
        <v>67685.47</v>
      </c>
      <c r="N481" s="296"/>
      <c r="O481" s="304">
        <v>67685.47</v>
      </c>
    </row>
    <row r="482" spans="1:15" ht="12.75" x14ac:dyDescent="0.2">
      <c r="A482" s="285" t="s">
        <v>995</v>
      </c>
      <c r="B482" s="285">
        <v>2857000</v>
      </c>
      <c r="C482" s="337">
        <v>0</v>
      </c>
      <c r="D482" s="337">
        <v>7200</v>
      </c>
      <c r="E482" s="337">
        <v>0</v>
      </c>
      <c r="F482" s="337">
        <v>7200</v>
      </c>
      <c r="G482" s="337">
        <v>0</v>
      </c>
      <c r="H482" s="286"/>
      <c r="I482" s="287"/>
      <c r="J482" s="338">
        <v>50000</v>
      </c>
      <c r="K482" s="338"/>
      <c r="L482" s="338">
        <f t="shared" si="36"/>
        <v>50000</v>
      </c>
      <c r="M482" s="304">
        <f t="shared" si="35"/>
        <v>29696.5</v>
      </c>
      <c r="N482" s="296"/>
      <c r="O482" s="304">
        <v>29696.5</v>
      </c>
    </row>
    <row r="483" spans="1:15" ht="12.75" x14ac:dyDescent="0.2">
      <c r="A483" s="285" t="s">
        <v>996</v>
      </c>
      <c r="B483" s="285">
        <v>2865000</v>
      </c>
      <c r="C483" s="337">
        <v>0</v>
      </c>
      <c r="D483" s="337">
        <v>8535.9699999999993</v>
      </c>
      <c r="E483" s="337">
        <v>0</v>
      </c>
      <c r="F483" s="337">
        <v>8535.9699999999993</v>
      </c>
      <c r="G483" s="337">
        <v>0</v>
      </c>
      <c r="H483" s="286"/>
      <c r="I483" s="287"/>
      <c r="J483" s="338">
        <v>13800</v>
      </c>
      <c r="K483" s="338"/>
      <c r="L483" s="338">
        <f t="shared" si="36"/>
        <v>13800</v>
      </c>
      <c r="M483" s="304">
        <f t="shared" si="35"/>
        <v>8988.4699999999993</v>
      </c>
      <c r="N483" s="296"/>
      <c r="O483" s="304">
        <v>8988.4699999999993</v>
      </c>
    </row>
    <row r="484" spans="1:15" ht="12.75" x14ac:dyDescent="0.2">
      <c r="A484" s="285" t="s">
        <v>335</v>
      </c>
      <c r="B484" s="285">
        <v>2880000</v>
      </c>
      <c r="C484" s="337">
        <v>0</v>
      </c>
      <c r="D484" s="337">
        <v>1066620</v>
      </c>
      <c r="E484" s="337">
        <v>0</v>
      </c>
      <c r="F484" s="337">
        <v>1066620</v>
      </c>
      <c r="G484" s="337">
        <v>0</v>
      </c>
      <c r="H484" s="286"/>
      <c r="I484" s="287"/>
      <c r="J484" s="338">
        <v>1255395</v>
      </c>
      <c r="K484" s="338"/>
      <c r="L484" s="338">
        <f t="shared" si="36"/>
        <v>1255395</v>
      </c>
      <c r="M484" s="304">
        <f t="shared" si="35"/>
        <v>1255395</v>
      </c>
      <c r="N484" s="296"/>
      <c r="O484" s="304">
        <v>1255395</v>
      </c>
    </row>
    <row r="485" spans="1:15" ht="12.75" x14ac:dyDescent="0.2">
      <c r="A485" s="285" t="s">
        <v>997</v>
      </c>
      <c r="B485" s="285">
        <v>2900000</v>
      </c>
      <c r="C485" s="337">
        <v>0</v>
      </c>
      <c r="D485" s="337">
        <v>5201100</v>
      </c>
      <c r="E485" s="337">
        <v>0</v>
      </c>
      <c r="F485" s="337">
        <v>5201100</v>
      </c>
      <c r="G485" s="337">
        <v>0</v>
      </c>
      <c r="H485" s="286"/>
      <c r="I485" s="287"/>
      <c r="J485" s="338">
        <v>6089630</v>
      </c>
      <c r="K485" s="338"/>
      <c r="L485" s="338">
        <f t="shared" si="36"/>
        <v>6089630</v>
      </c>
      <c r="M485" s="304">
        <f t="shared" si="35"/>
        <v>6089630</v>
      </c>
      <c r="N485" s="296"/>
      <c r="O485" s="304">
        <v>6089630</v>
      </c>
    </row>
    <row r="486" spans="1:15" ht="12.75" x14ac:dyDescent="0.2">
      <c r="A486" s="285" t="s">
        <v>998</v>
      </c>
      <c r="B486" s="285">
        <v>2910000</v>
      </c>
      <c r="C486" s="337">
        <v>0</v>
      </c>
      <c r="D486" s="337">
        <v>7612.54</v>
      </c>
      <c r="E486" s="337">
        <v>0</v>
      </c>
      <c r="F486" s="337">
        <v>7612.54</v>
      </c>
      <c r="G486" s="337">
        <v>0</v>
      </c>
      <c r="H486" s="286"/>
      <c r="I486" s="287"/>
      <c r="J486" s="338">
        <v>11000</v>
      </c>
      <c r="K486" s="338"/>
      <c r="L486" s="338">
        <f t="shared" si="36"/>
        <v>11000</v>
      </c>
      <c r="M486" s="304">
        <f t="shared" si="35"/>
        <v>9602.36</v>
      </c>
      <c r="N486" s="296"/>
      <c r="O486" s="304">
        <v>9602.36</v>
      </c>
    </row>
    <row r="487" spans="1:15" ht="12.75" x14ac:dyDescent="0.2">
      <c r="A487" s="285" t="s">
        <v>999</v>
      </c>
      <c r="B487" s="285">
        <v>2910500</v>
      </c>
      <c r="C487" s="337">
        <v>0</v>
      </c>
      <c r="D487" s="337">
        <v>86281.19</v>
      </c>
      <c r="E487" s="337">
        <v>0</v>
      </c>
      <c r="F487" s="337">
        <v>86281.19</v>
      </c>
      <c r="G487" s="337">
        <v>0</v>
      </c>
      <c r="H487" s="286"/>
      <c r="I487" s="287"/>
      <c r="J487" s="338">
        <v>210475</v>
      </c>
      <c r="K487" s="338"/>
      <c r="L487" s="338">
        <f t="shared" si="36"/>
        <v>210475</v>
      </c>
      <c r="M487" s="304">
        <f t="shared" si="35"/>
        <v>100615.3</v>
      </c>
      <c r="N487" s="296"/>
      <c r="O487" s="304">
        <v>100615.3</v>
      </c>
    </row>
    <row r="488" spans="1:15" ht="12.75" x14ac:dyDescent="0.2">
      <c r="A488" s="285" t="s">
        <v>1000</v>
      </c>
      <c r="B488" s="285">
        <v>2910600</v>
      </c>
      <c r="C488" s="337">
        <v>0</v>
      </c>
      <c r="D488" s="337">
        <v>256562.58</v>
      </c>
      <c r="E488" s="337">
        <v>0</v>
      </c>
      <c r="F488" s="337">
        <v>256562.58</v>
      </c>
      <c r="G488" s="337">
        <v>0</v>
      </c>
      <c r="H488" s="286"/>
      <c r="I488" s="287"/>
      <c r="J488" s="338">
        <v>360000</v>
      </c>
      <c r="K488" s="338"/>
      <c r="L488" s="338">
        <f t="shared" si="36"/>
        <v>360000</v>
      </c>
      <c r="M488" s="304">
        <f t="shared" si="35"/>
        <v>351771.74</v>
      </c>
      <c r="N488" s="296"/>
      <c r="O488" s="304">
        <v>351771.74</v>
      </c>
    </row>
    <row r="489" spans="1:15" ht="12.75" x14ac:dyDescent="0.2">
      <c r="A489" s="285" t="s">
        <v>701</v>
      </c>
      <c r="B489" s="285">
        <v>2915000</v>
      </c>
      <c r="C489" s="337"/>
      <c r="D489" s="337"/>
      <c r="E489" s="337"/>
      <c r="F489" s="337"/>
      <c r="G489" s="337"/>
      <c r="H489" s="286"/>
      <c r="I489" s="287"/>
      <c r="J489" s="338">
        <v>303000</v>
      </c>
      <c r="K489" s="338"/>
      <c r="L489" s="338">
        <f t="shared" si="36"/>
        <v>303000</v>
      </c>
      <c r="M489" s="304">
        <f t="shared" si="35"/>
        <v>129066.29</v>
      </c>
      <c r="N489" s="296"/>
      <c r="O489" s="304">
        <v>129066.29</v>
      </c>
    </row>
    <row r="490" spans="1:15" ht="12.75" x14ac:dyDescent="0.2">
      <c r="A490" s="285" t="s">
        <v>224</v>
      </c>
      <c r="B490" s="285">
        <v>2930000</v>
      </c>
      <c r="C490" s="337">
        <v>0</v>
      </c>
      <c r="D490" s="337">
        <v>51137.72</v>
      </c>
      <c r="E490" s="337">
        <v>0</v>
      </c>
      <c r="F490" s="337">
        <v>51137.72</v>
      </c>
      <c r="G490" s="337">
        <v>0</v>
      </c>
      <c r="H490" s="286"/>
      <c r="I490" s="287"/>
      <c r="J490" s="338">
        <v>102000</v>
      </c>
      <c r="K490" s="338"/>
      <c r="L490" s="338">
        <f t="shared" si="36"/>
        <v>102000</v>
      </c>
      <c r="M490" s="304">
        <f t="shared" si="35"/>
        <v>75705.38</v>
      </c>
      <c r="N490" s="296"/>
      <c r="O490" s="304">
        <v>75705.38</v>
      </c>
    </row>
    <row r="491" spans="1:15" ht="12.75" x14ac:dyDescent="0.2">
      <c r="A491" s="285" t="s">
        <v>225</v>
      </c>
      <c r="B491" s="285">
        <v>2933000</v>
      </c>
      <c r="C491" s="337">
        <v>0</v>
      </c>
      <c r="D491" s="337">
        <v>34042.5</v>
      </c>
      <c r="E491" s="337">
        <v>0</v>
      </c>
      <c r="F491" s="337">
        <v>34042.5</v>
      </c>
      <c r="G491" s="337">
        <v>0</v>
      </c>
      <c r="H491" s="286"/>
      <c r="I491" s="287"/>
      <c r="J491" s="338">
        <v>48300</v>
      </c>
      <c r="K491" s="338"/>
      <c r="L491" s="338">
        <f t="shared" si="36"/>
        <v>48300</v>
      </c>
      <c r="M491" s="304">
        <f t="shared" si="35"/>
        <v>16760</v>
      </c>
      <c r="N491" s="296"/>
      <c r="O491" s="304">
        <v>16760</v>
      </c>
    </row>
    <row r="492" spans="1:15" ht="12.75" x14ac:dyDescent="0.2">
      <c r="A492" s="285" t="s">
        <v>226</v>
      </c>
      <c r="B492" s="285">
        <v>2935010</v>
      </c>
      <c r="C492" s="337">
        <v>0</v>
      </c>
      <c r="D492" s="337">
        <v>5639.5</v>
      </c>
      <c r="E492" s="337">
        <v>0</v>
      </c>
      <c r="F492" s="337">
        <v>5639.5</v>
      </c>
      <c r="G492" s="337">
        <v>0</v>
      </c>
      <c r="H492" s="286"/>
      <c r="I492" s="287"/>
      <c r="J492" s="338">
        <v>21000</v>
      </c>
      <c r="K492" s="338"/>
      <c r="L492" s="338">
        <f t="shared" si="36"/>
        <v>21000</v>
      </c>
      <c r="M492" s="304">
        <f t="shared" si="35"/>
        <v>19591.25</v>
      </c>
      <c r="N492" s="296"/>
      <c r="O492" s="304">
        <v>19591.25</v>
      </c>
    </row>
    <row r="493" spans="1:15" ht="12.75" x14ac:dyDescent="0.2">
      <c r="A493" s="285" t="s">
        <v>227</v>
      </c>
      <c r="B493" s="285">
        <v>2935120</v>
      </c>
      <c r="C493" s="337">
        <v>0</v>
      </c>
      <c r="D493" s="337">
        <v>4049.48</v>
      </c>
      <c r="E493" s="337">
        <v>0</v>
      </c>
      <c r="F493" s="337">
        <v>4049.48</v>
      </c>
      <c r="G493" s="337">
        <v>0</v>
      </c>
      <c r="H493" s="286"/>
      <c r="I493" s="287"/>
      <c r="J493" s="338"/>
      <c r="K493" s="338"/>
      <c r="L493" s="338">
        <f t="shared" si="36"/>
        <v>0</v>
      </c>
      <c r="M493" s="304">
        <f t="shared" si="35"/>
        <v>0</v>
      </c>
      <c r="N493" s="296"/>
      <c r="O493" s="304"/>
    </row>
    <row r="494" spans="1:15" ht="12.75" x14ac:dyDescent="0.2">
      <c r="A494" s="285" t="s">
        <v>228</v>
      </c>
      <c r="B494" s="285">
        <v>2940000</v>
      </c>
      <c r="C494" s="337">
        <v>0</v>
      </c>
      <c r="D494" s="337">
        <v>68923.44</v>
      </c>
      <c r="E494" s="337">
        <v>0</v>
      </c>
      <c r="F494" s="337">
        <v>68923.44</v>
      </c>
      <c r="G494" s="337">
        <v>0</v>
      </c>
      <c r="H494" s="286"/>
      <c r="I494" s="287"/>
      <c r="J494" s="338">
        <v>48560</v>
      </c>
      <c r="K494" s="338"/>
      <c r="L494" s="338">
        <f t="shared" si="36"/>
        <v>48560</v>
      </c>
      <c r="M494" s="304">
        <f t="shared" si="35"/>
        <v>13362.27</v>
      </c>
      <c r="N494" s="296"/>
      <c r="O494" s="304">
        <v>13362.27</v>
      </c>
    </row>
    <row r="495" spans="1:15" ht="12.75" x14ac:dyDescent="0.2">
      <c r="A495" s="285" t="s">
        <v>229</v>
      </c>
      <c r="B495" s="285">
        <v>2940100</v>
      </c>
      <c r="C495" s="337">
        <v>0</v>
      </c>
      <c r="D495" s="337">
        <v>1191598.6399999999</v>
      </c>
      <c r="E495" s="337">
        <v>0</v>
      </c>
      <c r="F495" s="337">
        <v>1191598.6399999999</v>
      </c>
      <c r="G495" s="337">
        <v>0</v>
      </c>
      <c r="H495" s="286"/>
      <c r="I495" s="287"/>
      <c r="J495" s="338">
        <v>3150000</v>
      </c>
      <c r="K495" s="338"/>
      <c r="L495" s="338">
        <f t="shared" si="36"/>
        <v>3150000</v>
      </c>
      <c r="M495" s="304">
        <f t="shared" si="35"/>
        <v>3125822.91</v>
      </c>
      <c r="N495" s="296"/>
      <c r="O495" s="304">
        <v>3125822.91</v>
      </c>
    </row>
    <row r="496" spans="1:15" ht="12.75" x14ac:dyDescent="0.2">
      <c r="A496" s="285" t="s">
        <v>230</v>
      </c>
      <c r="B496" s="285">
        <v>2950000</v>
      </c>
      <c r="C496" s="337">
        <v>0</v>
      </c>
      <c r="D496" s="337">
        <v>84084</v>
      </c>
      <c r="E496" s="337">
        <v>0</v>
      </c>
      <c r="F496" s="337">
        <v>84084</v>
      </c>
      <c r="G496" s="337">
        <v>0</v>
      </c>
      <c r="H496" s="286"/>
      <c r="I496" s="287"/>
      <c r="J496" s="338">
        <v>2000000</v>
      </c>
      <c r="K496" s="338"/>
      <c r="L496" s="338">
        <f t="shared" si="36"/>
        <v>2000000</v>
      </c>
      <c r="M496" s="304">
        <f t="shared" si="35"/>
        <v>1988332.66</v>
      </c>
      <c r="N496" s="296"/>
      <c r="O496" s="304">
        <v>1988332.66</v>
      </c>
    </row>
    <row r="497" spans="1:15" ht="12.75" x14ac:dyDescent="0.2">
      <c r="A497" s="285" t="s">
        <v>231</v>
      </c>
      <c r="B497" s="285">
        <v>2955000</v>
      </c>
      <c r="C497" s="337">
        <v>0</v>
      </c>
      <c r="D497" s="337">
        <v>58840</v>
      </c>
      <c r="E497" s="337">
        <v>0</v>
      </c>
      <c r="F497" s="337">
        <v>58840</v>
      </c>
      <c r="G497" s="337">
        <v>0</v>
      </c>
      <c r="H497" s="286"/>
      <c r="I497" s="287"/>
      <c r="J497" s="338">
        <v>400000</v>
      </c>
      <c r="K497" s="338"/>
      <c r="L497" s="338">
        <f t="shared" si="36"/>
        <v>400000</v>
      </c>
      <c r="M497" s="304">
        <f t="shared" si="35"/>
        <v>230879.04</v>
      </c>
      <c r="N497" s="296"/>
      <c r="O497" s="304">
        <v>230879.04</v>
      </c>
    </row>
    <row r="498" spans="1:15" ht="12.75" x14ac:dyDescent="0.2">
      <c r="A498" s="285" t="s">
        <v>232</v>
      </c>
      <c r="B498" s="285">
        <v>2960000</v>
      </c>
      <c r="C498" s="337">
        <v>0</v>
      </c>
      <c r="D498" s="337">
        <v>5952.18</v>
      </c>
      <c r="E498" s="337">
        <v>0</v>
      </c>
      <c r="F498" s="337">
        <v>5952.18</v>
      </c>
      <c r="G498" s="337">
        <v>0</v>
      </c>
      <c r="H498" s="286"/>
      <c r="I498" s="287"/>
      <c r="J498" s="338">
        <v>10550</v>
      </c>
      <c r="K498" s="338"/>
      <c r="L498" s="338">
        <f t="shared" si="36"/>
        <v>10550</v>
      </c>
      <c r="M498" s="304">
        <f t="shared" si="35"/>
        <v>3426.49</v>
      </c>
      <c r="N498" s="296"/>
      <c r="O498" s="304">
        <v>3426.49</v>
      </c>
    </row>
    <row r="499" spans="1:15" ht="12.75" x14ac:dyDescent="0.2">
      <c r="A499" s="285" t="s">
        <v>345</v>
      </c>
      <c r="B499" s="285">
        <v>2965000</v>
      </c>
      <c r="C499" s="337"/>
      <c r="D499" s="337"/>
      <c r="E499" s="337"/>
      <c r="F499" s="337"/>
      <c r="G499" s="337"/>
      <c r="H499" s="286"/>
      <c r="I499" s="287"/>
      <c r="J499" s="338">
        <v>500000</v>
      </c>
      <c r="K499" s="338"/>
      <c r="L499" s="338">
        <f t="shared" si="36"/>
        <v>500000</v>
      </c>
      <c r="M499" s="304">
        <f t="shared" si="35"/>
        <v>0</v>
      </c>
      <c r="N499" s="296"/>
      <c r="O499" s="304"/>
    </row>
    <row r="500" spans="1:15" ht="12.75" x14ac:dyDescent="0.2">
      <c r="A500" s="285" t="s">
        <v>968</v>
      </c>
      <c r="B500" s="285">
        <v>2970000</v>
      </c>
      <c r="C500" s="337">
        <v>0</v>
      </c>
      <c r="D500" s="337">
        <v>2454435.58</v>
      </c>
      <c r="E500" s="337">
        <v>0</v>
      </c>
      <c r="F500" s="337">
        <v>2454435.58</v>
      </c>
      <c r="G500" s="337">
        <v>0</v>
      </c>
      <c r="H500" s="286"/>
      <c r="I500" s="287"/>
      <c r="J500" s="338">
        <v>3648250</v>
      </c>
      <c r="K500" s="338"/>
      <c r="L500" s="338">
        <f t="shared" si="36"/>
        <v>3648250</v>
      </c>
      <c r="M500" s="304">
        <f t="shared" si="35"/>
        <v>3194826.24</v>
      </c>
      <c r="N500" s="296"/>
      <c r="O500" s="304">
        <v>3194826.24</v>
      </c>
    </row>
    <row r="501" spans="1:15" ht="12.75" x14ac:dyDescent="0.2">
      <c r="A501" s="285" t="s">
        <v>233</v>
      </c>
      <c r="B501" s="285">
        <v>2970100</v>
      </c>
      <c r="C501" s="337">
        <v>0</v>
      </c>
      <c r="D501" s="337">
        <v>1974106.06</v>
      </c>
      <c r="E501" s="337">
        <v>0</v>
      </c>
      <c r="F501" s="337">
        <v>1974106.06</v>
      </c>
      <c r="G501" s="337">
        <v>0</v>
      </c>
      <c r="H501" s="286"/>
      <c r="I501" s="287"/>
      <c r="J501" s="338">
        <v>5000000</v>
      </c>
      <c r="K501" s="338"/>
      <c r="L501" s="338">
        <f t="shared" si="36"/>
        <v>5000000</v>
      </c>
      <c r="M501" s="304">
        <f t="shared" si="35"/>
        <v>3728147.12</v>
      </c>
      <c r="N501" s="296"/>
      <c r="O501" s="304">
        <v>3728147.12</v>
      </c>
    </row>
    <row r="502" spans="1:15" ht="12.75" x14ac:dyDescent="0.2">
      <c r="A502" s="285" t="s">
        <v>234</v>
      </c>
      <c r="B502" s="285">
        <v>2970500</v>
      </c>
      <c r="C502" s="337">
        <v>0</v>
      </c>
      <c r="D502" s="337">
        <v>32398.19</v>
      </c>
      <c r="E502" s="337">
        <v>0</v>
      </c>
      <c r="F502" s="337">
        <v>32398.19</v>
      </c>
      <c r="G502" s="337">
        <v>0</v>
      </c>
      <c r="H502" s="286"/>
      <c r="I502" s="287"/>
      <c r="J502" s="338">
        <v>86100</v>
      </c>
      <c r="K502" s="338"/>
      <c r="L502" s="338">
        <f t="shared" si="36"/>
        <v>86100</v>
      </c>
      <c r="M502" s="304">
        <f t="shared" si="35"/>
        <v>87847.59</v>
      </c>
      <c r="N502" s="296"/>
      <c r="O502" s="304">
        <v>87847.59</v>
      </c>
    </row>
    <row r="503" spans="1:15" ht="12.75" x14ac:dyDescent="0.2">
      <c r="A503" s="285" t="s">
        <v>235</v>
      </c>
      <c r="B503" s="285">
        <v>2980000</v>
      </c>
      <c r="C503" s="337">
        <v>0</v>
      </c>
      <c r="D503" s="337">
        <v>1291560.45</v>
      </c>
      <c r="E503" s="337">
        <v>0</v>
      </c>
      <c r="F503" s="337">
        <v>1291560.45</v>
      </c>
      <c r="G503" s="337">
        <v>0</v>
      </c>
      <c r="H503" s="286"/>
      <c r="I503" s="287"/>
      <c r="J503" s="338">
        <v>1500000</v>
      </c>
      <c r="K503" s="338"/>
      <c r="L503" s="338">
        <f t="shared" si="36"/>
        <v>1500000</v>
      </c>
      <c r="M503" s="304">
        <f t="shared" si="35"/>
        <v>701094.79</v>
      </c>
      <c r="N503" s="296"/>
      <c r="O503" s="304">
        <v>701094.79</v>
      </c>
    </row>
    <row r="504" spans="1:15" ht="12.75" x14ac:dyDescent="0.2">
      <c r="A504" s="285" t="s">
        <v>236</v>
      </c>
      <c r="B504" s="285">
        <v>2981000</v>
      </c>
      <c r="C504" s="337">
        <v>0</v>
      </c>
      <c r="D504" s="337">
        <v>2370</v>
      </c>
      <c r="E504" s="337">
        <v>0</v>
      </c>
      <c r="F504" s="337">
        <v>2370</v>
      </c>
      <c r="G504" s="337">
        <v>0</v>
      </c>
      <c r="H504" s="286"/>
      <c r="I504" s="287"/>
      <c r="J504" s="338">
        <v>8000</v>
      </c>
      <c r="K504" s="338"/>
      <c r="L504" s="338">
        <f t="shared" si="36"/>
        <v>8000</v>
      </c>
      <c r="M504" s="304">
        <f t="shared" si="35"/>
        <v>0</v>
      </c>
      <c r="N504" s="296"/>
      <c r="O504" s="304"/>
    </row>
    <row r="505" spans="1:15" ht="12.75" x14ac:dyDescent="0.2">
      <c r="A505" s="285" t="s">
        <v>237</v>
      </c>
      <c r="B505" s="285">
        <v>2982000</v>
      </c>
      <c r="C505" s="337">
        <v>0</v>
      </c>
      <c r="D505" s="337">
        <v>317155.05</v>
      </c>
      <c r="E505" s="337">
        <v>0</v>
      </c>
      <c r="F505" s="337">
        <v>317155.05</v>
      </c>
      <c r="G505" s="337">
        <v>0</v>
      </c>
      <c r="H505" s="286"/>
      <c r="I505" s="287"/>
      <c r="J505" s="338">
        <v>1105000</v>
      </c>
      <c r="K505" s="338"/>
      <c r="L505" s="338">
        <f t="shared" si="36"/>
        <v>1105000</v>
      </c>
      <c r="M505" s="304">
        <f t="shared" si="35"/>
        <v>376150</v>
      </c>
      <c r="N505" s="296"/>
      <c r="O505" s="304">
        <v>376150</v>
      </c>
    </row>
    <row r="506" spans="1:15" ht="12.75" x14ac:dyDescent="0.2">
      <c r="A506" s="285" t="s">
        <v>347</v>
      </c>
      <c r="B506" s="285">
        <v>6000015</v>
      </c>
      <c r="C506" s="337"/>
      <c r="D506" s="337"/>
      <c r="E506" s="337"/>
      <c r="F506" s="337"/>
      <c r="G506" s="337"/>
      <c r="H506" s="286"/>
      <c r="I506" s="287"/>
      <c r="J506" s="338"/>
      <c r="K506" s="338"/>
      <c r="L506" s="338">
        <f t="shared" si="36"/>
        <v>0</v>
      </c>
      <c r="M506" s="304">
        <f t="shared" si="35"/>
        <v>0</v>
      </c>
      <c r="N506" s="296"/>
      <c r="O506" s="304"/>
    </row>
    <row r="507" spans="1:15" ht="12.75" x14ac:dyDescent="0.2">
      <c r="A507" s="285" t="s">
        <v>348</v>
      </c>
      <c r="B507" s="285">
        <v>6030000</v>
      </c>
      <c r="C507" s="337"/>
      <c r="D507" s="337"/>
      <c r="E507" s="337"/>
      <c r="F507" s="337"/>
      <c r="G507" s="337"/>
      <c r="H507" s="286"/>
      <c r="I507" s="287"/>
      <c r="J507" s="338"/>
      <c r="K507" s="338"/>
      <c r="L507" s="338">
        <f t="shared" si="36"/>
        <v>0</v>
      </c>
      <c r="M507" s="304">
        <f t="shared" si="35"/>
        <v>0</v>
      </c>
      <c r="N507" s="296"/>
      <c r="O507" s="304"/>
    </row>
    <row r="508" spans="1:15" ht="12.75" x14ac:dyDescent="0.2">
      <c r="A508" s="285" t="s">
        <v>349</v>
      </c>
      <c r="B508" s="285">
        <v>6400000</v>
      </c>
      <c r="C508" s="337"/>
      <c r="D508" s="337"/>
      <c r="E508" s="337"/>
      <c r="F508" s="337"/>
      <c r="G508" s="337"/>
      <c r="H508" s="286"/>
      <c r="I508" s="287"/>
      <c r="J508" s="338"/>
      <c r="K508" s="338"/>
      <c r="L508" s="338">
        <f t="shared" si="36"/>
        <v>0</v>
      </c>
      <c r="M508" s="304">
        <f t="shared" si="35"/>
        <v>0</v>
      </c>
      <c r="N508" s="296"/>
      <c r="O508" s="304"/>
    </row>
    <row r="509" spans="1:15" ht="12.75" x14ac:dyDescent="0.2">
      <c r="A509" s="285"/>
      <c r="B509" s="285"/>
      <c r="C509" s="337"/>
      <c r="D509" s="337"/>
      <c r="E509" s="337"/>
      <c r="F509" s="337">
        <v>-149219626</v>
      </c>
      <c r="G509" s="337"/>
      <c r="H509" s="286">
        <f>SUM(F328:F509)</f>
        <v>96944821.679999918</v>
      </c>
      <c r="I509" s="287"/>
      <c r="J509" s="340">
        <f t="shared" ref="J509:O509" si="37">SUM(J328:J508)</f>
        <v>378238815</v>
      </c>
      <c r="K509" s="340">
        <f t="shared" si="37"/>
        <v>46492000</v>
      </c>
      <c r="L509" s="340">
        <f t="shared" si="37"/>
        <v>424730815</v>
      </c>
      <c r="M509" s="340">
        <f t="shared" si="37"/>
        <v>239712809.62000003</v>
      </c>
      <c r="N509" s="298">
        <f t="shared" si="37"/>
        <v>-5823006.46</v>
      </c>
      <c r="O509" s="298">
        <f t="shared" si="37"/>
        <v>245535816.08000004</v>
      </c>
    </row>
    <row r="510" spans="1:15" ht="12.75" x14ac:dyDescent="0.2">
      <c r="A510" s="285" t="s">
        <v>543</v>
      </c>
      <c r="B510" s="285"/>
      <c r="C510" s="337"/>
      <c r="D510" s="337"/>
      <c r="E510" s="337"/>
      <c r="F510" s="337"/>
      <c r="G510" s="337"/>
      <c r="H510" s="286"/>
      <c r="I510" s="287"/>
      <c r="J510" s="341"/>
      <c r="K510" s="341"/>
      <c r="L510" s="341"/>
      <c r="M510" s="342"/>
      <c r="N510" s="296"/>
      <c r="O510" s="296"/>
    </row>
    <row r="511" spans="1:15" x14ac:dyDescent="0.25">
      <c r="A511" s="285" t="s">
        <v>728</v>
      </c>
      <c r="B511" s="285">
        <v>7000100</v>
      </c>
      <c r="C511" s="337">
        <v>0</v>
      </c>
      <c r="D511" s="337">
        <v>0</v>
      </c>
      <c r="E511" s="337">
        <v>149061285.30000001</v>
      </c>
      <c r="F511" s="337">
        <v>0</v>
      </c>
      <c r="G511" s="337">
        <v>149061285.30000001</v>
      </c>
      <c r="H511" s="286"/>
      <c r="I511" s="287"/>
      <c r="J511" s="341">
        <v>-186546850</v>
      </c>
      <c r="K511" s="341"/>
      <c r="L511" s="338">
        <f>J511+K511</f>
        <v>-186546850</v>
      </c>
      <c r="M511" s="342"/>
      <c r="N511" s="296"/>
      <c r="O511" s="213"/>
    </row>
    <row r="512" spans="1:15" x14ac:dyDescent="0.25">
      <c r="A512" s="285" t="s">
        <v>729</v>
      </c>
      <c r="B512" s="285">
        <v>7000200</v>
      </c>
      <c r="C512" s="337">
        <v>0</v>
      </c>
      <c r="D512" s="337">
        <v>0</v>
      </c>
      <c r="E512" s="337">
        <v>101784.84</v>
      </c>
      <c r="F512" s="337">
        <v>0</v>
      </c>
      <c r="G512" s="337">
        <v>101784.84</v>
      </c>
      <c r="H512" s="286"/>
      <c r="I512" s="287"/>
      <c r="J512" s="341"/>
      <c r="K512" s="341"/>
      <c r="L512" s="338">
        <f>J512+K512</f>
        <v>0</v>
      </c>
      <c r="M512" s="342"/>
      <c r="N512" s="296"/>
      <c r="O512" s="213"/>
    </row>
    <row r="513" spans="1:16" x14ac:dyDescent="0.25">
      <c r="A513" s="285" t="s">
        <v>730</v>
      </c>
      <c r="B513" s="285">
        <v>7000300</v>
      </c>
      <c r="C513" s="337">
        <v>0</v>
      </c>
      <c r="D513" s="337">
        <v>0</v>
      </c>
      <c r="E513" s="337">
        <v>56556.160000000003</v>
      </c>
      <c r="F513" s="337">
        <v>0</v>
      </c>
      <c r="G513" s="337">
        <v>56556.160000000003</v>
      </c>
      <c r="H513" s="286">
        <f>SUM(G511:G513)</f>
        <v>149219626.30000001</v>
      </c>
      <c r="I513" s="287">
        <f>ROUND(H513,0)</f>
        <v>149219626</v>
      </c>
      <c r="J513" s="341">
        <v>-8537005</v>
      </c>
      <c r="K513" s="341"/>
      <c r="L513" s="338">
        <f>J513+K513</f>
        <v>-8537005</v>
      </c>
      <c r="M513" s="342"/>
      <c r="N513" s="296"/>
      <c r="O513" s="213"/>
    </row>
    <row r="514" spans="1:16" ht="12.75" x14ac:dyDescent="0.2">
      <c r="A514" s="285"/>
      <c r="B514" s="285" t="s">
        <v>296</v>
      </c>
      <c r="C514" s="337"/>
      <c r="D514" s="337"/>
      <c r="E514" s="337"/>
      <c r="F514" s="337"/>
      <c r="G514" s="337"/>
      <c r="H514" s="286"/>
      <c r="I514" s="287"/>
      <c r="J514" s="343">
        <f t="shared" ref="J514:O514" si="38">SUM(J511:J513)</f>
        <v>-195083855</v>
      </c>
      <c r="K514" s="343">
        <f t="shared" si="38"/>
        <v>0</v>
      </c>
      <c r="L514" s="343">
        <f t="shared" si="38"/>
        <v>-195083855</v>
      </c>
      <c r="M514" s="344">
        <f t="shared" si="38"/>
        <v>0</v>
      </c>
      <c r="N514" s="298">
        <f t="shared" si="38"/>
        <v>0</v>
      </c>
      <c r="O514" s="298">
        <f t="shared" si="38"/>
        <v>0</v>
      </c>
      <c r="P514" s="283">
        <f>O509+O514</f>
        <v>245535816.08000004</v>
      </c>
    </row>
    <row r="515" spans="1:16" s="284" customFormat="1" ht="12.75" x14ac:dyDescent="0.2">
      <c r="A515" s="289" t="s">
        <v>687</v>
      </c>
      <c r="B515" s="289"/>
      <c r="C515" s="355"/>
      <c r="D515" s="355"/>
      <c r="E515" s="355"/>
      <c r="F515" s="355"/>
      <c r="G515" s="355"/>
      <c r="H515" s="302"/>
      <c r="I515" s="290"/>
      <c r="J515" s="343">
        <f t="shared" ref="J515:O515" si="39">J206+J217+J222+J230+J232+J235+J242+J260+J263+J266+J269+J315+J317+J323+J325+J509+J514</f>
        <v>1228190000</v>
      </c>
      <c r="K515" s="343">
        <f t="shared" si="39"/>
        <v>59838000</v>
      </c>
      <c r="L515" s="343">
        <f t="shared" si="39"/>
        <v>1284353000</v>
      </c>
      <c r="M515" s="344">
        <f t="shared" si="39"/>
        <v>1374202170.8400002</v>
      </c>
      <c r="N515" s="298">
        <f t="shared" si="39"/>
        <v>7186835.8200000012</v>
      </c>
      <c r="O515" s="298">
        <f t="shared" si="39"/>
        <v>1367015335.02</v>
      </c>
    </row>
    <row r="516" spans="1:16" x14ac:dyDescent="0.25">
      <c r="A516" s="285"/>
      <c r="B516" s="285"/>
      <c r="C516" s="337"/>
      <c r="D516" s="337"/>
      <c r="E516" s="337"/>
      <c r="F516" s="337"/>
      <c r="G516" s="337"/>
      <c r="H516" s="286"/>
      <c r="I516" s="287"/>
      <c r="J516" s="345"/>
      <c r="K516" s="345"/>
      <c r="L516" s="345"/>
      <c r="M516" s="346"/>
      <c r="N516" s="296"/>
      <c r="O516" s="213"/>
      <c r="P516" s="283"/>
    </row>
    <row r="517" spans="1:16" x14ac:dyDescent="0.25">
      <c r="A517" s="285"/>
      <c r="B517" s="285"/>
      <c r="C517" s="337"/>
      <c r="D517" s="337"/>
      <c r="E517" s="337"/>
      <c r="F517" s="337"/>
      <c r="G517" s="337"/>
      <c r="H517" s="286"/>
      <c r="I517" s="287"/>
      <c r="J517" s="297">
        <f t="shared" ref="J517:O517" si="40">J186-J515</f>
        <v>238362000</v>
      </c>
      <c r="K517" s="297">
        <f t="shared" si="40"/>
        <v>-43789000</v>
      </c>
      <c r="L517" s="297">
        <f t="shared" si="40"/>
        <v>198248000</v>
      </c>
      <c r="M517" s="297">
        <f t="shared" si="40"/>
        <v>80683782.679999828</v>
      </c>
      <c r="N517" s="303">
        <f t="shared" si="40"/>
        <v>-34699859.890000001</v>
      </c>
      <c r="O517" s="303">
        <f t="shared" si="40"/>
        <v>115383642.56999993</v>
      </c>
    </row>
    <row r="518" spans="1:16" x14ac:dyDescent="0.25">
      <c r="A518" s="72"/>
      <c r="B518" s="72"/>
      <c r="C518" s="347"/>
      <c r="D518" s="347"/>
      <c r="E518" s="347"/>
      <c r="F518" s="347"/>
      <c r="G518" s="348"/>
      <c r="H518" s="299"/>
    </row>
    <row r="519" spans="1:16" x14ac:dyDescent="0.25">
      <c r="A519" s="72"/>
      <c r="B519" s="72"/>
      <c r="C519" s="347"/>
      <c r="D519" s="347"/>
      <c r="E519" s="347"/>
      <c r="F519" s="347"/>
      <c r="G519" s="348"/>
      <c r="H519" s="299"/>
    </row>
    <row r="520" spans="1:16" x14ac:dyDescent="0.25">
      <c r="A520" s="72"/>
      <c r="B520" s="72"/>
      <c r="C520" s="347"/>
      <c r="D520" s="347"/>
      <c r="E520" s="347"/>
      <c r="F520" s="347"/>
      <c r="G520" s="348"/>
      <c r="H520" s="299"/>
    </row>
    <row r="521" spans="1:16" x14ac:dyDescent="0.25">
      <c r="A521" s="72"/>
      <c r="B521" s="72"/>
      <c r="C521" s="347"/>
      <c r="D521" s="347"/>
      <c r="E521" s="347"/>
      <c r="F521" s="347"/>
      <c r="G521" s="348"/>
      <c r="H521" s="299"/>
    </row>
    <row r="522" spans="1:16" x14ac:dyDescent="0.25">
      <c r="A522" s="72"/>
      <c r="B522" s="72"/>
      <c r="C522" s="347"/>
      <c r="D522" s="347"/>
      <c r="E522" s="347"/>
      <c r="F522" s="347"/>
      <c r="G522" s="348"/>
      <c r="H522" s="299"/>
      <c r="M522" s="356"/>
    </row>
    <row r="523" spans="1:16" x14ac:dyDescent="0.25">
      <c r="A523" s="72"/>
      <c r="B523" s="72"/>
      <c r="C523" s="347"/>
      <c r="D523" s="347"/>
      <c r="E523" s="347"/>
      <c r="F523" s="347"/>
      <c r="G523" s="348"/>
      <c r="H523" s="299"/>
      <c r="M523" s="356"/>
    </row>
    <row r="524" spans="1:16" x14ac:dyDescent="0.25">
      <c r="A524" s="72"/>
      <c r="B524" s="72"/>
      <c r="C524" s="347"/>
      <c r="D524" s="347"/>
      <c r="E524" s="347"/>
      <c r="F524" s="347"/>
      <c r="G524" s="348"/>
      <c r="H524" s="299"/>
    </row>
    <row r="525" spans="1:16" x14ac:dyDescent="0.25">
      <c r="A525" s="72"/>
      <c r="B525" s="72"/>
      <c r="C525" s="347"/>
      <c r="D525" s="347"/>
      <c r="E525" s="347"/>
      <c r="F525" s="347"/>
      <c r="G525" s="348"/>
      <c r="H525" s="299"/>
    </row>
  </sheetData>
  <phoneticPr fontId="15" type="noConversion"/>
  <pageMargins left="0.15748031496062992" right="0.35433070866141736" top="0.39370078740157483" bottom="0.39370078740157483" header="0.51181102362204722" footer="0.51181102362204722"/>
  <pageSetup paperSize="9" scale="58" orientation="portrait" horizontalDpi="300" verticalDpi="300" r:id="rId1"/>
  <headerFooter alignWithMargins="0"/>
  <rowBreaks count="1" manualBreakCount="1">
    <brk id="193" max="12"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Q158"/>
  <sheetViews>
    <sheetView workbookViewId="0">
      <selection activeCell="Q27" sqref="Q27:R27"/>
    </sheetView>
  </sheetViews>
  <sheetFormatPr defaultRowHeight="15" x14ac:dyDescent="0.25"/>
  <cols>
    <col min="1" max="1" width="9.140625" style="211"/>
    <col min="2" max="2" width="29.85546875" style="211" customWidth="1"/>
    <col min="3" max="3" width="11.42578125" style="237" bestFit="1" customWidth="1"/>
    <col min="4" max="4" width="20.42578125" style="306" hidden="1" customWidth="1"/>
    <col min="5" max="5" width="20.5703125" style="306" hidden="1" customWidth="1"/>
    <col min="6" max="6" width="15.7109375" style="381" hidden="1" customWidth="1"/>
    <col min="7" max="7" width="16" style="306" hidden="1" customWidth="1"/>
    <col min="8" max="8" width="15.42578125" style="211" hidden="1" customWidth="1"/>
    <col min="9" max="9" width="21.42578125" style="306" hidden="1" customWidth="1"/>
    <col min="10" max="10" width="22" style="306" hidden="1" customWidth="1"/>
    <col min="11" max="11" width="18.85546875" style="211" hidden="1" customWidth="1"/>
    <col min="12" max="12" width="22" style="306" hidden="1" customWidth="1"/>
    <col min="13" max="13" width="18.85546875" style="211" hidden="1" customWidth="1"/>
    <col min="14" max="14" width="18.85546875" style="306" customWidth="1"/>
    <col min="15" max="15" width="16.42578125" style="306" customWidth="1"/>
    <col min="16" max="16" width="16.7109375" style="306" customWidth="1"/>
    <col min="17" max="17" width="12.85546875" style="211" customWidth="1"/>
    <col min="18" max="18" width="13.85546875" style="211" bestFit="1" customWidth="1"/>
    <col min="19" max="19" width="15.42578125" style="211" customWidth="1"/>
    <col min="20" max="16384" width="9.140625" style="211"/>
  </cols>
  <sheetData>
    <row r="1" spans="1:16" x14ac:dyDescent="0.25">
      <c r="A1" s="357"/>
      <c r="B1" s="358"/>
      <c r="C1" s="359" t="s">
        <v>179</v>
      </c>
      <c r="D1" s="360" t="s">
        <v>943</v>
      </c>
      <c r="E1" s="326" t="s">
        <v>943</v>
      </c>
      <c r="F1" s="326" t="s">
        <v>180</v>
      </c>
      <c r="G1" s="326" t="s">
        <v>943</v>
      </c>
      <c r="I1" s="326" t="s">
        <v>943</v>
      </c>
      <c r="J1" s="326" t="s">
        <v>943</v>
      </c>
      <c r="K1" s="361" t="s">
        <v>529</v>
      </c>
      <c r="L1" s="326" t="s">
        <v>943</v>
      </c>
      <c r="M1" s="361"/>
      <c r="N1" s="326" t="s">
        <v>943</v>
      </c>
      <c r="O1" s="294" t="s">
        <v>194</v>
      </c>
      <c r="P1" s="294" t="s">
        <v>194</v>
      </c>
    </row>
    <row r="2" spans="1:16" ht="15.75" thickBot="1" x14ac:dyDescent="0.3">
      <c r="A2" s="362"/>
      <c r="B2" s="363"/>
      <c r="C2" s="364"/>
      <c r="D2" s="365" t="s">
        <v>91</v>
      </c>
      <c r="E2" s="366" t="s">
        <v>92</v>
      </c>
      <c r="F2" s="335" t="s">
        <v>92</v>
      </c>
      <c r="G2" s="335" t="s">
        <v>92</v>
      </c>
      <c r="I2" s="335" t="s">
        <v>92</v>
      </c>
      <c r="J2" s="335" t="s">
        <v>93</v>
      </c>
      <c r="K2" s="367" t="s">
        <v>693</v>
      </c>
      <c r="L2" s="335" t="s">
        <v>93</v>
      </c>
      <c r="M2" s="367"/>
      <c r="N2" s="335" t="s">
        <v>1050</v>
      </c>
      <c r="O2" s="327" t="s">
        <v>529</v>
      </c>
      <c r="P2" s="328" t="s">
        <v>943</v>
      </c>
    </row>
    <row r="3" spans="1:16" x14ac:dyDescent="0.25">
      <c r="A3" s="368" t="s">
        <v>94</v>
      </c>
      <c r="B3" s="368" t="s">
        <v>95</v>
      </c>
      <c r="C3" s="369"/>
      <c r="D3" s="370"/>
      <c r="E3" s="371"/>
      <c r="F3" s="372"/>
      <c r="G3" s="213"/>
      <c r="I3" s="213"/>
      <c r="J3" s="213"/>
      <c r="L3" s="213"/>
      <c r="O3" s="294" t="s">
        <v>195</v>
      </c>
      <c r="P3" s="294" t="s">
        <v>195</v>
      </c>
    </row>
    <row r="4" spans="1:16" x14ac:dyDescent="0.25">
      <c r="A4" s="214"/>
      <c r="B4" s="214" t="s">
        <v>96</v>
      </c>
      <c r="C4" s="225">
        <v>90216005</v>
      </c>
      <c r="D4" s="213">
        <v>10808220.630000001</v>
      </c>
      <c r="E4" s="212">
        <v>10900596.140000001</v>
      </c>
      <c r="F4" s="372">
        <f>G4-E4</f>
        <v>0</v>
      </c>
      <c r="G4" s="213">
        <v>10900596.140000001</v>
      </c>
      <c r="I4" s="213">
        <v>10900596.140000001</v>
      </c>
      <c r="J4" s="213">
        <v>10968650.869999999</v>
      </c>
      <c r="K4" s="213"/>
      <c r="L4" s="213">
        <v>10968650.869999999</v>
      </c>
      <c r="M4" s="213"/>
      <c r="N4" s="213">
        <f>O4+P4</f>
        <v>11155452.939999999</v>
      </c>
      <c r="O4" s="213"/>
      <c r="P4" s="213">
        <v>11155452.939999999</v>
      </c>
    </row>
    <row r="5" spans="1:16" x14ac:dyDescent="0.25">
      <c r="A5" s="214"/>
      <c r="B5" s="214"/>
      <c r="C5" s="225"/>
      <c r="D5" s="213"/>
      <c r="E5" s="212"/>
      <c r="F5" s="372"/>
      <c r="G5" s="213"/>
      <c r="I5" s="213"/>
      <c r="J5" s="213"/>
      <c r="K5" s="213"/>
      <c r="L5" s="213"/>
      <c r="M5" s="213"/>
      <c r="N5" s="213"/>
      <c r="O5" s="213"/>
      <c r="P5" s="213"/>
    </row>
    <row r="6" spans="1:16" x14ac:dyDescent="0.25">
      <c r="A6" s="238" t="s">
        <v>97</v>
      </c>
      <c r="B6" s="238" t="s">
        <v>593</v>
      </c>
      <c r="C6" s="225"/>
      <c r="D6" s="213"/>
      <c r="E6" s="212"/>
      <c r="F6" s="372"/>
      <c r="G6" s="213"/>
      <c r="I6" s="213"/>
      <c r="J6" s="213"/>
      <c r="K6" s="213"/>
      <c r="L6" s="213"/>
      <c r="M6" s="213"/>
      <c r="N6" s="213"/>
      <c r="O6" s="213"/>
      <c r="P6" s="213"/>
    </row>
    <row r="7" spans="1:16" x14ac:dyDescent="0.25">
      <c r="A7" s="214"/>
      <c r="B7" s="214" t="s">
        <v>98</v>
      </c>
      <c r="C7" s="225">
        <v>90219005</v>
      </c>
      <c r="D7" s="213">
        <v>0</v>
      </c>
      <c r="E7" s="212">
        <v>1326170103.3199999</v>
      </c>
      <c r="F7" s="372">
        <f>G7-E7</f>
        <v>0</v>
      </c>
      <c r="G7" s="213">
        <v>1326170103.3199999</v>
      </c>
      <c r="I7" s="213">
        <v>1326170103.3199999</v>
      </c>
      <c r="J7" s="213">
        <v>1326170103.3199999</v>
      </c>
      <c r="K7" s="213">
        <v>-1326170103.3199999</v>
      </c>
      <c r="L7" s="213">
        <f>J7+K7</f>
        <v>0</v>
      </c>
      <c r="M7" s="213"/>
      <c r="N7" s="213">
        <f>O7+P7</f>
        <v>347827216</v>
      </c>
      <c r="O7" s="213">
        <f>359565517+1578940-13317241</f>
        <v>347827216</v>
      </c>
      <c r="P7" s="213"/>
    </row>
    <row r="8" spans="1:16" x14ac:dyDescent="0.25">
      <c r="A8" s="214"/>
      <c r="B8" s="214"/>
      <c r="C8" s="225"/>
      <c r="D8" s="373">
        <f>SUM(D7:D7)</f>
        <v>0</v>
      </c>
      <c r="E8" s="374">
        <f>SUM(E7:E7)</f>
        <v>1326170103.3199999</v>
      </c>
      <c r="F8" s="373">
        <f>SUM(F7:F7)</f>
        <v>0</v>
      </c>
      <c r="G8" s="373">
        <f>SUM(G7:G7)</f>
        <v>1326170103.3199999</v>
      </c>
      <c r="I8" s="373">
        <f t="shared" ref="I8:N8" si="0">SUM(I7:I7)</f>
        <v>1326170103.3199999</v>
      </c>
      <c r="J8" s="373">
        <f t="shared" si="0"/>
        <v>1326170103.3199999</v>
      </c>
      <c r="K8" s="373">
        <f t="shared" si="0"/>
        <v>-1326170103.3199999</v>
      </c>
      <c r="L8" s="373">
        <f t="shared" si="0"/>
        <v>0</v>
      </c>
      <c r="M8" s="373">
        <f t="shared" si="0"/>
        <v>0</v>
      </c>
      <c r="N8" s="373">
        <f t="shared" si="0"/>
        <v>347827216</v>
      </c>
      <c r="O8" s="213"/>
      <c r="P8" s="213"/>
    </row>
    <row r="9" spans="1:16" x14ac:dyDescent="0.25">
      <c r="A9" s="214"/>
      <c r="B9" s="214"/>
      <c r="C9" s="225"/>
      <c r="D9" s="213"/>
      <c r="E9" s="212"/>
      <c r="F9" s="372"/>
      <c r="G9" s="213"/>
      <c r="I9" s="213"/>
      <c r="J9" s="213"/>
      <c r="K9" s="213"/>
      <c r="L9" s="213"/>
      <c r="M9" s="213"/>
      <c r="N9" s="213"/>
      <c r="O9" s="213"/>
      <c r="P9" s="213"/>
    </row>
    <row r="10" spans="1:16" x14ac:dyDescent="0.25">
      <c r="A10" s="214"/>
      <c r="B10" s="214" t="s">
        <v>99</v>
      </c>
      <c r="C10" s="225"/>
      <c r="D10" s="213"/>
      <c r="E10" s="212"/>
      <c r="F10" s="372"/>
      <c r="G10" s="213"/>
      <c r="I10" s="213"/>
      <c r="J10" s="213"/>
      <c r="K10" s="213"/>
      <c r="L10" s="213"/>
      <c r="M10" s="213"/>
      <c r="N10" s="213"/>
      <c r="O10" s="213"/>
      <c r="P10" s="213"/>
    </row>
    <row r="11" spans="1:16" x14ac:dyDescent="0.25">
      <c r="A11" s="214"/>
      <c r="B11" s="214" t="s">
        <v>100</v>
      </c>
      <c r="C11" s="225">
        <v>90164005</v>
      </c>
      <c r="D11" s="213">
        <v>-363483829.06999999</v>
      </c>
      <c r="E11" s="212">
        <v>-938631769.94000006</v>
      </c>
      <c r="F11" s="372">
        <f>G11-E11</f>
        <v>2004317075.02</v>
      </c>
      <c r="G11" s="213">
        <v>1065685305.08</v>
      </c>
      <c r="I11" s="213">
        <v>1321731123.24</v>
      </c>
      <c r="J11" s="213">
        <v>1311720720.3299999</v>
      </c>
      <c r="K11" s="213">
        <f>-14392221+1326170103.32-2391654+424950+484443</f>
        <v>1310295621.3199999</v>
      </c>
      <c r="L11" s="213">
        <f>J11+K11</f>
        <v>2622016341.6499996</v>
      </c>
      <c r="M11" s="213"/>
      <c r="N11" s="213">
        <f>O11+P11</f>
        <v>2167767972.8299999</v>
      </c>
      <c r="O11" s="213">
        <f>-348712636+13317241-3018047.07</f>
        <v>-338413442.06999999</v>
      </c>
      <c r="P11" s="213">
        <f>2490097897.9+16083517</f>
        <v>2506181414.9000001</v>
      </c>
    </row>
    <row r="12" spans="1:16" x14ac:dyDescent="0.25">
      <c r="A12" s="214"/>
      <c r="B12" s="214" t="s">
        <v>101</v>
      </c>
      <c r="C12" s="225" t="s">
        <v>39</v>
      </c>
      <c r="D12" s="213">
        <v>1037301751.79</v>
      </c>
      <c r="E12" s="212">
        <v>1883266280.6300001</v>
      </c>
      <c r="F12" s="372">
        <f>G12-E12</f>
        <v>-49100814.630000114</v>
      </c>
      <c r="G12" s="213">
        <v>1834165466</v>
      </c>
      <c r="I12" s="213">
        <f>1822733686+14832117-7</f>
        <v>1837565796</v>
      </c>
      <c r="J12" s="213">
        <f>2434804224-187639997+16084299-963</f>
        <v>2263247563</v>
      </c>
      <c r="K12" s="213">
        <f>-1794534+2391654+552265</f>
        <v>1149385</v>
      </c>
      <c r="L12" s="213">
        <f>J12+K12</f>
        <v>2264396948</v>
      </c>
      <c r="M12" s="213"/>
      <c r="N12" s="213">
        <f>O12+P12</f>
        <v>2328997394.3200002</v>
      </c>
      <c r="O12" s="213">
        <f>-26974054+3018046.31+10743671.99-21487343.98</f>
        <v>-34699679.68</v>
      </c>
      <c r="P12" s="213">
        <f>2530129646-186490612-181+20058221</f>
        <v>2363697074</v>
      </c>
    </row>
    <row r="13" spans="1:16" x14ac:dyDescent="0.25">
      <c r="A13" s="214"/>
      <c r="B13" s="214"/>
      <c r="C13" s="225"/>
      <c r="D13" s="373">
        <f>SUM(D11:D12)</f>
        <v>673817922.72000003</v>
      </c>
      <c r="E13" s="374">
        <f>SUM(E11:E12)</f>
        <v>944634510.69000006</v>
      </c>
      <c r="F13" s="373">
        <f>SUM(F11:F12)</f>
        <v>1955216260.3899999</v>
      </c>
      <c r="G13" s="373">
        <f>SUM(G11:G12)</f>
        <v>2899850771.0799999</v>
      </c>
      <c r="I13" s="373">
        <f t="shared" ref="I13:P13" si="1">SUM(I11:I12)</f>
        <v>3159296919.2399998</v>
      </c>
      <c r="J13" s="373">
        <f t="shared" si="1"/>
        <v>3574968283.3299999</v>
      </c>
      <c r="K13" s="373">
        <f t="shared" si="1"/>
        <v>1311445006.3199999</v>
      </c>
      <c r="L13" s="373">
        <f t="shared" si="1"/>
        <v>4886413289.6499996</v>
      </c>
      <c r="M13" s="373">
        <f t="shared" si="1"/>
        <v>0</v>
      </c>
      <c r="N13" s="373">
        <f t="shared" si="1"/>
        <v>4496765367.1499996</v>
      </c>
      <c r="O13" s="373">
        <f t="shared" si="1"/>
        <v>-373113121.75</v>
      </c>
      <c r="P13" s="373">
        <f t="shared" si="1"/>
        <v>4869878488.8999996</v>
      </c>
    </row>
    <row r="14" spans="1:16" x14ac:dyDescent="0.25">
      <c r="A14" s="214"/>
      <c r="B14" s="214"/>
      <c r="C14" s="225"/>
      <c r="D14" s="213"/>
      <c r="E14" s="212"/>
      <c r="F14" s="372"/>
      <c r="G14" s="213"/>
      <c r="I14" s="213"/>
      <c r="J14" s="213"/>
      <c r="K14" s="213"/>
      <c r="L14" s="213"/>
      <c r="M14" s="213"/>
      <c r="N14" s="213"/>
      <c r="O14" s="213"/>
      <c r="P14" s="213"/>
    </row>
    <row r="15" spans="1:16" x14ac:dyDescent="0.25">
      <c r="A15" s="238" t="s">
        <v>102</v>
      </c>
      <c r="B15" s="238" t="s">
        <v>396</v>
      </c>
      <c r="C15" s="225"/>
      <c r="D15" s="213"/>
      <c r="E15" s="212"/>
      <c r="F15" s="372"/>
      <c r="G15" s="213"/>
      <c r="I15" s="213"/>
      <c r="J15" s="213"/>
      <c r="K15" s="213"/>
      <c r="L15" s="213"/>
      <c r="M15" s="213"/>
      <c r="N15" s="213"/>
      <c r="O15" s="213"/>
      <c r="P15" s="213"/>
    </row>
    <row r="16" spans="1:16" x14ac:dyDescent="0.25">
      <c r="A16" s="214"/>
      <c r="B16" s="214" t="s">
        <v>103</v>
      </c>
      <c r="C16" s="225">
        <v>90504005</v>
      </c>
      <c r="D16" s="213">
        <v>93322840.810000002</v>
      </c>
      <c r="E16" s="212">
        <v>93322840.810000002</v>
      </c>
      <c r="F16" s="372">
        <f>G16-E16</f>
        <v>0</v>
      </c>
      <c r="G16" s="213">
        <v>93322840.810000002</v>
      </c>
      <c r="I16" s="213">
        <v>93322840.810000002</v>
      </c>
      <c r="J16" s="213">
        <v>50781994.810000002</v>
      </c>
      <c r="K16" s="213"/>
      <c r="L16" s="213">
        <v>50781994.810000002</v>
      </c>
      <c r="M16" s="213"/>
      <c r="N16" s="213">
        <f>O16+P16</f>
        <v>281059089.70999998</v>
      </c>
      <c r="O16" s="213"/>
      <c r="P16" s="213">
        <v>281059089.70999998</v>
      </c>
    </row>
    <row r="17" spans="1:16" x14ac:dyDescent="0.25">
      <c r="A17" s="214"/>
      <c r="B17" s="214" t="s">
        <v>1078</v>
      </c>
      <c r="C17" s="225">
        <v>90512005</v>
      </c>
      <c r="D17" s="213"/>
      <c r="E17" s="212"/>
      <c r="F17" s="372"/>
      <c r="G17" s="213"/>
      <c r="I17" s="213"/>
      <c r="J17" s="213"/>
      <c r="K17" s="213"/>
      <c r="L17" s="213"/>
      <c r="M17" s="213"/>
      <c r="N17" s="213">
        <f>O17+P17</f>
        <v>6566299.2199999997</v>
      </c>
      <c r="O17" s="213">
        <v>6566299.2199999997</v>
      </c>
      <c r="P17" s="213"/>
    </row>
    <row r="18" spans="1:16" x14ac:dyDescent="0.25">
      <c r="A18" s="214"/>
      <c r="B18" s="214"/>
      <c r="C18" s="225"/>
      <c r="D18" s="213"/>
      <c r="E18" s="212"/>
      <c r="F18" s="372"/>
      <c r="G18" s="213"/>
      <c r="I18" s="213"/>
      <c r="J18" s="213"/>
      <c r="K18" s="213"/>
      <c r="L18" s="213"/>
      <c r="M18" s="213"/>
      <c r="N18" s="354">
        <f>SUM(N16:N17)</f>
        <v>287625388.93000001</v>
      </c>
      <c r="O18" s="354">
        <f>SUM(O16:O17)</f>
        <v>6566299.2199999997</v>
      </c>
      <c r="P18" s="354">
        <f>SUM(P16:P17)</f>
        <v>281059089.70999998</v>
      </c>
    </row>
    <row r="19" spans="1:16" x14ac:dyDescent="0.25">
      <c r="A19" s="214"/>
      <c r="B19" s="214"/>
      <c r="C19" s="225"/>
      <c r="D19" s="213"/>
      <c r="E19" s="212"/>
      <c r="F19" s="372"/>
      <c r="G19" s="213"/>
      <c r="I19" s="213"/>
      <c r="J19" s="213"/>
      <c r="K19" s="213"/>
      <c r="L19" s="213"/>
      <c r="M19" s="213"/>
      <c r="N19" s="354"/>
      <c r="O19" s="213"/>
      <c r="P19" s="213"/>
    </row>
    <row r="20" spans="1:16" x14ac:dyDescent="0.25">
      <c r="A20" s="238" t="s">
        <v>104</v>
      </c>
      <c r="B20" s="238" t="s">
        <v>600</v>
      </c>
      <c r="C20" s="225"/>
      <c r="D20" s="213"/>
      <c r="E20" s="212"/>
      <c r="F20" s="372"/>
      <c r="G20" s="213"/>
      <c r="I20" s="213"/>
      <c r="J20" s="213"/>
      <c r="K20" s="213"/>
      <c r="L20" s="213"/>
      <c r="M20" s="213"/>
      <c r="N20" s="213"/>
      <c r="O20" s="213"/>
      <c r="P20" s="213"/>
    </row>
    <row r="21" spans="1:16" x14ac:dyDescent="0.25">
      <c r="A21" s="214"/>
      <c r="B21" s="214" t="s">
        <v>600</v>
      </c>
      <c r="C21" s="225">
        <v>90166011</v>
      </c>
      <c r="D21" s="213">
        <v>39182983.390000001</v>
      </c>
      <c r="E21" s="212">
        <v>46216749.060000002</v>
      </c>
      <c r="F21" s="372">
        <f>G21-E21</f>
        <v>0</v>
      </c>
      <c r="G21" s="213">
        <v>46216749.060000002</v>
      </c>
      <c r="I21" s="213">
        <v>46216749.060000002</v>
      </c>
      <c r="J21" s="213">
        <v>51836857.729999997</v>
      </c>
      <c r="K21" s="213"/>
      <c r="L21" s="213">
        <v>51836857.729999997</v>
      </c>
      <c r="M21" s="213"/>
      <c r="N21" s="213">
        <f>O21+P21</f>
        <v>57596426.710000001</v>
      </c>
      <c r="O21" s="213"/>
      <c r="P21" s="213">
        <v>57596426.710000001</v>
      </c>
    </row>
    <row r="22" spans="1:16" x14ac:dyDescent="0.25">
      <c r="A22" s="214"/>
      <c r="B22" s="214"/>
      <c r="C22" s="225"/>
      <c r="D22" s="213"/>
      <c r="E22" s="212"/>
      <c r="F22" s="372"/>
      <c r="G22" s="213"/>
      <c r="I22" s="213"/>
      <c r="J22" s="213"/>
      <c r="K22" s="213"/>
      <c r="L22" s="213"/>
      <c r="M22" s="213"/>
      <c r="N22" s="213"/>
      <c r="O22" s="213"/>
      <c r="P22" s="213"/>
    </row>
    <row r="23" spans="1:16" x14ac:dyDescent="0.25">
      <c r="A23" s="238" t="s">
        <v>105</v>
      </c>
      <c r="B23" s="238" t="s">
        <v>106</v>
      </c>
      <c r="C23" s="225"/>
      <c r="D23" s="213"/>
      <c r="E23" s="212"/>
      <c r="F23" s="372"/>
      <c r="G23" s="213"/>
      <c r="I23" s="213"/>
      <c r="J23" s="213"/>
      <c r="K23" s="213"/>
      <c r="L23" s="213"/>
      <c r="M23" s="213"/>
      <c r="N23" s="213"/>
      <c r="O23" s="213"/>
      <c r="P23" s="213"/>
    </row>
    <row r="24" spans="1:16" x14ac:dyDescent="0.25">
      <c r="A24" s="238"/>
      <c r="B24" s="238" t="s">
        <v>107</v>
      </c>
      <c r="C24" s="225"/>
      <c r="D24" s="213"/>
      <c r="E24" s="212"/>
      <c r="F24" s="372"/>
      <c r="G24" s="213"/>
      <c r="I24" s="213"/>
      <c r="J24" s="213"/>
      <c r="K24" s="213"/>
      <c r="L24" s="213"/>
      <c r="M24" s="213"/>
      <c r="N24" s="213"/>
      <c r="O24" s="213"/>
      <c r="P24" s="213"/>
    </row>
    <row r="25" spans="1:16" x14ac:dyDescent="0.25">
      <c r="A25" s="214"/>
      <c r="B25" s="214" t="s">
        <v>108</v>
      </c>
      <c r="C25" s="225" t="s">
        <v>272</v>
      </c>
      <c r="D25" s="213">
        <v>29765902.940000001</v>
      </c>
      <c r="E25" s="212">
        <v>39502659.619999997</v>
      </c>
      <c r="F25" s="372">
        <f>G25-E25</f>
        <v>0</v>
      </c>
      <c r="G25" s="213">
        <v>39502659.619999997</v>
      </c>
      <c r="I25" s="213">
        <v>39502659.619999997</v>
      </c>
      <c r="J25" s="213">
        <v>39527881.020000003</v>
      </c>
      <c r="K25" s="213"/>
      <c r="L25" s="213">
        <v>39527881.020000003</v>
      </c>
      <c r="M25" s="213"/>
      <c r="N25" s="213">
        <f>O25+P25</f>
        <v>109175561.76000001</v>
      </c>
      <c r="O25" s="213"/>
      <c r="P25" s="213">
        <v>109175561.76000001</v>
      </c>
    </row>
    <row r="26" spans="1:16" x14ac:dyDescent="0.25">
      <c r="A26" s="214"/>
      <c r="B26" s="214" t="s">
        <v>108</v>
      </c>
      <c r="C26" s="225" t="s">
        <v>109</v>
      </c>
      <c r="D26" s="213">
        <v>0</v>
      </c>
      <c r="E26" s="212">
        <v>-3839520.08</v>
      </c>
      <c r="F26" s="372">
        <f>G26-E26</f>
        <v>62851218.299999997</v>
      </c>
      <c r="G26" s="213">
        <v>59011698.219999999</v>
      </c>
      <c r="I26" s="213">
        <v>59011698.219999999</v>
      </c>
      <c r="J26" s="213">
        <v>46438785.759999998</v>
      </c>
      <c r="K26" s="213"/>
      <c r="L26" s="213">
        <v>46438785.759999998</v>
      </c>
      <c r="M26" s="213"/>
      <c r="N26" s="213">
        <f>O26+P26</f>
        <v>-39363887.049999997</v>
      </c>
      <c r="O26" s="213"/>
      <c r="P26" s="213">
        <v>-39363887.049999997</v>
      </c>
    </row>
    <row r="27" spans="1:16" x14ac:dyDescent="0.25">
      <c r="A27" s="214"/>
      <c r="B27" s="214" t="s">
        <v>110</v>
      </c>
      <c r="C27" s="225" t="s">
        <v>273</v>
      </c>
      <c r="D27" s="213">
        <v>2794307.21</v>
      </c>
      <c r="E27" s="212">
        <v>2504371.1</v>
      </c>
      <c r="F27" s="372">
        <f>G27-E27</f>
        <v>0</v>
      </c>
      <c r="G27" s="213">
        <v>2504371.1</v>
      </c>
      <c r="I27" s="213">
        <v>2504371.1</v>
      </c>
      <c r="J27" s="213">
        <v>2868282.28</v>
      </c>
      <c r="K27" s="213"/>
      <c r="L27" s="213">
        <v>2868282.28</v>
      </c>
      <c r="M27" s="213"/>
      <c r="N27" s="213">
        <f>O27+P27</f>
        <v>1030397.27</v>
      </c>
      <c r="O27" s="213"/>
      <c r="P27" s="213">
        <v>1030397.27</v>
      </c>
    </row>
    <row r="28" spans="1:16" x14ac:dyDescent="0.25">
      <c r="A28" s="214"/>
      <c r="B28" s="214"/>
      <c r="C28" s="225"/>
      <c r="D28" s="373">
        <f>SUM(D25:D27)</f>
        <v>32560210.150000002</v>
      </c>
      <c r="E28" s="374">
        <f>SUM(E25:E27)</f>
        <v>38167510.640000001</v>
      </c>
      <c r="F28" s="373">
        <f>SUM(F25:F27)</f>
        <v>62851218.299999997</v>
      </c>
      <c r="G28" s="373">
        <f>SUM(G25:G27)</f>
        <v>101018728.94</v>
      </c>
      <c r="I28" s="373">
        <f t="shared" ref="I28:P28" si="2">SUM(I25:I27)</f>
        <v>101018728.94</v>
      </c>
      <c r="J28" s="373">
        <f t="shared" si="2"/>
        <v>88834949.060000002</v>
      </c>
      <c r="K28" s="373">
        <f t="shared" si="2"/>
        <v>0</v>
      </c>
      <c r="L28" s="373">
        <f t="shared" si="2"/>
        <v>88834949.060000002</v>
      </c>
      <c r="M28" s="373">
        <f t="shared" si="2"/>
        <v>0</v>
      </c>
      <c r="N28" s="373">
        <f t="shared" si="2"/>
        <v>70842071.980000004</v>
      </c>
      <c r="O28" s="373">
        <f t="shared" si="2"/>
        <v>0</v>
      </c>
      <c r="P28" s="373">
        <f t="shared" si="2"/>
        <v>70842071.980000004</v>
      </c>
    </row>
    <row r="29" spans="1:16" x14ac:dyDescent="0.25">
      <c r="A29" s="214"/>
      <c r="B29" s="214"/>
      <c r="C29" s="225"/>
      <c r="D29" s="373"/>
      <c r="E29" s="374"/>
      <c r="F29" s="372"/>
      <c r="G29" s="213"/>
      <c r="I29" s="213"/>
      <c r="J29" s="213"/>
      <c r="K29" s="213"/>
      <c r="L29" s="213"/>
      <c r="M29" s="213"/>
      <c r="N29" s="213"/>
      <c r="O29" s="213"/>
      <c r="P29" s="213"/>
    </row>
    <row r="30" spans="1:16" x14ac:dyDescent="0.25">
      <c r="A30" s="214"/>
      <c r="B30" s="214" t="s">
        <v>328</v>
      </c>
      <c r="C30" s="225">
        <v>90166006</v>
      </c>
      <c r="D30" s="213">
        <v>7045834.8300000001</v>
      </c>
      <c r="E30" s="212">
        <v>14579744.51</v>
      </c>
      <c r="F30" s="372">
        <f>G30-E30</f>
        <v>0</v>
      </c>
      <c r="G30" s="213">
        <v>14579744.51</v>
      </c>
      <c r="I30" s="213">
        <v>14579744.51</v>
      </c>
      <c r="J30" s="213">
        <v>14372750.779999999</v>
      </c>
      <c r="K30" s="213"/>
      <c r="L30" s="213">
        <v>14372750.779999999</v>
      </c>
      <c r="M30" s="213"/>
      <c r="N30" s="213">
        <f>O30+P30</f>
        <v>15568870.789999999</v>
      </c>
      <c r="O30" s="213"/>
      <c r="P30" s="213">
        <v>15568870.789999999</v>
      </c>
    </row>
    <row r="31" spans="1:16" x14ac:dyDescent="0.25">
      <c r="A31" s="214"/>
      <c r="B31" s="238" t="s">
        <v>809</v>
      </c>
      <c r="C31" s="225"/>
      <c r="D31" s="213"/>
      <c r="E31" s="212"/>
      <c r="F31" s="372"/>
      <c r="G31" s="213"/>
      <c r="I31" s="213"/>
      <c r="J31" s="213"/>
      <c r="K31" s="213"/>
      <c r="L31" s="213"/>
      <c r="M31" s="213"/>
      <c r="N31" s="213"/>
      <c r="O31" s="213"/>
      <c r="P31" s="213"/>
    </row>
    <row r="32" spans="1:16" x14ac:dyDescent="0.25">
      <c r="A32" s="214"/>
      <c r="B32" s="214" t="s">
        <v>111</v>
      </c>
      <c r="C32" s="225">
        <v>90171011</v>
      </c>
      <c r="D32" s="213">
        <v>1063774.83</v>
      </c>
      <c r="E32" s="212">
        <v>252402.52</v>
      </c>
      <c r="F32" s="372">
        <f t="shared" ref="F32:F39" si="3">G32-E32</f>
        <v>0</v>
      </c>
      <c r="G32" s="213">
        <v>252402.52</v>
      </c>
      <c r="I32" s="213">
        <v>252402.52</v>
      </c>
      <c r="J32" s="213">
        <v>444651.03</v>
      </c>
      <c r="K32" s="213"/>
      <c r="L32" s="213">
        <v>444651.03</v>
      </c>
      <c r="M32" s="213"/>
      <c r="N32" s="213">
        <f t="shared" ref="N32:N39" si="4">O32+P32</f>
        <v>201243.27</v>
      </c>
      <c r="O32" s="213"/>
      <c r="P32" s="213">
        <v>201243.27</v>
      </c>
    </row>
    <row r="33" spans="1:16" x14ac:dyDescent="0.25">
      <c r="A33" s="214"/>
      <c r="B33" s="214" t="s">
        <v>217</v>
      </c>
      <c r="C33" s="225">
        <v>90171016</v>
      </c>
      <c r="D33" s="213"/>
      <c r="E33" s="212"/>
      <c r="F33" s="372"/>
      <c r="G33" s="213"/>
      <c r="I33" s="213"/>
      <c r="J33" s="213"/>
      <c r="K33" s="213"/>
      <c r="L33" s="213"/>
      <c r="M33" s="213"/>
      <c r="N33" s="213">
        <f t="shared" si="4"/>
        <v>2085416.23</v>
      </c>
      <c r="O33" s="213"/>
      <c r="P33" s="213">
        <v>2085416.23</v>
      </c>
    </row>
    <row r="34" spans="1:16" x14ac:dyDescent="0.25">
      <c r="A34" s="214"/>
      <c r="B34" s="214" t="s">
        <v>112</v>
      </c>
      <c r="C34" s="225">
        <v>90171017</v>
      </c>
      <c r="D34" s="213">
        <v>0</v>
      </c>
      <c r="E34" s="212">
        <v>6609011.1399999997</v>
      </c>
      <c r="F34" s="372">
        <f t="shared" si="3"/>
        <v>0</v>
      </c>
      <c r="G34" s="213">
        <v>6609011.1399999997</v>
      </c>
      <c r="I34" s="213">
        <v>6609011.1399999997</v>
      </c>
      <c r="J34" s="213">
        <v>2575891</v>
      </c>
      <c r="K34" s="213"/>
      <c r="L34" s="213">
        <v>2575891</v>
      </c>
      <c r="M34" s="213"/>
      <c r="N34" s="213">
        <f t="shared" si="4"/>
        <v>2559186.08</v>
      </c>
      <c r="O34" s="213"/>
      <c r="P34" s="213">
        <v>2559186.08</v>
      </c>
    </row>
    <row r="35" spans="1:16" x14ac:dyDescent="0.25">
      <c r="A35" s="214"/>
      <c r="B35" s="214" t="s">
        <v>113</v>
      </c>
      <c r="C35" s="225">
        <v>90171033</v>
      </c>
      <c r="D35" s="213"/>
      <c r="E35" s="212">
        <v>227563</v>
      </c>
      <c r="F35" s="372">
        <f t="shared" si="3"/>
        <v>54835.5</v>
      </c>
      <c r="G35" s="213">
        <v>282398.5</v>
      </c>
      <c r="I35" s="213">
        <v>282398.5</v>
      </c>
      <c r="J35" s="213">
        <v>421794.5</v>
      </c>
      <c r="K35" s="213"/>
      <c r="L35" s="213">
        <v>421794.5</v>
      </c>
      <c r="M35" s="213"/>
      <c r="N35" s="213">
        <f t="shared" si="4"/>
        <v>258904</v>
      </c>
      <c r="O35" s="213"/>
      <c r="P35" s="213">
        <v>258904</v>
      </c>
    </row>
    <row r="36" spans="1:16" x14ac:dyDescent="0.25">
      <c r="A36" s="214"/>
      <c r="B36" s="214" t="s">
        <v>114</v>
      </c>
      <c r="C36" s="225">
        <v>90171025</v>
      </c>
      <c r="D36" s="213"/>
      <c r="E36" s="212">
        <v>93838.15</v>
      </c>
      <c r="F36" s="372">
        <f t="shared" si="3"/>
        <v>0</v>
      </c>
      <c r="G36" s="213">
        <v>93838.15</v>
      </c>
      <c r="I36" s="213">
        <v>93838.15</v>
      </c>
      <c r="J36" s="213">
        <v>0</v>
      </c>
      <c r="K36" s="213"/>
      <c r="L36" s="213">
        <v>0</v>
      </c>
      <c r="M36" s="213"/>
      <c r="N36" s="213">
        <f t="shared" si="4"/>
        <v>5488.76</v>
      </c>
      <c r="O36" s="213"/>
      <c r="P36" s="213">
        <v>5488.76</v>
      </c>
    </row>
    <row r="37" spans="1:16" x14ac:dyDescent="0.25">
      <c r="A37" s="214"/>
      <c r="B37" s="214" t="s">
        <v>1080</v>
      </c>
      <c r="C37" s="225">
        <v>90166007</v>
      </c>
      <c r="D37" s="213">
        <v>955</v>
      </c>
      <c r="E37" s="212">
        <v>955</v>
      </c>
      <c r="F37" s="372">
        <f t="shared" si="3"/>
        <v>0</v>
      </c>
      <c r="G37" s="213">
        <v>955</v>
      </c>
      <c r="I37" s="213">
        <v>955</v>
      </c>
      <c r="J37" s="213">
        <v>955</v>
      </c>
      <c r="K37" s="213"/>
      <c r="L37" s="213">
        <v>955</v>
      </c>
      <c r="M37" s="213"/>
      <c r="N37" s="213">
        <f t="shared" si="4"/>
        <v>3869958.96</v>
      </c>
      <c r="O37" s="213">
        <f>3018047+851911.96</f>
        <v>3869958.96</v>
      </c>
      <c r="P37" s="213"/>
    </row>
    <row r="38" spans="1:16" x14ac:dyDescent="0.25">
      <c r="A38" s="214"/>
      <c r="B38" s="214" t="s">
        <v>802</v>
      </c>
      <c r="C38" s="225">
        <v>90166015</v>
      </c>
      <c r="D38" s="213"/>
      <c r="E38" s="212"/>
      <c r="F38" s="372"/>
      <c r="G38" s="213"/>
      <c r="I38" s="213"/>
      <c r="J38" s="213">
        <v>830561.38</v>
      </c>
      <c r="K38" s="213"/>
      <c r="L38" s="213">
        <v>830561.38</v>
      </c>
      <c r="M38" s="213"/>
      <c r="N38" s="213">
        <f t="shared" si="4"/>
        <v>598819.07999999996</v>
      </c>
      <c r="O38" s="213"/>
      <c r="P38" s="213">
        <v>598819.07999999996</v>
      </c>
    </row>
    <row r="39" spans="1:16" x14ac:dyDescent="0.25">
      <c r="A39" s="214"/>
      <c r="B39" s="214" t="s">
        <v>115</v>
      </c>
      <c r="C39" s="225">
        <v>90171030</v>
      </c>
      <c r="D39" s="213">
        <v>0</v>
      </c>
      <c r="E39" s="212">
        <v>66753</v>
      </c>
      <c r="F39" s="372">
        <f t="shared" si="3"/>
        <v>0</v>
      </c>
      <c r="G39" s="213">
        <v>66753</v>
      </c>
      <c r="I39" s="213">
        <v>66753</v>
      </c>
      <c r="J39" s="213">
        <v>74581.740000000005</v>
      </c>
      <c r="K39" s="213"/>
      <c r="L39" s="213">
        <v>74581.740000000005</v>
      </c>
      <c r="M39" s="213"/>
      <c r="N39" s="213">
        <f t="shared" si="4"/>
        <v>115967.2</v>
      </c>
      <c r="O39" s="213"/>
      <c r="P39" s="213">
        <v>115967.2</v>
      </c>
    </row>
    <row r="40" spans="1:16" x14ac:dyDescent="0.25">
      <c r="A40" s="214"/>
      <c r="B40" s="214"/>
      <c r="C40" s="225"/>
      <c r="D40" s="373">
        <f>SUM(D32:D39)</f>
        <v>1064729.83</v>
      </c>
      <c r="E40" s="374">
        <f>SUM(E32:E39)</f>
        <v>7250522.8099999996</v>
      </c>
      <c r="F40" s="373">
        <f>SUM(F32:F39)</f>
        <v>54835.5</v>
      </c>
      <c r="G40" s="373">
        <f>SUM(G32:G39)</f>
        <v>7305358.3099999996</v>
      </c>
      <c r="I40" s="373">
        <f t="shared" ref="I40:P40" si="5">SUM(I32:I39)</f>
        <v>7305358.3099999996</v>
      </c>
      <c r="J40" s="373">
        <f t="shared" si="5"/>
        <v>4348434.6500000004</v>
      </c>
      <c r="K40" s="373">
        <f t="shared" si="5"/>
        <v>0</v>
      </c>
      <c r="L40" s="373">
        <f t="shared" si="5"/>
        <v>4348434.6500000004</v>
      </c>
      <c r="M40" s="373">
        <f t="shared" si="5"/>
        <v>0</v>
      </c>
      <c r="N40" s="373">
        <f t="shared" si="5"/>
        <v>9694983.5800000001</v>
      </c>
      <c r="O40" s="373">
        <f t="shared" si="5"/>
        <v>3869958.96</v>
      </c>
      <c r="P40" s="373">
        <f t="shared" si="5"/>
        <v>5825024.6200000001</v>
      </c>
    </row>
    <row r="41" spans="1:16" x14ac:dyDescent="0.25">
      <c r="A41" s="214"/>
      <c r="B41" s="214" t="s">
        <v>116</v>
      </c>
      <c r="C41" s="225">
        <v>90166016</v>
      </c>
      <c r="D41" s="213">
        <v>195930.82</v>
      </c>
      <c r="E41" s="212">
        <v>261795.36</v>
      </c>
      <c r="F41" s="372">
        <f>G41-E41</f>
        <v>0</v>
      </c>
      <c r="G41" s="213">
        <v>261795.36</v>
      </c>
      <c r="I41" s="213">
        <v>261795.36</v>
      </c>
      <c r="J41" s="213">
        <v>261795.36</v>
      </c>
      <c r="K41" s="213"/>
      <c r="L41" s="213">
        <v>261795.36</v>
      </c>
      <c r="M41" s="213"/>
      <c r="N41" s="213">
        <f>O41+P41</f>
        <v>261795.36</v>
      </c>
      <c r="O41" s="213"/>
      <c r="P41" s="213">
        <v>261795.36</v>
      </c>
    </row>
    <row r="42" spans="1:16" x14ac:dyDescent="0.25">
      <c r="A42" s="214"/>
      <c r="B42" s="214" t="s">
        <v>814</v>
      </c>
      <c r="C42" s="225">
        <v>90022004</v>
      </c>
      <c r="D42" s="213">
        <v>26596035</v>
      </c>
      <c r="E42" s="212">
        <v>31127200</v>
      </c>
      <c r="F42" s="372">
        <f>G42-E42</f>
        <v>0</v>
      </c>
      <c r="G42" s="213">
        <v>31127200</v>
      </c>
      <c r="I42" s="213">
        <v>31127200</v>
      </c>
      <c r="J42" s="213">
        <v>41727104</v>
      </c>
      <c r="K42" s="213"/>
      <c r="L42" s="213">
        <v>41727104</v>
      </c>
      <c r="M42" s="213"/>
      <c r="N42" s="213">
        <f>O42+P42</f>
        <v>40099206</v>
      </c>
      <c r="O42" s="213"/>
      <c r="P42" s="213">
        <v>40099206</v>
      </c>
    </row>
    <row r="43" spans="1:16" x14ac:dyDescent="0.25">
      <c r="A43" s="214"/>
      <c r="B43" s="214" t="s">
        <v>1079</v>
      </c>
      <c r="C43" s="225">
        <v>90021004</v>
      </c>
      <c r="D43" s="213"/>
      <c r="E43" s="212"/>
      <c r="F43" s="372"/>
      <c r="G43" s="213"/>
      <c r="I43" s="213"/>
      <c r="J43" s="213"/>
      <c r="K43" s="213"/>
      <c r="L43" s="213"/>
      <c r="M43" s="213"/>
      <c r="N43" s="213">
        <f>O43+P43</f>
        <v>7384390</v>
      </c>
      <c r="O43" s="213">
        <v>-9978120</v>
      </c>
      <c r="P43" s="213">
        <v>17362510</v>
      </c>
    </row>
    <row r="44" spans="1:16" x14ac:dyDescent="0.25">
      <c r="A44" s="214"/>
      <c r="B44" s="214" t="s">
        <v>117</v>
      </c>
      <c r="C44" s="225">
        <v>90166014</v>
      </c>
      <c r="D44" s="213">
        <v>26581435.129999999</v>
      </c>
      <c r="E44" s="212">
        <v>46217792.240000002</v>
      </c>
      <c r="F44" s="372">
        <f>G44-E44</f>
        <v>0</v>
      </c>
      <c r="G44" s="213">
        <v>46217792.240000002</v>
      </c>
      <c r="I44" s="213">
        <v>46217792.240000002</v>
      </c>
      <c r="J44" s="213">
        <v>60204229.609999999</v>
      </c>
      <c r="K44" s="213"/>
      <c r="L44" s="213">
        <v>60204229.609999999</v>
      </c>
      <c r="M44" s="213"/>
      <c r="N44" s="213">
        <f>O44+P44</f>
        <v>36457268.020000003</v>
      </c>
      <c r="O44" s="213"/>
      <c r="P44" s="213">
        <v>36457268.020000003</v>
      </c>
    </row>
    <row r="45" spans="1:16" x14ac:dyDescent="0.25">
      <c r="A45" s="214"/>
      <c r="B45" s="214"/>
      <c r="C45" s="225"/>
      <c r="D45" s="373">
        <f>D28+D30+D40+D41+D42+D44</f>
        <v>94044175.75999999</v>
      </c>
      <c r="E45" s="374">
        <f>E28+E30+E40+E41+E42+E44</f>
        <v>137604565.56</v>
      </c>
      <c r="F45" s="373">
        <f>F28+F30+F40+F41+F42+F44</f>
        <v>62906053.799999997</v>
      </c>
      <c r="G45" s="373">
        <f>G28+G30+G40+G41+G42+G44</f>
        <v>200510619.36000001</v>
      </c>
      <c r="I45" s="373">
        <f>I28+I30+I40+I41+I42+I44</f>
        <v>200510619.36000001</v>
      </c>
      <c r="J45" s="373">
        <f>J28+J30+J40+J41+J42+J44</f>
        <v>209749263.46000004</v>
      </c>
      <c r="K45" s="373">
        <f>K28+K30+K40+K41+K42+K44</f>
        <v>0</v>
      </c>
      <c r="L45" s="373">
        <f>L28+L30+L40+L41+L42+L44</f>
        <v>209749263.46000004</v>
      </c>
      <c r="M45" s="373">
        <f>M28+M30+M40+M41+M42+M44</f>
        <v>0</v>
      </c>
      <c r="N45" s="373">
        <f>N28+N30+N40+N41+N42+N43+N44</f>
        <v>180308585.73000002</v>
      </c>
      <c r="O45" s="373">
        <f>O28+O30+O40+O41+O42+O43+O44</f>
        <v>-6108161.04</v>
      </c>
      <c r="P45" s="373">
        <f>P28+P30+P40+P41+P42+P43+P44</f>
        <v>186416746.77000001</v>
      </c>
    </row>
    <row r="46" spans="1:16" x14ac:dyDescent="0.25">
      <c r="A46" s="214"/>
      <c r="B46" s="214"/>
      <c r="C46" s="225"/>
      <c r="D46" s="213"/>
      <c r="E46" s="212"/>
      <c r="F46" s="372"/>
      <c r="G46" s="213"/>
      <c r="I46" s="213"/>
      <c r="J46" s="213"/>
      <c r="K46" s="213"/>
      <c r="L46" s="213"/>
      <c r="M46" s="213"/>
      <c r="N46" s="213"/>
      <c r="O46" s="213"/>
      <c r="P46" s="213"/>
    </row>
    <row r="47" spans="1:16" x14ac:dyDescent="0.25">
      <c r="A47" s="238" t="s">
        <v>118</v>
      </c>
      <c r="B47" s="238" t="s">
        <v>119</v>
      </c>
      <c r="C47" s="225"/>
      <c r="D47" s="213"/>
      <c r="E47" s="212"/>
      <c r="F47" s="372"/>
      <c r="G47" s="213"/>
      <c r="I47" s="213"/>
      <c r="J47" s="213"/>
      <c r="K47" s="213"/>
      <c r="L47" s="213"/>
      <c r="M47" s="213"/>
      <c r="N47" s="213"/>
      <c r="O47" s="213"/>
      <c r="P47" s="213"/>
    </row>
    <row r="48" spans="1:16" x14ac:dyDescent="0.25">
      <c r="A48" s="238"/>
      <c r="B48" s="375" t="s">
        <v>791</v>
      </c>
      <c r="C48" s="225">
        <v>90089004</v>
      </c>
      <c r="D48" s="213"/>
      <c r="E48" s="212"/>
      <c r="F48" s="372"/>
      <c r="G48" s="213"/>
      <c r="I48" s="213"/>
      <c r="J48" s="213">
        <v>0</v>
      </c>
      <c r="K48" s="213"/>
      <c r="L48" s="213">
        <v>0</v>
      </c>
      <c r="M48" s="213"/>
      <c r="N48" s="213">
        <f t="shared" ref="N48:N60" si="6">O48+P48</f>
        <v>970098</v>
      </c>
      <c r="O48" s="376"/>
      <c r="P48" s="213">
        <v>970098</v>
      </c>
    </row>
    <row r="49" spans="1:17" x14ac:dyDescent="0.25">
      <c r="A49" s="238"/>
      <c r="B49" s="239" t="s">
        <v>215</v>
      </c>
      <c r="C49" s="225">
        <v>90088004</v>
      </c>
      <c r="D49" s="213"/>
      <c r="E49" s="212"/>
      <c r="F49" s="372"/>
      <c r="G49" s="213"/>
      <c r="I49" s="213"/>
      <c r="J49" s="213"/>
      <c r="K49" s="213"/>
      <c r="L49" s="213">
        <v>0</v>
      </c>
      <c r="M49" s="213"/>
      <c r="N49" s="213">
        <f t="shared" si="6"/>
        <v>25000000</v>
      </c>
      <c r="O49" s="376"/>
      <c r="P49" s="213">
        <v>25000000</v>
      </c>
    </row>
    <row r="50" spans="1:17" x14ac:dyDescent="0.25">
      <c r="A50" s="238"/>
      <c r="B50" s="239" t="s">
        <v>216</v>
      </c>
      <c r="C50" s="225">
        <v>90090004</v>
      </c>
      <c r="D50" s="213"/>
      <c r="E50" s="212"/>
      <c r="F50" s="372"/>
      <c r="G50" s="213"/>
      <c r="I50" s="213"/>
      <c r="J50" s="213"/>
      <c r="K50" s="213"/>
      <c r="L50" s="213">
        <v>0</v>
      </c>
      <c r="M50" s="213"/>
      <c r="N50" s="213">
        <f t="shared" si="6"/>
        <v>2605292.38</v>
      </c>
      <c r="O50" s="307"/>
      <c r="P50" s="213">
        <v>2605292.38</v>
      </c>
    </row>
    <row r="51" spans="1:17" ht="12.75" customHeight="1" x14ac:dyDescent="0.25">
      <c r="A51" s="214"/>
      <c r="B51" s="240" t="s">
        <v>331</v>
      </c>
      <c r="C51" s="225">
        <v>90091004</v>
      </c>
      <c r="D51" s="213">
        <v>953926.67</v>
      </c>
      <c r="E51" s="212">
        <v>953926.67</v>
      </c>
      <c r="F51" s="372">
        <f t="shared" ref="F51:F60" si="7">G51-E51</f>
        <v>0</v>
      </c>
      <c r="G51" s="213">
        <v>953926.67</v>
      </c>
      <c r="I51" s="213">
        <v>953926.67</v>
      </c>
      <c r="J51" s="213">
        <v>953926.67</v>
      </c>
      <c r="K51" s="213"/>
      <c r="L51" s="213">
        <v>953926.67</v>
      </c>
      <c r="M51" s="213"/>
      <c r="N51" s="213">
        <f t="shared" si="6"/>
        <v>953926.67</v>
      </c>
      <c r="O51" s="307"/>
      <c r="P51" s="213">
        <v>953926.67</v>
      </c>
    </row>
    <row r="52" spans="1:17" ht="12.75" customHeight="1" x14ac:dyDescent="0.25">
      <c r="A52" s="214"/>
      <c r="B52" s="240" t="s">
        <v>332</v>
      </c>
      <c r="C52" s="225">
        <v>90092004</v>
      </c>
      <c r="D52" s="213">
        <v>649873.88</v>
      </c>
      <c r="E52" s="212">
        <v>649873.88</v>
      </c>
      <c r="F52" s="372">
        <f t="shared" si="7"/>
        <v>0</v>
      </c>
      <c r="G52" s="213">
        <v>649873.88</v>
      </c>
      <c r="I52" s="213">
        <v>649873.88</v>
      </c>
      <c r="J52" s="213">
        <v>649873.88</v>
      </c>
      <c r="K52" s="213"/>
      <c r="L52" s="213">
        <v>649873.88</v>
      </c>
      <c r="M52" s="213"/>
      <c r="N52" s="213">
        <f t="shared" si="6"/>
        <v>649873.88</v>
      </c>
      <c r="O52" s="376"/>
      <c r="P52" s="213">
        <v>649873.88</v>
      </c>
      <c r="Q52" s="81"/>
    </row>
    <row r="53" spans="1:17" ht="12.75" customHeight="1" x14ac:dyDescent="0.25">
      <c r="A53" s="214"/>
      <c r="B53" s="240" t="s">
        <v>329</v>
      </c>
      <c r="C53" s="225">
        <v>90096004</v>
      </c>
      <c r="D53" s="213">
        <v>54714.19</v>
      </c>
      <c r="E53" s="212">
        <v>54714.19</v>
      </c>
      <c r="F53" s="372">
        <f t="shared" si="7"/>
        <v>0</v>
      </c>
      <c r="G53" s="213">
        <v>54714.19</v>
      </c>
      <c r="I53" s="213">
        <v>54714.19</v>
      </c>
      <c r="J53" s="213">
        <v>54714.19</v>
      </c>
      <c r="K53" s="213"/>
      <c r="L53" s="213">
        <v>54714.19</v>
      </c>
      <c r="M53" s="213"/>
      <c r="N53" s="213">
        <f t="shared" si="6"/>
        <v>54714.19</v>
      </c>
      <c r="O53" s="376"/>
      <c r="P53" s="213">
        <v>54714.19</v>
      </c>
      <c r="Q53" s="81"/>
    </row>
    <row r="54" spans="1:17" ht="12.75" customHeight="1" x14ac:dyDescent="0.25">
      <c r="A54" s="214"/>
      <c r="B54" s="241" t="s">
        <v>919</v>
      </c>
      <c r="C54" s="225">
        <v>90097004</v>
      </c>
      <c r="D54" s="213">
        <v>2000000</v>
      </c>
      <c r="E54" s="212">
        <v>8621171.3000000007</v>
      </c>
      <c r="F54" s="372">
        <f t="shared" si="7"/>
        <v>0</v>
      </c>
      <c r="G54" s="213">
        <v>8621171.3000000007</v>
      </c>
      <c r="I54" s="213">
        <v>8621171.3000000007</v>
      </c>
      <c r="J54" s="213">
        <v>16191147.470000001</v>
      </c>
      <c r="K54" s="213"/>
      <c r="L54" s="213">
        <v>16191147.470000001</v>
      </c>
      <c r="M54" s="213"/>
      <c r="N54" s="213">
        <f t="shared" si="6"/>
        <v>0</v>
      </c>
      <c r="O54" s="213"/>
      <c r="P54" s="213">
        <v>0</v>
      </c>
      <c r="Q54" s="81"/>
    </row>
    <row r="55" spans="1:17" ht="12.75" customHeight="1" x14ac:dyDescent="0.25">
      <c r="A55" s="214"/>
      <c r="B55" s="241" t="s">
        <v>885</v>
      </c>
      <c r="C55" s="225">
        <v>90098004</v>
      </c>
      <c r="D55" s="213">
        <v>11661507.16</v>
      </c>
      <c r="E55" s="212">
        <v>7058387.6100000003</v>
      </c>
      <c r="F55" s="372">
        <f t="shared" si="7"/>
        <v>0</v>
      </c>
      <c r="G55" s="213">
        <v>7058387.6100000003</v>
      </c>
      <c r="I55" s="213">
        <v>7058387.6100000003</v>
      </c>
      <c r="J55" s="213">
        <v>17447947.969999999</v>
      </c>
      <c r="K55" s="213"/>
      <c r="L55" s="213">
        <v>17447947.969999999</v>
      </c>
      <c r="M55" s="213"/>
      <c r="N55" s="213">
        <f t="shared" si="6"/>
        <v>8249412.2999999998</v>
      </c>
      <c r="O55" s="307"/>
      <c r="P55" s="213">
        <v>8249412.2999999998</v>
      </c>
    </row>
    <row r="56" spans="1:17" ht="12.75" customHeight="1" x14ac:dyDescent="0.25">
      <c r="A56" s="214"/>
      <c r="B56" s="240" t="s">
        <v>214</v>
      </c>
      <c r="C56" s="225">
        <v>90100004</v>
      </c>
      <c r="D56" s="213"/>
      <c r="E56" s="212"/>
      <c r="F56" s="372"/>
      <c r="G56" s="213"/>
      <c r="I56" s="213"/>
      <c r="J56" s="213"/>
      <c r="K56" s="213"/>
      <c r="L56" s="213">
        <v>0</v>
      </c>
      <c r="M56" s="213"/>
      <c r="N56" s="213">
        <f t="shared" si="6"/>
        <v>1296000</v>
      </c>
      <c r="O56" s="376"/>
      <c r="P56" s="213">
        <v>1296000</v>
      </c>
    </row>
    <row r="57" spans="1:17" ht="12.75" customHeight="1" x14ac:dyDescent="0.25">
      <c r="A57" s="214"/>
      <c r="B57" s="240" t="s">
        <v>334</v>
      </c>
      <c r="C57" s="225">
        <v>90102004</v>
      </c>
      <c r="D57" s="213">
        <v>0</v>
      </c>
      <c r="E57" s="212">
        <v>2949709.53</v>
      </c>
      <c r="F57" s="372">
        <f t="shared" si="7"/>
        <v>0</v>
      </c>
      <c r="G57" s="213">
        <v>2949709.53</v>
      </c>
      <c r="I57" s="213">
        <v>2949709.53</v>
      </c>
      <c r="J57" s="213">
        <v>2949709.53</v>
      </c>
      <c r="K57" s="213"/>
      <c r="L57" s="213">
        <v>2949709.53</v>
      </c>
      <c r="M57" s="213"/>
      <c r="N57" s="213">
        <f t="shared" si="6"/>
        <v>2949709.53</v>
      </c>
      <c r="O57" s="307"/>
      <c r="P57" s="213">
        <v>2949709.53</v>
      </c>
    </row>
    <row r="58" spans="1:17" ht="12.75" customHeight="1" x14ac:dyDescent="0.25">
      <c r="A58" s="214"/>
      <c r="B58" s="240" t="s">
        <v>333</v>
      </c>
      <c r="C58" s="225">
        <v>90103004</v>
      </c>
      <c r="D58" s="213">
        <v>31961061.59</v>
      </c>
      <c r="E58" s="212">
        <v>2225601.9700000002</v>
      </c>
      <c r="F58" s="372">
        <f t="shared" si="7"/>
        <v>0</v>
      </c>
      <c r="G58" s="213">
        <v>2225601.9700000002</v>
      </c>
      <c r="I58" s="213">
        <v>2225601.9700000002</v>
      </c>
      <c r="J58" s="213">
        <v>11528189.529999999</v>
      </c>
      <c r="K58" s="213"/>
      <c r="L58" s="213">
        <v>11528189.529999999</v>
      </c>
      <c r="M58" s="213"/>
      <c r="N58" s="213">
        <f t="shared" si="6"/>
        <v>5250000</v>
      </c>
      <c r="O58" s="307"/>
      <c r="P58" s="213">
        <v>5250000</v>
      </c>
    </row>
    <row r="59" spans="1:17" ht="12.75" customHeight="1" x14ac:dyDescent="0.25">
      <c r="A59" s="214"/>
      <c r="B59" s="240" t="s">
        <v>330</v>
      </c>
      <c r="C59" s="225">
        <v>90105004</v>
      </c>
      <c r="D59" s="213">
        <v>4397233.1500000004</v>
      </c>
      <c r="E59" s="212">
        <v>1697283.66</v>
      </c>
      <c r="F59" s="372">
        <f t="shared" si="7"/>
        <v>0</v>
      </c>
      <c r="G59" s="213">
        <v>1697283.66</v>
      </c>
      <c r="I59" s="213">
        <v>1697283.66</v>
      </c>
      <c r="J59" s="213">
        <v>318348.76</v>
      </c>
      <c r="K59" s="213"/>
      <c r="L59" s="213">
        <v>318348.76</v>
      </c>
      <c r="M59" s="213"/>
      <c r="N59" s="213">
        <f t="shared" si="6"/>
        <v>333424.02</v>
      </c>
      <c r="O59" s="376"/>
      <c r="P59" s="213">
        <v>333424.02</v>
      </c>
    </row>
    <row r="60" spans="1:17" ht="12.75" customHeight="1" x14ac:dyDescent="0.25">
      <c r="A60" s="214"/>
      <c r="B60" s="240" t="s">
        <v>815</v>
      </c>
      <c r="C60" s="225">
        <v>90106004</v>
      </c>
      <c r="D60" s="213">
        <v>60895102.829999998</v>
      </c>
      <c r="E60" s="212">
        <v>35906043.149999999</v>
      </c>
      <c r="F60" s="372">
        <f t="shared" si="7"/>
        <v>0</v>
      </c>
      <c r="G60" s="213">
        <v>35906043.149999999</v>
      </c>
      <c r="I60" s="213">
        <v>35906043.149999999</v>
      </c>
      <c r="J60" s="213">
        <v>28927683.469999999</v>
      </c>
      <c r="K60" s="213"/>
      <c r="L60" s="213">
        <v>28927683.469999999</v>
      </c>
      <c r="M60" s="213"/>
      <c r="N60" s="213">
        <f t="shared" si="6"/>
        <v>118520005.75</v>
      </c>
      <c r="O60" s="376"/>
      <c r="P60" s="213">
        <v>118520005.75</v>
      </c>
    </row>
    <row r="61" spans="1:17" x14ac:dyDescent="0.25">
      <c r="A61" s="214"/>
      <c r="B61" s="214"/>
      <c r="C61" s="225"/>
      <c r="D61" s="373">
        <f>SUM(D51:D60)</f>
        <v>112573419.47</v>
      </c>
      <c r="E61" s="374">
        <f>SUM(E51:E60)</f>
        <v>60116711.960000001</v>
      </c>
      <c r="F61" s="373">
        <f>SUM(F51:F60)</f>
        <v>0</v>
      </c>
      <c r="G61" s="373">
        <f>SUM(G51:G60)</f>
        <v>60116711.960000001</v>
      </c>
      <c r="I61" s="373">
        <f>SUM(I51:I60)</f>
        <v>60116711.960000001</v>
      </c>
      <c r="J61" s="373">
        <f>SUM(J51:J60)</f>
        <v>79021541.469999999</v>
      </c>
      <c r="K61" s="373">
        <f>SUM(K51:K60)</f>
        <v>0</v>
      </c>
      <c r="L61" s="373">
        <f>SUM(L51:L60)</f>
        <v>79021541.469999999</v>
      </c>
      <c r="M61" s="373">
        <f>SUM(M51:M60)</f>
        <v>0</v>
      </c>
      <c r="N61" s="373">
        <f>SUM(N48:N60)</f>
        <v>166832456.72</v>
      </c>
      <c r="O61" s="373">
        <f>SUM(O48:O60)</f>
        <v>0</v>
      </c>
      <c r="P61" s="373">
        <f>SUM(P48:P60)</f>
        <v>166832456.72</v>
      </c>
    </row>
    <row r="62" spans="1:17" x14ac:dyDescent="0.25">
      <c r="A62" s="214"/>
      <c r="B62" s="214"/>
      <c r="C62" s="225"/>
      <c r="D62" s="213"/>
      <c r="E62" s="212"/>
      <c r="F62" s="372"/>
      <c r="G62" s="213"/>
      <c r="I62" s="213"/>
      <c r="J62" s="213"/>
      <c r="K62" s="213"/>
      <c r="L62" s="213"/>
      <c r="M62" s="213"/>
      <c r="N62" s="213"/>
      <c r="O62" s="213"/>
      <c r="P62" s="213"/>
    </row>
    <row r="63" spans="1:17" x14ac:dyDescent="0.25">
      <c r="A63" s="214"/>
      <c r="B63" s="214"/>
      <c r="C63" s="225"/>
      <c r="D63" s="213"/>
      <c r="E63" s="212"/>
      <c r="F63" s="372"/>
      <c r="G63" s="213"/>
      <c r="I63" s="213"/>
      <c r="J63" s="213"/>
      <c r="K63" s="213"/>
      <c r="L63" s="213"/>
      <c r="M63" s="213"/>
      <c r="N63" s="213"/>
      <c r="O63" s="213"/>
      <c r="P63" s="213"/>
    </row>
    <row r="64" spans="1:17" x14ac:dyDescent="0.25">
      <c r="A64" s="238" t="s">
        <v>120</v>
      </c>
      <c r="B64" s="238" t="s">
        <v>121</v>
      </c>
      <c r="C64" s="225"/>
      <c r="D64" s="213"/>
      <c r="E64" s="212"/>
      <c r="F64" s="372"/>
      <c r="G64" s="213"/>
      <c r="I64" s="213"/>
      <c r="J64" s="213"/>
      <c r="K64" s="213"/>
      <c r="L64" s="213"/>
      <c r="M64" s="213"/>
      <c r="N64" s="213"/>
      <c r="O64" s="213"/>
      <c r="P64" s="213"/>
    </row>
    <row r="65" spans="1:16" x14ac:dyDescent="0.25">
      <c r="A65" s="214"/>
      <c r="B65" s="214" t="s">
        <v>1075</v>
      </c>
      <c r="C65" s="225">
        <v>90107005</v>
      </c>
      <c r="D65" s="213">
        <v>317699674.48000002</v>
      </c>
      <c r="E65" s="212">
        <v>317699674.48000002</v>
      </c>
      <c r="F65" s="372">
        <f t="shared" ref="F65:F70" si="8">G65-E65</f>
        <v>1364825318.03</v>
      </c>
      <c r="G65" s="213">
        <v>1682524992.51</v>
      </c>
      <c r="I65" s="213">
        <v>1793609734.48</v>
      </c>
      <c r="J65" s="213">
        <v>2159362120.0799999</v>
      </c>
      <c r="K65" s="213"/>
      <c r="L65" s="213">
        <v>2159362120.0799999</v>
      </c>
      <c r="M65" s="213"/>
      <c r="N65" s="213">
        <f t="shared" ref="N65:N71" si="9">O65+P65</f>
        <v>1896199108.26</v>
      </c>
      <c r="O65" s="213">
        <v>2150340</v>
      </c>
      <c r="P65" s="213">
        <v>1894048768.26</v>
      </c>
    </row>
    <row r="66" spans="1:16" x14ac:dyDescent="0.25">
      <c r="A66" s="214"/>
      <c r="B66" s="214" t="s">
        <v>916</v>
      </c>
      <c r="C66" s="225">
        <v>90108005</v>
      </c>
      <c r="D66" s="213">
        <v>325396123.13</v>
      </c>
      <c r="E66" s="212">
        <v>541133998.10000002</v>
      </c>
      <c r="F66" s="372">
        <f t="shared" si="8"/>
        <v>1667237448.79</v>
      </c>
      <c r="G66" s="213">
        <v>2208371446.8899999</v>
      </c>
      <c r="I66" s="213">
        <v>2213845674.6100001</v>
      </c>
      <c r="J66" s="213">
        <v>2606594611.1500001</v>
      </c>
      <c r="K66" s="213"/>
      <c r="L66" s="213">
        <v>2606594611.1500001</v>
      </c>
      <c r="M66" s="213"/>
      <c r="N66" s="213">
        <f t="shared" si="9"/>
        <v>2945674939.0899997</v>
      </c>
      <c r="O66" s="213">
        <v>1942813.18</v>
      </c>
      <c r="P66" s="213">
        <v>2943732125.9099998</v>
      </c>
    </row>
    <row r="67" spans="1:16" x14ac:dyDescent="0.25">
      <c r="A67" s="214"/>
      <c r="B67" s="214" t="s">
        <v>1076</v>
      </c>
      <c r="C67" s="225">
        <v>90109005</v>
      </c>
      <c r="D67" s="213">
        <v>135766691.00999999</v>
      </c>
      <c r="E67" s="212">
        <v>135766691.00999999</v>
      </c>
      <c r="F67" s="372">
        <f t="shared" si="8"/>
        <v>-49211526.779999986</v>
      </c>
      <c r="G67" s="213">
        <v>86555164.230000004</v>
      </c>
      <c r="I67" s="213">
        <v>87230979.829999998</v>
      </c>
      <c r="J67" s="213">
        <v>110425279.08</v>
      </c>
      <c r="K67" s="213"/>
      <c r="L67" s="213">
        <v>110425279.08</v>
      </c>
      <c r="M67" s="213"/>
      <c r="N67" s="213">
        <f t="shared" si="9"/>
        <v>149332701.62</v>
      </c>
      <c r="O67" s="213"/>
      <c r="P67" s="213">
        <v>149332701.62</v>
      </c>
    </row>
    <row r="68" spans="1:16" x14ac:dyDescent="0.25">
      <c r="A68" s="214"/>
      <c r="B68" s="214" t="s">
        <v>798</v>
      </c>
      <c r="C68" s="225">
        <v>90110005</v>
      </c>
      <c r="D68" s="213">
        <v>80322421.319999993</v>
      </c>
      <c r="E68" s="212">
        <v>80322421.319999993</v>
      </c>
      <c r="F68" s="372">
        <f t="shared" si="8"/>
        <v>-75193626.199999988</v>
      </c>
      <c r="G68" s="213">
        <v>5128795.12</v>
      </c>
      <c r="I68" s="213">
        <v>5128795.12</v>
      </c>
      <c r="J68" s="213">
        <v>8112016.0499999998</v>
      </c>
      <c r="K68" s="213"/>
      <c r="L68" s="213">
        <v>8112016.0499999998</v>
      </c>
      <c r="M68" s="213"/>
      <c r="N68" s="213">
        <f t="shared" si="9"/>
        <v>6679102.5800000001</v>
      </c>
      <c r="O68" s="213"/>
      <c r="P68" s="213">
        <v>6679102.5800000001</v>
      </c>
    </row>
    <row r="69" spans="1:16" x14ac:dyDescent="0.25">
      <c r="A69" s="214"/>
      <c r="B69" s="214" t="s">
        <v>799</v>
      </c>
      <c r="C69" s="225">
        <v>90111005</v>
      </c>
      <c r="D69" s="213">
        <v>1361823.58</v>
      </c>
      <c r="E69" s="212">
        <v>1206458552.6300001</v>
      </c>
      <c r="F69" s="372">
        <f t="shared" si="8"/>
        <v>-1197684167.6300001</v>
      </c>
      <c r="G69" s="213">
        <v>8774385</v>
      </c>
      <c r="I69" s="213">
        <v>8774385</v>
      </c>
      <c r="J69" s="213">
        <v>8774385</v>
      </c>
      <c r="K69" s="213"/>
      <c r="L69" s="213">
        <v>8774385</v>
      </c>
      <c r="M69" s="213"/>
      <c r="N69" s="213">
        <f t="shared" si="9"/>
        <v>10353325</v>
      </c>
      <c r="O69" s="213">
        <v>1578940</v>
      </c>
      <c r="P69" s="213">
        <v>8774385</v>
      </c>
    </row>
    <row r="70" spans="1:16" x14ac:dyDescent="0.25">
      <c r="A70" s="214"/>
      <c r="B70" s="214" t="s">
        <v>800</v>
      </c>
      <c r="C70" s="225">
        <v>90112005</v>
      </c>
      <c r="D70" s="213">
        <v>452769.1</v>
      </c>
      <c r="E70" s="212">
        <v>452769.1</v>
      </c>
      <c r="F70" s="372">
        <f t="shared" si="8"/>
        <v>32688097.059999999</v>
      </c>
      <c r="G70" s="213">
        <v>33140866.16</v>
      </c>
      <c r="I70" s="213">
        <v>34696910.259999998</v>
      </c>
      <c r="J70" s="213">
        <v>34662268.950000003</v>
      </c>
      <c r="K70" s="213"/>
      <c r="L70" s="213">
        <v>34662268.950000003</v>
      </c>
      <c r="M70" s="213"/>
      <c r="N70" s="213">
        <f t="shared" si="9"/>
        <v>41185281.539999999</v>
      </c>
      <c r="O70" s="213"/>
      <c r="P70" s="213">
        <v>41185281.539999999</v>
      </c>
    </row>
    <row r="71" spans="1:16" x14ac:dyDescent="0.25">
      <c r="A71" s="214"/>
      <c r="B71" s="214" t="s">
        <v>1077</v>
      </c>
      <c r="C71" s="225">
        <v>90114005</v>
      </c>
      <c r="D71" s="213"/>
      <c r="E71" s="212"/>
      <c r="F71" s="372"/>
      <c r="G71" s="213"/>
      <c r="I71" s="213"/>
      <c r="J71" s="213"/>
      <c r="K71" s="213"/>
      <c r="L71" s="213"/>
      <c r="M71" s="213"/>
      <c r="N71" s="213">
        <f t="shared" si="9"/>
        <v>6167336.4199999999</v>
      </c>
      <c r="O71" s="213">
        <v>6167336.4199999999</v>
      </c>
      <c r="P71" s="213"/>
    </row>
    <row r="72" spans="1:16" x14ac:dyDescent="0.25">
      <c r="A72" s="214"/>
      <c r="B72" s="214"/>
      <c r="C72" s="225"/>
      <c r="D72" s="373">
        <f>SUM(D65:D70)</f>
        <v>860999502.62000012</v>
      </c>
      <c r="E72" s="374">
        <f>SUM(E65:E70)</f>
        <v>2281834106.6399999</v>
      </c>
      <c r="F72" s="373">
        <f>SUM(F65:F70)</f>
        <v>1742661543.2699995</v>
      </c>
      <c r="G72" s="373">
        <f>SUM(G65:G70)</f>
        <v>4024495649.9099994</v>
      </c>
      <c r="H72" s="306"/>
      <c r="I72" s="373">
        <f>SUM(I65:I70)</f>
        <v>4143286479.3000002</v>
      </c>
      <c r="J72" s="373">
        <f>SUM(J65:J70)</f>
        <v>4927930680.3099995</v>
      </c>
      <c r="K72" s="373">
        <f>SUM(K65:K70)</f>
        <v>0</v>
      </c>
      <c r="L72" s="373">
        <f>SUM(L65:L70)</f>
        <v>4927930680.3099995</v>
      </c>
      <c r="M72" s="373">
        <f>SUM(M65:M70)</f>
        <v>0</v>
      </c>
      <c r="N72" s="373">
        <f>SUM(N65:N71)</f>
        <v>5055591794.5099993</v>
      </c>
      <c r="O72" s="373">
        <f>SUM(O65:O71)</f>
        <v>11839429.6</v>
      </c>
      <c r="P72" s="373">
        <f>SUM(P65:P71)</f>
        <v>5043752364.9099998</v>
      </c>
    </row>
    <row r="73" spans="1:16" x14ac:dyDescent="0.25">
      <c r="A73" s="214"/>
      <c r="B73" s="214"/>
      <c r="C73" s="225"/>
      <c r="D73" s="213"/>
      <c r="E73" s="212"/>
      <c r="F73" s="372"/>
      <c r="G73" s="213"/>
      <c r="I73" s="213"/>
      <c r="J73" s="213"/>
      <c r="K73" s="213"/>
      <c r="L73" s="213"/>
      <c r="M73" s="213"/>
      <c r="N73" s="213"/>
      <c r="O73" s="213"/>
      <c r="P73" s="213"/>
    </row>
    <row r="74" spans="1:16" x14ac:dyDescent="0.25">
      <c r="A74" s="238" t="s">
        <v>122</v>
      </c>
      <c r="B74" s="238" t="s">
        <v>606</v>
      </c>
      <c r="C74" s="225"/>
      <c r="D74" s="213"/>
      <c r="E74" s="212"/>
      <c r="F74" s="372"/>
      <c r="G74" s="213"/>
      <c r="I74" s="213"/>
      <c r="J74" s="213"/>
      <c r="K74" s="213"/>
      <c r="L74" s="213"/>
      <c r="M74" s="213"/>
      <c r="N74" s="213"/>
      <c r="O74" s="213"/>
      <c r="P74" s="213"/>
    </row>
    <row r="75" spans="1:16" x14ac:dyDescent="0.25">
      <c r="A75" s="214"/>
      <c r="B75" s="214" t="s">
        <v>123</v>
      </c>
      <c r="C75" s="225">
        <v>90503005</v>
      </c>
      <c r="D75" s="213">
        <v>391080207.27999997</v>
      </c>
      <c r="E75" s="212">
        <v>354531282.5</v>
      </c>
      <c r="F75" s="372">
        <f>G75-E75</f>
        <v>0</v>
      </c>
      <c r="G75" s="213">
        <v>354531282.5</v>
      </c>
      <c r="I75" s="213">
        <v>354531282.5</v>
      </c>
      <c r="J75" s="213">
        <v>58999800</v>
      </c>
      <c r="K75" s="213">
        <v>8217389</v>
      </c>
      <c r="L75" s="213">
        <f>J75+K75</f>
        <v>67217189</v>
      </c>
      <c r="M75" s="213"/>
      <c r="N75" s="213">
        <f>O75+P75</f>
        <v>228210611.44</v>
      </c>
      <c r="O75" s="213"/>
      <c r="P75" s="213">
        <v>228210611.44</v>
      </c>
    </row>
    <row r="76" spans="1:16" x14ac:dyDescent="0.25">
      <c r="A76" s="214"/>
      <c r="B76" s="214"/>
      <c r="C76" s="225"/>
      <c r="D76" s="213"/>
      <c r="E76" s="212"/>
      <c r="F76" s="372"/>
      <c r="G76" s="213"/>
      <c r="I76" s="213"/>
      <c r="J76" s="213"/>
      <c r="K76" s="213"/>
      <c r="L76" s="213"/>
      <c r="M76" s="213"/>
      <c r="N76" s="213"/>
      <c r="O76" s="213"/>
      <c r="P76" s="213"/>
    </row>
    <row r="77" spans="1:16" x14ac:dyDescent="0.25">
      <c r="A77" s="238" t="s">
        <v>124</v>
      </c>
      <c r="B77" s="238" t="s">
        <v>125</v>
      </c>
      <c r="C77" s="225"/>
      <c r="D77" s="213"/>
      <c r="E77" s="212"/>
      <c r="F77" s="372"/>
      <c r="G77" s="213"/>
      <c r="I77" s="213"/>
      <c r="J77" s="213"/>
      <c r="K77" s="213"/>
      <c r="L77" s="213"/>
      <c r="M77" s="213"/>
      <c r="N77" s="213"/>
      <c r="O77" s="213"/>
      <c r="P77" s="213"/>
    </row>
    <row r="78" spans="1:16" x14ac:dyDescent="0.25">
      <c r="A78" s="214"/>
      <c r="B78" s="240" t="s">
        <v>424</v>
      </c>
      <c r="C78" s="225">
        <v>90167016</v>
      </c>
      <c r="D78" s="213">
        <v>267841.59999999998</v>
      </c>
      <c r="E78" s="212">
        <v>19367.09</v>
      </c>
      <c r="F78" s="372">
        <f>G78-E78</f>
        <v>0</v>
      </c>
      <c r="G78" s="213">
        <v>19367.09</v>
      </c>
      <c r="I78" s="213">
        <v>19367.09</v>
      </c>
      <c r="J78" s="213">
        <v>0</v>
      </c>
      <c r="K78" s="213"/>
      <c r="L78" s="213">
        <v>0</v>
      </c>
      <c r="M78" s="213"/>
      <c r="N78" s="213"/>
      <c r="O78" s="213"/>
      <c r="P78" s="213"/>
    </row>
    <row r="79" spans="1:16" x14ac:dyDescent="0.25">
      <c r="A79" s="214"/>
      <c r="B79" s="215" t="s">
        <v>425</v>
      </c>
      <c r="C79" s="225"/>
      <c r="D79" s="213"/>
      <c r="E79" s="212"/>
      <c r="F79" s="372"/>
      <c r="G79" s="213"/>
      <c r="I79" s="213"/>
      <c r="J79" s="213"/>
      <c r="K79" s="213"/>
      <c r="L79" s="213"/>
      <c r="M79" s="213"/>
      <c r="N79" s="213"/>
      <c r="O79" s="213"/>
      <c r="P79" s="213"/>
    </row>
    <row r="80" spans="1:16" x14ac:dyDescent="0.25">
      <c r="A80" s="214"/>
      <c r="B80" s="240" t="s">
        <v>126</v>
      </c>
      <c r="C80" s="225">
        <v>90243005</v>
      </c>
      <c r="D80" s="213">
        <v>15255.83</v>
      </c>
      <c r="E80" s="212">
        <v>14809.91</v>
      </c>
      <c r="F80" s="372">
        <f t="shared" ref="F80:F90" si="10">G80-E80</f>
        <v>0</v>
      </c>
      <c r="G80" s="213">
        <v>14809.91</v>
      </c>
      <c r="I80" s="213">
        <v>14809.91</v>
      </c>
      <c r="J80" s="213">
        <v>13957.02</v>
      </c>
      <c r="K80" s="213"/>
      <c r="L80" s="213">
        <v>13957.02</v>
      </c>
      <c r="M80" s="213"/>
      <c r="N80" s="213">
        <f t="shared" ref="N80:N98" si="11">O80+P80</f>
        <v>12846.77</v>
      </c>
      <c r="O80" s="213"/>
      <c r="P80" s="213">
        <v>12846.77</v>
      </c>
    </row>
    <row r="81" spans="1:16" x14ac:dyDescent="0.25">
      <c r="A81" s="214"/>
      <c r="B81" s="240" t="s">
        <v>127</v>
      </c>
      <c r="C81" s="225">
        <v>90245005</v>
      </c>
      <c r="D81" s="213">
        <v>6556.21</v>
      </c>
      <c r="E81" s="212">
        <v>6382.07</v>
      </c>
      <c r="F81" s="372">
        <f t="shared" si="10"/>
        <v>0</v>
      </c>
      <c r="G81" s="213">
        <v>6382.07</v>
      </c>
      <c r="I81" s="213">
        <v>6382.07</v>
      </c>
      <c r="J81" s="213">
        <v>5985.13</v>
      </c>
      <c r="K81" s="213"/>
      <c r="L81" s="213">
        <v>5985.13</v>
      </c>
      <c r="M81" s="213"/>
      <c r="N81" s="213">
        <f t="shared" si="11"/>
        <v>5471.99</v>
      </c>
      <c r="O81" s="213"/>
      <c r="P81" s="213">
        <v>5471.99</v>
      </c>
    </row>
    <row r="82" spans="1:16" x14ac:dyDescent="0.25">
      <c r="A82" s="214"/>
      <c r="B82" s="240" t="s">
        <v>128</v>
      </c>
      <c r="C82" s="225">
        <v>90247005</v>
      </c>
      <c r="D82" s="213">
        <v>188007.37</v>
      </c>
      <c r="E82" s="212">
        <v>175851.72</v>
      </c>
      <c r="F82" s="372">
        <f t="shared" si="10"/>
        <v>0</v>
      </c>
      <c r="G82" s="213">
        <v>175851.72</v>
      </c>
      <c r="I82" s="213">
        <v>175851.72</v>
      </c>
      <c r="J82" s="213">
        <v>151337.35999999999</v>
      </c>
      <c r="K82" s="213"/>
      <c r="L82" s="213">
        <v>151337.35999999999</v>
      </c>
      <c r="M82" s="213"/>
      <c r="N82" s="213">
        <f t="shared" si="11"/>
        <v>120829.53</v>
      </c>
      <c r="O82" s="213"/>
      <c r="P82" s="213">
        <v>120829.53</v>
      </c>
    </row>
    <row r="83" spans="1:16" x14ac:dyDescent="0.25">
      <c r="A83" s="214"/>
      <c r="B83" s="240" t="s">
        <v>128</v>
      </c>
      <c r="C83" s="225">
        <v>90979004</v>
      </c>
      <c r="D83" s="213">
        <v>390717.63</v>
      </c>
      <c r="E83" s="212">
        <v>403929.42</v>
      </c>
      <c r="F83" s="372">
        <f t="shared" si="10"/>
        <v>0</v>
      </c>
      <c r="G83" s="213">
        <v>403929.42</v>
      </c>
      <c r="I83" s="213">
        <v>403929.42</v>
      </c>
      <c r="J83" s="213">
        <v>412258.87</v>
      </c>
      <c r="K83" s="213"/>
      <c r="L83" s="213">
        <v>412258.87</v>
      </c>
      <c r="M83" s="213"/>
      <c r="N83" s="213">
        <f t="shared" si="11"/>
        <v>409606.24</v>
      </c>
      <c r="O83" s="213"/>
      <c r="P83" s="213">
        <v>409606.24</v>
      </c>
    </row>
    <row r="84" spans="1:16" x14ac:dyDescent="0.25">
      <c r="A84" s="214"/>
      <c r="B84" s="240" t="s">
        <v>128</v>
      </c>
      <c r="C84" s="225">
        <v>90979004</v>
      </c>
      <c r="D84" s="213">
        <v>-10621</v>
      </c>
      <c r="E84" s="212">
        <v>-10530.27</v>
      </c>
      <c r="F84" s="372">
        <f t="shared" si="10"/>
        <v>0</v>
      </c>
      <c r="G84" s="213">
        <v>-10530.27</v>
      </c>
      <c r="I84" s="213">
        <v>-10530.27</v>
      </c>
      <c r="J84" s="213">
        <v>0</v>
      </c>
      <c r="K84" s="213"/>
      <c r="L84" s="213">
        <v>0</v>
      </c>
      <c r="M84" s="213"/>
      <c r="N84" s="213">
        <f t="shared" si="11"/>
        <v>0</v>
      </c>
      <c r="O84" s="213"/>
      <c r="P84" s="213"/>
    </row>
    <row r="85" spans="1:16" x14ac:dyDescent="0.25">
      <c r="A85" s="214"/>
      <c r="B85" s="240" t="s">
        <v>128</v>
      </c>
      <c r="C85" s="225">
        <v>90255005</v>
      </c>
      <c r="D85" s="213">
        <v>2240.23</v>
      </c>
      <c r="E85" s="212">
        <v>2197.21</v>
      </c>
      <c r="F85" s="372">
        <f t="shared" si="10"/>
        <v>0</v>
      </c>
      <c r="G85" s="213">
        <v>2197.21</v>
      </c>
      <c r="I85" s="213">
        <v>2197.21</v>
      </c>
      <c r="J85" s="213">
        <v>2096.85</v>
      </c>
      <c r="K85" s="213"/>
      <c r="L85" s="213">
        <v>2096.85</v>
      </c>
      <c r="M85" s="213"/>
      <c r="N85" s="213">
        <f t="shared" si="11"/>
        <v>1960.96</v>
      </c>
      <c r="O85" s="213"/>
      <c r="P85" s="213">
        <v>1960.96</v>
      </c>
    </row>
    <row r="86" spans="1:16" x14ac:dyDescent="0.25">
      <c r="A86" s="214"/>
      <c r="B86" s="240" t="s">
        <v>128</v>
      </c>
      <c r="C86" s="225">
        <v>90259005</v>
      </c>
      <c r="D86" s="213">
        <v>788800.7</v>
      </c>
      <c r="E86" s="212">
        <v>764702.48</v>
      </c>
      <c r="F86" s="372">
        <f t="shared" si="10"/>
        <v>0</v>
      </c>
      <c r="G86" s="213">
        <v>764702.48</v>
      </c>
      <c r="I86" s="213">
        <v>764702.48</v>
      </c>
      <c r="J86" s="213">
        <v>734215.87</v>
      </c>
      <c r="K86" s="213"/>
      <c r="L86" s="213">
        <v>734215.87</v>
      </c>
      <c r="M86" s="213"/>
      <c r="N86" s="213">
        <f t="shared" si="11"/>
        <v>679665.38</v>
      </c>
      <c r="O86" s="213"/>
      <c r="P86" s="213">
        <v>679665.38</v>
      </c>
    </row>
    <row r="87" spans="1:16" x14ac:dyDescent="0.25">
      <c r="A87" s="214"/>
      <c r="B87" s="240" t="s">
        <v>128</v>
      </c>
      <c r="C87" s="225">
        <v>90262005</v>
      </c>
      <c r="D87" s="213">
        <v>115342.45</v>
      </c>
      <c r="E87" s="212">
        <v>111118.11</v>
      </c>
      <c r="F87" s="372">
        <f t="shared" si="10"/>
        <v>0</v>
      </c>
      <c r="G87" s="213">
        <v>111118.11</v>
      </c>
      <c r="I87" s="213">
        <v>111118.11</v>
      </c>
      <c r="J87" s="213">
        <v>104030.21</v>
      </c>
      <c r="K87" s="213"/>
      <c r="L87" s="213">
        <v>104030.21</v>
      </c>
      <c r="M87" s="213"/>
      <c r="N87" s="213">
        <f t="shared" si="11"/>
        <v>86349.59</v>
      </c>
      <c r="O87" s="213"/>
      <c r="P87" s="213">
        <v>86349.59</v>
      </c>
    </row>
    <row r="88" spans="1:16" x14ac:dyDescent="0.25">
      <c r="A88" s="214"/>
      <c r="B88" s="240" t="s">
        <v>128</v>
      </c>
      <c r="C88" s="225">
        <v>90270005</v>
      </c>
      <c r="D88" s="213">
        <v>122548.36</v>
      </c>
      <c r="E88" s="212">
        <v>120433.54</v>
      </c>
      <c r="F88" s="372">
        <f t="shared" si="10"/>
        <v>0</v>
      </c>
      <c r="G88" s="213">
        <v>120433.54</v>
      </c>
      <c r="I88" s="213">
        <v>120433.54</v>
      </c>
      <c r="J88" s="213">
        <v>115209.33</v>
      </c>
      <c r="K88" s="213"/>
      <c r="L88" s="213">
        <v>115209.33</v>
      </c>
      <c r="M88" s="213"/>
      <c r="N88" s="213">
        <f t="shared" si="11"/>
        <v>108064.6</v>
      </c>
      <c r="O88" s="213"/>
      <c r="P88" s="213">
        <v>108064.6</v>
      </c>
    </row>
    <row r="89" spans="1:16" x14ac:dyDescent="0.25">
      <c r="A89" s="214"/>
      <c r="B89" s="240" t="s">
        <v>128</v>
      </c>
      <c r="C89" s="225">
        <v>90294005</v>
      </c>
      <c r="D89" s="213">
        <v>12795.15</v>
      </c>
      <c r="E89" s="212">
        <v>10020.18</v>
      </c>
      <c r="F89" s="372">
        <f t="shared" si="10"/>
        <v>0</v>
      </c>
      <c r="G89" s="213">
        <v>10020.18</v>
      </c>
      <c r="I89" s="213">
        <v>10020.18</v>
      </c>
      <c r="J89" s="213">
        <v>5810.05</v>
      </c>
      <c r="K89" s="213"/>
      <c r="L89" s="213">
        <v>5810.05</v>
      </c>
      <c r="M89" s="213"/>
      <c r="N89" s="213">
        <f t="shared" si="11"/>
        <v>4319.6899999999996</v>
      </c>
      <c r="O89" s="213"/>
      <c r="P89" s="213">
        <v>4319.6899999999996</v>
      </c>
    </row>
    <row r="90" spans="1:16" x14ac:dyDescent="0.25">
      <c r="A90" s="214"/>
      <c r="B90" s="240" t="s">
        <v>128</v>
      </c>
      <c r="C90" s="225">
        <v>90306005</v>
      </c>
      <c r="D90" s="213">
        <v>1163083.8799999999</v>
      </c>
      <c r="E90" s="212">
        <v>1072285.04</v>
      </c>
      <c r="F90" s="372">
        <f t="shared" si="10"/>
        <v>0</v>
      </c>
      <c r="G90" s="213">
        <v>1072285.04</v>
      </c>
      <c r="I90" s="213">
        <v>1072285.04</v>
      </c>
      <c r="J90" s="213">
        <v>980575.88</v>
      </c>
      <c r="K90" s="213"/>
      <c r="L90" s="213">
        <v>980575.88</v>
      </c>
      <c r="M90" s="213"/>
      <c r="N90" s="213">
        <f t="shared" si="11"/>
        <v>968604.56</v>
      </c>
      <c r="O90" s="213"/>
      <c r="P90" s="213">
        <v>968604.56</v>
      </c>
    </row>
    <row r="91" spans="1:16" x14ac:dyDescent="0.25">
      <c r="A91" s="214"/>
      <c r="B91" s="240"/>
      <c r="C91" s="225"/>
      <c r="D91" s="373">
        <f>SUM(D80:D90)</f>
        <v>2794726.8099999996</v>
      </c>
      <c r="E91" s="374">
        <f>SUM(E80:E90)</f>
        <v>2671199.41</v>
      </c>
      <c r="F91" s="373">
        <f>SUM(F80:F90)</f>
        <v>0</v>
      </c>
      <c r="G91" s="373">
        <f>SUM(G80:G90)</f>
        <v>2671199.41</v>
      </c>
      <c r="I91" s="373">
        <f t="shared" ref="I91:P91" si="12">SUM(I80:I90)</f>
        <v>2671199.41</v>
      </c>
      <c r="J91" s="373">
        <f t="shared" si="12"/>
        <v>2525476.5700000003</v>
      </c>
      <c r="K91" s="373">
        <f t="shared" si="12"/>
        <v>0</v>
      </c>
      <c r="L91" s="373">
        <f t="shared" si="12"/>
        <v>2525476.5700000003</v>
      </c>
      <c r="M91" s="373">
        <f t="shared" si="12"/>
        <v>0</v>
      </c>
      <c r="N91" s="373">
        <f t="shared" si="12"/>
        <v>2397719.3100000005</v>
      </c>
      <c r="O91" s="373">
        <f t="shared" si="12"/>
        <v>0</v>
      </c>
      <c r="P91" s="373">
        <f t="shared" si="12"/>
        <v>2397719.3100000005</v>
      </c>
    </row>
    <row r="92" spans="1:16" x14ac:dyDescent="0.25">
      <c r="A92" s="214"/>
      <c r="B92" s="240" t="s">
        <v>886</v>
      </c>
      <c r="C92" s="225">
        <v>90167013</v>
      </c>
      <c r="D92" s="213">
        <v>1343906.58</v>
      </c>
      <c r="E92" s="212">
        <v>1190907.1000000001</v>
      </c>
      <c r="F92" s="372">
        <f>G92-E92</f>
        <v>0</v>
      </c>
      <c r="G92" s="213">
        <v>1190907.1000000001</v>
      </c>
      <c r="I92" s="213">
        <v>1190907.1000000001</v>
      </c>
      <c r="J92" s="213">
        <v>1020215.02</v>
      </c>
      <c r="K92" s="213"/>
      <c r="L92" s="213">
        <v>1020215.02</v>
      </c>
      <c r="M92" s="213"/>
      <c r="N92" s="213">
        <f t="shared" si="11"/>
        <v>932015.54</v>
      </c>
      <c r="O92" s="213"/>
      <c r="P92" s="213">
        <v>932015.54</v>
      </c>
    </row>
    <row r="93" spans="1:16" x14ac:dyDescent="0.25">
      <c r="A93" s="214"/>
      <c r="B93" s="215" t="s">
        <v>887</v>
      </c>
      <c r="C93" s="225"/>
      <c r="D93" s="213"/>
      <c r="E93" s="212"/>
      <c r="F93" s="372"/>
      <c r="G93" s="213"/>
      <c r="I93" s="213"/>
      <c r="J93" s="213"/>
      <c r="K93" s="213"/>
      <c r="L93" s="213"/>
      <c r="M93" s="213"/>
      <c r="N93" s="213"/>
      <c r="O93" s="213"/>
      <c r="P93" s="213"/>
    </row>
    <row r="94" spans="1:16" x14ac:dyDescent="0.25">
      <c r="A94" s="214"/>
      <c r="B94" s="240" t="s">
        <v>128</v>
      </c>
      <c r="C94" s="225">
        <v>90705004</v>
      </c>
      <c r="D94" s="213">
        <v>2460</v>
      </c>
      <c r="E94" s="212">
        <v>2460</v>
      </c>
      <c r="F94" s="372">
        <f>G94-E94</f>
        <v>0</v>
      </c>
      <c r="G94" s="213">
        <v>2460</v>
      </c>
      <c r="I94" s="213">
        <v>2460</v>
      </c>
      <c r="J94" s="213">
        <v>14548310.9</v>
      </c>
      <c r="K94" s="213"/>
      <c r="L94" s="213">
        <v>14548310.9</v>
      </c>
      <c r="M94" s="213"/>
      <c r="N94" s="213">
        <f t="shared" si="11"/>
        <v>13242977.73</v>
      </c>
      <c r="O94" s="213"/>
      <c r="P94" s="213">
        <v>13242977.73</v>
      </c>
    </row>
    <row r="95" spans="1:16" x14ac:dyDescent="0.25">
      <c r="A95" s="214"/>
      <c r="B95" s="240" t="s">
        <v>128</v>
      </c>
      <c r="C95" s="225">
        <v>90907004</v>
      </c>
      <c r="D95" s="213">
        <v>830558.86</v>
      </c>
      <c r="E95" s="212">
        <v>830514</v>
      </c>
      <c r="F95" s="372">
        <f>G95-E95</f>
        <v>0</v>
      </c>
      <c r="G95" s="213">
        <v>830514</v>
      </c>
      <c r="I95" s="213">
        <v>830514</v>
      </c>
      <c r="J95" s="213">
        <v>560514</v>
      </c>
      <c r="K95" s="213"/>
      <c r="L95" s="213">
        <v>560514</v>
      </c>
      <c r="M95" s="213"/>
      <c r="N95" s="213">
        <f t="shared" si="11"/>
        <v>560514</v>
      </c>
      <c r="O95" s="213"/>
      <c r="P95" s="213">
        <v>560514</v>
      </c>
    </row>
    <row r="96" spans="1:16" x14ac:dyDescent="0.25">
      <c r="A96" s="214"/>
      <c r="B96" s="240" t="s">
        <v>128</v>
      </c>
      <c r="C96" s="225">
        <v>90922004</v>
      </c>
      <c r="D96" s="213">
        <v>1703233.36</v>
      </c>
      <c r="E96" s="212">
        <v>1921624.23</v>
      </c>
      <c r="F96" s="372">
        <f>G96-E96</f>
        <v>0</v>
      </c>
      <c r="G96" s="213">
        <v>1921624.23</v>
      </c>
      <c r="I96" s="213">
        <v>1921624.23</v>
      </c>
      <c r="J96" s="213">
        <v>1645960.64</v>
      </c>
      <c r="K96" s="213"/>
      <c r="L96" s="213">
        <v>1645960.64</v>
      </c>
      <c r="M96" s="213"/>
      <c r="N96" s="213">
        <f t="shared" si="11"/>
        <v>1198012.3899999999</v>
      </c>
      <c r="O96" s="213"/>
      <c r="P96" s="213">
        <v>1198012.3899999999</v>
      </c>
    </row>
    <row r="97" spans="1:16" x14ac:dyDescent="0.25">
      <c r="A97" s="214"/>
      <c r="B97" s="240" t="s">
        <v>128</v>
      </c>
      <c r="C97" s="225">
        <v>90979004</v>
      </c>
      <c r="D97" s="213">
        <v>10621</v>
      </c>
      <c r="E97" s="212">
        <v>10530.27</v>
      </c>
      <c r="F97" s="372">
        <f>G97-E97</f>
        <v>0</v>
      </c>
      <c r="G97" s="213">
        <v>10530.27</v>
      </c>
      <c r="I97" s="213">
        <v>10530.27</v>
      </c>
      <c r="J97" s="213">
        <v>0</v>
      </c>
      <c r="K97" s="213"/>
      <c r="L97" s="213">
        <v>0</v>
      </c>
      <c r="M97" s="213"/>
      <c r="N97" s="213">
        <f t="shared" si="11"/>
        <v>0</v>
      </c>
      <c r="O97" s="213"/>
      <c r="P97" s="213"/>
    </row>
    <row r="98" spans="1:16" x14ac:dyDescent="0.25">
      <c r="A98" s="214"/>
      <c r="B98" s="240" t="s">
        <v>128</v>
      </c>
      <c r="C98" s="225">
        <v>91019004</v>
      </c>
      <c r="D98" s="213">
        <v>8618992.3300000001</v>
      </c>
      <c r="E98" s="212">
        <v>9536741.7599999998</v>
      </c>
      <c r="F98" s="372">
        <f>G98-E98</f>
        <v>0</v>
      </c>
      <c r="G98" s="213">
        <v>9536741.7599999998</v>
      </c>
      <c r="I98" s="213">
        <v>9536741.7599999998</v>
      </c>
      <c r="J98" s="213">
        <v>7691463</v>
      </c>
      <c r="K98" s="213"/>
      <c r="L98" s="213">
        <v>7691463</v>
      </c>
      <c r="M98" s="213"/>
      <c r="N98" s="213">
        <f t="shared" si="11"/>
        <v>6310846.1100000003</v>
      </c>
      <c r="O98" s="213"/>
      <c r="P98" s="213">
        <v>6310846.1100000003</v>
      </c>
    </row>
    <row r="99" spans="1:16" x14ac:dyDescent="0.25">
      <c r="A99" s="214"/>
      <c r="B99" s="240" t="s">
        <v>128</v>
      </c>
      <c r="C99" s="225"/>
      <c r="D99" s="373">
        <f>SUM(D94:D98)</f>
        <v>11165865.550000001</v>
      </c>
      <c r="E99" s="374">
        <f>SUM(E94:E98)</f>
        <v>12301870.26</v>
      </c>
      <c r="F99" s="373">
        <f>SUM(F94:F98)</f>
        <v>0</v>
      </c>
      <c r="G99" s="373">
        <f>SUM(G94:G98)</f>
        <v>12301870.26</v>
      </c>
      <c r="I99" s="373">
        <f t="shared" ref="I99:P99" si="13">SUM(I94:I98)</f>
        <v>12301870.26</v>
      </c>
      <c r="J99" s="373">
        <f t="shared" si="13"/>
        <v>24446248.539999999</v>
      </c>
      <c r="K99" s="373">
        <f t="shared" si="13"/>
        <v>0</v>
      </c>
      <c r="L99" s="373">
        <f t="shared" si="13"/>
        <v>24446248.539999999</v>
      </c>
      <c r="M99" s="373">
        <f t="shared" si="13"/>
        <v>0</v>
      </c>
      <c r="N99" s="373">
        <f t="shared" si="13"/>
        <v>21312350.23</v>
      </c>
      <c r="O99" s="373">
        <f t="shared" si="13"/>
        <v>0</v>
      </c>
      <c r="P99" s="373">
        <f t="shared" si="13"/>
        <v>21312350.23</v>
      </c>
    </row>
    <row r="100" spans="1:16" x14ac:dyDescent="0.25">
      <c r="A100" s="214"/>
      <c r="B100" s="240" t="s">
        <v>888</v>
      </c>
      <c r="C100" s="225">
        <v>90167009</v>
      </c>
      <c r="D100" s="213">
        <v>106.15</v>
      </c>
      <c r="E100" s="212">
        <v>0</v>
      </c>
      <c r="F100" s="372">
        <f>G100-E100</f>
        <v>0</v>
      </c>
      <c r="G100" s="213"/>
      <c r="I100" s="213"/>
      <c r="J100" s="213"/>
      <c r="K100" s="213"/>
      <c r="L100" s="213"/>
      <c r="M100" s="213"/>
      <c r="N100" s="213"/>
      <c r="O100" s="213"/>
      <c r="P100" s="213"/>
    </row>
    <row r="101" spans="1:16" ht="12.6" customHeight="1" x14ac:dyDescent="0.25">
      <c r="A101" s="214"/>
      <c r="B101" s="240" t="s">
        <v>129</v>
      </c>
      <c r="C101" s="225">
        <v>90167020</v>
      </c>
      <c r="D101" s="213">
        <v>11252748</v>
      </c>
      <c r="E101" s="212">
        <v>11252748</v>
      </c>
      <c r="F101" s="372">
        <f>G101-E101</f>
        <v>0</v>
      </c>
      <c r="G101" s="213">
        <v>11252748</v>
      </c>
      <c r="I101" s="213">
        <v>11252748</v>
      </c>
      <c r="J101" s="213">
        <v>11252748</v>
      </c>
      <c r="K101" s="213">
        <f>-8217389+424950+484443+552265</f>
        <v>-6755731</v>
      </c>
      <c r="L101" s="213">
        <f>J101+K101</f>
        <v>4497017</v>
      </c>
      <c r="M101" s="213"/>
      <c r="N101" s="213">
        <f>O101+P101</f>
        <v>5126599</v>
      </c>
      <c r="O101" s="213"/>
      <c r="P101" s="213">
        <v>5126599</v>
      </c>
    </row>
    <row r="102" spans="1:16" x14ac:dyDescent="0.25">
      <c r="A102" s="214"/>
      <c r="B102" s="214"/>
      <c r="C102" s="225"/>
      <c r="D102" s="373">
        <f>D78+D91+D92+D99+D100+D101</f>
        <v>26825194.690000001</v>
      </c>
      <c r="E102" s="374">
        <f>E78+E91+E92+E99+E100+E101</f>
        <v>27436091.859999999</v>
      </c>
      <c r="F102" s="373">
        <f>F78+F91+F92+F99+F100+F101</f>
        <v>0</v>
      </c>
      <c r="G102" s="373">
        <f>G78+G91+G92+G99+G100+G101</f>
        <v>27436091.859999999</v>
      </c>
      <c r="I102" s="373">
        <f t="shared" ref="I102:P102" si="14">I78+I91+I92+I99+I100+I101</f>
        <v>27436091.859999999</v>
      </c>
      <c r="J102" s="373">
        <f t="shared" si="14"/>
        <v>39244688.129999995</v>
      </c>
      <c r="K102" s="373">
        <f t="shared" si="14"/>
        <v>-6755731</v>
      </c>
      <c r="L102" s="373">
        <f t="shared" si="14"/>
        <v>32488957.129999999</v>
      </c>
      <c r="M102" s="373">
        <f t="shared" si="14"/>
        <v>0</v>
      </c>
      <c r="N102" s="373">
        <f t="shared" si="14"/>
        <v>29768684.080000002</v>
      </c>
      <c r="O102" s="373">
        <f t="shared" si="14"/>
        <v>0</v>
      </c>
      <c r="P102" s="373">
        <f t="shared" si="14"/>
        <v>29768684.080000002</v>
      </c>
    </row>
    <row r="103" spans="1:16" x14ac:dyDescent="0.25">
      <c r="A103" s="214"/>
      <c r="B103" s="214"/>
      <c r="C103" s="225"/>
      <c r="D103" s="213"/>
      <c r="E103" s="212"/>
      <c r="F103" s="372"/>
      <c r="G103" s="213"/>
      <c r="I103" s="213"/>
      <c r="J103" s="213"/>
      <c r="K103" s="213"/>
      <c r="L103" s="213"/>
      <c r="M103" s="213"/>
      <c r="N103" s="213"/>
      <c r="O103" s="213"/>
      <c r="P103" s="213"/>
    </row>
    <row r="104" spans="1:16" x14ac:dyDescent="0.25">
      <c r="A104" s="238" t="s">
        <v>130</v>
      </c>
      <c r="B104" s="215" t="s">
        <v>607</v>
      </c>
      <c r="C104" s="225"/>
      <c r="D104" s="213"/>
      <c r="E104" s="212"/>
      <c r="F104" s="372"/>
      <c r="G104" s="213"/>
      <c r="I104" s="213"/>
      <c r="J104" s="213"/>
      <c r="K104" s="213"/>
      <c r="L104" s="213"/>
      <c r="M104" s="213"/>
      <c r="N104" s="213"/>
      <c r="O104" s="213"/>
      <c r="P104" s="213"/>
    </row>
    <row r="105" spans="1:16" x14ac:dyDescent="0.25">
      <c r="A105" s="214"/>
      <c r="B105" s="214" t="s">
        <v>131</v>
      </c>
      <c r="C105" s="225" t="s">
        <v>132</v>
      </c>
      <c r="D105" s="213">
        <v>47184243.390000001</v>
      </c>
      <c r="E105" s="212">
        <v>51076806.299999997</v>
      </c>
      <c r="F105" s="372">
        <f>G105-E105</f>
        <v>-10427140.769999996</v>
      </c>
      <c r="G105" s="213">
        <v>40649665.530000001</v>
      </c>
      <c r="I105" s="213">
        <v>40649665.530000001</v>
      </c>
      <c r="J105" s="213">
        <v>48961426.350000001</v>
      </c>
      <c r="K105" s="213"/>
      <c r="L105" s="213">
        <v>48961426.350000001</v>
      </c>
      <c r="M105" s="213"/>
      <c r="N105" s="213">
        <f>O105+P105</f>
        <v>50056087.320000008</v>
      </c>
      <c r="O105" s="213">
        <f>-11954260.66-3367076.21-1942813.18</f>
        <v>-17264150.050000001</v>
      </c>
      <c r="P105" s="213">
        <v>67320237.370000005</v>
      </c>
    </row>
    <row r="106" spans="1:16" x14ac:dyDescent="0.25">
      <c r="A106" s="214"/>
      <c r="B106" s="214" t="s">
        <v>133</v>
      </c>
      <c r="C106" s="225">
        <v>90001004</v>
      </c>
      <c r="D106" s="213">
        <v>9197565.1899999995</v>
      </c>
      <c r="E106" s="212">
        <v>4230636.45</v>
      </c>
      <c r="F106" s="372">
        <f>G106-E106</f>
        <v>0</v>
      </c>
      <c r="G106" s="213">
        <v>4230636.45</v>
      </c>
      <c r="I106" s="213">
        <v>4230636.45</v>
      </c>
      <c r="J106" s="213">
        <v>3246425.93</v>
      </c>
      <c r="K106" s="213"/>
      <c r="L106" s="213">
        <v>3246425.93</v>
      </c>
      <c r="M106" s="213"/>
      <c r="N106" s="213">
        <f>O106+P106</f>
        <v>3564846.98</v>
      </c>
      <c r="O106" s="213"/>
      <c r="P106" s="213">
        <v>3564846.98</v>
      </c>
    </row>
    <row r="107" spans="1:16" x14ac:dyDescent="0.25">
      <c r="A107" s="214"/>
      <c r="B107" s="214" t="s">
        <v>134</v>
      </c>
      <c r="C107" s="225">
        <v>90002006</v>
      </c>
      <c r="D107" s="213"/>
      <c r="E107" s="212">
        <v>227563</v>
      </c>
      <c r="F107" s="372">
        <f>G107-E107</f>
        <v>54835.5</v>
      </c>
      <c r="G107" s="213">
        <v>282398.5</v>
      </c>
      <c r="I107" s="213">
        <v>282398.5</v>
      </c>
      <c r="J107" s="213">
        <v>421794.5</v>
      </c>
      <c r="K107" s="213"/>
      <c r="L107" s="213">
        <v>421794.5</v>
      </c>
      <c r="M107" s="213"/>
      <c r="N107" s="213">
        <f>O107+P107</f>
        <v>258904</v>
      </c>
      <c r="O107" s="213"/>
      <c r="P107" s="213">
        <v>258904</v>
      </c>
    </row>
    <row r="108" spans="1:16" x14ac:dyDescent="0.25">
      <c r="A108" s="214"/>
      <c r="B108" s="214"/>
      <c r="C108" s="225"/>
      <c r="D108" s="373">
        <f>SUM(D105:D106)</f>
        <v>56381808.579999998</v>
      </c>
      <c r="E108" s="374">
        <f>SUM(E105:E107)</f>
        <v>55535005.75</v>
      </c>
      <c r="F108" s="373">
        <f>SUM(F105:F107)</f>
        <v>-10372305.269999996</v>
      </c>
      <c r="G108" s="373">
        <f>SUM(G105:G107)</f>
        <v>45162700.480000004</v>
      </c>
      <c r="I108" s="373">
        <f t="shared" ref="I108:P108" si="15">SUM(I105:I107)</f>
        <v>45162700.480000004</v>
      </c>
      <c r="J108" s="373">
        <f t="shared" si="15"/>
        <v>52629646.780000001</v>
      </c>
      <c r="K108" s="373">
        <f t="shared" si="15"/>
        <v>0</v>
      </c>
      <c r="L108" s="373">
        <f t="shared" si="15"/>
        <v>52629646.780000001</v>
      </c>
      <c r="M108" s="373">
        <f t="shared" si="15"/>
        <v>0</v>
      </c>
      <c r="N108" s="373">
        <f t="shared" si="15"/>
        <v>53879838.300000004</v>
      </c>
      <c r="O108" s="373">
        <f t="shared" si="15"/>
        <v>-17264150.050000001</v>
      </c>
      <c r="P108" s="373">
        <f t="shared" si="15"/>
        <v>71143988.350000009</v>
      </c>
    </row>
    <row r="109" spans="1:16" x14ac:dyDescent="0.25">
      <c r="A109" s="214"/>
      <c r="B109" s="214"/>
      <c r="C109" s="225"/>
      <c r="D109" s="213"/>
      <c r="E109" s="212"/>
      <c r="F109" s="372"/>
      <c r="G109" s="213"/>
      <c r="I109" s="213"/>
      <c r="J109" s="213"/>
      <c r="K109" s="213"/>
      <c r="L109" s="213"/>
      <c r="M109" s="213"/>
      <c r="N109" s="213"/>
      <c r="O109" s="213"/>
      <c r="P109" s="213"/>
    </row>
    <row r="110" spans="1:16" x14ac:dyDescent="0.25">
      <c r="A110" s="238" t="s">
        <v>135</v>
      </c>
      <c r="B110" s="238" t="s">
        <v>609</v>
      </c>
      <c r="C110" s="225"/>
      <c r="D110" s="213"/>
      <c r="E110" s="212"/>
      <c r="F110" s="372"/>
      <c r="G110" s="213"/>
      <c r="I110" s="213"/>
      <c r="J110" s="213"/>
      <c r="K110" s="213"/>
      <c r="L110" s="213"/>
      <c r="M110" s="213"/>
      <c r="N110" s="213"/>
      <c r="O110" s="213"/>
      <c r="P110" s="213"/>
    </row>
    <row r="111" spans="1:16" x14ac:dyDescent="0.25">
      <c r="A111" s="214"/>
      <c r="B111" s="214" t="s">
        <v>609</v>
      </c>
      <c r="C111" s="225">
        <v>90167018</v>
      </c>
      <c r="D111" s="213">
        <v>173534040.19999999</v>
      </c>
      <c r="E111" s="212">
        <v>220067976.16999999</v>
      </c>
      <c r="F111" s="372">
        <f>G111-E111</f>
        <v>0</v>
      </c>
      <c r="G111" s="213">
        <v>220067976.16999999</v>
      </c>
      <c r="I111" s="213">
        <f>220067976+14832117</f>
        <v>234900093</v>
      </c>
      <c r="J111" s="213">
        <f>257477810.25+16084299</f>
        <v>273562109.25</v>
      </c>
      <c r="K111" s="213"/>
      <c r="L111" s="213">
        <f>257477810.25+16084299</f>
        <v>273562109.25</v>
      </c>
      <c r="M111" s="213"/>
      <c r="N111" s="213">
        <f>O111+P111</f>
        <v>330403418.98000002</v>
      </c>
      <c r="O111" s="213">
        <f>-8478406-11661759.7</f>
        <v>-20140165.699999999</v>
      </c>
      <c r="P111" s="213">
        <v>350543584.68000001</v>
      </c>
    </row>
    <row r="112" spans="1:16" x14ac:dyDescent="0.25">
      <c r="A112" s="214"/>
      <c r="B112" s="232" t="s">
        <v>220</v>
      </c>
      <c r="C112" s="225">
        <v>90167018</v>
      </c>
      <c r="D112" s="213"/>
      <c r="E112" s="212"/>
      <c r="F112" s="372"/>
      <c r="G112" s="213"/>
      <c r="I112" s="213"/>
      <c r="J112" s="213"/>
      <c r="K112" s="213"/>
      <c r="L112" s="213"/>
      <c r="M112" s="213"/>
      <c r="N112" s="213">
        <f>O112+P112</f>
        <v>20058221</v>
      </c>
      <c r="O112" s="213"/>
      <c r="P112" s="213">
        <v>20058221</v>
      </c>
    </row>
    <row r="113" spans="1:16" x14ac:dyDescent="0.25">
      <c r="A113" s="214"/>
      <c r="B113" s="214" t="s">
        <v>136</v>
      </c>
      <c r="C113" s="225">
        <v>90016004</v>
      </c>
      <c r="D113" s="213">
        <v>-46815696.469999999</v>
      </c>
      <c r="E113" s="212">
        <v>-66703185.789999999</v>
      </c>
      <c r="F113" s="372">
        <f>G113-E113</f>
        <v>-42424588.000000007</v>
      </c>
      <c r="G113" s="213">
        <v>-109127773.79000001</v>
      </c>
      <c r="I113" s="213">
        <v>-109127773.79000001</v>
      </c>
      <c r="J113" s="213">
        <v>-106736120</v>
      </c>
      <c r="K113" s="213"/>
      <c r="L113" s="213">
        <v>-106736120</v>
      </c>
      <c r="M113" s="213"/>
      <c r="N113" s="213">
        <f>O113+P113</f>
        <v>-145856743</v>
      </c>
      <c r="O113" s="213"/>
      <c r="P113" s="213">
        <v>-145856743</v>
      </c>
    </row>
    <row r="114" spans="1:16" x14ac:dyDescent="0.25">
      <c r="A114" s="214"/>
      <c r="B114" s="214" t="s">
        <v>137</v>
      </c>
      <c r="C114" s="225">
        <v>90171008</v>
      </c>
      <c r="D114" s="213">
        <v>0</v>
      </c>
      <c r="E114" s="212">
        <f>43194512.34-25000000</f>
        <v>18194512.340000004</v>
      </c>
      <c r="F114" s="372">
        <f>G114-E114</f>
        <v>0</v>
      </c>
      <c r="G114" s="213">
        <f>43194512.34-25000000</f>
        <v>18194512.340000004</v>
      </c>
      <c r="I114" s="213">
        <f>-43194512.34+25000000</f>
        <v>-18194512.340000004</v>
      </c>
      <c r="J114" s="213">
        <v>-17980405.280000001</v>
      </c>
      <c r="K114" s="213"/>
      <c r="L114" s="213">
        <v>-17980405.280000001</v>
      </c>
      <c r="M114" s="213"/>
      <c r="N114" s="213">
        <f>O114+P114</f>
        <v>-18800340.869999997</v>
      </c>
      <c r="O114" s="213"/>
      <c r="P114" s="213">
        <v>-18800340.869999997</v>
      </c>
    </row>
    <row r="115" spans="1:16" x14ac:dyDescent="0.25">
      <c r="A115" s="214"/>
      <c r="B115" s="375" t="s">
        <v>138</v>
      </c>
      <c r="C115" s="225">
        <v>90169023</v>
      </c>
      <c r="D115" s="213">
        <v>5586285.8300000001</v>
      </c>
      <c r="E115" s="212">
        <v>14893744.380000001</v>
      </c>
      <c r="F115" s="372">
        <f>G115-E115</f>
        <v>0</v>
      </c>
      <c r="G115" s="213">
        <v>14893744.380000001</v>
      </c>
      <c r="I115" s="213">
        <v>14893744.380000001</v>
      </c>
      <c r="J115" s="213">
        <v>4804497.29</v>
      </c>
      <c r="K115" s="213"/>
      <c r="L115" s="213">
        <v>4804497.29</v>
      </c>
      <c r="M115" s="213"/>
      <c r="N115" s="213">
        <f>O115+P115</f>
        <v>7697582.6500000004</v>
      </c>
      <c r="O115" s="213"/>
      <c r="P115" s="213">
        <v>7697582.6500000004</v>
      </c>
    </row>
    <row r="116" spans="1:16" x14ac:dyDescent="0.25">
      <c r="A116" s="214"/>
      <c r="B116" s="214"/>
      <c r="C116" s="225"/>
      <c r="D116" s="373">
        <f>SUM(D111:D113)</f>
        <v>126718343.72999999</v>
      </c>
      <c r="E116" s="374">
        <f>SUM(E111:E113)</f>
        <v>153364790.38</v>
      </c>
      <c r="F116" s="373">
        <f>SUM(F111:F113)</f>
        <v>-42424588.000000007</v>
      </c>
      <c r="G116" s="373">
        <f>SUM(G111:G113)</f>
        <v>110940202.37999998</v>
      </c>
      <c r="I116" s="373">
        <f t="shared" ref="I116:P116" si="16">SUM(I111:I115)</f>
        <v>122471551.24999999</v>
      </c>
      <c r="J116" s="373">
        <f t="shared" si="16"/>
        <v>153650081.25999999</v>
      </c>
      <c r="K116" s="373">
        <f t="shared" si="16"/>
        <v>0</v>
      </c>
      <c r="L116" s="373">
        <f t="shared" si="16"/>
        <v>153650081.25999999</v>
      </c>
      <c r="M116" s="373">
        <f t="shared" si="16"/>
        <v>0</v>
      </c>
      <c r="N116" s="373">
        <f t="shared" si="16"/>
        <v>193502138.76000002</v>
      </c>
      <c r="O116" s="373">
        <f t="shared" si="16"/>
        <v>-20140165.699999999</v>
      </c>
      <c r="P116" s="373">
        <f t="shared" si="16"/>
        <v>213642304.46000001</v>
      </c>
    </row>
    <row r="117" spans="1:16" x14ac:dyDescent="0.25">
      <c r="A117" s="214"/>
      <c r="B117" s="214"/>
      <c r="C117" s="225"/>
      <c r="D117" s="213"/>
      <c r="E117" s="212"/>
      <c r="F117" s="372"/>
      <c r="G117" s="213"/>
      <c r="I117" s="213"/>
      <c r="J117" s="213"/>
      <c r="K117" s="213"/>
      <c r="L117" s="213"/>
      <c r="M117" s="213"/>
      <c r="N117" s="213"/>
      <c r="O117" s="213"/>
      <c r="P117" s="213"/>
    </row>
    <row r="118" spans="1:16" x14ac:dyDescent="0.25">
      <c r="A118" s="238" t="s">
        <v>139</v>
      </c>
      <c r="B118" s="238" t="s">
        <v>288</v>
      </c>
      <c r="C118" s="225"/>
      <c r="D118" s="213"/>
      <c r="E118" s="212"/>
      <c r="F118" s="372"/>
      <c r="G118" s="213"/>
      <c r="I118" s="213"/>
      <c r="J118" s="213"/>
      <c r="K118" s="213"/>
      <c r="L118" s="213"/>
      <c r="M118" s="213"/>
      <c r="N118" s="213"/>
      <c r="O118" s="213"/>
      <c r="P118" s="213"/>
    </row>
    <row r="119" spans="1:16" x14ac:dyDescent="0.25">
      <c r="A119" s="214"/>
      <c r="B119" s="375" t="s">
        <v>140</v>
      </c>
      <c r="C119" s="225"/>
      <c r="D119" s="213"/>
      <c r="E119" s="212"/>
      <c r="F119" s="372"/>
      <c r="G119" s="213"/>
      <c r="I119" s="213"/>
      <c r="J119" s="213"/>
      <c r="K119" s="213"/>
      <c r="L119" s="213"/>
      <c r="M119" s="213"/>
      <c r="N119" s="213"/>
      <c r="O119" s="213"/>
      <c r="P119" s="213"/>
    </row>
    <row r="120" spans="1:16" x14ac:dyDescent="0.25">
      <c r="A120" s="214"/>
      <c r="B120" s="375" t="s">
        <v>141</v>
      </c>
      <c r="C120" s="225">
        <v>90170025</v>
      </c>
      <c r="D120" s="213">
        <v>760520.55</v>
      </c>
      <c r="E120" s="212">
        <v>0</v>
      </c>
      <c r="F120" s="372">
        <f t="shared" ref="F120:F129" si="17">G120-E120</f>
        <v>0</v>
      </c>
      <c r="G120" s="213"/>
      <c r="I120" s="213"/>
      <c r="J120" s="213"/>
      <c r="K120" s="213"/>
      <c r="L120" s="213"/>
      <c r="M120" s="213"/>
      <c r="N120" s="213"/>
      <c r="O120" s="213"/>
      <c r="P120" s="213"/>
    </row>
    <row r="121" spans="1:16" x14ac:dyDescent="0.25">
      <c r="A121" s="214"/>
      <c r="B121" s="375" t="s">
        <v>142</v>
      </c>
      <c r="C121" s="225">
        <v>90170030</v>
      </c>
      <c r="D121" s="213">
        <v>733056.17</v>
      </c>
      <c r="E121" s="212">
        <v>548699.01</v>
      </c>
      <c r="F121" s="372">
        <f t="shared" si="17"/>
        <v>0</v>
      </c>
      <c r="G121" s="213">
        <v>548699.01</v>
      </c>
      <c r="I121" s="213">
        <v>548699.01</v>
      </c>
      <c r="J121" s="213">
        <v>0</v>
      </c>
      <c r="K121" s="213"/>
      <c r="L121" s="213">
        <v>0</v>
      </c>
      <c r="M121" s="213"/>
      <c r="N121" s="213">
        <f t="shared" ref="N121:N129" si="18">O121+P121</f>
        <v>347692.33</v>
      </c>
      <c r="O121" s="213"/>
      <c r="P121" s="213">
        <v>347692.33</v>
      </c>
    </row>
    <row r="122" spans="1:16" x14ac:dyDescent="0.25">
      <c r="A122" s="214"/>
      <c r="B122" s="375" t="s">
        <v>143</v>
      </c>
      <c r="C122" s="225">
        <v>90170031</v>
      </c>
      <c r="D122" s="213">
        <v>502068.49</v>
      </c>
      <c r="E122" s="212">
        <v>455521.16</v>
      </c>
      <c r="F122" s="372">
        <f t="shared" si="17"/>
        <v>0</v>
      </c>
      <c r="G122" s="213">
        <v>455521.16</v>
      </c>
      <c r="I122" s="213">
        <v>455521.16</v>
      </c>
      <c r="J122" s="213">
        <v>0</v>
      </c>
      <c r="K122" s="213"/>
      <c r="L122" s="213">
        <v>0</v>
      </c>
      <c r="M122" s="213"/>
      <c r="N122" s="213">
        <f t="shared" si="18"/>
        <v>204079.06</v>
      </c>
      <c r="O122" s="213"/>
      <c r="P122" s="213">
        <v>204079.06</v>
      </c>
    </row>
    <row r="123" spans="1:16" x14ac:dyDescent="0.25">
      <c r="A123" s="214"/>
      <c r="B123" s="239" t="s">
        <v>1049</v>
      </c>
      <c r="C123" s="225">
        <v>90170032</v>
      </c>
      <c r="D123" s="213"/>
      <c r="E123" s="212"/>
      <c r="F123" s="372"/>
      <c r="G123" s="213"/>
      <c r="I123" s="213"/>
      <c r="J123" s="213"/>
      <c r="K123" s="213"/>
      <c r="L123" s="213"/>
      <c r="M123" s="213"/>
      <c r="N123" s="213">
        <f t="shared" si="18"/>
        <v>382780</v>
      </c>
      <c r="O123" s="213">
        <v>382780</v>
      </c>
      <c r="P123" s="213">
        <v>0</v>
      </c>
    </row>
    <row r="124" spans="1:16" x14ac:dyDescent="0.25">
      <c r="A124" s="214"/>
      <c r="B124" s="375" t="s">
        <v>421</v>
      </c>
      <c r="C124" s="225">
        <v>90170034</v>
      </c>
      <c r="D124" s="213">
        <v>502068.49</v>
      </c>
      <c r="E124" s="212">
        <v>569931.51</v>
      </c>
      <c r="F124" s="372">
        <f t="shared" si="17"/>
        <v>0</v>
      </c>
      <c r="G124" s="213">
        <v>569931.51</v>
      </c>
      <c r="I124" s="213">
        <v>569931.51</v>
      </c>
      <c r="J124" s="213">
        <v>0</v>
      </c>
      <c r="K124" s="213"/>
      <c r="L124" s="213">
        <v>0</v>
      </c>
      <c r="M124" s="213"/>
      <c r="N124" s="213">
        <f t="shared" si="18"/>
        <v>168844.56</v>
      </c>
      <c r="O124" s="213"/>
      <c r="P124" s="213">
        <v>168844.56</v>
      </c>
    </row>
    <row r="125" spans="1:16" x14ac:dyDescent="0.25">
      <c r="A125" s="214"/>
      <c r="B125" s="375" t="s">
        <v>144</v>
      </c>
      <c r="C125" s="225">
        <v>90170037</v>
      </c>
      <c r="D125" s="213">
        <v>502068.49</v>
      </c>
      <c r="E125" s="212">
        <v>455450.6</v>
      </c>
      <c r="F125" s="372">
        <f t="shared" si="17"/>
        <v>0</v>
      </c>
      <c r="G125" s="213">
        <v>455450.6</v>
      </c>
      <c r="I125" s="213">
        <v>455450.6</v>
      </c>
      <c r="J125" s="213">
        <v>0</v>
      </c>
      <c r="K125" s="213"/>
      <c r="L125" s="213">
        <v>0</v>
      </c>
      <c r="M125" s="213"/>
      <c r="N125" s="213">
        <f t="shared" si="18"/>
        <v>82191.78</v>
      </c>
      <c r="O125" s="213"/>
      <c r="P125" s="213">
        <v>82191.78</v>
      </c>
    </row>
    <row r="126" spans="1:16" x14ac:dyDescent="0.25">
      <c r="A126" s="214"/>
      <c r="B126" s="239" t="s">
        <v>49</v>
      </c>
      <c r="C126" s="225">
        <v>90171007</v>
      </c>
      <c r="D126" s="213"/>
      <c r="E126" s="212"/>
      <c r="F126" s="372"/>
      <c r="G126" s="213"/>
      <c r="I126" s="213"/>
      <c r="J126" s="213"/>
      <c r="K126" s="213"/>
      <c r="L126" s="213"/>
      <c r="M126" s="213"/>
      <c r="N126" s="213">
        <f t="shared" si="18"/>
        <v>77130.27</v>
      </c>
      <c r="O126" s="213"/>
      <c r="P126" s="213">
        <v>77130.27</v>
      </c>
    </row>
    <row r="127" spans="1:16" x14ac:dyDescent="0.25">
      <c r="A127" s="214"/>
      <c r="B127" s="214" t="s">
        <v>145</v>
      </c>
      <c r="C127" s="225">
        <v>90171006</v>
      </c>
      <c r="D127" s="213">
        <v>0</v>
      </c>
      <c r="E127" s="212">
        <v>49544.81</v>
      </c>
      <c r="F127" s="372">
        <f t="shared" si="17"/>
        <v>0</v>
      </c>
      <c r="G127" s="213">
        <v>49544.81</v>
      </c>
      <c r="I127" s="213">
        <v>49544.81</v>
      </c>
      <c r="J127" s="213">
        <v>0</v>
      </c>
      <c r="K127" s="213"/>
      <c r="L127" s="213">
        <v>0</v>
      </c>
      <c r="M127" s="213"/>
      <c r="N127" s="213">
        <f t="shared" si="18"/>
        <v>0</v>
      </c>
      <c r="O127" s="213"/>
      <c r="P127" s="213"/>
    </row>
    <row r="128" spans="1:16" x14ac:dyDescent="0.25">
      <c r="A128" s="214"/>
      <c r="B128" s="214" t="s">
        <v>114</v>
      </c>
      <c r="C128" s="225">
        <v>90171023</v>
      </c>
      <c r="D128" s="213">
        <v>663854.12</v>
      </c>
      <c r="E128" s="212">
        <v>17024.55</v>
      </c>
      <c r="F128" s="372">
        <f t="shared" si="17"/>
        <v>0</v>
      </c>
      <c r="G128" s="213">
        <v>17024.55</v>
      </c>
      <c r="I128" s="213">
        <v>17024.55</v>
      </c>
      <c r="J128" s="213">
        <v>175195</v>
      </c>
      <c r="K128" s="213"/>
      <c r="L128" s="213">
        <v>175195</v>
      </c>
      <c r="M128" s="213"/>
      <c r="N128" s="213">
        <f t="shared" si="18"/>
        <v>493401.45</v>
      </c>
      <c r="O128" s="213"/>
      <c r="P128" s="213">
        <v>493401.45</v>
      </c>
    </row>
    <row r="129" spans="1:16" x14ac:dyDescent="0.25">
      <c r="A129" s="214"/>
      <c r="B129" s="214" t="s">
        <v>146</v>
      </c>
      <c r="C129" s="225">
        <v>90171040</v>
      </c>
      <c r="D129" s="213">
        <v>112575.61</v>
      </c>
      <c r="E129" s="212">
        <v>2159600.81</v>
      </c>
      <c r="F129" s="372">
        <f t="shared" si="17"/>
        <v>0</v>
      </c>
      <c r="G129" s="213">
        <v>2159600.81</v>
      </c>
      <c r="I129" s="213">
        <v>2159600.81</v>
      </c>
      <c r="J129" s="213">
        <v>5360028.87</v>
      </c>
      <c r="K129" s="213"/>
      <c r="L129" s="213">
        <v>5360028.87</v>
      </c>
      <c r="M129" s="213"/>
      <c r="N129" s="213">
        <f t="shared" si="18"/>
        <v>1359690.43</v>
      </c>
      <c r="O129" s="213"/>
      <c r="P129" s="213">
        <v>1359690.43</v>
      </c>
    </row>
    <row r="130" spans="1:16" x14ac:dyDescent="0.25">
      <c r="A130" s="214"/>
      <c r="B130" s="214"/>
      <c r="C130" s="225"/>
      <c r="D130" s="373">
        <f>SUM(D120:D129)</f>
        <v>3776211.9200000004</v>
      </c>
      <c r="E130" s="374">
        <f>SUM(E120:E129)</f>
        <v>4255772.45</v>
      </c>
      <c r="F130" s="373">
        <f>SUM(F120:F129)</f>
        <v>0</v>
      </c>
      <c r="G130" s="373">
        <f>SUM(G120:G129)</f>
        <v>4255772.45</v>
      </c>
      <c r="I130" s="373">
        <f t="shared" ref="I130:P130" si="19">SUM(I120:I129)</f>
        <v>4255772.45</v>
      </c>
      <c r="J130" s="373">
        <f t="shared" si="19"/>
        <v>5535223.8700000001</v>
      </c>
      <c r="K130" s="373">
        <f t="shared" si="19"/>
        <v>0</v>
      </c>
      <c r="L130" s="373">
        <f t="shared" si="19"/>
        <v>5535223.8700000001</v>
      </c>
      <c r="M130" s="373">
        <f t="shared" si="19"/>
        <v>0</v>
      </c>
      <c r="N130" s="373">
        <f t="shared" si="19"/>
        <v>3115809.88</v>
      </c>
      <c r="O130" s="373">
        <f t="shared" si="19"/>
        <v>382780</v>
      </c>
      <c r="P130" s="373">
        <f t="shared" si="19"/>
        <v>2733029.88</v>
      </c>
    </row>
    <row r="131" spans="1:16" x14ac:dyDescent="0.25">
      <c r="A131" s="214"/>
      <c r="B131" s="214" t="s">
        <v>147</v>
      </c>
      <c r="C131" s="225">
        <v>90167007</v>
      </c>
      <c r="D131" s="213">
        <v>141167.04000000001</v>
      </c>
      <c r="E131" s="212">
        <v>392667.44</v>
      </c>
      <c r="F131" s="372">
        <f>G131-E131</f>
        <v>0</v>
      </c>
      <c r="G131" s="213">
        <v>392667.44</v>
      </c>
      <c r="I131" s="213">
        <v>392667.44</v>
      </c>
      <c r="J131" s="213">
        <v>498704.99</v>
      </c>
      <c r="K131" s="213"/>
      <c r="L131" s="213">
        <v>498704.99</v>
      </c>
      <c r="M131" s="213"/>
      <c r="N131" s="213">
        <f>O131+P131</f>
        <v>500899.99</v>
      </c>
      <c r="O131" s="213"/>
      <c r="P131" s="213">
        <v>500899.99</v>
      </c>
    </row>
    <row r="132" spans="1:16" x14ac:dyDescent="0.25">
      <c r="A132" s="214"/>
      <c r="B132" s="214"/>
      <c r="C132" s="225"/>
      <c r="D132" s="373">
        <f>D130+D131</f>
        <v>3917378.9600000004</v>
      </c>
      <c r="E132" s="374">
        <f>E130+E131</f>
        <v>4648439.8900000006</v>
      </c>
      <c r="F132" s="373">
        <f>F130+F131</f>
        <v>0</v>
      </c>
      <c r="G132" s="373">
        <f>G130+G131</f>
        <v>4648439.8900000006</v>
      </c>
      <c r="I132" s="373">
        <f t="shared" ref="I132:P132" si="20">I130+I131</f>
        <v>4648439.8900000006</v>
      </c>
      <c r="J132" s="373">
        <f t="shared" si="20"/>
        <v>6033928.8600000003</v>
      </c>
      <c r="K132" s="373">
        <f t="shared" si="20"/>
        <v>0</v>
      </c>
      <c r="L132" s="373">
        <f t="shared" si="20"/>
        <v>6033928.8600000003</v>
      </c>
      <c r="M132" s="373">
        <f t="shared" si="20"/>
        <v>0</v>
      </c>
      <c r="N132" s="373">
        <f t="shared" si="20"/>
        <v>3616709.87</v>
      </c>
      <c r="O132" s="373">
        <f t="shared" si="20"/>
        <v>382780</v>
      </c>
      <c r="P132" s="373">
        <f t="shared" si="20"/>
        <v>3233929.87</v>
      </c>
    </row>
    <row r="133" spans="1:16" x14ac:dyDescent="0.25">
      <c r="A133" s="214"/>
      <c r="B133" s="214"/>
      <c r="C133" s="225"/>
      <c r="D133" s="213"/>
      <c r="E133" s="212"/>
      <c r="F133" s="372"/>
      <c r="G133" s="213"/>
      <c r="I133" s="213"/>
      <c r="J133" s="213"/>
      <c r="K133" s="213"/>
      <c r="L133" s="213"/>
      <c r="M133" s="213"/>
      <c r="N133" s="213"/>
      <c r="O133" s="213"/>
      <c r="P133" s="213"/>
    </row>
    <row r="134" spans="1:16" x14ac:dyDescent="0.25">
      <c r="A134" s="238" t="s">
        <v>148</v>
      </c>
      <c r="B134" s="238" t="s">
        <v>813</v>
      </c>
      <c r="C134" s="225">
        <v>90171036</v>
      </c>
      <c r="D134" s="213">
        <v>36777150.990000002</v>
      </c>
      <c r="E134" s="212">
        <v>55780834.829999998</v>
      </c>
      <c r="F134" s="372">
        <f>G134-E134</f>
        <v>0</v>
      </c>
      <c r="G134" s="213">
        <v>55780834.829999998</v>
      </c>
      <c r="I134" s="213">
        <v>55780834.829999998</v>
      </c>
      <c r="J134" s="213">
        <v>43055833.020000003</v>
      </c>
      <c r="K134" s="213"/>
      <c r="L134" s="213">
        <v>43055833.020000003</v>
      </c>
      <c r="M134" s="213"/>
      <c r="N134" s="213">
        <f>O134+P134</f>
        <v>11599731.139999999</v>
      </c>
      <c r="O134" s="213">
        <f>-258626.18-305303+918087.71</f>
        <v>354158.53</v>
      </c>
      <c r="P134" s="213">
        <v>11245572.609999999</v>
      </c>
    </row>
    <row r="135" spans="1:16" x14ac:dyDescent="0.25">
      <c r="A135" s="214"/>
      <c r="B135" s="214"/>
      <c r="C135" s="225"/>
      <c r="D135" s="213"/>
      <c r="E135" s="212"/>
      <c r="F135" s="372"/>
      <c r="G135" s="213"/>
      <c r="I135" s="213"/>
      <c r="J135" s="213"/>
      <c r="K135" s="213"/>
      <c r="L135" s="213"/>
      <c r="M135" s="213"/>
      <c r="N135" s="213"/>
      <c r="O135" s="213"/>
      <c r="P135" s="213"/>
    </row>
    <row r="136" spans="1:16" x14ac:dyDescent="0.25">
      <c r="A136" s="238" t="s">
        <v>149</v>
      </c>
      <c r="B136" s="238" t="s">
        <v>150</v>
      </c>
      <c r="C136" s="225"/>
      <c r="D136" s="213"/>
      <c r="E136" s="212"/>
      <c r="F136" s="372"/>
      <c r="G136" s="213"/>
      <c r="I136" s="213"/>
      <c r="J136" s="213"/>
      <c r="K136" s="213"/>
      <c r="L136" s="213"/>
      <c r="M136" s="213"/>
      <c r="N136" s="213"/>
      <c r="O136" s="213"/>
      <c r="P136" s="213"/>
    </row>
    <row r="137" spans="1:16" x14ac:dyDescent="0.25">
      <c r="A137" s="238"/>
      <c r="B137" s="238" t="s">
        <v>933</v>
      </c>
      <c r="C137" s="225"/>
      <c r="D137" s="213"/>
      <c r="E137" s="212"/>
      <c r="F137" s="372"/>
      <c r="G137" s="213"/>
      <c r="I137" s="213"/>
      <c r="J137" s="213"/>
      <c r="K137" s="213"/>
      <c r="L137" s="213"/>
      <c r="M137" s="213"/>
      <c r="N137" s="213"/>
      <c r="O137" s="213"/>
      <c r="P137" s="213"/>
    </row>
    <row r="138" spans="1:16" x14ac:dyDescent="0.25">
      <c r="A138" s="214"/>
      <c r="B138" s="375" t="s">
        <v>151</v>
      </c>
      <c r="C138" s="225" t="s">
        <v>586</v>
      </c>
      <c r="D138" s="213">
        <v>65738258.329999998</v>
      </c>
      <c r="E138" s="212">
        <v>49671262.810000002</v>
      </c>
      <c r="F138" s="372">
        <f>G138-E138</f>
        <v>0</v>
      </c>
      <c r="G138" s="213">
        <v>49671262.810000002</v>
      </c>
      <c r="I138" s="213">
        <v>49671262.810000002</v>
      </c>
      <c r="J138" s="213">
        <v>-96234164.329999998</v>
      </c>
      <c r="K138" s="213"/>
      <c r="L138" s="213">
        <v>-96234164.329999998</v>
      </c>
      <c r="M138" s="213"/>
      <c r="N138" s="213">
        <f>O138+P138</f>
        <v>4591464.53</v>
      </c>
      <c r="O138" s="213"/>
      <c r="P138" s="213">
        <v>4591464.53</v>
      </c>
    </row>
    <row r="139" spans="1:16" x14ac:dyDescent="0.25">
      <c r="A139" s="214"/>
      <c r="B139" s="375" t="s">
        <v>152</v>
      </c>
      <c r="C139" s="225">
        <v>90169021</v>
      </c>
      <c r="D139" s="213">
        <v>12000</v>
      </c>
      <c r="E139" s="212">
        <v>93408.37</v>
      </c>
      <c r="F139" s="372">
        <f>G139-E139</f>
        <v>0</v>
      </c>
      <c r="G139" s="213">
        <v>93408.37</v>
      </c>
      <c r="I139" s="213">
        <v>93408.37</v>
      </c>
      <c r="J139" s="213">
        <v>961</v>
      </c>
      <c r="K139" s="213"/>
      <c r="L139" s="213">
        <v>961</v>
      </c>
      <c r="M139" s="213"/>
      <c r="N139" s="213">
        <f>O139+P139</f>
        <v>961</v>
      </c>
      <c r="O139" s="213"/>
      <c r="P139" s="213">
        <v>961</v>
      </c>
    </row>
    <row r="140" spans="1:16" x14ac:dyDescent="0.25">
      <c r="A140" s="214"/>
      <c r="B140" s="375" t="s">
        <v>153</v>
      </c>
      <c r="C140" s="225">
        <v>90169029</v>
      </c>
      <c r="D140" s="213">
        <v>465677.8</v>
      </c>
      <c r="E140" s="212">
        <v>165488.9</v>
      </c>
      <c r="F140" s="372">
        <f>G140-E140</f>
        <v>0</v>
      </c>
      <c r="G140" s="213">
        <v>165488.9</v>
      </c>
      <c r="I140" s="213">
        <v>165488.9</v>
      </c>
      <c r="J140" s="213">
        <v>205996.33</v>
      </c>
      <c r="K140" s="213"/>
      <c r="L140" s="213">
        <v>205996.33</v>
      </c>
      <c r="M140" s="213"/>
      <c r="N140" s="213">
        <f>O140+P140</f>
        <v>271155.88</v>
      </c>
      <c r="O140" s="213"/>
      <c r="P140" s="213">
        <v>271155.88</v>
      </c>
    </row>
    <row r="141" spans="1:16" x14ac:dyDescent="0.25">
      <c r="A141" s="214"/>
      <c r="B141" s="214"/>
      <c r="C141" s="225"/>
      <c r="D141" s="373">
        <f>SUM(D138:D140)</f>
        <v>66215936.129999995</v>
      </c>
      <c r="E141" s="374">
        <f>SUM(E138:E140)</f>
        <v>49930160.079999998</v>
      </c>
      <c r="F141" s="373">
        <f>SUM(F138:F140)</f>
        <v>0</v>
      </c>
      <c r="G141" s="373">
        <f>SUM(G138:G140)</f>
        <v>49930160.079999998</v>
      </c>
      <c r="I141" s="373">
        <f t="shared" ref="I141:P141" si="21">SUM(I138:I140)</f>
        <v>49930160.079999998</v>
      </c>
      <c r="J141" s="373">
        <f t="shared" si="21"/>
        <v>-96027207</v>
      </c>
      <c r="K141" s="373">
        <f t="shared" si="21"/>
        <v>0</v>
      </c>
      <c r="L141" s="373">
        <f t="shared" si="21"/>
        <v>-96027207</v>
      </c>
      <c r="M141" s="373">
        <f t="shared" si="21"/>
        <v>0</v>
      </c>
      <c r="N141" s="373">
        <f t="shared" si="21"/>
        <v>4863581.41</v>
      </c>
      <c r="O141" s="373">
        <f t="shared" si="21"/>
        <v>0</v>
      </c>
      <c r="P141" s="373">
        <f t="shared" si="21"/>
        <v>4863581.41</v>
      </c>
    </row>
    <row r="142" spans="1:16" x14ac:dyDescent="0.25">
      <c r="A142" s="214"/>
      <c r="B142" s="214" t="s">
        <v>154</v>
      </c>
      <c r="C142" s="225">
        <v>90169009</v>
      </c>
      <c r="D142" s="213">
        <v>256341659.61000001</v>
      </c>
      <c r="E142" s="212">
        <v>128455003.98999999</v>
      </c>
      <c r="F142" s="372">
        <f>G142-E142</f>
        <v>0</v>
      </c>
      <c r="G142" s="213">
        <v>128455003.98999999</v>
      </c>
      <c r="I142" s="213">
        <v>128455003.98999999</v>
      </c>
      <c r="J142" s="213">
        <v>-70</v>
      </c>
      <c r="K142" s="213"/>
      <c r="L142" s="213">
        <v>-70</v>
      </c>
      <c r="M142" s="213"/>
      <c r="N142" s="213"/>
      <c r="O142" s="213"/>
      <c r="P142" s="213"/>
    </row>
    <row r="143" spans="1:16" x14ac:dyDescent="0.25">
      <c r="A143" s="214"/>
      <c r="B143" s="214" t="s">
        <v>155</v>
      </c>
      <c r="C143" s="225">
        <v>90169011</v>
      </c>
      <c r="D143" s="213">
        <v>4397233.1500000004</v>
      </c>
      <c r="E143" s="212">
        <v>1697283.66</v>
      </c>
      <c r="F143" s="372">
        <f>G143-E143</f>
        <v>0</v>
      </c>
      <c r="G143" s="213">
        <v>1697283.66</v>
      </c>
      <c r="I143" s="213">
        <v>1697283.66</v>
      </c>
      <c r="J143" s="213">
        <v>318348.76</v>
      </c>
      <c r="K143" s="213"/>
      <c r="L143" s="213">
        <v>318348.76</v>
      </c>
      <c r="M143" s="213"/>
      <c r="N143" s="213">
        <f>O143+P143</f>
        <v>333424.01</v>
      </c>
      <c r="O143" s="213"/>
      <c r="P143" s="213">
        <v>333424.01</v>
      </c>
    </row>
    <row r="144" spans="1:16" x14ac:dyDescent="0.25">
      <c r="A144" s="214"/>
      <c r="B144" s="214" t="s">
        <v>156</v>
      </c>
      <c r="C144" s="225">
        <v>90169008</v>
      </c>
      <c r="D144" s="213">
        <v>6486.51</v>
      </c>
      <c r="E144" s="212">
        <v>6486.51</v>
      </c>
      <c r="F144" s="372">
        <f>G144-E144</f>
        <v>4386.84</v>
      </c>
      <c r="G144" s="213">
        <v>10873.35</v>
      </c>
      <c r="I144" s="213">
        <v>10873.35</v>
      </c>
      <c r="J144" s="213">
        <v>14925.39</v>
      </c>
      <c r="K144" s="213"/>
      <c r="L144" s="213">
        <v>14925.39</v>
      </c>
      <c r="M144" s="213"/>
      <c r="N144" s="213">
        <f>O144+P144</f>
        <v>545.04999999999995</v>
      </c>
      <c r="O144" s="213"/>
      <c r="P144" s="213">
        <v>545.04999999999995</v>
      </c>
    </row>
    <row r="145" spans="1:16" x14ac:dyDescent="0.25">
      <c r="A145" s="214"/>
      <c r="B145" s="214" t="s">
        <v>161</v>
      </c>
      <c r="C145" s="225">
        <v>90169007</v>
      </c>
      <c r="D145" s="213">
        <v>38760</v>
      </c>
      <c r="E145" s="212">
        <v>38760</v>
      </c>
      <c r="F145" s="372">
        <f>G145-E145</f>
        <v>0</v>
      </c>
      <c r="G145" s="213">
        <v>38760</v>
      </c>
      <c r="I145" s="213">
        <v>38760</v>
      </c>
      <c r="J145" s="213">
        <v>43760</v>
      </c>
      <c r="K145" s="213"/>
      <c r="L145" s="213">
        <v>43760</v>
      </c>
      <c r="M145" s="213"/>
      <c r="N145" s="213">
        <f>O145+P145</f>
        <v>43760</v>
      </c>
      <c r="O145" s="213"/>
      <c r="P145" s="213">
        <v>43760</v>
      </c>
    </row>
    <row r="146" spans="1:16" x14ac:dyDescent="0.25">
      <c r="A146" s="377"/>
      <c r="B146" s="377"/>
      <c r="C146" s="378"/>
      <c r="D146" s="379">
        <f>D141+D142+D143+D144+D145</f>
        <v>327000075.39999998</v>
      </c>
      <c r="E146" s="380">
        <f>E141+E142+E143+E144+E145</f>
        <v>180127694.23999998</v>
      </c>
      <c r="F146" s="379">
        <f>F141+F142+F143+F144+F145</f>
        <v>4386.84</v>
      </c>
      <c r="G146" s="379">
        <f>G141+G142+G143+G144+G145</f>
        <v>180132081.07999998</v>
      </c>
      <c r="I146" s="379">
        <f t="shared" ref="I146:P146" si="22">I141+I142+I143+I144+I145</f>
        <v>180132081.07999998</v>
      </c>
      <c r="J146" s="379">
        <f t="shared" si="22"/>
        <v>-95650242.849999994</v>
      </c>
      <c r="K146" s="379">
        <f t="shared" si="22"/>
        <v>0</v>
      </c>
      <c r="L146" s="379">
        <f t="shared" si="22"/>
        <v>-95650242.849999994</v>
      </c>
      <c r="M146" s="379">
        <f t="shared" si="22"/>
        <v>0</v>
      </c>
      <c r="N146" s="379">
        <f t="shared" si="22"/>
        <v>5241310.47</v>
      </c>
      <c r="O146" s="373">
        <f t="shared" si="22"/>
        <v>0</v>
      </c>
      <c r="P146" s="373">
        <f t="shared" si="22"/>
        <v>5241310.47</v>
      </c>
    </row>
    <row r="147" spans="1:16" x14ac:dyDescent="0.25">
      <c r="A147" s="214"/>
      <c r="B147" s="214"/>
      <c r="C147" s="225"/>
      <c r="D147" s="213"/>
      <c r="E147" s="213"/>
      <c r="F147" s="372"/>
      <c r="G147" s="213"/>
      <c r="H147" s="214"/>
      <c r="I147" s="213"/>
      <c r="J147" s="213"/>
      <c r="K147" s="213"/>
      <c r="L147" s="213"/>
      <c r="M147" s="213"/>
      <c r="N147" s="213"/>
      <c r="O147" s="213"/>
      <c r="P147" s="213"/>
    </row>
    <row r="148" spans="1:16" x14ac:dyDescent="0.25">
      <c r="A148" s="238" t="s">
        <v>1081</v>
      </c>
      <c r="B148" s="238" t="s">
        <v>547</v>
      </c>
      <c r="C148" s="225"/>
      <c r="D148" s="213"/>
      <c r="E148" s="213"/>
      <c r="F148" s="372"/>
      <c r="G148" s="213"/>
      <c r="H148" s="214"/>
      <c r="I148" s="213"/>
      <c r="J148" s="213"/>
      <c r="K148" s="213"/>
      <c r="L148" s="213"/>
      <c r="M148" s="213"/>
      <c r="N148" s="213"/>
      <c r="O148" s="213"/>
      <c r="P148" s="213"/>
    </row>
    <row r="149" spans="1:16" x14ac:dyDescent="0.25">
      <c r="A149" s="214"/>
      <c r="B149" s="214" t="s">
        <v>157</v>
      </c>
      <c r="C149" s="225">
        <v>90025004</v>
      </c>
      <c r="D149" s="213"/>
      <c r="E149" s="213">
        <v>0</v>
      </c>
      <c r="F149" s="372">
        <f>G149-E149</f>
        <v>2517920</v>
      </c>
      <c r="G149" s="213">
        <v>2517920</v>
      </c>
      <c r="H149" s="214"/>
      <c r="I149" s="213">
        <v>2517920</v>
      </c>
      <c r="J149" s="213">
        <v>2769712</v>
      </c>
      <c r="K149" s="213"/>
      <c r="L149" s="213">
        <v>2769712</v>
      </c>
      <c r="M149" s="213"/>
      <c r="N149" s="213">
        <f>O149+P149</f>
        <v>3046683</v>
      </c>
      <c r="O149" s="213"/>
      <c r="P149" s="213">
        <v>3046683</v>
      </c>
    </row>
    <row r="150" spans="1:16" x14ac:dyDescent="0.25">
      <c r="A150" s="214"/>
      <c r="B150" s="214" t="s">
        <v>382</v>
      </c>
      <c r="C150" s="225">
        <v>90026004</v>
      </c>
      <c r="D150" s="213"/>
      <c r="E150" s="213">
        <v>0</v>
      </c>
      <c r="F150" s="372">
        <f>G150-E150</f>
        <v>4456025</v>
      </c>
      <c r="G150" s="213">
        <v>4456025</v>
      </c>
      <c r="H150" s="214"/>
      <c r="I150" s="213">
        <v>4456025</v>
      </c>
      <c r="J150" s="213">
        <v>5138500</v>
      </c>
      <c r="K150" s="213"/>
      <c r="L150" s="213">
        <v>5138500</v>
      </c>
      <c r="M150" s="213"/>
      <c r="N150" s="213">
        <f>O150+P150</f>
        <v>10891470.720000001</v>
      </c>
      <c r="O150" s="213"/>
      <c r="P150" s="213">
        <v>10891470.720000001</v>
      </c>
    </row>
    <row r="151" spans="1:16" x14ac:dyDescent="0.25">
      <c r="A151" s="214"/>
      <c r="B151" s="214" t="s">
        <v>1038</v>
      </c>
      <c r="C151" s="225">
        <v>90027004</v>
      </c>
      <c r="D151" s="213"/>
      <c r="E151" s="213"/>
      <c r="F151" s="372"/>
      <c r="G151" s="213"/>
      <c r="H151" s="214"/>
      <c r="I151" s="213"/>
      <c r="J151" s="213"/>
      <c r="K151" s="213"/>
      <c r="L151" s="213"/>
      <c r="M151" s="213"/>
      <c r="N151" s="213">
        <f>O151+P151</f>
        <v>138685784.47999999</v>
      </c>
      <c r="O151" s="213"/>
      <c r="P151" s="213">
        <v>138685784.47999999</v>
      </c>
    </row>
    <row r="152" spans="1:16" x14ac:dyDescent="0.25">
      <c r="A152" s="214"/>
      <c r="B152" s="214" t="s">
        <v>1039</v>
      </c>
      <c r="C152" s="225">
        <v>90028004</v>
      </c>
      <c r="D152" s="213"/>
      <c r="E152" s="213"/>
      <c r="F152" s="372"/>
      <c r="G152" s="213"/>
      <c r="H152" s="214"/>
      <c r="I152" s="213"/>
      <c r="J152" s="213"/>
      <c r="K152" s="213"/>
      <c r="L152" s="213"/>
      <c r="M152" s="213"/>
      <c r="N152" s="213">
        <f>O152+P152</f>
        <v>6186486.1900000004</v>
      </c>
      <c r="O152" s="213"/>
      <c r="P152" s="213">
        <v>6186486.1900000004</v>
      </c>
    </row>
    <row r="153" spans="1:16" x14ac:dyDescent="0.25">
      <c r="A153" s="214"/>
      <c r="B153" s="214"/>
      <c r="C153" s="225"/>
      <c r="D153" s="213"/>
      <c r="E153" s="373">
        <f>SUM(E149:E150)</f>
        <v>0</v>
      </c>
      <c r="F153" s="373">
        <f>SUM(F149:F150)</f>
        <v>6973945</v>
      </c>
      <c r="G153" s="373">
        <f>SUM(G149:G150)</f>
        <v>6973945</v>
      </c>
      <c r="H153" s="214"/>
      <c r="I153" s="373">
        <f t="shared" ref="I153:P153" si="23">SUM(I149:I152)</f>
        <v>6973945</v>
      </c>
      <c r="J153" s="373">
        <f t="shared" si="23"/>
        <v>7908212</v>
      </c>
      <c r="K153" s="373">
        <f t="shared" si="23"/>
        <v>0</v>
      </c>
      <c r="L153" s="373">
        <f t="shared" si="23"/>
        <v>7908212</v>
      </c>
      <c r="M153" s="373">
        <f t="shared" si="23"/>
        <v>0</v>
      </c>
      <c r="N153" s="373">
        <f t="shared" si="23"/>
        <v>158810424.38999999</v>
      </c>
      <c r="O153" s="373">
        <f t="shared" si="23"/>
        <v>0</v>
      </c>
      <c r="P153" s="373">
        <f t="shared" si="23"/>
        <v>158810424.38999999</v>
      </c>
    </row>
    <row r="154" spans="1:16" x14ac:dyDescent="0.25">
      <c r="A154" s="214"/>
      <c r="B154" s="214"/>
      <c r="C154" s="225"/>
      <c r="D154" s="213"/>
      <c r="E154" s="213"/>
      <c r="F154" s="372"/>
      <c r="G154" s="213"/>
      <c r="H154" s="214"/>
      <c r="I154" s="213"/>
      <c r="J154" s="213"/>
      <c r="K154" s="213"/>
      <c r="L154" s="213"/>
      <c r="M154" s="213"/>
      <c r="N154" s="213"/>
      <c r="O154" s="213"/>
      <c r="P154" s="213"/>
    </row>
    <row r="155" spans="1:16" x14ac:dyDescent="0.25">
      <c r="A155" s="214"/>
      <c r="B155" s="214"/>
      <c r="C155" s="225"/>
      <c r="D155" s="213"/>
      <c r="E155" s="213"/>
      <c r="F155" s="372"/>
      <c r="G155" s="213"/>
      <c r="H155" s="214"/>
      <c r="I155" s="213"/>
      <c r="J155" s="213"/>
      <c r="K155" s="213"/>
      <c r="L155" s="213"/>
      <c r="M155" s="213"/>
      <c r="N155" s="213"/>
      <c r="O155" s="213"/>
      <c r="P155" s="213"/>
    </row>
    <row r="156" spans="1:16" x14ac:dyDescent="0.25">
      <c r="A156" s="238" t="s">
        <v>158</v>
      </c>
      <c r="B156" s="238" t="s">
        <v>191</v>
      </c>
      <c r="C156" s="225">
        <v>90113005</v>
      </c>
      <c r="D156" s="213"/>
      <c r="E156" s="213"/>
      <c r="F156" s="372"/>
      <c r="G156" s="213"/>
      <c r="H156" s="214"/>
      <c r="I156" s="213">
        <v>125510500</v>
      </c>
      <c r="J156" s="213">
        <v>125510500</v>
      </c>
      <c r="K156" s="213"/>
      <c r="L156" s="213">
        <v>125510500</v>
      </c>
      <c r="M156" s="213"/>
      <c r="N156" s="213">
        <f>O156+P156</f>
        <v>125510500</v>
      </c>
      <c r="O156" s="213"/>
      <c r="P156" s="213">
        <v>125510500</v>
      </c>
    </row>
    <row r="158" spans="1:16" x14ac:dyDescent="0.25">
      <c r="N158" s="306">
        <f>N4+N13+N16+N21+N28+N45+N61+N72+N75+N102+N108+N116+N132+N134+N146+N153+N156</f>
        <v>11130291193.899998</v>
      </c>
      <c r="O158" s="306">
        <f>O4+O13+O16+O21+O28+O45+O61+O72+O75+O102+O108+O116+O132+O134+O146+O153+O156</f>
        <v>-404049230.41000003</v>
      </c>
      <c r="P158" s="306">
        <f>P4+P13+P16+P21+P28+P45+P61+P72+P75+P102+P108+P116+P132+P134+P146+P153+P156</f>
        <v>11534340424.309999</v>
      </c>
    </row>
  </sheetData>
  <phoneticPr fontId="15" type="noConversion"/>
  <pageMargins left="0.74803149606299213" right="0.74803149606299213" top="0.98425196850393704" bottom="0.98425196850393704" header="0.51181102362204722" footer="0.51181102362204722"/>
  <pageSetup scale="62" orientation="portrait" horizontalDpi="300" verticalDpi="300" r:id="rId1"/>
  <headerFooter alignWithMargins="0"/>
  <rowBreaks count="2" manualBreakCount="2">
    <brk id="72" max="15" man="1"/>
    <brk id="141" max="15"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topLeftCell="A99" workbookViewId="0">
      <selection activeCell="C123" sqref="C123"/>
    </sheetView>
  </sheetViews>
  <sheetFormatPr defaultRowHeight="12.75" x14ac:dyDescent="0.2"/>
  <cols>
    <col min="1" max="1" width="7" style="1039" customWidth="1"/>
    <col min="2" max="2" width="48.28515625" style="1039" customWidth="1"/>
    <col min="3" max="3" width="16.5703125" style="1039" bestFit="1" customWidth="1"/>
    <col min="4" max="4" width="15.85546875" style="1039" bestFit="1" customWidth="1"/>
    <col min="5" max="7" width="9.140625" style="1039"/>
    <col min="8" max="8" width="12.42578125" style="1039" bestFit="1" customWidth="1"/>
    <col min="9" max="16384" width="9.140625" style="1039"/>
  </cols>
  <sheetData>
    <row r="1" spans="1:4" ht="13.5" thickBot="1" x14ac:dyDescent="0.25"/>
    <row r="2" spans="1:4" x14ac:dyDescent="0.2">
      <c r="A2" s="1040"/>
      <c r="B2" s="1041" t="s">
        <v>3980</v>
      </c>
      <c r="C2" s="1042"/>
      <c r="D2" s="1043"/>
    </row>
    <row r="3" spans="1:4" ht="13.5" thickBot="1" x14ac:dyDescent="0.25">
      <c r="A3" s="979" t="s">
        <v>3325</v>
      </c>
      <c r="B3" s="980" t="s">
        <v>1004</v>
      </c>
      <c r="C3" s="981">
        <v>2016</v>
      </c>
      <c r="D3" s="982">
        <v>2015</v>
      </c>
    </row>
    <row r="4" spans="1:4" s="318" customFormat="1" x14ac:dyDescent="0.2">
      <c r="A4" s="977">
        <v>2802</v>
      </c>
      <c r="B4" s="977" t="s">
        <v>497</v>
      </c>
      <c r="C4" s="978">
        <f>'TB3'!AD438</f>
        <v>13491314.789999999</v>
      </c>
      <c r="D4" s="978">
        <f>'TB3'!X438</f>
        <v>7639400.4699999997</v>
      </c>
    </row>
    <row r="5" spans="1:4" s="318" customFormat="1" x14ac:dyDescent="0.2">
      <c r="A5" s="928">
        <v>2804</v>
      </c>
      <c r="B5" s="928" t="s">
        <v>1292</v>
      </c>
      <c r="C5" s="974">
        <f>'TB3'!AD439</f>
        <v>9821238.3200000003</v>
      </c>
      <c r="D5" s="974">
        <f>'TB3'!X439</f>
        <v>8334847.4800000004</v>
      </c>
    </row>
    <row r="6" spans="1:4" s="318" customFormat="1" x14ac:dyDescent="0.2">
      <c r="A6" s="928">
        <v>2812</v>
      </c>
      <c r="B6" s="928" t="s">
        <v>3164</v>
      </c>
      <c r="C6" s="974">
        <f>'TB3'!AD441</f>
        <v>5150321.6399999997</v>
      </c>
      <c r="D6" s="974">
        <f>'TB3'!X441</f>
        <v>3584876.24</v>
      </c>
    </row>
    <row r="7" spans="1:4" s="318" customFormat="1" x14ac:dyDescent="0.2">
      <c r="A7" s="928">
        <v>5028</v>
      </c>
      <c r="B7" s="928" t="s">
        <v>3579</v>
      </c>
      <c r="C7" s="974">
        <f>'TB3'!AD442</f>
        <v>135600</v>
      </c>
      <c r="D7" s="974"/>
    </row>
    <row r="8" spans="1:4" s="318" customFormat="1" x14ac:dyDescent="0.2">
      <c r="A8" s="928">
        <v>6002</v>
      </c>
      <c r="B8" s="928" t="s">
        <v>3212</v>
      </c>
      <c r="C8" s="974">
        <f>'TB3'!AD443</f>
        <v>42401821.600000001</v>
      </c>
      <c r="D8" s="974">
        <f>'TB3'!X443</f>
        <v>0</v>
      </c>
    </row>
    <row r="9" spans="1:4" s="318" customFormat="1" x14ac:dyDescent="0.2">
      <c r="A9" s="928">
        <v>7405</v>
      </c>
      <c r="B9" s="928" t="s">
        <v>492</v>
      </c>
      <c r="C9" s="974">
        <f>'TB3'!AD415</f>
        <v>3042452</v>
      </c>
      <c r="D9" s="974">
        <f>'TB3'!X415</f>
        <v>9396564.8499999996</v>
      </c>
    </row>
    <row r="10" spans="1:4" s="318" customFormat="1" hidden="1" x14ac:dyDescent="0.2">
      <c r="A10" s="928">
        <v>7406</v>
      </c>
      <c r="B10" s="928" t="s">
        <v>962</v>
      </c>
      <c r="C10" s="974">
        <v>0</v>
      </c>
      <c r="D10" s="974">
        <v>0</v>
      </c>
    </row>
    <row r="11" spans="1:4" s="318" customFormat="1" x14ac:dyDescent="0.2">
      <c r="A11" s="928">
        <v>7407</v>
      </c>
      <c r="B11" s="928" t="s">
        <v>1282</v>
      </c>
      <c r="C11" s="974">
        <f>'TB3'!AD417</f>
        <v>4290859.8499999996</v>
      </c>
      <c r="D11" s="974">
        <f>'TB3'!X417</f>
        <v>2650532.11</v>
      </c>
    </row>
    <row r="12" spans="1:4" s="318" customFormat="1" hidden="1" x14ac:dyDescent="0.2">
      <c r="A12" s="928">
        <v>7408</v>
      </c>
      <c r="B12" s="928" t="s">
        <v>1283</v>
      </c>
      <c r="C12" s="974">
        <v>0</v>
      </c>
      <c r="D12" s="974">
        <v>0</v>
      </c>
    </row>
    <row r="13" spans="1:4" s="318" customFormat="1" x14ac:dyDescent="0.2">
      <c r="A13" s="928">
        <v>7410</v>
      </c>
      <c r="B13" s="928" t="s">
        <v>1284</v>
      </c>
      <c r="C13" s="974">
        <f>'TB3'!AD420</f>
        <v>9645096.8399999999</v>
      </c>
      <c r="D13" s="974">
        <f>'TB3'!X420</f>
        <v>8075950.7000000002</v>
      </c>
    </row>
    <row r="14" spans="1:4" s="318" customFormat="1" x14ac:dyDescent="0.2">
      <c r="A14" s="928">
        <v>7411</v>
      </c>
      <c r="B14" s="928" t="s">
        <v>3981</v>
      </c>
      <c r="C14" s="974">
        <f>'TB3'!AD421</f>
        <v>1581270.36</v>
      </c>
      <c r="D14" s="974">
        <f>'TB3'!X421</f>
        <v>1243974.8</v>
      </c>
    </row>
    <row r="15" spans="1:4" s="318" customFormat="1" hidden="1" x14ac:dyDescent="0.2">
      <c r="A15" s="928">
        <v>7412</v>
      </c>
      <c r="B15" s="928" t="s">
        <v>988</v>
      </c>
      <c r="C15" s="974">
        <v>0</v>
      </c>
      <c r="D15" s="974">
        <v>0</v>
      </c>
    </row>
    <row r="16" spans="1:4" s="318" customFormat="1" x14ac:dyDescent="0.2">
      <c r="A16" s="928">
        <v>7413</v>
      </c>
      <c r="B16" s="928" t="s">
        <v>1286</v>
      </c>
      <c r="C16" s="974">
        <f>'TB3'!AD423</f>
        <v>31507902.280000001</v>
      </c>
      <c r="D16" s="974">
        <f>'TB3'!X423</f>
        <v>30819907.43</v>
      </c>
    </row>
    <row r="17" spans="1:4" s="318" customFormat="1" x14ac:dyDescent="0.2">
      <c r="A17" s="928">
        <v>7415</v>
      </c>
      <c r="B17" s="928" t="s">
        <v>1287</v>
      </c>
      <c r="C17" s="974">
        <f>'TB3'!AD424</f>
        <v>3916636.67</v>
      </c>
      <c r="D17" s="974">
        <f>'TB3'!X424</f>
        <v>2672849.31</v>
      </c>
    </row>
    <row r="18" spans="1:4" s="318" customFormat="1" x14ac:dyDescent="0.2">
      <c r="A18" s="928">
        <v>7417</v>
      </c>
      <c r="B18" s="928" t="s">
        <v>1288</v>
      </c>
      <c r="C18" s="974">
        <f>'TB3'!AD425</f>
        <v>2666155.5099999998</v>
      </c>
      <c r="D18" s="974">
        <f>'TB3'!X425</f>
        <v>1461162.85</v>
      </c>
    </row>
    <row r="19" spans="1:4" s="318" customFormat="1" hidden="1" x14ac:dyDescent="0.2">
      <c r="A19" s="928">
        <v>7421</v>
      </c>
      <c r="B19" s="928" t="s">
        <v>674</v>
      </c>
      <c r="C19" s="974">
        <v>0</v>
      </c>
      <c r="D19" s="974">
        <v>0</v>
      </c>
    </row>
    <row r="20" spans="1:4" s="318" customFormat="1" hidden="1" x14ac:dyDescent="0.2">
      <c r="A20" s="928">
        <v>7423</v>
      </c>
      <c r="B20" s="928" t="s">
        <v>961</v>
      </c>
      <c r="C20" s="974">
        <v>0</v>
      </c>
      <c r="D20" s="974">
        <v>0</v>
      </c>
    </row>
    <row r="21" spans="1:4" s="318" customFormat="1" x14ac:dyDescent="0.2">
      <c r="A21" s="928">
        <v>7425</v>
      </c>
      <c r="B21" s="928" t="s">
        <v>982</v>
      </c>
      <c r="C21" s="974">
        <f>'TB3'!AD428</f>
        <v>556620.97</v>
      </c>
      <c r="D21" s="974">
        <f>'TB3'!X428</f>
        <v>523345</v>
      </c>
    </row>
    <row r="22" spans="1:4" s="318" customFormat="1" x14ac:dyDescent="0.2">
      <c r="A22" s="928">
        <v>7427</v>
      </c>
      <c r="B22" s="928" t="s">
        <v>1289</v>
      </c>
      <c r="C22" s="974">
        <f>'TB3'!AD429</f>
        <v>4499163.37</v>
      </c>
      <c r="D22" s="974">
        <f>'TB3'!X429</f>
        <v>755376.51</v>
      </c>
    </row>
    <row r="23" spans="1:4" s="318" customFormat="1" x14ac:dyDescent="0.2">
      <c r="A23" s="928">
        <v>7429</v>
      </c>
      <c r="B23" s="928" t="s">
        <v>230</v>
      </c>
      <c r="C23" s="974">
        <f>'TB3'!AD430</f>
        <v>706987.37</v>
      </c>
      <c r="D23" s="974">
        <f>'TB3'!X430</f>
        <v>1049308.3400000001</v>
      </c>
    </row>
    <row r="24" spans="1:4" s="318" customFormat="1" x14ac:dyDescent="0.2">
      <c r="A24" s="928">
        <v>7431</v>
      </c>
      <c r="B24" s="928" t="s">
        <v>231</v>
      </c>
      <c r="C24" s="974">
        <f>'TB3'!AD431</f>
        <v>503629.11</v>
      </c>
      <c r="D24" s="974">
        <f>'TB3'!X431</f>
        <v>113057.02</v>
      </c>
    </row>
    <row r="25" spans="1:4" s="318" customFormat="1" hidden="1" x14ac:dyDescent="0.2">
      <c r="A25" s="928">
        <v>7435</v>
      </c>
      <c r="B25" s="928" t="s">
        <v>1290</v>
      </c>
      <c r="C25" s="974">
        <v>0</v>
      </c>
      <c r="D25" s="974">
        <v>0</v>
      </c>
    </row>
    <row r="26" spans="1:4" s="318" customFormat="1" hidden="1" x14ac:dyDescent="0.2">
      <c r="A26" s="928">
        <v>7601</v>
      </c>
      <c r="B26" s="928" t="s">
        <v>1294</v>
      </c>
      <c r="C26" s="974">
        <f>'TB3'!AD444</f>
        <v>0</v>
      </c>
      <c r="D26" s="974">
        <f>'TB3'!X444</f>
        <v>0</v>
      </c>
    </row>
    <row r="27" spans="1:4" s="318" customFormat="1" x14ac:dyDescent="0.2">
      <c r="A27" s="928">
        <v>7833</v>
      </c>
      <c r="B27" s="928" t="s">
        <v>491</v>
      </c>
      <c r="C27" s="974">
        <f>'TB3'!AD447</f>
        <v>2732400.44</v>
      </c>
      <c r="D27" s="974">
        <f>'TB3'!X447</f>
        <v>1851207</v>
      </c>
    </row>
    <row r="28" spans="1:4" s="318" customFormat="1" hidden="1" x14ac:dyDescent="0.2">
      <c r="A28" s="928">
        <v>7839</v>
      </c>
      <c r="B28" s="928" t="s">
        <v>507</v>
      </c>
      <c r="C28" s="974">
        <f>'TB3'!AD448</f>
        <v>0</v>
      </c>
      <c r="D28" s="974">
        <f>'TB3'!X448</f>
        <v>0</v>
      </c>
    </row>
    <row r="29" spans="1:4" s="318" customFormat="1" x14ac:dyDescent="0.2">
      <c r="A29" s="928">
        <v>7841</v>
      </c>
      <c r="B29" s="928" t="s">
        <v>506</v>
      </c>
      <c r="C29" s="974">
        <f>'TB3'!AD449</f>
        <v>0</v>
      </c>
      <c r="D29" s="974">
        <f>'TB3'!X449</f>
        <v>36385.33</v>
      </c>
    </row>
    <row r="30" spans="1:4" s="318" customFormat="1" x14ac:dyDescent="0.2">
      <c r="A30" s="928">
        <v>7845</v>
      </c>
      <c r="B30" s="928" t="s">
        <v>1296</v>
      </c>
      <c r="C30" s="974">
        <f>'TB3'!AD450</f>
        <v>698777.29</v>
      </c>
      <c r="D30" s="974">
        <f>'TB3'!X450</f>
        <v>863880.68</v>
      </c>
    </row>
    <row r="31" spans="1:4" s="318" customFormat="1" x14ac:dyDescent="0.2">
      <c r="A31" s="928">
        <v>7849</v>
      </c>
      <c r="B31" s="928" t="s">
        <v>667</v>
      </c>
      <c r="C31" s="974">
        <f>'TB3'!AD451</f>
        <v>5498603.2199999997</v>
      </c>
      <c r="D31" s="974">
        <f>'TB3'!X451</f>
        <v>4773532.96</v>
      </c>
    </row>
    <row r="32" spans="1:4" s="318" customFormat="1" x14ac:dyDescent="0.2">
      <c r="A32" s="928">
        <v>7851</v>
      </c>
      <c r="B32" s="928" t="s">
        <v>994</v>
      </c>
      <c r="C32" s="974">
        <f>'TB3'!AD452</f>
        <v>149840</v>
      </c>
      <c r="D32" s="974">
        <f>'TB3'!X452</f>
        <v>184782.9</v>
      </c>
    </row>
    <row r="33" spans="1:4" s="318" customFormat="1" x14ac:dyDescent="0.2">
      <c r="A33" s="928">
        <v>7855</v>
      </c>
      <c r="B33" s="928" t="s">
        <v>494</v>
      </c>
      <c r="C33" s="974">
        <f>'TB3'!AD453</f>
        <v>2495442.5499999998</v>
      </c>
      <c r="D33" s="974">
        <f>'TB3'!X453</f>
        <v>3379827.82</v>
      </c>
    </row>
    <row r="34" spans="1:4" s="318" customFormat="1" x14ac:dyDescent="0.2">
      <c r="A34" s="928">
        <v>7865</v>
      </c>
      <c r="B34" s="928" t="s">
        <v>1297</v>
      </c>
      <c r="C34" s="974">
        <f>'TB3'!AD454</f>
        <v>53475.47</v>
      </c>
      <c r="D34" s="974">
        <f>'TB3'!X454</f>
        <v>78689.38</v>
      </c>
    </row>
    <row r="35" spans="1:4" s="318" customFormat="1" x14ac:dyDescent="0.2">
      <c r="A35" s="928">
        <v>7867</v>
      </c>
      <c r="B35" s="928" t="s">
        <v>1298</v>
      </c>
      <c r="C35" s="974">
        <f>'TB3'!AD455</f>
        <v>252032.76</v>
      </c>
      <c r="D35" s="974">
        <f>'TB3'!X455</f>
        <v>221782.78</v>
      </c>
    </row>
    <row r="36" spans="1:4" s="318" customFormat="1" x14ac:dyDescent="0.2">
      <c r="A36" s="928">
        <v>7869</v>
      </c>
      <c r="B36" s="928" t="s">
        <v>1299</v>
      </c>
      <c r="C36" s="974">
        <f>'TB3'!AD456</f>
        <v>117727.99</v>
      </c>
      <c r="D36" s="974">
        <f>'TB3'!X456</f>
        <v>206159.88</v>
      </c>
    </row>
    <row r="37" spans="1:4" s="318" customFormat="1" hidden="1" x14ac:dyDescent="0.2">
      <c r="A37" s="928">
        <v>7871</v>
      </c>
      <c r="B37" s="928" t="s">
        <v>1300</v>
      </c>
      <c r="C37" s="974">
        <f>'TB3'!AD457</f>
        <v>0</v>
      </c>
      <c r="D37" s="974">
        <f>'TB3'!X457</f>
        <v>0</v>
      </c>
    </row>
    <row r="38" spans="1:4" s="318" customFormat="1" x14ac:dyDescent="0.2">
      <c r="A38" s="928">
        <v>7873</v>
      </c>
      <c r="B38" s="928" t="s">
        <v>473</v>
      </c>
      <c r="C38" s="974">
        <f>'TB3'!AD458</f>
        <v>635736.14</v>
      </c>
      <c r="D38" s="974">
        <f>'TB3'!X458</f>
        <v>758374.96</v>
      </c>
    </row>
    <row r="39" spans="1:4" s="318" customFormat="1" x14ac:dyDescent="0.2">
      <c r="A39" s="928">
        <v>7876</v>
      </c>
      <c r="B39" s="928" t="s">
        <v>3165</v>
      </c>
      <c r="C39" s="974">
        <f>'TB3'!AD460</f>
        <v>177182.55</v>
      </c>
      <c r="D39" s="974">
        <f>'TB3'!X460</f>
        <v>24522.560000000001</v>
      </c>
    </row>
    <row r="40" spans="1:4" s="318" customFormat="1" x14ac:dyDescent="0.2">
      <c r="A40" s="928">
        <v>7877</v>
      </c>
      <c r="B40" s="928" t="s">
        <v>972</v>
      </c>
      <c r="C40" s="974">
        <f>'TB3'!AD461</f>
        <v>7654267.1900000004</v>
      </c>
      <c r="D40" s="974">
        <f>'TB3'!X461</f>
        <v>3254626.79</v>
      </c>
    </row>
    <row r="41" spans="1:4" s="318" customFormat="1" x14ac:dyDescent="0.2">
      <c r="A41" s="928">
        <v>7878</v>
      </c>
      <c r="B41" s="928" t="s">
        <v>3166</v>
      </c>
      <c r="C41" s="974">
        <f>'TB3'!AD462</f>
        <v>0</v>
      </c>
      <c r="D41" s="974">
        <f>'TB3'!X462</f>
        <v>352000</v>
      </c>
    </row>
    <row r="42" spans="1:4" s="318" customFormat="1" x14ac:dyDescent="0.2">
      <c r="A42" s="928">
        <v>7879</v>
      </c>
      <c r="B42" s="928" t="s">
        <v>1301</v>
      </c>
      <c r="C42" s="974">
        <f>'TB3'!AD463</f>
        <v>1717149.67</v>
      </c>
      <c r="D42" s="974">
        <f>'TB3'!X463</f>
        <v>2292187.14</v>
      </c>
    </row>
    <row r="43" spans="1:4" s="318" customFormat="1" x14ac:dyDescent="0.2">
      <c r="A43" s="928">
        <v>7881</v>
      </c>
      <c r="B43" s="928" t="s">
        <v>1302</v>
      </c>
      <c r="C43" s="974">
        <f>'TB3'!AD464</f>
        <v>26646.43</v>
      </c>
      <c r="D43" s="974">
        <f>'TB3'!X464</f>
        <v>30272.59</v>
      </c>
    </row>
    <row r="44" spans="1:4" s="318" customFormat="1" x14ac:dyDescent="0.2">
      <c r="A44" s="928">
        <v>7883</v>
      </c>
      <c r="B44" s="928" t="s">
        <v>505</v>
      </c>
      <c r="C44" s="974">
        <f>'TB3'!AD465</f>
        <v>964149.24</v>
      </c>
      <c r="D44" s="974">
        <f>'TB3'!X465</f>
        <v>775243.68</v>
      </c>
    </row>
    <row r="45" spans="1:4" s="318" customFormat="1" hidden="1" x14ac:dyDescent="0.2">
      <c r="A45" s="928">
        <v>7891</v>
      </c>
      <c r="B45" s="928" t="s">
        <v>973</v>
      </c>
      <c r="C45" s="974">
        <v>0</v>
      </c>
      <c r="D45" s="974">
        <v>0</v>
      </c>
    </row>
    <row r="46" spans="1:4" s="318" customFormat="1" x14ac:dyDescent="0.2">
      <c r="A46" s="928">
        <v>7895</v>
      </c>
      <c r="B46" s="928" t="s">
        <v>656</v>
      </c>
      <c r="C46" s="974">
        <f>'TB3'!AD468</f>
        <v>1804047.16</v>
      </c>
      <c r="D46" s="974">
        <f>'TB3'!X468</f>
        <v>1474097.47</v>
      </c>
    </row>
    <row r="47" spans="1:4" s="318" customFormat="1" x14ac:dyDescent="0.2">
      <c r="A47" s="928">
        <v>7897</v>
      </c>
      <c r="B47" s="928" t="s">
        <v>792</v>
      </c>
      <c r="C47" s="974">
        <f>'TB3'!AD469</f>
        <v>358866.81</v>
      </c>
      <c r="D47" s="974">
        <f>'TB3'!X469</f>
        <v>119494.12</v>
      </c>
    </row>
    <row r="48" spans="1:4" s="318" customFormat="1" x14ac:dyDescent="0.2">
      <c r="A48" s="928">
        <v>7899</v>
      </c>
      <c r="B48" s="928" t="s">
        <v>1304</v>
      </c>
      <c r="C48" s="974">
        <f>'TB3'!AD433</f>
        <v>6010910.3700000001</v>
      </c>
      <c r="D48" s="974">
        <f>'TB3'!X433</f>
        <v>12170233.789999999</v>
      </c>
    </row>
    <row r="49" spans="1:4" s="318" customFormat="1" x14ac:dyDescent="0.2">
      <c r="A49" s="928">
        <v>7901</v>
      </c>
      <c r="B49" s="928" t="s">
        <v>1305</v>
      </c>
      <c r="C49" s="974">
        <f>'TB3'!AD471</f>
        <v>12169668.68</v>
      </c>
      <c r="D49" s="974">
        <f>'TB3'!X471</f>
        <v>9785241.3200000003</v>
      </c>
    </row>
    <row r="50" spans="1:4" s="318" customFormat="1" x14ac:dyDescent="0.2">
      <c r="A50" s="928">
        <v>7903</v>
      </c>
      <c r="B50" s="928" t="s">
        <v>468</v>
      </c>
      <c r="C50" s="974">
        <f>'TB3'!AD472</f>
        <v>284023.28000000003</v>
      </c>
      <c r="D50" s="974">
        <f>'TB3'!X472</f>
        <v>323241.78000000003</v>
      </c>
    </row>
    <row r="51" spans="1:4" s="318" customFormat="1" x14ac:dyDescent="0.2">
      <c r="A51" s="928">
        <v>7905</v>
      </c>
      <c r="B51" s="928" t="s">
        <v>1306</v>
      </c>
      <c r="C51" s="974">
        <f>'TB3'!AD473</f>
        <v>39282.26</v>
      </c>
      <c r="D51" s="974">
        <f>'TB3'!X473</f>
        <v>5900</v>
      </c>
    </row>
    <row r="52" spans="1:4" s="318" customFormat="1" x14ac:dyDescent="0.2">
      <c r="A52" s="928">
        <v>7907</v>
      </c>
      <c r="B52" s="928" t="s">
        <v>1307</v>
      </c>
      <c r="C52" s="974">
        <f>'TB3'!AD474</f>
        <v>3458205.53</v>
      </c>
      <c r="D52" s="974">
        <f>'TB3'!X474</f>
        <v>2515237.4900000002</v>
      </c>
    </row>
    <row r="53" spans="1:4" s="318" customFormat="1" hidden="1" x14ac:dyDescent="0.2">
      <c r="A53" s="928">
        <v>7909</v>
      </c>
      <c r="B53" s="928" t="s">
        <v>1308</v>
      </c>
      <c r="C53" s="974">
        <f>'TB3'!AD475</f>
        <v>0</v>
      </c>
      <c r="D53" s="974">
        <f>'TB3'!X475</f>
        <v>0</v>
      </c>
    </row>
    <row r="54" spans="1:4" s="318" customFormat="1" x14ac:dyDescent="0.2">
      <c r="A54" s="928">
        <v>7911</v>
      </c>
      <c r="B54" s="928" t="s">
        <v>1309</v>
      </c>
      <c r="C54" s="974">
        <f>'TB3'!AD476</f>
        <v>0</v>
      </c>
      <c r="D54" s="974">
        <f>'TB3'!X476</f>
        <v>500</v>
      </c>
    </row>
    <row r="55" spans="1:4" s="318" customFormat="1" x14ac:dyDescent="0.2">
      <c r="A55" s="928">
        <v>7913</v>
      </c>
      <c r="B55" s="928" t="s">
        <v>1310</v>
      </c>
      <c r="C55" s="974">
        <f>'TB3'!AD477</f>
        <v>2173237.7000000002</v>
      </c>
      <c r="D55" s="974">
        <f>'TB3'!X477</f>
        <v>3244267.64</v>
      </c>
    </row>
    <row r="56" spans="1:4" s="318" customFormat="1" x14ac:dyDescent="0.2">
      <c r="A56" s="928">
        <v>7915</v>
      </c>
      <c r="B56" s="928" t="s">
        <v>1311</v>
      </c>
      <c r="C56" s="974">
        <f>'TB3'!AD478</f>
        <v>1059657.05</v>
      </c>
      <c r="D56" s="974">
        <f>'TB3'!X478</f>
        <v>1133875.6299999999</v>
      </c>
    </row>
    <row r="57" spans="1:4" s="318" customFormat="1" x14ac:dyDescent="0.2">
      <c r="A57" s="928">
        <v>7917</v>
      </c>
      <c r="B57" s="928" t="s">
        <v>1312</v>
      </c>
      <c r="C57" s="974">
        <f>'TB3'!AD479</f>
        <v>2524094.59</v>
      </c>
      <c r="D57" s="974">
        <f>'TB3'!X479</f>
        <v>5778857.2999999998</v>
      </c>
    </row>
    <row r="58" spans="1:4" s="318" customFormat="1" x14ac:dyDescent="0.2">
      <c r="A58" s="928">
        <v>7919</v>
      </c>
      <c r="B58" s="928" t="s">
        <v>1313</v>
      </c>
      <c r="C58" s="974">
        <f>'TB3'!AD480</f>
        <v>3508106.97</v>
      </c>
      <c r="D58" s="974">
        <f>'TB3'!X480</f>
        <v>1718640</v>
      </c>
    </row>
    <row r="59" spans="1:4" s="318" customFormat="1" x14ac:dyDescent="0.2">
      <c r="A59" s="928">
        <v>7923</v>
      </c>
      <c r="B59" s="928" t="s">
        <v>1315</v>
      </c>
      <c r="C59" s="974">
        <f>'TB3'!AD482</f>
        <v>12565</v>
      </c>
      <c r="D59" s="974">
        <f>'TB3'!X482</f>
        <v>13095</v>
      </c>
    </row>
    <row r="60" spans="1:4" s="318" customFormat="1" x14ac:dyDescent="0.2">
      <c r="A60" s="928">
        <v>7925</v>
      </c>
      <c r="B60" s="928" t="s">
        <v>676</v>
      </c>
      <c r="C60" s="974">
        <f>'TB3'!AD483</f>
        <v>83286.11</v>
      </c>
      <c r="D60" s="974">
        <f>'TB3'!X483</f>
        <v>59586.6</v>
      </c>
    </row>
    <row r="61" spans="1:4" s="318" customFormat="1" x14ac:dyDescent="0.2">
      <c r="A61" s="928">
        <v>7931</v>
      </c>
      <c r="B61" s="928" t="s">
        <v>342</v>
      </c>
      <c r="C61" s="974">
        <f>'TB3'!AD484</f>
        <v>495684.41</v>
      </c>
      <c r="D61" s="974">
        <f>'TB3'!X484</f>
        <v>514929.3</v>
      </c>
    </row>
    <row r="62" spans="1:4" s="318" customFormat="1" x14ac:dyDescent="0.2">
      <c r="A62" s="928">
        <v>7933</v>
      </c>
      <c r="B62" s="928" t="s">
        <v>455</v>
      </c>
      <c r="C62" s="974">
        <f>'TB3'!AD485</f>
        <v>12515.79</v>
      </c>
      <c r="D62" s="974">
        <f>'TB3'!X485</f>
        <v>318152.02</v>
      </c>
    </row>
    <row r="63" spans="1:4" s="318" customFormat="1" x14ac:dyDescent="0.2">
      <c r="A63" s="928">
        <v>7935</v>
      </c>
      <c r="B63" s="928" t="s">
        <v>1316</v>
      </c>
      <c r="C63" s="974">
        <f>'TB3'!AD486</f>
        <v>24805.15</v>
      </c>
      <c r="D63" s="974">
        <f>'TB3'!X486</f>
        <v>13932.71</v>
      </c>
    </row>
    <row r="64" spans="1:4" s="318" customFormat="1" x14ac:dyDescent="0.2">
      <c r="A64" s="928">
        <v>7937</v>
      </c>
      <c r="B64" s="928" t="s">
        <v>3982</v>
      </c>
      <c r="C64" s="974">
        <f>'TB3'!AD487</f>
        <v>84454.39</v>
      </c>
      <c r="D64" s="974">
        <f>'TB3'!X487</f>
        <v>69167.009999999995</v>
      </c>
    </row>
    <row r="65" spans="1:8" s="318" customFormat="1" x14ac:dyDescent="0.2">
      <c r="A65" s="928">
        <v>7939</v>
      </c>
      <c r="B65" s="928" t="s">
        <v>989</v>
      </c>
      <c r="C65" s="974">
        <f>'TB3'!AD488</f>
        <v>25582.59</v>
      </c>
      <c r="D65" s="974">
        <f>'TB3'!X488</f>
        <v>34253.78</v>
      </c>
    </row>
    <row r="66" spans="1:8" s="318" customFormat="1" x14ac:dyDescent="0.2">
      <c r="A66" s="928">
        <v>7943</v>
      </c>
      <c r="B66" s="928" t="s">
        <v>227</v>
      </c>
      <c r="C66" s="974">
        <f>'TB3'!AD489</f>
        <v>12854.4</v>
      </c>
      <c r="D66" s="974">
        <f>'TB3'!X489</f>
        <v>27077.9</v>
      </c>
    </row>
    <row r="67" spans="1:8" s="318" customFormat="1" x14ac:dyDescent="0.2">
      <c r="A67" s="928">
        <v>7945</v>
      </c>
      <c r="B67" s="928" t="s">
        <v>469</v>
      </c>
      <c r="C67" s="974">
        <f>'TB3'!AD490</f>
        <v>1087500.57</v>
      </c>
      <c r="D67" s="974">
        <f>'TB3'!X490</f>
        <v>1097152.7</v>
      </c>
    </row>
    <row r="68" spans="1:8" s="318" customFormat="1" x14ac:dyDescent="0.2">
      <c r="A68" s="928">
        <v>7956</v>
      </c>
      <c r="B68" s="928" t="s">
        <v>1319</v>
      </c>
      <c r="C68" s="974">
        <f>'TB3'!AD493</f>
        <v>12062459.609999999</v>
      </c>
      <c r="D68" s="974">
        <f>'TB3'!X493</f>
        <v>15534191.780000001</v>
      </c>
      <c r="H68" s="620"/>
    </row>
    <row r="69" spans="1:8" s="318" customFormat="1" x14ac:dyDescent="0.2">
      <c r="A69" s="928">
        <v>7959</v>
      </c>
      <c r="B69" s="928" t="s">
        <v>502</v>
      </c>
      <c r="C69" s="974">
        <f>'TB3'!AD495</f>
        <v>22073445.68</v>
      </c>
      <c r="D69" s="974">
        <f>'TB3'!X495</f>
        <v>23099766.150000002</v>
      </c>
    </row>
    <row r="70" spans="1:8" s="318" customFormat="1" x14ac:dyDescent="0.2">
      <c r="A70" s="928">
        <v>7965</v>
      </c>
      <c r="B70" s="928" t="s">
        <v>474</v>
      </c>
      <c r="C70" s="974">
        <f>'TB3'!AD496</f>
        <v>73805.119999999995</v>
      </c>
      <c r="D70" s="974">
        <f>'TB3'!X496</f>
        <v>511200</v>
      </c>
    </row>
    <row r="71" spans="1:8" s="318" customFormat="1" x14ac:dyDescent="0.2">
      <c r="A71" s="928">
        <v>7971</v>
      </c>
      <c r="B71" s="928" t="s">
        <v>1321</v>
      </c>
      <c r="C71" s="974">
        <f>'TB3'!AD498</f>
        <v>26049.8</v>
      </c>
      <c r="D71" s="974">
        <f>'TB3'!X498</f>
        <v>13183.4</v>
      </c>
    </row>
    <row r="72" spans="1:8" s="318" customFormat="1" x14ac:dyDescent="0.2">
      <c r="A72" s="928">
        <v>7973</v>
      </c>
      <c r="B72" s="928" t="s">
        <v>992</v>
      </c>
      <c r="C72" s="974">
        <f>'TB3'!AD499</f>
        <v>7920</v>
      </c>
      <c r="D72" s="974">
        <f>'TB3'!X499</f>
        <v>5040</v>
      </c>
    </row>
    <row r="73" spans="1:8" s="318" customFormat="1" x14ac:dyDescent="0.2">
      <c r="A73" s="928">
        <v>7977</v>
      </c>
      <c r="B73" s="928" t="s">
        <v>487</v>
      </c>
      <c r="C73" s="974">
        <f>'TB3'!AD500</f>
        <v>1825495.88</v>
      </c>
      <c r="D73" s="974">
        <f>'TB3'!X500</f>
        <v>1535965.11</v>
      </c>
    </row>
    <row r="74" spans="1:8" s="318" customFormat="1" x14ac:dyDescent="0.2">
      <c r="A74" s="928">
        <v>7983</v>
      </c>
      <c r="B74" s="928" t="s">
        <v>997</v>
      </c>
      <c r="C74" s="974">
        <f>'TB3'!AD502</f>
        <v>7169420.0999999996</v>
      </c>
      <c r="D74" s="974">
        <f>'TB3'!X502</f>
        <v>5342438.07</v>
      </c>
    </row>
    <row r="75" spans="1:8" s="318" customFormat="1" x14ac:dyDescent="0.2">
      <c r="A75" s="928">
        <v>7987</v>
      </c>
      <c r="B75" s="928" t="s">
        <v>3324</v>
      </c>
      <c r="C75" s="974">
        <f>'TB3'!AD503</f>
        <v>1661918.11</v>
      </c>
      <c r="D75" s="974">
        <f>'TB3'!X503</f>
        <v>1566896</v>
      </c>
    </row>
    <row r="76" spans="1:8" s="318" customFormat="1" hidden="1" x14ac:dyDescent="0.2">
      <c r="A76" s="928">
        <v>7989</v>
      </c>
      <c r="B76" s="928" t="s">
        <v>232</v>
      </c>
      <c r="C76" s="974">
        <f>'TB3'!AD504</f>
        <v>0</v>
      </c>
      <c r="D76" s="974">
        <f>'TB3'!X504</f>
        <v>0</v>
      </c>
    </row>
    <row r="77" spans="1:8" s="318" customFormat="1" x14ac:dyDescent="0.2">
      <c r="A77" s="928">
        <v>7991</v>
      </c>
      <c r="B77" s="928" t="s">
        <v>679</v>
      </c>
      <c r="C77" s="974">
        <f>'TB3'!AD505</f>
        <v>20268243.43</v>
      </c>
      <c r="D77" s="974">
        <f>'TB3'!X505</f>
        <v>12150960.41</v>
      </c>
    </row>
    <row r="78" spans="1:8" s="318" customFormat="1" x14ac:dyDescent="0.2">
      <c r="A78" s="928">
        <v>7993</v>
      </c>
      <c r="B78" s="928" t="s">
        <v>1324</v>
      </c>
      <c r="C78" s="974">
        <f>'TB3'!AD507</f>
        <v>4823942.3600000003</v>
      </c>
      <c r="D78" s="974">
        <f>'TB3'!X507</f>
        <v>4201689.6900000004</v>
      </c>
    </row>
    <row r="79" spans="1:8" s="318" customFormat="1" x14ac:dyDescent="0.2">
      <c r="A79" s="928">
        <v>7995</v>
      </c>
      <c r="B79" s="928" t="s">
        <v>673</v>
      </c>
      <c r="C79" s="974">
        <f>'TB3'!AD508</f>
        <v>198785.61</v>
      </c>
      <c r="D79" s="974">
        <f>'TB3'!X508</f>
        <v>167736.95999999999</v>
      </c>
    </row>
    <row r="80" spans="1:8" s="318" customFormat="1" x14ac:dyDescent="0.2">
      <c r="A80" s="928">
        <v>7999</v>
      </c>
      <c r="B80" s="928" t="s">
        <v>649</v>
      </c>
      <c r="C80" s="974">
        <f>'TB3'!AD510</f>
        <v>65918.25</v>
      </c>
      <c r="D80" s="974">
        <f>'TB3'!X510</f>
        <v>10380</v>
      </c>
    </row>
    <row r="81" spans="1:4" s="318" customFormat="1" x14ac:dyDescent="0.2">
      <c r="A81" s="928">
        <v>8001</v>
      </c>
      <c r="B81" s="928" t="s">
        <v>648</v>
      </c>
      <c r="C81" s="974">
        <f>'TB3'!AD511</f>
        <v>445</v>
      </c>
      <c r="D81" s="974">
        <f>'TB3'!X511</f>
        <v>2295</v>
      </c>
    </row>
    <row r="82" spans="1:4" s="318" customFormat="1" x14ac:dyDescent="0.2">
      <c r="A82" s="928">
        <v>8003</v>
      </c>
      <c r="B82" s="928" t="s">
        <v>650</v>
      </c>
      <c r="C82" s="974">
        <f>'TB3'!AD512</f>
        <v>488322.4</v>
      </c>
      <c r="D82" s="974">
        <f>'TB3'!X512</f>
        <v>553821.30000000005</v>
      </c>
    </row>
    <row r="83" spans="1:4" s="318" customFormat="1" x14ac:dyDescent="0.2">
      <c r="A83" s="928">
        <v>8007</v>
      </c>
      <c r="B83" s="928" t="s">
        <v>996</v>
      </c>
      <c r="C83" s="974">
        <f>'TB3'!AD514</f>
        <v>0</v>
      </c>
      <c r="D83" s="974">
        <f>'TB3'!X514</f>
        <v>17498.28</v>
      </c>
    </row>
    <row r="84" spans="1:4" s="318" customFormat="1" x14ac:dyDescent="0.2">
      <c r="A84" s="928">
        <v>8013</v>
      </c>
      <c r="B84" s="928" t="s">
        <v>660</v>
      </c>
      <c r="C84" s="974">
        <f>'TB3'!AD516</f>
        <v>2048615.54</v>
      </c>
      <c r="D84" s="974">
        <f>'TB3'!X516</f>
        <v>1612012.92</v>
      </c>
    </row>
    <row r="85" spans="1:4" s="318" customFormat="1" x14ac:dyDescent="0.2">
      <c r="A85" s="928">
        <v>8017</v>
      </c>
      <c r="B85" s="928" t="s">
        <v>2961</v>
      </c>
      <c r="C85" s="974">
        <f>'TB3'!AD517</f>
        <v>235854.81</v>
      </c>
      <c r="D85" s="974"/>
    </row>
    <row r="86" spans="1:4" s="318" customFormat="1" x14ac:dyDescent="0.2">
      <c r="A86" s="928">
        <v>8019</v>
      </c>
      <c r="B86" s="928" t="s">
        <v>658</v>
      </c>
      <c r="C86" s="974">
        <f>'TB3'!AD518</f>
        <v>265686</v>
      </c>
      <c r="D86" s="974">
        <f>'TB3'!X518</f>
        <v>312891</v>
      </c>
    </row>
    <row r="87" spans="1:4" s="318" customFormat="1" x14ac:dyDescent="0.2">
      <c r="A87" s="928">
        <v>8023</v>
      </c>
      <c r="B87" s="928" t="s">
        <v>1326</v>
      </c>
      <c r="C87" s="974">
        <f>'TB3'!AD519</f>
        <v>21929.83</v>
      </c>
      <c r="D87" s="974">
        <f>'TB3'!X519</f>
        <v>1543.86</v>
      </c>
    </row>
    <row r="88" spans="1:4" s="318" customFormat="1" x14ac:dyDescent="0.2">
      <c r="A88" s="928">
        <v>8025</v>
      </c>
      <c r="B88" s="928" t="s">
        <v>1327</v>
      </c>
      <c r="C88" s="974">
        <f>'TB3'!AD520</f>
        <v>0</v>
      </c>
      <c r="D88" s="974">
        <f>'TB3'!X520</f>
        <v>1320.17</v>
      </c>
    </row>
    <row r="89" spans="1:4" s="318" customFormat="1" hidden="1" x14ac:dyDescent="0.2">
      <c r="A89" s="928">
        <v>8027</v>
      </c>
      <c r="B89" s="928" t="s">
        <v>493</v>
      </c>
      <c r="C89" s="974">
        <f>'TB3'!AD521</f>
        <v>0</v>
      </c>
      <c r="D89" s="974">
        <f>'TB3'!X521</f>
        <v>0</v>
      </c>
    </row>
    <row r="90" spans="1:4" s="318" customFormat="1" hidden="1" x14ac:dyDescent="0.2">
      <c r="A90" s="928">
        <v>8029</v>
      </c>
      <c r="B90" s="928" t="s">
        <v>1328</v>
      </c>
      <c r="C90" s="974">
        <f>'TB3'!AD522</f>
        <v>0</v>
      </c>
      <c r="D90" s="974">
        <f>'TB3'!X522</f>
        <v>0</v>
      </c>
    </row>
    <row r="91" spans="1:4" s="318" customFormat="1" x14ac:dyDescent="0.2">
      <c r="A91" s="928">
        <v>8031</v>
      </c>
      <c r="B91" s="928" t="s">
        <v>671</v>
      </c>
      <c r="C91" s="974">
        <f>'TB3'!AD523</f>
        <v>4076021.04</v>
      </c>
      <c r="D91" s="974">
        <f>'TB3'!X523</f>
        <v>2461133.8199999998</v>
      </c>
    </row>
    <row r="92" spans="1:4" s="318" customFormat="1" x14ac:dyDescent="0.2">
      <c r="A92" s="928">
        <v>8033</v>
      </c>
      <c r="B92" s="928" t="s">
        <v>1329</v>
      </c>
      <c r="C92" s="974">
        <f>'TB3'!AD524</f>
        <v>4489858.6500000004</v>
      </c>
      <c r="D92" s="974">
        <f>'TB3'!X524</f>
        <v>5751399.0099999998</v>
      </c>
    </row>
    <row r="93" spans="1:4" s="318" customFormat="1" x14ac:dyDescent="0.2">
      <c r="A93" s="928">
        <v>8037</v>
      </c>
      <c r="B93" s="928" t="s">
        <v>1331</v>
      </c>
      <c r="C93" s="974">
        <f>'TB3'!AD527</f>
        <v>4430591.9800000004</v>
      </c>
      <c r="D93" s="974">
        <f>'TB3'!X527</f>
        <v>5359668.63</v>
      </c>
    </row>
    <row r="94" spans="1:4" s="318" customFormat="1" x14ac:dyDescent="0.2">
      <c r="A94" s="928">
        <v>8039</v>
      </c>
      <c r="B94" s="928" t="s">
        <v>677</v>
      </c>
      <c r="C94" s="974">
        <f>'TB3'!AD528</f>
        <v>1603520.5</v>
      </c>
      <c r="D94" s="974">
        <f>'TB3'!X528</f>
        <v>1794710</v>
      </c>
    </row>
    <row r="95" spans="1:4" s="318" customFormat="1" x14ac:dyDescent="0.2">
      <c r="A95" s="928">
        <v>8043</v>
      </c>
      <c r="B95" s="928" t="s">
        <v>977</v>
      </c>
      <c r="C95" s="974">
        <f>'TB3'!AD530</f>
        <v>4314710.7699999996</v>
      </c>
      <c r="D95" s="974">
        <f>'TB3'!X530</f>
        <v>4238943.2300000004</v>
      </c>
    </row>
    <row r="96" spans="1:4" s="318" customFormat="1" x14ac:dyDescent="0.2">
      <c r="A96" s="928">
        <v>8045</v>
      </c>
      <c r="B96" s="928" t="s">
        <v>741</v>
      </c>
      <c r="C96" s="974">
        <f>'TB3'!AD531</f>
        <v>4249402.9400000004</v>
      </c>
      <c r="D96" s="974">
        <f>'TB3'!X531</f>
        <v>4405359.41</v>
      </c>
    </row>
    <row r="97" spans="1:4" s="318" customFormat="1" x14ac:dyDescent="0.2">
      <c r="A97" s="928">
        <v>8051</v>
      </c>
      <c r="B97" s="928" t="s">
        <v>965</v>
      </c>
      <c r="C97" s="974">
        <f>'TB3'!AD532</f>
        <v>7017.83</v>
      </c>
      <c r="D97" s="974">
        <f>'TB3'!X532</f>
        <v>39335.449999999997</v>
      </c>
    </row>
    <row r="98" spans="1:4" s="318" customFormat="1" x14ac:dyDescent="0.2">
      <c r="A98" s="928">
        <v>8052</v>
      </c>
      <c r="B98" s="928" t="s">
        <v>1333</v>
      </c>
      <c r="C98" s="974">
        <f>'TB3'!AD533</f>
        <v>0</v>
      </c>
      <c r="D98" s="974">
        <f>'TB3'!X533</f>
        <v>4809.2700000000004</v>
      </c>
    </row>
    <row r="99" spans="1:4" s="318" customFormat="1" x14ac:dyDescent="0.2">
      <c r="A99" s="928">
        <v>8055</v>
      </c>
      <c r="B99" s="928" t="s">
        <v>678</v>
      </c>
      <c r="C99" s="974">
        <f>'TB3'!AD535</f>
        <v>6174.16</v>
      </c>
      <c r="D99" s="974">
        <f>'TB3'!X535</f>
        <v>6823.73</v>
      </c>
    </row>
    <row r="100" spans="1:4" s="318" customFormat="1" x14ac:dyDescent="0.2">
      <c r="A100" s="928">
        <v>8059</v>
      </c>
      <c r="B100" s="928" t="s">
        <v>235</v>
      </c>
      <c r="C100" s="974">
        <f>'TB3'!AD537</f>
        <v>12932</v>
      </c>
      <c r="D100" s="974">
        <f>'TB3'!X537</f>
        <v>547944.71</v>
      </c>
    </row>
    <row r="101" spans="1:4" s="318" customFormat="1" x14ac:dyDescent="0.2">
      <c r="A101" s="928">
        <v>8061</v>
      </c>
      <c r="B101" s="928" t="s">
        <v>999</v>
      </c>
      <c r="C101" s="974">
        <f>'TB3'!AD538</f>
        <v>336074.7</v>
      </c>
      <c r="D101" s="974">
        <f>'TB3'!X538</f>
        <v>115755.42</v>
      </c>
    </row>
    <row r="102" spans="1:4" s="318" customFormat="1" x14ac:dyDescent="0.2">
      <c r="A102" s="928">
        <v>8063</v>
      </c>
      <c r="B102" s="928" t="s">
        <v>1335</v>
      </c>
      <c r="C102" s="974">
        <f>'TB3'!AD539</f>
        <v>311253.09999999998</v>
      </c>
      <c r="D102" s="974">
        <f>'TB3'!X539</f>
        <v>290020.37</v>
      </c>
    </row>
    <row r="103" spans="1:4" s="318" customFormat="1" x14ac:dyDescent="0.2">
      <c r="A103" s="928">
        <v>8065</v>
      </c>
      <c r="B103" s="928" t="s">
        <v>228</v>
      </c>
      <c r="C103" s="974">
        <f>'TB3'!AD540</f>
        <v>260321.28</v>
      </c>
      <c r="D103" s="974">
        <f>'TB3'!X540</f>
        <v>30183.7</v>
      </c>
    </row>
    <row r="104" spans="1:4" s="318" customFormat="1" x14ac:dyDescent="0.2">
      <c r="A104" s="928">
        <v>8067</v>
      </c>
      <c r="B104" s="928" t="s">
        <v>1336</v>
      </c>
      <c r="C104" s="974">
        <f>'TB3'!AD541</f>
        <v>2232050.64</v>
      </c>
      <c r="D104" s="974">
        <f>'TB3'!X541</f>
        <v>1673734.87</v>
      </c>
    </row>
    <row r="105" spans="1:4" s="318" customFormat="1" hidden="1" x14ac:dyDescent="0.2">
      <c r="A105" s="928">
        <v>8069</v>
      </c>
      <c r="B105" s="928" t="s">
        <v>995</v>
      </c>
      <c r="C105" s="974">
        <f>'TB3'!AD542</f>
        <v>0</v>
      </c>
      <c r="D105" s="974">
        <f>'TB3'!X542</f>
        <v>0</v>
      </c>
    </row>
    <row r="106" spans="1:4" s="318" customFormat="1" x14ac:dyDescent="0.2">
      <c r="A106" s="928">
        <v>8071</v>
      </c>
      <c r="B106" s="928" t="s">
        <v>1337</v>
      </c>
      <c r="C106" s="974">
        <f>'TB3'!AD543</f>
        <v>192380.31</v>
      </c>
      <c r="D106" s="974">
        <f>'TB3'!X543</f>
        <v>174685.59</v>
      </c>
    </row>
    <row r="107" spans="1:4" s="318" customFormat="1" x14ac:dyDescent="0.2">
      <c r="A107" s="928">
        <v>8073</v>
      </c>
      <c r="B107" s="928" t="s">
        <v>485</v>
      </c>
      <c r="C107" s="974">
        <f>'TB3'!AD544</f>
        <v>6330034.6200000001</v>
      </c>
      <c r="D107" s="974">
        <f>'TB3'!X544</f>
        <v>3637635.24</v>
      </c>
    </row>
    <row r="108" spans="1:4" s="318" customFormat="1" x14ac:dyDescent="0.2">
      <c r="A108" s="928">
        <v>8081</v>
      </c>
      <c r="B108" s="928" t="s">
        <v>1338</v>
      </c>
      <c r="C108" s="974">
        <f>'TB3'!AD546</f>
        <v>529729.84</v>
      </c>
      <c r="D108" s="974">
        <f>'TB3'!X546</f>
        <v>975731.81</v>
      </c>
    </row>
    <row r="109" spans="1:4" s="318" customFormat="1" x14ac:dyDescent="0.2">
      <c r="A109" s="928">
        <v>8083</v>
      </c>
      <c r="B109" s="928" t="s">
        <v>1339</v>
      </c>
      <c r="C109" s="974">
        <f>'TB3'!AD547</f>
        <v>1490</v>
      </c>
      <c r="D109" s="974">
        <f>'TB3'!X547</f>
        <v>2850</v>
      </c>
    </row>
    <row r="110" spans="1:4" s="318" customFormat="1" x14ac:dyDescent="0.2">
      <c r="A110" s="928">
        <v>8085</v>
      </c>
      <c r="B110" s="928" t="s">
        <v>967</v>
      </c>
      <c r="C110" s="974">
        <f>'TB3'!AD548</f>
        <v>12991.06</v>
      </c>
      <c r="D110" s="974">
        <f>'TB3'!X548</f>
        <v>45150</v>
      </c>
    </row>
    <row r="111" spans="1:4" s="318" customFormat="1" x14ac:dyDescent="0.2">
      <c r="A111" s="928">
        <v>8086</v>
      </c>
      <c r="B111" s="928" t="s">
        <v>1340</v>
      </c>
      <c r="C111" s="974">
        <f>'TB3'!AD549</f>
        <v>43217.9</v>
      </c>
      <c r="D111" s="974">
        <f>'TB3'!X549</f>
        <v>45892.1</v>
      </c>
    </row>
    <row r="112" spans="1:4" s="318" customFormat="1" x14ac:dyDescent="0.2">
      <c r="A112" s="928">
        <v>8087</v>
      </c>
      <c r="B112" s="928" t="s">
        <v>1341</v>
      </c>
      <c r="C112" s="974">
        <f>'TB3'!AD550</f>
        <v>299611.39</v>
      </c>
      <c r="D112" s="974">
        <f>'TB3'!X550</f>
        <v>427820.26</v>
      </c>
    </row>
    <row r="113" spans="1:4" s="318" customFormat="1" hidden="1" x14ac:dyDescent="0.2">
      <c r="A113" s="928">
        <v>8089</v>
      </c>
      <c r="B113" s="928" t="s">
        <v>457</v>
      </c>
      <c r="C113" s="974">
        <f>'TB3'!AD551</f>
        <v>0</v>
      </c>
      <c r="D113" s="974">
        <f>'TB3'!X551</f>
        <v>0</v>
      </c>
    </row>
    <row r="114" spans="1:4" s="318" customFormat="1" x14ac:dyDescent="0.2">
      <c r="A114" s="928">
        <v>8090</v>
      </c>
      <c r="B114" s="928" t="s">
        <v>3004</v>
      </c>
      <c r="C114" s="974">
        <f>'TB3'!AD552</f>
        <v>27162853.98</v>
      </c>
      <c r="D114" s="974">
        <f>'TB3'!X552</f>
        <v>40589826.049999997</v>
      </c>
    </row>
    <row r="115" spans="1:4" s="318" customFormat="1" x14ac:dyDescent="0.2">
      <c r="A115" s="928">
        <v>8092</v>
      </c>
      <c r="B115" s="928" t="s">
        <v>3005</v>
      </c>
      <c r="C115" s="974">
        <f>'TB3'!AD553</f>
        <v>40000000</v>
      </c>
      <c r="D115" s="974">
        <f>'TB3'!X553</f>
        <v>31000000</v>
      </c>
    </row>
    <row r="116" spans="1:4" s="318" customFormat="1" x14ac:dyDescent="0.2">
      <c r="A116" s="928">
        <v>8095</v>
      </c>
      <c r="B116" s="928" t="s">
        <v>699</v>
      </c>
      <c r="C116" s="974">
        <f>'TB3'!AD555</f>
        <v>166133.01999999999</v>
      </c>
      <c r="D116" s="974">
        <f>'TB3'!X555</f>
        <v>73832.88</v>
      </c>
    </row>
    <row r="117" spans="1:4" s="318" customFormat="1" x14ac:dyDescent="0.2">
      <c r="A117" s="928">
        <v>8097</v>
      </c>
      <c r="B117" s="928" t="s">
        <v>1342</v>
      </c>
      <c r="C117" s="974">
        <f>'TB3'!AD556</f>
        <v>0</v>
      </c>
      <c r="D117" s="974">
        <f>'TB3'!X556</f>
        <v>1740.9</v>
      </c>
    </row>
    <row r="118" spans="1:4" s="318" customFormat="1" x14ac:dyDescent="0.2">
      <c r="A118" s="928">
        <v>8105</v>
      </c>
      <c r="B118" s="928" t="s">
        <v>476</v>
      </c>
      <c r="C118" s="974">
        <f>'TB3'!AD558</f>
        <v>163010.4</v>
      </c>
      <c r="D118" s="974">
        <f>'TB3'!X558</f>
        <v>214641.4</v>
      </c>
    </row>
    <row r="119" spans="1:4" s="318" customFormat="1" x14ac:dyDescent="0.2">
      <c r="A119" s="928">
        <v>8107</v>
      </c>
      <c r="B119" s="928" t="s">
        <v>662</v>
      </c>
      <c r="C119" s="974">
        <f>'TB3'!AD559</f>
        <v>18006152.800000001</v>
      </c>
      <c r="D119" s="974">
        <f>'TB3'!X559</f>
        <v>15775693.939999999</v>
      </c>
    </row>
    <row r="120" spans="1:4" s="318" customFormat="1" x14ac:dyDescent="0.2">
      <c r="A120" s="928">
        <v>8109</v>
      </c>
      <c r="B120" s="928" t="s">
        <v>1344</v>
      </c>
      <c r="C120" s="974">
        <f>'TB3'!AD560</f>
        <v>690859.22</v>
      </c>
      <c r="D120" s="974">
        <f>'TB3'!X560</f>
        <v>72894.34</v>
      </c>
    </row>
    <row r="121" spans="1:4" s="318" customFormat="1" x14ac:dyDescent="0.2">
      <c r="A121" s="928">
        <v>8113</v>
      </c>
      <c r="B121" s="928" t="s">
        <v>1346</v>
      </c>
      <c r="C121" s="974">
        <f>'TB3'!AD562</f>
        <v>547066.38</v>
      </c>
      <c r="D121" s="974">
        <f>'TB3'!X562</f>
        <v>728056.47</v>
      </c>
    </row>
    <row r="122" spans="1:4" s="318" customFormat="1" x14ac:dyDescent="0.2">
      <c r="A122" s="928">
        <v>8117</v>
      </c>
      <c r="B122" s="928" t="s">
        <v>1347</v>
      </c>
      <c r="C122" s="974">
        <f>'TB3'!AD563</f>
        <v>2253844.04</v>
      </c>
      <c r="D122" s="974">
        <f>'TB3'!X563</f>
        <v>2741357.34</v>
      </c>
    </row>
    <row r="123" spans="1:4" s="318" customFormat="1" x14ac:dyDescent="0.2">
      <c r="A123" s="928">
        <v>8120</v>
      </c>
      <c r="B123" s="928" t="s">
        <v>3667</v>
      </c>
      <c r="C123" s="974">
        <f>'TB3'!AD565+'TB3'!AB566+'TB3'!AB567</f>
        <v>111534575.04000002</v>
      </c>
      <c r="D123" s="974">
        <f>'TB3'!X568</f>
        <v>70572656.560000002</v>
      </c>
    </row>
    <row r="124" spans="1:4" s="318" customFormat="1" x14ac:dyDescent="0.2">
      <c r="A124" s="928">
        <v>8120</v>
      </c>
      <c r="B124" s="928" t="s">
        <v>3666</v>
      </c>
      <c r="C124" s="974">
        <v>0</v>
      </c>
      <c r="D124" s="974">
        <v>31088001</v>
      </c>
    </row>
    <row r="125" spans="1:4" s="318" customFormat="1" x14ac:dyDescent="0.2">
      <c r="A125" s="928">
        <v>8129</v>
      </c>
      <c r="B125" s="928" t="s">
        <v>651</v>
      </c>
      <c r="C125" s="974">
        <f>'TB3'!AD572</f>
        <v>5348367.84</v>
      </c>
      <c r="D125" s="974">
        <f>'TB3'!X572</f>
        <v>4720942.4800000004</v>
      </c>
    </row>
    <row r="126" spans="1:4" s="318" customFormat="1" x14ac:dyDescent="0.2">
      <c r="A126" s="928">
        <v>8131</v>
      </c>
      <c r="B126" s="928" t="s">
        <v>795</v>
      </c>
      <c r="C126" s="974">
        <f>'TB3'!AD573</f>
        <v>5801374.0099999998</v>
      </c>
      <c r="D126" s="974">
        <f>'TB3'!X573</f>
        <v>5160129.51</v>
      </c>
    </row>
    <row r="127" spans="1:4" s="318" customFormat="1" x14ac:dyDescent="0.2">
      <c r="A127" s="928">
        <v>8133</v>
      </c>
      <c r="B127" s="928" t="s">
        <v>1349</v>
      </c>
      <c r="C127" s="974">
        <f>'TB3'!AD574</f>
        <v>5632836.7599999998</v>
      </c>
      <c r="D127" s="974">
        <f>'TB3'!X574</f>
        <v>5419540.7300000004</v>
      </c>
    </row>
    <row r="128" spans="1:4" s="318" customFormat="1" x14ac:dyDescent="0.2">
      <c r="A128" s="928">
        <v>8137</v>
      </c>
      <c r="B128" s="928" t="s">
        <v>1350</v>
      </c>
      <c r="C128" s="974">
        <f>'TB3'!AD576</f>
        <v>43555.8</v>
      </c>
      <c r="D128" s="974">
        <f>'TB3'!X576</f>
        <v>0</v>
      </c>
    </row>
    <row r="129" spans="1:4" s="318" customFormat="1" hidden="1" x14ac:dyDescent="0.2">
      <c r="A129" s="928">
        <v>8138</v>
      </c>
      <c r="B129" s="928" t="s">
        <v>3167</v>
      </c>
      <c r="C129" s="974">
        <f>'TB3'!AD577</f>
        <v>0</v>
      </c>
      <c r="D129" s="974">
        <f>'TB3'!X577</f>
        <v>0</v>
      </c>
    </row>
    <row r="130" spans="1:4" s="318" customFormat="1" x14ac:dyDescent="0.2">
      <c r="A130" s="928">
        <v>8143</v>
      </c>
      <c r="B130" s="928" t="s">
        <v>983</v>
      </c>
      <c r="C130" s="974">
        <f>'TB3'!AD579</f>
        <v>5178097.17</v>
      </c>
      <c r="D130" s="974">
        <f>'TB3'!X579</f>
        <v>5744735.6799999997</v>
      </c>
    </row>
    <row r="131" spans="1:4" s="318" customFormat="1" x14ac:dyDescent="0.2">
      <c r="A131" s="928">
        <v>8147</v>
      </c>
      <c r="B131" s="928" t="s">
        <v>8</v>
      </c>
      <c r="C131" s="974">
        <f>'TB3'!AD581</f>
        <v>0</v>
      </c>
      <c r="D131" s="974">
        <f>'TB3'!X581</f>
        <v>27125488.48</v>
      </c>
    </row>
    <row r="132" spans="1:4" s="318" customFormat="1" x14ac:dyDescent="0.2">
      <c r="A132" s="928">
        <v>8148</v>
      </c>
      <c r="B132" s="928" t="s">
        <v>3168</v>
      </c>
      <c r="C132" s="974">
        <f>'TB3'!AD582</f>
        <v>1444613.33</v>
      </c>
      <c r="D132" s="974">
        <f>'TB3'!X582</f>
        <v>3187346.14</v>
      </c>
    </row>
    <row r="133" spans="1:4" s="318" customFormat="1" x14ac:dyDescent="0.2">
      <c r="A133" s="928">
        <v>8149</v>
      </c>
      <c r="B133" s="928" t="s">
        <v>984</v>
      </c>
      <c r="C133" s="974">
        <f>'TB3'!AD583</f>
        <v>6459.57</v>
      </c>
      <c r="D133" s="974">
        <f>'TB3'!X583</f>
        <v>11411.17</v>
      </c>
    </row>
    <row r="134" spans="1:4" s="318" customFormat="1" x14ac:dyDescent="0.2">
      <c r="A134" s="928">
        <v>8153</v>
      </c>
      <c r="B134" s="928" t="s">
        <v>1351</v>
      </c>
      <c r="C134" s="974">
        <f>'TB3'!AD584</f>
        <v>73295.27</v>
      </c>
      <c r="D134" s="974">
        <f>'TB3'!X584</f>
        <v>34019.089999999997</v>
      </c>
    </row>
    <row r="135" spans="1:4" s="318" customFormat="1" x14ac:dyDescent="0.2">
      <c r="A135" s="928">
        <v>8155</v>
      </c>
      <c r="B135" s="928" t="s">
        <v>508</v>
      </c>
      <c r="C135" s="974">
        <f>'TB3'!AD585</f>
        <v>1333878.45</v>
      </c>
      <c r="D135" s="974">
        <f>'TB3'!X585</f>
        <v>1078683.75</v>
      </c>
    </row>
    <row r="136" spans="1:4" s="318" customFormat="1" x14ac:dyDescent="0.2">
      <c r="A136" s="928">
        <v>8156</v>
      </c>
      <c r="B136" s="928" t="s">
        <v>1352</v>
      </c>
      <c r="C136" s="974">
        <f>'TB3'!AD586</f>
        <v>89002.880000000005</v>
      </c>
      <c r="D136" s="974"/>
    </row>
    <row r="137" spans="1:4" s="318" customFormat="1" x14ac:dyDescent="0.2">
      <c r="A137" s="928">
        <v>8157</v>
      </c>
      <c r="B137" s="928" t="s">
        <v>663</v>
      </c>
      <c r="C137" s="974">
        <f>'TB3'!AD587</f>
        <v>966713.6</v>
      </c>
      <c r="D137" s="974">
        <f>'TB3'!X587</f>
        <v>22448.07</v>
      </c>
    </row>
    <row r="138" spans="1:4" s="318" customFormat="1" x14ac:dyDescent="0.2">
      <c r="A138" s="928">
        <v>8158</v>
      </c>
      <c r="B138" s="928" t="s">
        <v>1353</v>
      </c>
      <c r="C138" s="974">
        <f>'TB3'!AD588</f>
        <v>454266.85</v>
      </c>
      <c r="D138" s="974">
        <f>'TB3'!X588</f>
        <v>1448514.29</v>
      </c>
    </row>
    <row r="139" spans="1:4" s="318" customFormat="1" hidden="1" x14ac:dyDescent="0.2">
      <c r="A139" s="928">
        <v>8159</v>
      </c>
      <c r="B139" s="928" t="s">
        <v>1354</v>
      </c>
      <c r="C139" s="974">
        <f>'TB3'!AD589</f>
        <v>0</v>
      </c>
      <c r="D139" s="974">
        <f>'TB3'!X589</f>
        <v>0</v>
      </c>
    </row>
    <row r="140" spans="1:4" s="318" customFormat="1" x14ac:dyDescent="0.2">
      <c r="A140" s="928">
        <v>8160</v>
      </c>
      <c r="B140" s="928" t="s">
        <v>1355</v>
      </c>
      <c r="C140" s="974">
        <f>'TB3'!AD590</f>
        <v>5000000</v>
      </c>
      <c r="D140" s="974">
        <f>'TB3'!X590</f>
        <v>3000000</v>
      </c>
    </row>
    <row r="141" spans="1:4" s="318" customFormat="1" hidden="1" x14ac:dyDescent="0.2">
      <c r="A141" s="928">
        <v>8171</v>
      </c>
      <c r="B141" s="928" t="s">
        <v>500</v>
      </c>
      <c r="C141" s="974">
        <f>'TB3'!AD592</f>
        <v>0</v>
      </c>
      <c r="D141" s="974">
        <f>'TB3'!X592</f>
        <v>0</v>
      </c>
    </row>
    <row r="142" spans="1:4" s="318" customFormat="1" x14ac:dyDescent="0.2">
      <c r="A142" s="928">
        <v>8173</v>
      </c>
      <c r="B142" s="928" t="s">
        <v>993</v>
      </c>
      <c r="C142" s="974">
        <f>'TB3'!AD593</f>
        <v>15351.68</v>
      </c>
      <c r="D142" s="974">
        <f>'TB3'!X593</f>
        <v>6215.11</v>
      </c>
    </row>
    <row r="143" spans="1:4" s="318" customFormat="1" x14ac:dyDescent="0.2">
      <c r="A143" s="928">
        <v>8179</v>
      </c>
      <c r="B143" s="928" t="s">
        <v>1356</v>
      </c>
      <c r="C143" s="974">
        <f>'TB3'!AD594</f>
        <v>8732388.0399999991</v>
      </c>
      <c r="D143" s="974">
        <f>'TB3'!X594</f>
        <v>6267435.7300000004</v>
      </c>
    </row>
    <row r="144" spans="1:4" s="318" customFormat="1" x14ac:dyDescent="0.2">
      <c r="A144" s="928">
        <v>8185</v>
      </c>
      <c r="B144" s="928" t="s">
        <v>504</v>
      </c>
      <c r="C144" s="974">
        <f>'TB3'!AD595</f>
        <v>1364351.55</v>
      </c>
      <c r="D144" s="974">
        <f>'TB3'!X595</f>
        <v>1507205.83</v>
      </c>
    </row>
    <row r="145" spans="1:4" s="318" customFormat="1" x14ac:dyDescent="0.2">
      <c r="A145" s="928">
        <v>8187</v>
      </c>
      <c r="B145" s="928" t="s">
        <v>659</v>
      </c>
      <c r="C145" s="974">
        <f>'TB3'!AD596</f>
        <v>84377.39</v>
      </c>
      <c r="D145" s="974">
        <f>'TB3'!X596</f>
        <v>84397.87</v>
      </c>
    </row>
    <row r="146" spans="1:4" s="318" customFormat="1" x14ac:dyDescent="0.2">
      <c r="A146" s="928">
        <v>8189</v>
      </c>
      <c r="B146" s="928" t="s">
        <v>224</v>
      </c>
      <c r="C146" s="974">
        <f>'TB3'!AD597</f>
        <v>77342.66</v>
      </c>
      <c r="D146" s="974">
        <f>'TB3'!X597</f>
        <v>42971.92</v>
      </c>
    </row>
    <row r="147" spans="1:4" s="318" customFormat="1" hidden="1" x14ac:dyDescent="0.2">
      <c r="A147" s="928">
        <v>8191</v>
      </c>
      <c r="B147" s="928" t="s">
        <v>2966</v>
      </c>
      <c r="C147" s="974">
        <f>'TB3'!AD598</f>
        <v>0</v>
      </c>
      <c r="D147" s="974">
        <f>'TB3'!X598</f>
        <v>-1.96</v>
      </c>
    </row>
    <row r="148" spans="1:4" s="318" customFormat="1" x14ac:dyDescent="0.2">
      <c r="A148" s="928">
        <v>8508</v>
      </c>
      <c r="B148" s="928" t="s">
        <v>3920</v>
      </c>
      <c r="C148" s="1145">
        <v>39541651.490000002</v>
      </c>
      <c r="D148" s="974"/>
    </row>
    <row r="149" spans="1:4" s="318" customFormat="1" x14ac:dyDescent="0.2">
      <c r="A149" s="928">
        <v>8510</v>
      </c>
      <c r="B149" s="928" t="s">
        <v>1359</v>
      </c>
      <c r="C149" s="974">
        <f>'TB3'!AD603</f>
        <v>5374992</v>
      </c>
      <c r="D149" s="974">
        <f>'TB3'!X603</f>
        <v>4875276</v>
      </c>
    </row>
    <row r="150" spans="1:4" x14ac:dyDescent="0.2">
      <c r="A150" s="975"/>
      <c r="B150" s="976" t="s">
        <v>942</v>
      </c>
      <c r="C150" s="825">
        <f>SUM(C4:C149)</f>
        <v>586464903.88999999</v>
      </c>
      <c r="D150" s="825">
        <f>SUM(D4:D149)-1</f>
        <v>499087439.60999995</v>
      </c>
    </row>
    <row r="152" spans="1:4" x14ac:dyDescent="0.2">
      <c r="B152" s="1180" t="s">
        <v>4090</v>
      </c>
      <c r="C152" s="1044"/>
    </row>
    <row r="153" spans="1:4" x14ac:dyDescent="0.2">
      <c r="C153" s="1044"/>
    </row>
  </sheetData>
  <pageMargins left="0.70866141732283505" right="0.70866141732283505" top="0.74803149606299202" bottom="0.74803149606299202" header="0.31496062992126" footer="0.31496062992126"/>
  <pageSetup paperSize="9" scale="70" firstPageNumber="70" orientation="portrait" useFirstPageNumber="1" r:id="rId1"/>
  <headerFooter>
    <oddHeader>&amp;C&amp;"-,Bold"Annexure H
Polokwane Municipality
Summary of other expenditure 30 June 2016</oddHeader>
  </headerFooter>
  <rowBreaks count="1" manualBreakCount="1">
    <brk id="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E45"/>
  <sheetViews>
    <sheetView tabSelected="1" view="pageBreakPreview" zoomScale="60" workbookViewId="0">
      <selection activeCell="G17" sqref="G17"/>
    </sheetView>
  </sheetViews>
  <sheetFormatPr defaultColWidth="20" defaultRowHeight="12.75" x14ac:dyDescent="0.2"/>
  <cols>
    <col min="1" max="1" width="20" style="52"/>
    <col min="2" max="2" width="4.42578125" style="52" customWidth="1"/>
    <col min="3" max="3" width="63" style="52" customWidth="1"/>
    <col min="4" max="4" width="3.42578125" style="52" hidden="1" customWidth="1"/>
    <col min="5" max="5" width="20" style="1046"/>
    <col min="6" max="16384" width="20" style="52"/>
  </cols>
  <sheetData>
    <row r="3" spans="2:5" x14ac:dyDescent="0.2">
      <c r="C3" s="1045" t="s">
        <v>767</v>
      </c>
      <c r="D3" s="51"/>
    </row>
    <row r="4" spans="2:5" x14ac:dyDescent="0.2">
      <c r="C4" s="1045"/>
      <c r="D4" s="51"/>
    </row>
    <row r="5" spans="2:5" ht="13.5" thickBot="1" x14ac:dyDescent="0.25">
      <c r="D5" s="51"/>
    </row>
    <row r="6" spans="2:5" ht="21" customHeight="1" thickBot="1" x14ac:dyDescent="0.25">
      <c r="B6" s="1810" t="s">
        <v>766</v>
      </c>
      <c r="C6" s="1811"/>
      <c r="D6" s="1808" t="s">
        <v>645</v>
      </c>
      <c r="E6" s="1809"/>
    </row>
    <row r="7" spans="2:5" x14ac:dyDescent="0.2">
      <c r="B7" s="1047"/>
      <c r="C7" s="1048"/>
      <c r="D7" s="1048"/>
      <c r="E7" s="1049"/>
    </row>
    <row r="8" spans="2:5" x14ac:dyDescent="0.2">
      <c r="B8" s="1047"/>
      <c r="C8" s="1050"/>
      <c r="D8" s="1050"/>
      <c r="E8" s="1049"/>
    </row>
    <row r="9" spans="2:5" x14ac:dyDescent="0.2">
      <c r="B9" s="1047" t="s">
        <v>765</v>
      </c>
      <c r="C9" s="1050"/>
      <c r="D9" s="1050"/>
      <c r="E9" s="1049" t="s">
        <v>544</v>
      </c>
    </row>
    <row r="10" spans="2:5" x14ac:dyDescent="0.2">
      <c r="B10" s="1047"/>
      <c r="C10" s="1050"/>
      <c r="D10" s="1050"/>
      <c r="E10" s="1049"/>
    </row>
    <row r="11" spans="2:5" x14ac:dyDescent="0.2">
      <c r="B11" s="1047" t="s">
        <v>2731</v>
      </c>
      <c r="C11" s="1050"/>
      <c r="D11" s="1050"/>
      <c r="E11" s="1049" t="s">
        <v>2948</v>
      </c>
    </row>
    <row r="12" spans="2:5" x14ac:dyDescent="0.2">
      <c r="B12" s="1047"/>
      <c r="C12" s="1050"/>
      <c r="D12" s="1050"/>
      <c r="E12" s="1049"/>
    </row>
    <row r="13" spans="2:5" x14ac:dyDescent="0.2">
      <c r="B13" s="1804" t="s">
        <v>14</v>
      </c>
      <c r="C13" s="1805"/>
      <c r="D13" s="1051"/>
      <c r="E13" s="1052">
        <v>4</v>
      </c>
    </row>
    <row r="14" spans="2:5" x14ac:dyDescent="0.2">
      <c r="B14" s="1047"/>
      <c r="C14" s="1053"/>
      <c r="D14" s="1053"/>
      <c r="E14" s="1049"/>
    </row>
    <row r="15" spans="2:5" x14ac:dyDescent="0.2">
      <c r="B15" s="1804" t="s">
        <v>317</v>
      </c>
      <c r="C15" s="1805"/>
      <c r="D15" s="1051"/>
      <c r="E15" s="1054" t="s">
        <v>545</v>
      </c>
    </row>
    <row r="16" spans="2:5" x14ac:dyDescent="0.2">
      <c r="B16" s="1047"/>
      <c r="C16" s="1053"/>
      <c r="D16" s="1053"/>
      <c r="E16" s="1049"/>
    </row>
    <row r="17" spans="2:5" x14ac:dyDescent="0.2">
      <c r="B17" s="1804" t="s">
        <v>375</v>
      </c>
      <c r="C17" s="1805"/>
      <c r="D17" s="1051"/>
      <c r="E17" s="1054" t="s">
        <v>899</v>
      </c>
    </row>
    <row r="18" spans="2:5" x14ac:dyDescent="0.2">
      <c r="B18" s="1047"/>
      <c r="C18" s="1053"/>
      <c r="D18" s="1053"/>
      <c r="E18" s="1049"/>
    </row>
    <row r="19" spans="2:5" x14ac:dyDescent="0.2">
      <c r="B19" s="1804" t="s">
        <v>376</v>
      </c>
      <c r="C19" s="1805"/>
      <c r="D19" s="1051"/>
      <c r="E19" s="1054" t="s">
        <v>2872</v>
      </c>
    </row>
    <row r="20" spans="2:5" x14ac:dyDescent="0.2">
      <c r="B20" s="1047"/>
      <c r="C20" s="1053"/>
      <c r="D20" s="1053"/>
      <c r="E20" s="1049"/>
    </row>
    <row r="21" spans="2:5" x14ac:dyDescent="0.2">
      <c r="B21" s="1047" t="s">
        <v>3029</v>
      </c>
      <c r="C21" s="1055"/>
      <c r="D21" s="1055"/>
      <c r="E21" s="1052">
        <v>8</v>
      </c>
    </row>
    <row r="22" spans="2:5" x14ac:dyDescent="0.2">
      <c r="B22" s="1047"/>
      <c r="C22" s="1053"/>
      <c r="D22" s="1053"/>
      <c r="E22" s="1049"/>
    </row>
    <row r="23" spans="2:5" ht="14.25" customHeight="1" x14ac:dyDescent="0.2">
      <c r="B23" s="1804" t="s">
        <v>781</v>
      </c>
      <c r="C23" s="1805"/>
      <c r="D23" s="1051"/>
      <c r="E23" s="1054" t="s">
        <v>3476</v>
      </c>
    </row>
    <row r="24" spans="2:5" x14ac:dyDescent="0.2">
      <c r="B24" s="1047"/>
      <c r="C24" s="1053"/>
      <c r="D24" s="1053"/>
      <c r="E24" s="1049"/>
    </row>
    <row r="25" spans="2:5" ht="14.25" customHeight="1" x14ac:dyDescent="0.2">
      <c r="B25" s="1806" t="s">
        <v>3135</v>
      </c>
      <c r="C25" s="1807"/>
      <c r="D25" s="1053"/>
      <c r="E25" s="1049"/>
    </row>
    <row r="26" spans="2:5" x14ac:dyDescent="0.2">
      <c r="B26" s="1047"/>
      <c r="C26" s="1053"/>
      <c r="D26" s="1053"/>
      <c r="E26" s="1049"/>
    </row>
    <row r="27" spans="2:5" ht="14.25" customHeight="1" x14ac:dyDescent="0.2">
      <c r="B27" s="1056" t="s">
        <v>768</v>
      </c>
      <c r="C27" s="1057" t="s">
        <v>775</v>
      </c>
      <c r="D27" s="1051"/>
      <c r="E27" s="1054" t="s">
        <v>3477</v>
      </c>
    </row>
    <row r="28" spans="2:5" ht="14.25" customHeight="1" x14ac:dyDescent="0.2">
      <c r="B28" s="1047"/>
      <c r="C28" s="1053"/>
      <c r="D28" s="1053"/>
      <c r="E28" s="1049"/>
    </row>
    <row r="29" spans="2:5" ht="14.25" customHeight="1" x14ac:dyDescent="0.2">
      <c r="B29" s="1056" t="s">
        <v>769</v>
      </c>
      <c r="C29" s="1057" t="s">
        <v>776</v>
      </c>
      <c r="D29" s="1058"/>
      <c r="E29" s="1054" t="s">
        <v>3712</v>
      </c>
    </row>
    <row r="30" spans="2:5" ht="14.25" customHeight="1" x14ac:dyDescent="0.2">
      <c r="B30" s="1047"/>
      <c r="C30" s="1059"/>
      <c r="D30" s="1059"/>
      <c r="E30" s="1049"/>
    </row>
    <row r="31" spans="2:5" ht="14.25" customHeight="1" x14ac:dyDescent="0.2">
      <c r="B31" s="1047" t="s">
        <v>770</v>
      </c>
      <c r="C31" s="1058" t="s">
        <v>777</v>
      </c>
      <c r="D31" s="1058"/>
      <c r="E31" s="1054" t="s">
        <v>4288</v>
      </c>
    </row>
    <row r="32" spans="2:5" ht="14.25" customHeight="1" x14ac:dyDescent="0.2">
      <c r="B32" s="1047"/>
      <c r="C32" s="1059"/>
      <c r="D32" s="1059"/>
      <c r="E32" s="1049"/>
    </row>
    <row r="33" spans="2:5" ht="14.25" customHeight="1" x14ac:dyDescent="0.2">
      <c r="B33" s="1047" t="s">
        <v>771</v>
      </c>
      <c r="C33" s="1250" t="s">
        <v>780</v>
      </c>
      <c r="D33" s="1058"/>
      <c r="E33" s="1054" t="s">
        <v>4289</v>
      </c>
    </row>
    <row r="34" spans="2:5" ht="14.25" customHeight="1" x14ac:dyDescent="0.2">
      <c r="B34" s="1047"/>
      <c r="C34" s="1060"/>
      <c r="D34" s="1059"/>
      <c r="E34" s="1049"/>
    </row>
    <row r="35" spans="2:5" ht="14.25" customHeight="1" x14ac:dyDescent="0.2">
      <c r="B35" s="1047" t="s">
        <v>772</v>
      </c>
      <c r="C35" s="1057" t="s">
        <v>779</v>
      </c>
      <c r="D35" s="1058"/>
      <c r="E35" s="1054" t="s">
        <v>4290</v>
      </c>
    </row>
    <row r="36" spans="2:5" x14ac:dyDescent="0.2">
      <c r="B36" s="1047"/>
      <c r="C36" s="1060"/>
      <c r="D36" s="1059"/>
      <c r="E36" s="1049"/>
    </row>
    <row r="37" spans="2:5" ht="25.5" x14ac:dyDescent="0.2">
      <c r="B37" s="1061" t="s">
        <v>773</v>
      </c>
      <c r="C37" s="1057" t="s">
        <v>778</v>
      </c>
      <c r="D37" s="1058"/>
      <c r="E37" s="1054" t="s">
        <v>4291</v>
      </c>
    </row>
    <row r="38" spans="2:5" x14ac:dyDescent="0.2">
      <c r="B38" s="1047"/>
      <c r="C38" s="1062"/>
      <c r="D38" s="1062"/>
      <c r="E38" s="1049"/>
    </row>
    <row r="39" spans="2:5" x14ac:dyDescent="0.2">
      <c r="B39" s="1047" t="s">
        <v>774</v>
      </c>
      <c r="C39" s="1063" t="s">
        <v>3711</v>
      </c>
      <c r="D39" s="1064"/>
      <c r="E39" s="1054" t="s">
        <v>4291</v>
      </c>
    </row>
    <row r="40" spans="2:5" x14ac:dyDescent="0.2">
      <c r="B40" s="1047"/>
      <c r="C40" s="1063"/>
      <c r="D40" s="1064"/>
      <c r="E40" s="1054"/>
    </row>
    <row r="41" spans="2:5" x14ac:dyDescent="0.2">
      <c r="B41" s="1047" t="s">
        <v>2870</v>
      </c>
      <c r="C41" s="1055" t="s">
        <v>2871</v>
      </c>
      <c r="D41" s="1055"/>
      <c r="E41" s="1052">
        <v>74</v>
      </c>
    </row>
    <row r="42" spans="2:5" x14ac:dyDescent="0.2">
      <c r="B42" s="1047"/>
      <c r="C42" s="1065"/>
      <c r="D42" s="1065"/>
      <c r="E42" s="1066"/>
    </row>
    <row r="43" spans="2:5" x14ac:dyDescent="0.2">
      <c r="B43" s="1047" t="s">
        <v>3133</v>
      </c>
      <c r="C43" s="1065" t="s">
        <v>3132</v>
      </c>
      <c r="D43" s="1065"/>
      <c r="E43" s="1066" t="s">
        <v>4292</v>
      </c>
    </row>
    <row r="44" spans="2:5" x14ac:dyDescent="0.2">
      <c r="B44" s="1047"/>
      <c r="C44" s="1065"/>
      <c r="D44" s="1065"/>
      <c r="E44" s="1066"/>
    </row>
    <row r="45" spans="2:5" x14ac:dyDescent="0.2">
      <c r="B45" s="1067" t="s">
        <v>4287</v>
      </c>
      <c r="C45" s="1068" t="s">
        <v>70</v>
      </c>
      <c r="D45" s="1068"/>
      <c r="E45" s="1069">
        <v>79</v>
      </c>
    </row>
  </sheetData>
  <mergeCells count="8">
    <mergeCell ref="B23:C23"/>
    <mergeCell ref="B25:C25"/>
    <mergeCell ref="D6:E6"/>
    <mergeCell ref="B6:C6"/>
    <mergeCell ref="B13:C13"/>
    <mergeCell ref="B15:C15"/>
    <mergeCell ref="B17:C17"/>
    <mergeCell ref="B19:C19"/>
  </mergeCells>
  <phoneticPr fontId="15" type="noConversion"/>
  <pageMargins left="0.35433070866141736" right="0.35433070866141736" top="0.98425196850393704" bottom="0.98425196850393704" header="0.51181102362204722" footer="0.51181102362204722"/>
  <pageSetup paperSize="9" scale="8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6"/>
    </sheetView>
  </sheetViews>
  <sheetFormatPr defaultRowHeight="15" x14ac:dyDescent="0.25"/>
  <cols>
    <col min="2" max="4" width="9.140625" customWidth="1"/>
  </cols>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workbookViewId="0">
      <selection activeCell="I91" sqref="I91"/>
    </sheetView>
  </sheetViews>
  <sheetFormatPr defaultRowHeight="12.75" x14ac:dyDescent="0.2"/>
  <cols>
    <col min="1" max="1" width="10.5703125" style="1295" bestFit="1" customWidth="1"/>
    <col min="2" max="2" width="18.42578125" style="1295" customWidth="1"/>
    <col min="3" max="3" width="14.28515625" style="1295" customWidth="1"/>
    <col min="4" max="4" width="11.85546875" style="1295" customWidth="1"/>
    <col min="5" max="5" width="11.140625" style="1295" customWidth="1"/>
    <col min="6" max="7" width="12.140625" style="1295" customWidth="1"/>
    <col min="8" max="8" width="11.140625" style="1295" customWidth="1"/>
    <col min="9" max="9" width="10.140625" style="1295" bestFit="1" customWidth="1"/>
    <col min="10" max="16384" width="9.140625" style="1295"/>
  </cols>
  <sheetData>
    <row r="1" spans="1:9" ht="12.75" customHeight="1" x14ac:dyDescent="0.2">
      <c r="A1" s="1887" t="s">
        <v>3802</v>
      </c>
      <c r="B1" s="1889" t="s">
        <v>3803</v>
      </c>
      <c r="C1" s="1891" t="s">
        <v>3804</v>
      </c>
      <c r="D1" s="1892" t="s">
        <v>3808</v>
      </c>
      <c r="E1" s="1892" t="s">
        <v>3809</v>
      </c>
      <c r="F1" s="1892" t="s">
        <v>3805</v>
      </c>
      <c r="G1" s="1894" t="s">
        <v>3806</v>
      </c>
      <c r="H1" s="1894" t="s">
        <v>3807</v>
      </c>
      <c r="I1" s="1885" t="s">
        <v>942</v>
      </c>
    </row>
    <row r="2" spans="1:9" ht="12.75" customHeight="1" x14ac:dyDescent="0.2">
      <c r="A2" s="1888"/>
      <c r="B2" s="1890"/>
      <c r="C2" s="1891"/>
      <c r="D2" s="1893"/>
      <c r="E2" s="1893"/>
      <c r="F2" s="1893"/>
      <c r="G2" s="1894"/>
      <c r="H2" s="1894"/>
      <c r="I2" s="1886"/>
    </row>
    <row r="3" spans="1:9" ht="15" x14ac:dyDescent="0.25">
      <c r="A3" s="1366"/>
      <c r="B3" s="1348"/>
      <c r="C3" s="1349"/>
      <c r="D3" s="1350"/>
      <c r="E3" s="1350"/>
      <c r="F3" s="1350"/>
      <c r="G3" s="1350"/>
      <c r="H3" s="1350"/>
      <c r="I3" s="1351"/>
    </row>
    <row r="4" spans="1:9" s="1297" customFormat="1" x14ac:dyDescent="0.2">
      <c r="A4" s="1367">
        <v>51890</v>
      </c>
      <c r="B4" s="1353" t="s">
        <v>3810</v>
      </c>
      <c r="C4" s="1352" t="s">
        <v>3607</v>
      </c>
      <c r="D4" s="1354">
        <v>571837.13</v>
      </c>
      <c r="E4" s="1354">
        <v>230478</v>
      </c>
      <c r="F4" s="1354">
        <v>85775.54</v>
      </c>
      <c r="G4" s="1354">
        <v>33821.33</v>
      </c>
      <c r="H4" s="1354">
        <v>32117.759999999998</v>
      </c>
      <c r="I4" s="1355">
        <f>D4+E4+F4+G4+H4</f>
        <v>954029.76</v>
      </c>
    </row>
    <row r="5" spans="1:9" s="1296" customFormat="1" x14ac:dyDescent="0.2">
      <c r="A5" s="1367"/>
      <c r="B5" s="1353"/>
      <c r="C5" s="1352"/>
      <c r="D5" s="1354"/>
      <c r="E5" s="1354"/>
      <c r="F5" s="1354"/>
      <c r="G5" s="1354"/>
      <c r="H5" s="1354"/>
      <c r="I5" s="1355"/>
    </row>
    <row r="6" spans="1:9" s="1296" customFormat="1" x14ac:dyDescent="0.2">
      <c r="A6" s="1367">
        <v>50940</v>
      </c>
      <c r="B6" s="1353" t="s">
        <v>72</v>
      </c>
      <c r="C6" s="1352" t="s">
        <v>2661</v>
      </c>
      <c r="D6" s="1354">
        <v>455529.76</v>
      </c>
      <c r="E6" s="1354">
        <v>184382.27</v>
      </c>
      <c r="F6" s="1354">
        <v>68329.48</v>
      </c>
      <c r="G6" s="1354">
        <v>29287.56</v>
      </c>
      <c r="H6" s="1354">
        <v>41820</v>
      </c>
      <c r="I6" s="1355">
        <f>D6+E6+F6+G6+H6</f>
        <v>779349.07000000007</v>
      </c>
    </row>
    <row r="7" spans="1:9" x14ac:dyDescent="0.2">
      <c r="A7" s="1367"/>
      <c r="B7" s="1353"/>
      <c r="C7" s="1352"/>
      <c r="D7" s="1354"/>
      <c r="E7" s="1354"/>
      <c r="F7" s="1354"/>
      <c r="G7" s="1354"/>
      <c r="H7" s="1354"/>
      <c r="I7" s="1355"/>
    </row>
    <row r="8" spans="1:9" s="1298" customFormat="1" x14ac:dyDescent="0.2">
      <c r="A8" s="1367">
        <v>51440</v>
      </c>
      <c r="B8" s="1353" t="s">
        <v>74</v>
      </c>
      <c r="C8" s="1352" t="s">
        <v>2671</v>
      </c>
      <c r="D8" s="1354">
        <v>432315.39999999997</v>
      </c>
      <c r="E8" s="1354">
        <v>172858.23</v>
      </c>
      <c r="F8" s="1354">
        <v>64847.32</v>
      </c>
      <c r="G8" s="1354">
        <v>21412.02</v>
      </c>
      <c r="H8" s="1354">
        <v>20868</v>
      </c>
      <c r="I8" s="1355">
        <f>D8+E8+F8+G8+H8</f>
        <v>712300.97</v>
      </c>
    </row>
    <row r="9" spans="1:9" x14ac:dyDescent="0.2">
      <c r="A9" s="1367"/>
      <c r="B9" s="1353"/>
      <c r="C9" s="1352"/>
      <c r="D9" s="1354"/>
      <c r="E9" s="1354"/>
      <c r="F9" s="1354"/>
      <c r="G9" s="1354"/>
      <c r="H9" s="1354"/>
      <c r="I9" s="1355"/>
    </row>
    <row r="10" spans="1:9" x14ac:dyDescent="0.2">
      <c r="A10" s="1367">
        <v>51070</v>
      </c>
      <c r="B10" s="1353" t="s">
        <v>3811</v>
      </c>
      <c r="C10" s="1352" t="s">
        <v>2670</v>
      </c>
      <c r="D10" s="1354">
        <v>249189.80000000002</v>
      </c>
      <c r="E10" s="1354">
        <v>95522.76</v>
      </c>
      <c r="F10" s="1354">
        <v>37378.44</v>
      </c>
      <c r="G10" s="1354"/>
      <c r="H10" s="1354">
        <v>20868</v>
      </c>
      <c r="I10" s="1355">
        <f t="shared" ref="I10:I21" si="0">D10+E10+F10+G10+H10</f>
        <v>402959</v>
      </c>
    </row>
    <row r="11" spans="1:9" x14ac:dyDescent="0.2">
      <c r="A11" s="1367">
        <v>50700</v>
      </c>
      <c r="B11" s="1353" t="s">
        <v>3811</v>
      </c>
      <c r="C11" s="1352" t="s">
        <v>3812</v>
      </c>
      <c r="D11" s="1354">
        <v>185607.17</v>
      </c>
      <c r="E11" s="1354">
        <v>95522.76</v>
      </c>
      <c r="F11" s="1354">
        <v>27841.08</v>
      </c>
      <c r="G11" s="1354">
        <v>73120.02</v>
      </c>
      <c r="H11" s="1354">
        <v>20868</v>
      </c>
      <c r="I11" s="1355">
        <f t="shared" si="0"/>
        <v>402959.03</v>
      </c>
    </row>
    <row r="12" spans="1:9" x14ac:dyDescent="0.2">
      <c r="A12" s="1367">
        <v>50800</v>
      </c>
      <c r="B12" s="1353" t="s">
        <v>3811</v>
      </c>
      <c r="C12" s="1352" t="s">
        <v>2663</v>
      </c>
      <c r="D12" s="1354">
        <v>236379.66999999998</v>
      </c>
      <c r="E12" s="1354">
        <v>95522.76</v>
      </c>
      <c r="F12" s="1354">
        <v>35456.97</v>
      </c>
      <c r="G12" s="1354">
        <v>14731.62</v>
      </c>
      <c r="H12" s="1354">
        <v>20868</v>
      </c>
      <c r="I12" s="1355">
        <f t="shared" si="0"/>
        <v>402959.02</v>
      </c>
    </row>
    <row r="13" spans="1:9" x14ac:dyDescent="0.2">
      <c r="A13" s="1367">
        <v>51010</v>
      </c>
      <c r="B13" s="1353" t="s">
        <v>3811</v>
      </c>
      <c r="C13" s="1352" t="s">
        <v>2668</v>
      </c>
      <c r="D13" s="1354">
        <v>450934.64</v>
      </c>
      <c r="E13" s="1354">
        <v>172858.2</v>
      </c>
      <c r="F13" s="1354">
        <v>67640.160000000003</v>
      </c>
      <c r="G13" s="1354"/>
      <c r="H13" s="1354">
        <v>20868</v>
      </c>
      <c r="I13" s="1355">
        <f t="shared" si="0"/>
        <v>712301.00000000012</v>
      </c>
    </row>
    <row r="14" spans="1:9" x14ac:dyDescent="0.2">
      <c r="A14" s="1367">
        <v>51570</v>
      </c>
      <c r="B14" s="1353" t="s">
        <v>3811</v>
      </c>
      <c r="C14" s="1352" t="s">
        <v>2665</v>
      </c>
      <c r="D14" s="1354">
        <v>450934.64</v>
      </c>
      <c r="E14" s="1354">
        <v>172858.2</v>
      </c>
      <c r="F14" s="1354">
        <v>67640.160000000003</v>
      </c>
      <c r="G14" s="1354"/>
      <c r="H14" s="1354">
        <v>20868</v>
      </c>
      <c r="I14" s="1355">
        <f t="shared" si="0"/>
        <v>712301.00000000012</v>
      </c>
    </row>
    <row r="15" spans="1:9" x14ac:dyDescent="0.2">
      <c r="A15" s="1367">
        <v>51170</v>
      </c>
      <c r="B15" s="1353" t="s">
        <v>3811</v>
      </c>
      <c r="C15" s="1352" t="s">
        <v>2726</v>
      </c>
      <c r="D15" s="1354">
        <v>601246.04</v>
      </c>
      <c r="E15" s="1354">
        <v>0</v>
      </c>
      <c r="F15" s="1354">
        <v>90186.96</v>
      </c>
      <c r="G15" s="1354"/>
      <c r="H15" s="1354">
        <v>20868</v>
      </c>
      <c r="I15" s="1355">
        <f t="shared" si="0"/>
        <v>712301</v>
      </c>
    </row>
    <row r="16" spans="1:9" x14ac:dyDescent="0.2">
      <c r="A16" s="1367">
        <v>51420</v>
      </c>
      <c r="B16" s="1353" t="s">
        <v>3811</v>
      </c>
      <c r="C16" s="1352" t="s">
        <v>2697</v>
      </c>
      <c r="D16" s="1354">
        <v>332253.08</v>
      </c>
      <c r="E16" s="1354">
        <v>0</v>
      </c>
      <c r="F16" s="1354">
        <v>49837.919999999998</v>
      </c>
      <c r="G16" s="1354"/>
      <c r="H16" s="1354">
        <v>20868</v>
      </c>
      <c r="I16" s="1355">
        <f t="shared" si="0"/>
        <v>402959</v>
      </c>
    </row>
    <row r="17" spans="1:9" x14ac:dyDescent="0.2">
      <c r="A17" s="1367">
        <v>51550</v>
      </c>
      <c r="B17" s="1353" t="s">
        <v>3811</v>
      </c>
      <c r="C17" s="1352" t="s">
        <v>2722</v>
      </c>
      <c r="D17" s="1354">
        <v>588435.64</v>
      </c>
      <c r="E17" s="1354">
        <v>0</v>
      </c>
      <c r="F17" s="1354">
        <v>88265.34</v>
      </c>
      <c r="G17" s="1354">
        <v>14732.04</v>
      </c>
      <c r="H17" s="1354">
        <v>20868</v>
      </c>
      <c r="I17" s="1355">
        <f t="shared" si="0"/>
        <v>712301.02</v>
      </c>
    </row>
    <row r="18" spans="1:9" x14ac:dyDescent="0.2">
      <c r="A18" s="1367">
        <v>51610</v>
      </c>
      <c r="B18" s="1353" t="s">
        <v>3811</v>
      </c>
      <c r="C18" s="1352" t="s">
        <v>2692</v>
      </c>
      <c r="D18" s="1354">
        <v>249189.80000000002</v>
      </c>
      <c r="E18" s="1354">
        <v>95522.76</v>
      </c>
      <c r="F18" s="1354">
        <v>37378.44</v>
      </c>
      <c r="G18" s="1354"/>
      <c r="H18" s="1354">
        <v>20868</v>
      </c>
      <c r="I18" s="1355">
        <f t="shared" si="0"/>
        <v>402959</v>
      </c>
    </row>
    <row r="19" spans="1:9" s="1298" customFormat="1" x14ac:dyDescent="0.2">
      <c r="A19" s="1367">
        <v>51630</v>
      </c>
      <c r="B19" s="1353" t="s">
        <v>3811</v>
      </c>
      <c r="C19" s="1352" t="s">
        <v>2707</v>
      </c>
      <c r="D19" s="1354">
        <v>310102.64</v>
      </c>
      <c r="E19" s="1354">
        <v>0</v>
      </c>
      <c r="F19" s="1354">
        <v>46515.360000000001</v>
      </c>
      <c r="G19" s="1354"/>
      <c r="H19" s="1354">
        <v>20868</v>
      </c>
      <c r="I19" s="1355">
        <f t="shared" si="0"/>
        <v>377486</v>
      </c>
    </row>
    <row r="20" spans="1:9" s="1298" customFormat="1" x14ac:dyDescent="0.2">
      <c r="A20" s="1367">
        <v>51820</v>
      </c>
      <c r="B20" s="1353" t="s">
        <v>3811</v>
      </c>
      <c r="C20" s="1352" t="s">
        <v>2714</v>
      </c>
      <c r="D20" s="1354">
        <v>249189.80000000002</v>
      </c>
      <c r="E20" s="1354">
        <v>95522.76</v>
      </c>
      <c r="F20" s="1354">
        <v>37378.44</v>
      </c>
      <c r="G20" s="1354"/>
      <c r="H20" s="1354">
        <v>20868</v>
      </c>
      <c r="I20" s="1355">
        <f t="shared" si="0"/>
        <v>402959</v>
      </c>
    </row>
    <row r="21" spans="1:9" s="1298" customFormat="1" x14ac:dyDescent="0.2">
      <c r="A21" s="1367">
        <v>50980</v>
      </c>
      <c r="B21" s="1353" t="s">
        <v>3811</v>
      </c>
      <c r="C21" s="1352" t="s">
        <v>2667</v>
      </c>
      <c r="D21" s="1354">
        <v>420873.24</v>
      </c>
      <c r="E21" s="1354">
        <v>161334.72</v>
      </c>
      <c r="F21" s="1354">
        <v>63131.040000000001</v>
      </c>
      <c r="G21" s="1354"/>
      <c r="H21" s="1354">
        <v>20868</v>
      </c>
      <c r="I21" s="1355">
        <f t="shared" si="0"/>
        <v>666207</v>
      </c>
    </row>
    <row r="22" spans="1:9" s="1298" customFormat="1" x14ac:dyDescent="0.2">
      <c r="A22" s="1367"/>
      <c r="B22" s="1353"/>
      <c r="C22" s="1352"/>
      <c r="D22" s="1356">
        <f t="shared" ref="D22:I22" si="1">SUM(D10:D21)</f>
        <v>4324336.16</v>
      </c>
      <c r="E22" s="1356">
        <f t="shared" si="1"/>
        <v>984664.91999999993</v>
      </c>
      <c r="F22" s="1356">
        <f t="shared" si="1"/>
        <v>648650.31000000006</v>
      </c>
      <c r="G22" s="1356">
        <f t="shared" si="1"/>
        <v>102583.67999999999</v>
      </c>
      <c r="H22" s="1356">
        <f t="shared" si="1"/>
        <v>250416</v>
      </c>
      <c r="I22" s="1357">
        <f t="shared" si="1"/>
        <v>6310651.0700000003</v>
      </c>
    </row>
    <row r="23" spans="1:9" x14ac:dyDescent="0.2">
      <c r="A23" s="1367"/>
      <c r="B23" s="1353"/>
      <c r="C23" s="1352"/>
      <c r="D23" s="1354"/>
      <c r="E23" s="1354"/>
      <c r="F23" s="1354"/>
      <c r="G23" s="1354"/>
      <c r="H23" s="1354"/>
      <c r="I23" s="1355"/>
    </row>
    <row r="24" spans="1:9" x14ac:dyDescent="0.2">
      <c r="A24" s="1367">
        <v>50050</v>
      </c>
      <c r="B24" s="1353" t="s">
        <v>3813</v>
      </c>
      <c r="C24" s="1352" t="s">
        <v>2674</v>
      </c>
      <c r="D24" s="1354">
        <v>181228.04</v>
      </c>
      <c r="E24" s="1354">
        <v>69470.759999999995</v>
      </c>
      <c r="F24" s="1354">
        <v>27184.2</v>
      </c>
      <c r="G24" s="1354"/>
      <c r="H24" s="1354">
        <v>20868</v>
      </c>
      <c r="I24" s="1355">
        <f t="shared" ref="I24:I87" si="2">D24+E24+F24+G24+H24</f>
        <v>298751</v>
      </c>
    </row>
    <row r="25" spans="1:9" x14ac:dyDescent="0.2">
      <c r="A25" s="1367">
        <v>50470</v>
      </c>
      <c r="B25" s="1353" t="s">
        <v>3813</v>
      </c>
      <c r="C25" s="1352" t="s">
        <v>2711</v>
      </c>
      <c r="D25" s="1354">
        <v>241637.36000000002</v>
      </c>
      <c r="E25" s="1354">
        <v>0</v>
      </c>
      <c r="F25" s="1354">
        <v>36245.64</v>
      </c>
      <c r="G25" s="1354"/>
      <c r="H25" s="1354">
        <v>20868</v>
      </c>
      <c r="I25" s="1355">
        <f t="shared" si="2"/>
        <v>298751</v>
      </c>
    </row>
    <row r="26" spans="1:9" x14ac:dyDescent="0.2">
      <c r="A26" s="1367">
        <v>50650</v>
      </c>
      <c r="B26" s="1353" t="s">
        <v>3813</v>
      </c>
      <c r="C26" s="1352" t="s">
        <v>2724</v>
      </c>
      <c r="D26" s="1354">
        <v>181228.04</v>
      </c>
      <c r="E26" s="1354">
        <v>69470.759999999995</v>
      </c>
      <c r="F26" s="1354">
        <v>27184.2</v>
      </c>
      <c r="G26" s="1354"/>
      <c r="H26" s="1354">
        <v>20868</v>
      </c>
      <c r="I26" s="1355">
        <f t="shared" si="2"/>
        <v>298751</v>
      </c>
    </row>
    <row r="27" spans="1:9" x14ac:dyDescent="0.2">
      <c r="A27" s="1367">
        <v>50780</v>
      </c>
      <c r="B27" s="1353" t="s">
        <v>3813</v>
      </c>
      <c r="C27" s="1352" t="s">
        <v>2698</v>
      </c>
      <c r="D27" s="1354">
        <v>168417.92000000001</v>
      </c>
      <c r="E27" s="1354">
        <v>69470.759999999995</v>
      </c>
      <c r="F27" s="1354">
        <v>25262.66</v>
      </c>
      <c r="G27" s="1354">
        <v>14731.62</v>
      </c>
      <c r="H27" s="1354">
        <v>20868</v>
      </c>
      <c r="I27" s="1355">
        <f t="shared" si="2"/>
        <v>298750.95999999996</v>
      </c>
    </row>
    <row r="28" spans="1:9" x14ac:dyDescent="0.2">
      <c r="A28" s="1367">
        <v>50850</v>
      </c>
      <c r="B28" s="1353" t="s">
        <v>3813</v>
      </c>
      <c r="C28" s="1352" t="s">
        <v>2690</v>
      </c>
      <c r="D28" s="1354">
        <v>181228.04</v>
      </c>
      <c r="E28" s="1354">
        <v>69470.759999999995</v>
      </c>
      <c r="F28" s="1354">
        <v>27184.2</v>
      </c>
      <c r="G28" s="1354"/>
      <c r="H28" s="1354">
        <v>20868</v>
      </c>
      <c r="I28" s="1355">
        <f t="shared" si="2"/>
        <v>298751</v>
      </c>
    </row>
    <row r="29" spans="1:9" x14ac:dyDescent="0.2">
      <c r="A29" s="1367">
        <v>50880</v>
      </c>
      <c r="B29" s="1353" t="s">
        <v>3813</v>
      </c>
      <c r="C29" s="1352" t="s">
        <v>2695</v>
      </c>
      <c r="D29" s="1354">
        <v>181228.04</v>
      </c>
      <c r="E29" s="1354">
        <v>69470.759999999995</v>
      </c>
      <c r="F29" s="1354">
        <v>27184.2</v>
      </c>
      <c r="G29" s="1354"/>
      <c r="H29" s="1354">
        <v>20868</v>
      </c>
      <c r="I29" s="1355">
        <f t="shared" si="2"/>
        <v>298751</v>
      </c>
    </row>
    <row r="30" spans="1:9" x14ac:dyDescent="0.2">
      <c r="A30" s="1367">
        <v>50970</v>
      </c>
      <c r="B30" s="1353" t="s">
        <v>3813</v>
      </c>
      <c r="C30" s="1352" t="s">
        <v>2704</v>
      </c>
      <c r="D30" s="1354">
        <v>228649.56</v>
      </c>
      <c r="E30" s="1354">
        <v>0</v>
      </c>
      <c r="F30" s="1354">
        <v>34297.42</v>
      </c>
      <c r="G30" s="1354">
        <v>14935.98</v>
      </c>
      <c r="H30" s="1354">
        <v>20868</v>
      </c>
      <c r="I30" s="1355">
        <f t="shared" si="2"/>
        <v>298750.95999999996</v>
      </c>
    </row>
    <row r="31" spans="1:9" x14ac:dyDescent="0.2">
      <c r="A31" s="1367">
        <v>51050</v>
      </c>
      <c r="B31" s="1353" t="s">
        <v>3813</v>
      </c>
      <c r="C31" s="1352" t="s">
        <v>2662</v>
      </c>
      <c r="D31" s="1354">
        <v>168417.56</v>
      </c>
      <c r="E31" s="1354">
        <v>69470.759999999995</v>
      </c>
      <c r="F31" s="1354">
        <v>25262.66</v>
      </c>
      <c r="G31" s="1354">
        <v>14732.04</v>
      </c>
      <c r="H31" s="1354">
        <v>20868</v>
      </c>
      <c r="I31" s="1355">
        <f t="shared" si="2"/>
        <v>298751.01999999996</v>
      </c>
    </row>
    <row r="32" spans="1:9" x14ac:dyDescent="0.2">
      <c r="A32" s="1367">
        <v>51140</v>
      </c>
      <c r="B32" s="1353" t="s">
        <v>3813</v>
      </c>
      <c r="C32" s="1352" t="s">
        <v>2723</v>
      </c>
      <c r="D32" s="1354">
        <v>157047.21000000002</v>
      </c>
      <c r="E32" s="1354">
        <v>69470.759999999995</v>
      </c>
      <c r="F32" s="1354">
        <v>23557.1</v>
      </c>
      <c r="G32" s="1354">
        <v>27807.96</v>
      </c>
      <c r="H32" s="1354">
        <v>20868</v>
      </c>
      <c r="I32" s="1355">
        <f t="shared" si="2"/>
        <v>298751.03000000003</v>
      </c>
    </row>
    <row r="33" spans="1:9" x14ac:dyDescent="0.2">
      <c r="A33" s="1367">
        <v>51230</v>
      </c>
      <c r="B33" s="1353" t="s">
        <v>3813</v>
      </c>
      <c r="C33" s="1352" t="s">
        <v>2720</v>
      </c>
      <c r="D33" s="1354">
        <v>241637.36000000002</v>
      </c>
      <c r="E33" s="1354">
        <v>0</v>
      </c>
      <c r="F33" s="1354">
        <v>36245.64</v>
      </c>
      <c r="G33" s="1354"/>
      <c r="H33" s="1354">
        <v>20868</v>
      </c>
      <c r="I33" s="1355">
        <f t="shared" si="2"/>
        <v>298751</v>
      </c>
    </row>
    <row r="34" spans="1:9" x14ac:dyDescent="0.2">
      <c r="A34" s="1367">
        <v>51300</v>
      </c>
      <c r="B34" s="1353" t="s">
        <v>3813</v>
      </c>
      <c r="C34" s="1352" t="s">
        <v>3814</v>
      </c>
      <c r="D34" s="1354">
        <v>181228.04</v>
      </c>
      <c r="E34" s="1354">
        <v>69470.759999999995</v>
      </c>
      <c r="F34" s="1354">
        <v>27184.2</v>
      </c>
      <c r="G34" s="1354"/>
      <c r="H34" s="1354">
        <v>20868</v>
      </c>
      <c r="I34" s="1355">
        <f t="shared" si="2"/>
        <v>298751</v>
      </c>
    </row>
    <row r="35" spans="1:9" x14ac:dyDescent="0.2">
      <c r="A35" s="1367">
        <v>51320</v>
      </c>
      <c r="B35" s="1353" t="s">
        <v>3813</v>
      </c>
      <c r="C35" s="1352" t="s">
        <v>2688</v>
      </c>
      <c r="D35" s="1354">
        <v>165923.71</v>
      </c>
      <c r="E35" s="1354">
        <v>69470.75</v>
      </c>
      <c r="F35" s="1354">
        <v>24888.58</v>
      </c>
      <c r="G35" s="1354">
        <v>17599.98</v>
      </c>
      <c r="H35" s="1354">
        <v>20868</v>
      </c>
      <c r="I35" s="1355">
        <f t="shared" si="2"/>
        <v>298751.01999999996</v>
      </c>
    </row>
    <row r="36" spans="1:9" x14ac:dyDescent="0.2">
      <c r="A36" s="1367">
        <v>51330</v>
      </c>
      <c r="B36" s="1353" t="s">
        <v>3813</v>
      </c>
      <c r="C36" s="1352" t="s">
        <v>2681</v>
      </c>
      <c r="D36" s="1354">
        <v>181228.04</v>
      </c>
      <c r="E36" s="1354">
        <v>69470.759999999995</v>
      </c>
      <c r="F36" s="1354">
        <v>27184.2</v>
      </c>
      <c r="G36" s="1354"/>
      <c r="H36" s="1354">
        <v>20868</v>
      </c>
      <c r="I36" s="1355">
        <f t="shared" si="2"/>
        <v>298751</v>
      </c>
    </row>
    <row r="37" spans="1:9" x14ac:dyDescent="0.2">
      <c r="A37" s="1367">
        <v>51340</v>
      </c>
      <c r="B37" s="1353" t="s">
        <v>3813</v>
      </c>
      <c r="C37" s="1352" t="s">
        <v>3815</v>
      </c>
      <c r="D37" s="1354">
        <v>217759.19</v>
      </c>
      <c r="E37" s="1354">
        <v>0</v>
      </c>
      <c r="F37" s="1354">
        <v>32663.87</v>
      </c>
      <c r="G37" s="1354">
        <v>27459.96</v>
      </c>
      <c r="H37" s="1354">
        <v>20868</v>
      </c>
      <c r="I37" s="1355">
        <f t="shared" si="2"/>
        <v>298751.02</v>
      </c>
    </row>
    <row r="38" spans="1:9" x14ac:dyDescent="0.2">
      <c r="A38" s="1367">
        <v>51350</v>
      </c>
      <c r="B38" s="1353" t="s">
        <v>3813</v>
      </c>
      <c r="C38" s="1352" t="s">
        <v>2679</v>
      </c>
      <c r="D38" s="1354">
        <v>181228.04</v>
      </c>
      <c r="E38" s="1354">
        <v>69470.759999999995</v>
      </c>
      <c r="F38" s="1354">
        <v>27184.2</v>
      </c>
      <c r="G38" s="1354"/>
      <c r="H38" s="1354">
        <v>20868</v>
      </c>
      <c r="I38" s="1355">
        <f t="shared" si="2"/>
        <v>298751</v>
      </c>
    </row>
    <row r="39" spans="1:9" x14ac:dyDescent="0.2">
      <c r="A39" s="1367">
        <v>51360</v>
      </c>
      <c r="B39" s="1353" t="s">
        <v>3813</v>
      </c>
      <c r="C39" s="1352" t="s">
        <v>2721</v>
      </c>
      <c r="D39" s="1354">
        <v>241637.36000000002</v>
      </c>
      <c r="E39" s="1354">
        <v>0</v>
      </c>
      <c r="F39" s="1354">
        <v>36245.64</v>
      </c>
      <c r="G39" s="1354"/>
      <c r="H39" s="1354">
        <v>20868</v>
      </c>
      <c r="I39" s="1355">
        <f t="shared" si="2"/>
        <v>298751</v>
      </c>
    </row>
    <row r="40" spans="1:9" x14ac:dyDescent="0.2">
      <c r="A40" s="1367">
        <v>51370</v>
      </c>
      <c r="B40" s="1353" t="s">
        <v>3813</v>
      </c>
      <c r="C40" s="1352" t="s">
        <v>2700</v>
      </c>
      <c r="D40" s="1354">
        <v>167575.89000000001</v>
      </c>
      <c r="E40" s="1354">
        <v>69470.759999999995</v>
      </c>
      <c r="F40" s="1354">
        <v>25136.41</v>
      </c>
      <c r="G40" s="1354">
        <v>15699.96</v>
      </c>
      <c r="H40" s="1354">
        <v>20868</v>
      </c>
      <c r="I40" s="1355">
        <f t="shared" si="2"/>
        <v>298751.02</v>
      </c>
    </row>
    <row r="41" spans="1:9" x14ac:dyDescent="0.2">
      <c r="A41" s="1367">
        <v>51380</v>
      </c>
      <c r="B41" s="1353" t="s">
        <v>3813</v>
      </c>
      <c r="C41" s="1352" t="s">
        <v>2708</v>
      </c>
      <c r="D41" s="1354">
        <v>165923.71</v>
      </c>
      <c r="E41" s="1354">
        <v>69470.75</v>
      </c>
      <c r="F41" s="1354">
        <v>24888.58</v>
      </c>
      <c r="G41" s="1354">
        <v>17599.98</v>
      </c>
      <c r="H41" s="1354">
        <v>20868</v>
      </c>
      <c r="I41" s="1355">
        <f t="shared" si="2"/>
        <v>298751.01999999996</v>
      </c>
    </row>
    <row r="42" spans="1:9" x14ac:dyDescent="0.2">
      <c r="A42" s="1367">
        <v>51390</v>
      </c>
      <c r="B42" s="1353" t="s">
        <v>3813</v>
      </c>
      <c r="C42" s="1352" t="s">
        <v>2716</v>
      </c>
      <c r="D42" s="1354">
        <v>181228.04</v>
      </c>
      <c r="E42" s="1354">
        <v>69470.759999999995</v>
      </c>
      <c r="F42" s="1354">
        <v>27184.2</v>
      </c>
      <c r="G42" s="1354"/>
      <c r="H42" s="1354">
        <v>20868</v>
      </c>
      <c r="I42" s="1355">
        <f t="shared" si="2"/>
        <v>298751</v>
      </c>
    </row>
    <row r="43" spans="1:9" x14ac:dyDescent="0.2">
      <c r="A43" s="1367">
        <v>51410</v>
      </c>
      <c r="B43" s="1353" t="s">
        <v>3813</v>
      </c>
      <c r="C43" s="1352" t="s">
        <v>2675</v>
      </c>
      <c r="D43" s="1354">
        <v>181228.04</v>
      </c>
      <c r="E43" s="1354">
        <v>69470.759999999995</v>
      </c>
      <c r="F43" s="1354">
        <v>27184.2</v>
      </c>
      <c r="G43" s="1354"/>
      <c r="H43" s="1354">
        <v>20868</v>
      </c>
      <c r="I43" s="1355">
        <f t="shared" si="2"/>
        <v>298751</v>
      </c>
    </row>
    <row r="44" spans="1:9" x14ac:dyDescent="0.2">
      <c r="A44" s="1367">
        <v>51430</v>
      </c>
      <c r="B44" s="1353" t="s">
        <v>3813</v>
      </c>
      <c r="C44" s="1352" t="s">
        <v>2709</v>
      </c>
      <c r="D44" s="1354">
        <v>181228.04</v>
      </c>
      <c r="E44" s="1354">
        <v>69470.759999999995</v>
      </c>
      <c r="F44" s="1354">
        <v>27184.2</v>
      </c>
      <c r="G44" s="1354"/>
      <c r="H44" s="1354">
        <v>20868</v>
      </c>
      <c r="I44" s="1355">
        <f t="shared" si="2"/>
        <v>298751</v>
      </c>
    </row>
    <row r="45" spans="1:9" x14ac:dyDescent="0.2">
      <c r="A45" s="1367">
        <v>51460</v>
      </c>
      <c r="B45" s="1353" t="s">
        <v>3813</v>
      </c>
      <c r="C45" s="1352" t="s">
        <v>2701</v>
      </c>
      <c r="D45" s="1354">
        <v>181228.04</v>
      </c>
      <c r="E45" s="1354">
        <v>69470.759999999995</v>
      </c>
      <c r="F45" s="1354">
        <v>27184.2</v>
      </c>
      <c r="G45" s="1354"/>
      <c r="H45" s="1354">
        <v>20868</v>
      </c>
      <c r="I45" s="1355">
        <f t="shared" si="2"/>
        <v>298751</v>
      </c>
    </row>
    <row r="46" spans="1:9" x14ac:dyDescent="0.2">
      <c r="A46" s="1367">
        <v>51470</v>
      </c>
      <c r="B46" s="1353" t="s">
        <v>3813</v>
      </c>
      <c r="C46" s="1352" t="s">
        <v>2702</v>
      </c>
      <c r="D46" s="1354">
        <v>181228.04</v>
      </c>
      <c r="E46" s="1354">
        <v>69470.759999999995</v>
      </c>
      <c r="F46" s="1354">
        <v>27184.2</v>
      </c>
      <c r="G46" s="1354"/>
      <c r="H46" s="1354">
        <v>20868</v>
      </c>
      <c r="I46" s="1355">
        <f t="shared" si="2"/>
        <v>298751</v>
      </c>
    </row>
    <row r="47" spans="1:9" x14ac:dyDescent="0.2">
      <c r="A47" s="1367">
        <v>51480</v>
      </c>
      <c r="B47" s="1353" t="s">
        <v>3813</v>
      </c>
      <c r="C47" s="1352" t="s">
        <v>2689</v>
      </c>
      <c r="D47" s="1354">
        <v>148629.76999999999</v>
      </c>
      <c r="E47" s="1354">
        <v>69470.759999999995</v>
      </c>
      <c r="F47" s="1354">
        <v>22294.49</v>
      </c>
      <c r="G47" s="1354">
        <v>37488</v>
      </c>
      <c r="H47" s="1354">
        <v>20868</v>
      </c>
      <c r="I47" s="1355">
        <f t="shared" si="2"/>
        <v>298751.01999999996</v>
      </c>
    </row>
    <row r="48" spans="1:9" x14ac:dyDescent="0.2">
      <c r="A48" s="1367">
        <v>51500</v>
      </c>
      <c r="B48" s="1353" t="s">
        <v>3813</v>
      </c>
      <c r="C48" s="1352" t="s">
        <v>2672</v>
      </c>
      <c r="D48" s="1354">
        <v>181228.04</v>
      </c>
      <c r="E48" s="1354">
        <v>69470.759999999995</v>
      </c>
      <c r="F48" s="1354">
        <v>27184.2</v>
      </c>
      <c r="G48" s="1354"/>
      <c r="H48" s="1354">
        <v>20868</v>
      </c>
      <c r="I48" s="1355">
        <f t="shared" si="2"/>
        <v>298751</v>
      </c>
    </row>
    <row r="49" spans="1:9" x14ac:dyDescent="0.2">
      <c r="A49" s="1367">
        <v>51510</v>
      </c>
      <c r="B49" s="1353" t="s">
        <v>3813</v>
      </c>
      <c r="C49" s="1352" t="s">
        <v>2715</v>
      </c>
      <c r="D49" s="1354">
        <v>181228.04</v>
      </c>
      <c r="E49" s="1354">
        <v>69470.759999999995</v>
      </c>
      <c r="F49" s="1354">
        <v>27184.2</v>
      </c>
      <c r="G49" s="1354"/>
      <c r="H49" s="1354">
        <v>20868</v>
      </c>
      <c r="I49" s="1355">
        <f t="shared" si="2"/>
        <v>298751</v>
      </c>
    </row>
    <row r="50" spans="1:9" x14ac:dyDescent="0.2">
      <c r="A50" s="1368">
        <v>51520</v>
      </c>
      <c r="B50" s="1359" t="s">
        <v>3813</v>
      </c>
      <c r="C50" s="1358" t="s">
        <v>2685</v>
      </c>
      <c r="D50" s="1360">
        <v>153829.29</v>
      </c>
      <c r="E50" s="1360">
        <v>69470.759999999995</v>
      </c>
      <c r="F50" s="1360">
        <v>61432.71</v>
      </c>
      <c r="G50" s="1360"/>
      <c r="H50" s="1360">
        <v>20868</v>
      </c>
      <c r="I50" s="1355">
        <f t="shared" si="2"/>
        <v>305600.76</v>
      </c>
    </row>
    <row r="51" spans="1:9" x14ac:dyDescent="0.2">
      <c r="A51" s="1367">
        <v>51530</v>
      </c>
      <c r="B51" s="1353" t="s">
        <v>3813</v>
      </c>
      <c r="C51" s="1352" t="s">
        <v>2703</v>
      </c>
      <c r="D51" s="1354">
        <v>181228.04</v>
      </c>
      <c r="E51" s="1354">
        <v>69470.759999999995</v>
      </c>
      <c r="F51" s="1354">
        <v>27184.2</v>
      </c>
      <c r="G51" s="1354"/>
      <c r="H51" s="1354">
        <v>20868</v>
      </c>
      <c r="I51" s="1355">
        <f t="shared" si="2"/>
        <v>298751</v>
      </c>
    </row>
    <row r="52" spans="1:9" x14ac:dyDescent="0.2">
      <c r="A52" s="1367">
        <v>51560</v>
      </c>
      <c r="B52" s="1353" t="s">
        <v>3813</v>
      </c>
      <c r="C52" s="1352" t="s">
        <v>2729</v>
      </c>
      <c r="D52" s="1354">
        <v>181228.04</v>
      </c>
      <c r="E52" s="1354">
        <v>69470.759999999995</v>
      </c>
      <c r="F52" s="1354">
        <v>27184.2</v>
      </c>
      <c r="G52" s="1354"/>
      <c r="H52" s="1354">
        <v>20868</v>
      </c>
      <c r="I52" s="1355">
        <f t="shared" si="2"/>
        <v>298751</v>
      </c>
    </row>
    <row r="53" spans="1:9" x14ac:dyDescent="0.2">
      <c r="A53" s="1367">
        <v>51580</v>
      </c>
      <c r="B53" s="1353" t="s">
        <v>3813</v>
      </c>
      <c r="C53" s="1352" t="s">
        <v>2693</v>
      </c>
      <c r="D53" s="1354">
        <v>181228.04</v>
      </c>
      <c r="E53" s="1354">
        <v>69470.759999999995</v>
      </c>
      <c r="F53" s="1354">
        <v>27184.2</v>
      </c>
      <c r="G53" s="1354"/>
      <c r="H53" s="1354">
        <v>20868</v>
      </c>
      <c r="I53" s="1355">
        <f t="shared" si="2"/>
        <v>298751</v>
      </c>
    </row>
    <row r="54" spans="1:9" s="1298" customFormat="1" x14ac:dyDescent="0.2">
      <c r="A54" s="1367">
        <v>51590</v>
      </c>
      <c r="B54" s="1353" t="s">
        <v>3813</v>
      </c>
      <c r="C54" s="1352" t="s">
        <v>2676</v>
      </c>
      <c r="D54" s="1354">
        <v>181228.04</v>
      </c>
      <c r="E54" s="1354">
        <v>69470.759999999995</v>
      </c>
      <c r="F54" s="1354">
        <v>27184.2</v>
      </c>
      <c r="G54" s="1354"/>
      <c r="H54" s="1354">
        <v>20868</v>
      </c>
      <c r="I54" s="1355">
        <f t="shared" si="2"/>
        <v>298751</v>
      </c>
    </row>
    <row r="55" spans="1:9" x14ac:dyDescent="0.2">
      <c r="A55" s="1367">
        <v>51600</v>
      </c>
      <c r="B55" s="1353" t="s">
        <v>3813</v>
      </c>
      <c r="C55" s="1352" t="s">
        <v>3816</v>
      </c>
      <c r="D55" s="1354">
        <v>181228.04</v>
      </c>
      <c r="E55" s="1354">
        <v>69470.759999999995</v>
      </c>
      <c r="F55" s="1354">
        <v>27184.2</v>
      </c>
      <c r="G55" s="1354"/>
      <c r="H55" s="1354">
        <v>20868</v>
      </c>
      <c r="I55" s="1355">
        <f t="shared" si="2"/>
        <v>298751</v>
      </c>
    </row>
    <row r="56" spans="1:9" x14ac:dyDescent="0.2">
      <c r="A56" s="1367">
        <v>51650</v>
      </c>
      <c r="B56" s="1353" t="s">
        <v>3813</v>
      </c>
      <c r="C56" s="1352" t="s">
        <v>2677</v>
      </c>
      <c r="D56" s="1354">
        <v>150640.19</v>
      </c>
      <c r="E56" s="1354">
        <v>69470.759999999995</v>
      </c>
      <c r="F56" s="1354">
        <v>22596.06</v>
      </c>
      <c r="G56" s="1354">
        <v>35176.019999999997</v>
      </c>
      <c r="H56" s="1354">
        <v>20868</v>
      </c>
      <c r="I56" s="1355">
        <f t="shared" si="2"/>
        <v>298751.03000000003</v>
      </c>
    </row>
    <row r="57" spans="1:9" x14ac:dyDescent="0.2">
      <c r="A57" s="1367">
        <v>50840</v>
      </c>
      <c r="B57" s="1353" t="s">
        <v>3813</v>
      </c>
      <c r="C57" s="1352" t="s">
        <v>2664</v>
      </c>
      <c r="D57" s="1354">
        <v>165923.71</v>
      </c>
      <c r="E57" s="1354">
        <v>69470.75</v>
      </c>
      <c r="F57" s="1354">
        <v>24888.58</v>
      </c>
      <c r="G57" s="1354">
        <v>17599.98</v>
      </c>
      <c r="H57" s="1354">
        <v>20868</v>
      </c>
      <c r="I57" s="1355">
        <f t="shared" si="2"/>
        <v>298751.01999999996</v>
      </c>
    </row>
    <row r="58" spans="1:9" x14ac:dyDescent="0.2">
      <c r="A58" s="1367">
        <v>50730</v>
      </c>
      <c r="B58" s="1353" t="s">
        <v>3813</v>
      </c>
      <c r="C58" s="1352" t="s">
        <v>3817</v>
      </c>
      <c r="D58" s="1354">
        <v>181228.04</v>
      </c>
      <c r="E58" s="1354">
        <v>69470.759999999995</v>
      </c>
      <c r="F58" s="1354">
        <v>27184.2</v>
      </c>
      <c r="G58" s="1354"/>
      <c r="H58" s="1354">
        <v>20868</v>
      </c>
      <c r="I58" s="1355">
        <f t="shared" si="2"/>
        <v>298751</v>
      </c>
    </row>
    <row r="59" spans="1:9" x14ac:dyDescent="0.2">
      <c r="A59" s="1367">
        <v>51620</v>
      </c>
      <c r="B59" s="1353" t="s">
        <v>3813</v>
      </c>
      <c r="C59" s="1352" t="s">
        <v>3818</v>
      </c>
      <c r="D59" s="1354">
        <v>241637.36000000002</v>
      </c>
      <c r="E59" s="1354">
        <v>0</v>
      </c>
      <c r="F59" s="1354">
        <v>36245.64</v>
      </c>
      <c r="G59" s="1354"/>
      <c r="H59" s="1354">
        <v>20868</v>
      </c>
      <c r="I59" s="1355">
        <f t="shared" si="2"/>
        <v>298751</v>
      </c>
    </row>
    <row r="60" spans="1:9" x14ac:dyDescent="0.2">
      <c r="A60" s="1367">
        <v>51640</v>
      </c>
      <c r="B60" s="1353" t="s">
        <v>3813</v>
      </c>
      <c r="C60" s="1352" t="s">
        <v>3819</v>
      </c>
      <c r="D60" s="1354">
        <v>241637.36000000002</v>
      </c>
      <c r="E60" s="1354">
        <v>0</v>
      </c>
      <c r="F60" s="1354">
        <v>36245.64</v>
      </c>
      <c r="G60" s="1354"/>
      <c r="H60" s="1354">
        <v>20868</v>
      </c>
      <c r="I60" s="1355">
        <f t="shared" si="2"/>
        <v>298751</v>
      </c>
    </row>
    <row r="61" spans="1:9" x14ac:dyDescent="0.2">
      <c r="A61" s="1367">
        <v>51660</v>
      </c>
      <c r="B61" s="1353" t="s">
        <v>3813</v>
      </c>
      <c r="C61" s="1352" t="s">
        <v>3820</v>
      </c>
      <c r="D61" s="1354">
        <v>165923.71</v>
      </c>
      <c r="E61" s="1354">
        <v>69470.75</v>
      </c>
      <c r="F61" s="1354">
        <v>24888.58</v>
      </c>
      <c r="G61" s="1354">
        <v>17599.98</v>
      </c>
      <c r="H61" s="1354">
        <v>20868</v>
      </c>
      <c r="I61" s="1355">
        <f t="shared" si="2"/>
        <v>298751.01999999996</v>
      </c>
    </row>
    <row r="62" spans="1:9" x14ac:dyDescent="0.2">
      <c r="A62" s="1367">
        <v>51680</v>
      </c>
      <c r="B62" s="1353" t="s">
        <v>3813</v>
      </c>
      <c r="C62" s="1352" t="s">
        <v>2705</v>
      </c>
      <c r="D62" s="1354">
        <v>241637.36000000002</v>
      </c>
      <c r="E62" s="1354">
        <v>0</v>
      </c>
      <c r="F62" s="1354">
        <v>36245.64</v>
      </c>
      <c r="G62" s="1354"/>
      <c r="H62" s="1354">
        <v>20868</v>
      </c>
      <c r="I62" s="1355">
        <f t="shared" si="2"/>
        <v>298751</v>
      </c>
    </row>
    <row r="63" spans="1:9" x14ac:dyDescent="0.2">
      <c r="A63" s="1367">
        <v>51690</v>
      </c>
      <c r="B63" s="1353" t="s">
        <v>3813</v>
      </c>
      <c r="C63" s="1352" t="s">
        <v>2728</v>
      </c>
      <c r="D63" s="1354">
        <v>181228.04</v>
      </c>
      <c r="E63" s="1354">
        <v>69470.759999999995</v>
      </c>
      <c r="F63" s="1354">
        <v>27184.2</v>
      </c>
      <c r="G63" s="1354"/>
      <c r="H63" s="1354">
        <v>20868</v>
      </c>
      <c r="I63" s="1355">
        <f t="shared" si="2"/>
        <v>298751</v>
      </c>
    </row>
    <row r="64" spans="1:9" x14ac:dyDescent="0.2">
      <c r="A64" s="1367">
        <v>51700</v>
      </c>
      <c r="B64" s="1353" t="s">
        <v>3813</v>
      </c>
      <c r="C64" s="1352" t="s">
        <v>2673</v>
      </c>
      <c r="D64" s="1354">
        <v>163527.15000000002</v>
      </c>
      <c r="E64" s="1354">
        <v>69470.759999999995</v>
      </c>
      <c r="F64" s="1354">
        <v>24529.1</v>
      </c>
      <c r="G64" s="1354">
        <v>20356.02</v>
      </c>
      <c r="H64" s="1354">
        <v>20868</v>
      </c>
      <c r="I64" s="1355">
        <f t="shared" si="2"/>
        <v>298751.03000000003</v>
      </c>
    </row>
    <row r="65" spans="1:9" x14ac:dyDescent="0.2">
      <c r="A65" s="1367">
        <v>51710</v>
      </c>
      <c r="B65" s="1353" t="s">
        <v>3813</v>
      </c>
      <c r="C65" s="1352" t="s">
        <v>2718</v>
      </c>
      <c r="D65" s="1354">
        <v>181228.04</v>
      </c>
      <c r="E65" s="1354">
        <v>69470.759999999995</v>
      </c>
      <c r="F65" s="1354">
        <v>27184.2</v>
      </c>
      <c r="G65" s="1354"/>
      <c r="H65" s="1354">
        <v>20868</v>
      </c>
      <c r="I65" s="1355">
        <f t="shared" si="2"/>
        <v>298751</v>
      </c>
    </row>
    <row r="66" spans="1:9" x14ac:dyDescent="0.2">
      <c r="A66" s="1367">
        <v>51720</v>
      </c>
      <c r="B66" s="1353" t="s">
        <v>3813</v>
      </c>
      <c r="C66" s="1352" t="s">
        <v>3821</v>
      </c>
      <c r="D66" s="1354">
        <v>181228.04</v>
      </c>
      <c r="E66" s="1354">
        <v>69470.759999999995</v>
      </c>
      <c r="F66" s="1354">
        <v>27184.2</v>
      </c>
      <c r="G66" s="1354"/>
      <c r="H66" s="1354">
        <v>20868</v>
      </c>
      <c r="I66" s="1355">
        <f t="shared" si="2"/>
        <v>298751</v>
      </c>
    </row>
    <row r="67" spans="1:9" x14ac:dyDescent="0.2">
      <c r="A67" s="1367">
        <v>51730</v>
      </c>
      <c r="B67" s="1353" t="s">
        <v>3813</v>
      </c>
      <c r="C67" s="1352" t="s">
        <v>2680</v>
      </c>
      <c r="D67" s="1354">
        <v>181228.04</v>
      </c>
      <c r="E67" s="1354">
        <v>69470.759999999995</v>
      </c>
      <c r="F67" s="1354">
        <v>27184.2</v>
      </c>
      <c r="G67" s="1354"/>
      <c r="H67" s="1354">
        <v>20868</v>
      </c>
      <c r="I67" s="1355">
        <f t="shared" si="2"/>
        <v>298751</v>
      </c>
    </row>
    <row r="68" spans="1:9" x14ac:dyDescent="0.2">
      <c r="A68" s="1367">
        <v>51740</v>
      </c>
      <c r="B68" s="1353" t="s">
        <v>3813</v>
      </c>
      <c r="C68" s="1352" t="s">
        <v>2706</v>
      </c>
      <c r="D68" s="1354">
        <v>241637.36000000002</v>
      </c>
      <c r="E68" s="1354">
        <v>0</v>
      </c>
      <c r="F68" s="1354">
        <v>36245.64</v>
      </c>
      <c r="G68" s="1354"/>
      <c r="H68" s="1354">
        <v>20868</v>
      </c>
      <c r="I68" s="1355">
        <f t="shared" si="2"/>
        <v>298751</v>
      </c>
    </row>
    <row r="69" spans="1:9" x14ac:dyDescent="0.2">
      <c r="A69" s="1367">
        <v>51750</v>
      </c>
      <c r="B69" s="1353" t="s">
        <v>3813</v>
      </c>
      <c r="C69" s="1352" t="s">
        <v>2710</v>
      </c>
      <c r="D69" s="1354">
        <v>181228.04</v>
      </c>
      <c r="E69" s="1354">
        <v>69470.759999999995</v>
      </c>
      <c r="F69" s="1354">
        <v>27184.2</v>
      </c>
      <c r="G69" s="1354"/>
      <c r="H69" s="1354">
        <v>20868</v>
      </c>
      <c r="I69" s="1355">
        <f t="shared" si="2"/>
        <v>298751</v>
      </c>
    </row>
    <row r="70" spans="1:9" x14ac:dyDescent="0.2">
      <c r="A70" s="1367">
        <v>51760</v>
      </c>
      <c r="B70" s="1353" t="s">
        <v>3813</v>
      </c>
      <c r="C70" s="1352" t="s">
        <v>2686</v>
      </c>
      <c r="D70" s="1354">
        <v>181228.04</v>
      </c>
      <c r="E70" s="1354">
        <v>69470.759999999995</v>
      </c>
      <c r="F70" s="1354">
        <v>27184.2</v>
      </c>
      <c r="G70" s="1354"/>
      <c r="H70" s="1354">
        <v>20868</v>
      </c>
      <c r="I70" s="1355">
        <f t="shared" si="2"/>
        <v>298751</v>
      </c>
    </row>
    <row r="71" spans="1:9" x14ac:dyDescent="0.2">
      <c r="A71" s="1367">
        <v>51770</v>
      </c>
      <c r="B71" s="1353" t="s">
        <v>3813</v>
      </c>
      <c r="C71" s="1352" t="s">
        <v>2694</v>
      </c>
      <c r="D71" s="1354">
        <v>181228.04</v>
      </c>
      <c r="E71" s="1354">
        <v>69470.759999999995</v>
      </c>
      <c r="F71" s="1354">
        <v>27184.2</v>
      </c>
      <c r="G71" s="1354"/>
      <c r="H71" s="1354">
        <v>20868</v>
      </c>
      <c r="I71" s="1355">
        <f t="shared" si="2"/>
        <v>298751</v>
      </c>
    </row>
    <row r="72" spans="1:9" x14ac:dyDescent="0.2">
      <c r="A72" s="1367">
        <v>51780</v>
      </c>
      <c r="B72" s="1353" t="s">
        <v>3813</v>
      </c>
      <c r="C72" s="1352" t="s">
        <v>2696</v>
      </c>
      <c r="D72" s="1354">
        <v>181228.04</v>
      </c>
      <c r="E72" s="1354">
        <v>69470.759999999995</v>
      </c>
      <c r="F72" s="1354">
        <v>27184.2</v>
      </c>
      <c r="G72" s="1354"/>
      <c r="H72" s="1354">
        <v>20868</v>
      </c>
      <c r="I72" s="1355">
        <f t="shared" si="2"/>
        <v>298751</v>
      </c>
    </row>
    <row r="73" spans="1:9" x14ac:dyDescent="0.2">
      <c r="A73" s="1367">
        <v>51790</v>
      </c>
      <c r="B73" s="1353" t="s">
        <v>3813</v>
      </c>
      <c r="C73" s="1352" t="s">
        <v>3822</v>
      </c>
      <c r="D73" s="1354">
        <v>153182.84</v>
      </c>
      <c r="E73" s="1354">
        <v>69470.759999999995</v>
      </c>
      <c r="F73" s="1354">
        <v>22977.439999999999</v>
      </c>
      <c r="G73" s="1354">
        <v>32251.98</v>
      </c>
      <c r="H73" s="1354">
        <v>20868</v>
      </c>
      <c r="I73" s="1355">
        <f t="shared" si="2"/>
        <v>298751.01999999996</v>
      </c>
    </row>
    <row r="74" spans="1:9" x14ac:dyDescent="0.2">
      <c r="A74" s="1367">
        <v>51800</v>
      </c>
      <c r="B74" s="1353" t="s">
        <v>3813</v>
      </c>
      <c r="C74" s="1352" t="s">
        <v>2682</v>
      </c>
      <c r="D74" s="1354">
        <v>181228.04</v>
      </c>
      <c r="E74" s="1354">
        <v>69470.759999999995</v>
      </c>
      <c r="F74" s="1354">
        <v>27184.2</v>
      </c>
      <c r="G74" s="1354"/>
      <c r="H74" s="1354">
        <v>20868</v>
      </c>
      <c r="I74" s="1355">
        <f t="shared" si="2"/>
        <v>298751</v>
      </c>
    </row>
    <row r="75" spans="1:9" x14ac:dyDescent="0.2">
      <c r="A75" s="1367">
        <v>51830</v>
      </c>
      <c r="B75" s="1353" t="s">
        <v>3813</v>
      </c>
      <c r="C75" s="1352" t="s">
        <v>3823</v>
      </c>
      <c r="D75" s="1354">
        <v>241637.36000000002</v>
      </c>
      <c r="E75" s="1354">
        <v>0</v>
      </c>
      <c r="F75" s="1354">
        <v>36245.64</v>
      </c>
      <c r="G75" s="1354"/>
      <c r="H75" s="1354">
        <v>20868</v>
      </c>
      <c r="I75" s="1355">
        <f t="shared" si="2"/>
        <v>298751</v>
      </c>
    </row>
    <row r="76" spans="1:9" x14ac:dyDescent="0.2">
      <c r="A76" s="1367">
        <v>51840</v>
      </c>
      <c r="B76" s="1353" t="s">
        <v>3813</v>
      </c>
      <c r="C76" s="1352" t="s">
        <v>2683</v>
      </c>
      <c r="D76" s="1354">
        <v>241637.36000000002</v>
      </c>
      <c r="E76" s="1354">
        <v>0</v>
      </c>
      <c r="F76" s="1354">
        <v>36245.64</v>
      </c>
      <c r="G76" s="1354"/>
      <c r="H76" s="1354">
        <v>20868</v>
      </c>
      <c r="I76" s="1355">
        <f t="shared" si="2"/>
        <v>298751</v>
      </c>
    </row>
    <row r="77" spans="1:9" x14ac:dyDescent="0.2">
      <c r="A77" s="1367">
        <v>51850</v>
      </c>
      <c r="B77" s="1353" t="s">
        <v>3813</v>
      </c>
      <c r="C77" s="1352" t="s">
        <v>3824</v>
      </c>
      <c r="D77" s="1354">
        <v>224607.84</v>
      </c>
      <c r="E77" s="1354">
        <v>0</v>
      </c>
      <c r="F77" s="1354">
        <v>33691.18</v>
      </c>
      <c r="G77" s="1354">
        <v>19584</v>
      </c>
      <c r="H77" s="1354">
        <v>20868</v>
      </c>
      <c r="I77" s="1355">
        <f t="shared" si="2"/>
        <v>298751.02</v>
      </c>
    </row>
    <row r="78" spans="1:9" x14ac:dyDescent="0.2">
      <c r="A78" s="1367">
        <v>51870</v>
      </c>
      <c r="B78" s="1353" t="s">
        <v>3813</v>
      </c>
      <c r="C78" s="1352" t="s">
        <v>3062</v>
      </c>
      <c r="D78" s="1354">
        <v>181228.04</v>
      </c>
      <c r="E78" s="1354">
        <v>69470.759999999995</v>
      </c>
      <c r="F78" s="1354">
        <v>27184.2</v>
      </c>
      <c r="G78" s="1354"/>
      <c r="H78" s="1354">
        <v>20868</v>
      </c>
      <c r="I78" s="1355">
        <f t="shared" si="2"/>
        <v>298751</v>
      </c>
    </row>
    <row r="79" spans="1:9" x14ac:dyDescent="0.2">
      <c r="A79" s="1367">
        <v>51880</v>
      </c>
      <c r="B79" s="1353" t="s">
        <v>3813</v>
      </c>
      <c r="C79" s="1352" t="s">
        <v>3825</v>
      </c>
      <c r="D79" s="1354">
        <v>230266.99</v>
      </c>
      <c r="E79" s="1354">
        <v>0</v>
      </c>
      <c r="F79" s="1354">
        <v>34540.050000000003</v>
      </c>
      <c r="G79" s="1354">
        <v>13075.98</v>
      </c>
      <c r="H79" s="1354">
        <v>20868</v>
      </c>
      <c r="I79" s="1355">
        <f t="shared" si="2"/>
        <v>298751.01999999996</v>
      </c>
    </row>
    <row r="80" spans="1:9" x14ac:dyDescent="0.2">
      <c r="A80" s="1367">
        <v>51900</v>
      </c>
      <c r="B80" s="1353" t="s">
        <v>3813</v>
      </c>
      <c r="C80" s="1352" t="s">
        <v>3609</v>
      </c>
      <c r="D80" s="1354">
        <v>181228.04</v>
      </c>
      <c r="E80" s="1354">
        <v>69470.759999999995</v>
      </c>
      <c r="F80" s="1354">
        <v>27184.2</v>
      </c>
      <c r="G80" s="1354"/>
      <c r="H80" s="1354">
        <v>20868</v>
      </c>
      <c r="I80" s="1355">
        <f t="shared" si="2"/>
        <v>298751</v>
      </c>
    </row>
    <row r="81" spans="1:9" x14ac:dyDescent="0.2">
      <c r="A81" s="1367">
        <v>51910</v>
      </c>
      <c r="B81" s="1353" t="s">
        <v>3813</v>
      </c>
      <c r="C81" s="1352" t="s">
        <v>3611</v>
      </c>
      <c r="D81" s="1354">
        <v>181228.04</v>
      </c>
      <c r="E81" s="1354">
        <v>69470.759999999995</v>
      </c>
      <c r="F81" s="1354">
        <v>27184.2</v>
      </c>
      <c r="G81" s="1354"/>
      <c r="H81" s="1354">
        <v>20868</v>
      </c>
      <c r="I81" s="1355">
        <f t="shared" si="2"/>
        <v>298751</v>
      </c>
    </row>
    <row r="82" spans="1:9" s="1298" customFormat="1" x14ac:dyDescent="0.2">
      <c r="A82" s="1367">
        <v>51920</v>
      </c>
      <c r="B82" s="1353" t="s">
        <v>3813</v>
      </c>
      <c r="C82" s="1352" t="s">
        <v>3612</v>
      </c>
      <c r="D82" s="1354">
        <v>181228.04</v>
      </c>
      <c r="E82" s="1354">
        <v>69470.759999999995</v>
      </c>
      <c r="F82" s="1354">
        <v>27184.2</v>
      </c>
      <c r="G82" s="1354"/>
      <c r="H82" s="1354">
        <v>20868</v>
      </c>
      <c r="I82" s="1355">
        <f t="shared" si="2"/>
        <v>298751</v>
      </c>
    </row>
    <row r="83" spans="1:9" s="1298" customFormat="1" x14ac:dyDescent="0.2">
      <c r="A83" s="1367">
        <v>51930</v>
      </c>
      <c r="B83" s="1353" t="s">
        <v>3813</v>
      </c>
      <c r="C83" s="1352" t="s">
        <v>3826</v>
      </c>
      <c r="D83" s="1354">
        <v>181228.04</v>
      </c>
      <c r="E83" s="1354">
        <v>69470.759999999995</v>
      </c>
      <c r="F83" s="1354">
        <v>27184.2</v>
      </c>
      <c r="G83" s="1354"/>
      <c r="H83" s="1354">
        <v>20868</v>
      </c>
      <c r="I83" s="1355">
        <f t="shared" si="2"/>
        <v>298751</v>
      </c>
    </row>
    <row r="84" spans="1:9" s="1296" customFormat="1" x14ac:dyDescent="0.2">
      <c r="A84" s="1368">
        <v>51940</v>
      </c>
      <c r="B84" s="1359" t="s">
        <v>3813</v>
      </c>
      <c r="C84" s="1358" t="s">
        <v>3934</v>
      </c>
      <c r="D84" s="1360">
        <v>141720.34000000003</v>
      </c>
      <c r="E84" s="1360">
        <v>54326.11</v>
      </c>
      <c r="F84" s="1360">
        <v>20388.150000000001</v>
      </c>
      <c r="G84" s="1360"/>
      <c r="H84" s="1360">
        <v>16318.76</v>
      </c>
      <c r="I84" s="1355">
        <f t="shared" si="2"/>
        <v>232753.36000000002</v>
      </c>
    </row>
    <row r="85" spans="1:9" s="1296" customFormat="1" x14ac:dyDescent="0.2">
      <c r="A85" s="1367">
        <v>51180</v>
      </c>
      <c r="B85" s="1353" t="s">
        <v>3813</v>
      </c>
      <c r="C85" s="1352" t="s">
        <v>3827</v>
      </c>
      <c r="D85" s="1354">
        <v>9415.92</v>
      </c>
      <c r="E85" s="1354"/>
      <c r="F85" s="1354"/>
      <c r="G85" s="1354"/>
      <c r="H85" s="1354">
        <v>8988</v>
      </c>
      <c r="I85" s="1355">
        <f t="shared" si="2"/>
        <v>18403.919999999998</v>
      </c>
    </row>
    <row r="86" spans="1:9" s="1296" customFormat="1" x14ac:dyDescent="0.2">
      <c r="A86" s="1367">
        <v>51190</v>
      </c>
      <c r="B86" s="1353" t="s">
        <v>3813</v>
      </c>
      <c r="C86" s="1352" t="s">
        <v>3828</v>
      </c>
      <c r="D86" s="1354">
        <v>9415.92</v>
      </c>
      <c r="E86" s="1354"/>
      <c r="F86" s="1354"/>
      <c r="G86" s="1354"/>
      <c r="H86" s="1354">
        <v>8988</v>
      </c>
      <c r="I86" s="1355">
        <f t="shared" si="2"/>
        <v>18403.919999999998</v>
      </c>
    </row>
    <row r="87" spans="1:9" s="1296" customFormat="1" x14ac:dyDescent="0.2">
      <c r="A87" s="1367">
        <v>51220</v>
      </c>
      <c r="B87" s="1353" t="s">
        <v>3813</v>
      </c>
      <c r="C87" s="1352" t="s">
        <v>3829</v>
      </c>
      <c r="D87" s="1354">
        <v>9415.92</v>
      </c>
      <c r="E87" s="1354"/>
      <c r="F87" s="1354"/>
      <c r="G87" s="1354"/>
      <c r="H87" s="1354">
        <v>8988</v>
      </c>
      <c r="I87" s="1355">
        <f t="shared" si="2"/>
        <v>18403.919999999998</v>
      </c>
    </row>
    <row r="88" spans="1:9" s="1296" customFormat="1" x14ac:dyDescent="0.2">
      <c r="A88" s="1367">
        <v>51260</v>
      </c>
      <c r="B88" s="1353" t="s">
        <v>3813</v>
      </c>
      <c r="C88" s="1352" t="s">
        <v>3830</v>
      </c>
      <c r="D88" s="1354">
        <v>9415.92</v>
      </c>
      <c r="E88" s="1354"/>
      <c r="F88" s="1354"/>
      <c r="G88" s="1354"/>
      <c r="H88" s="1354">
        <v>8988</v>
      </c>
      <c r="I88" s="1355">
        <f>D88+E88+F88+G88+H88</f>
        <v>18403.919999999998</v>
      </c>
    </row>
    <row r="89" spans="1:9" s="1296" customFormat="1" ht="25.5" customHeight="1" x14ac:dyDescent="0.2">
      <c r="A89" s="1369">
        <v>51540</v>
      </c>
      <c r="B89" s="1361" t="s">
        <v>3813</v>
      </c>
      <c r="C89" s="1362" t="s">
        <v>3935</v>
      </c>
      <c r="D89" s="1354">
        <v>15348.11</v>
      </c>
      <c r="E89" s="1354">
        <v>5789.23</v>
      </c>
      <c r="F89" s="1354">
        <v>2137.13</v>
      </c>
      <c r="G89" s="1354"/>
      <c r="H89" s="1354">
        <v>1739</v>
      </c>
      <c r="I89" s="1355">
        <f>D89+E89+F89+G89+H89</f>
        <v>25013.47</v>
      </c>
    </row>
    <row r="90" spans="1:9" s="1296" customFormat="1" x14ac:dyDescent="0.2">
      <c r="A90" s="1354"/>
      <c r="B90" s="1361"/>
      <c r="C90" s="1352"/>
      <c r="D90" s="1356">
        <f t="shared" ref="D90:I90" si="3">SUM(D24:D89)</f>
        <v>11527467.969999991</v>
      </c>
      <c r="E90" s="1356">
        <f t="shared" si="3"/>
        <v>3325241.0199999963</v>
      </c>
      <c r="F90" s="1356">
        <f t="shared" si="3"/>
        <v>1760794.3099999982</v>
      </c>
      <c r="G90" s="1356">
        <f t="shared" si="3"/>
        <v>343699.44</v>
      </c>
      <c r="H90" s="1356">
        <f t="shared" si="3"/>
        <v>1306089.76</v>
      </c>
      <c r="I90" s="1357">
        <f t="shared" si="3"/>
        <v>18263292.5</v>
      </c>
    </row>
    <row r="91" spans="1:9" x14ac:dyDescent="0.2">
      <c r="A91" s="1354"/>
      <c r="B91" s="1363" t="s">
        <v>942</v>
      </c>
      <c r="C91" s="1357"/>
      <c r="D91" s="1364">
        <f t="shared" ref="D91:I91" si="4">D4+D6+D8+D22+D90</f>
        <v>17311486.419999991</v>
      </c>
      <c r="E91" s="1364">
        <f t="shared" si="4"/>
        <v>4897624.4399999958</v>
      </c>
      <c r="F91" s="1364">
        <f t="shared" si="4"/>
        <v>2628396.9599999981</v>
      </c>
      <c r="G91" s="1364">
        <f t="shared" si="4"/>
        <v>530804.03</v>
      </c>
      <c r="H91" s="1364">
        <f t="shared" si="4"/>
        <v>1651311.52</v>
      </c>
      <c r="I91" s="1365">
        <f t="shared" si="4"/>
        <v>27019623.370000001</v>
      </c>
    </row>
    <row r="93" spans="1:9" x14ac:dyDescent="0.2">
      <c r="A93" s="1295" t="s">
        <v>3936</v>
      </c>
    </row>
  </sheetData>
  <mergeCells count="9">
    <mergeCell ref="I1:I2"/>
    <mergeCell ref="A1:A2"/>
    <mergeCell ref="B1:B2"/>
    <mergeCell ref="C1:C2"/>
    <mergeCell ref="E1:E2"/>
    <mergeCell ref="F1:F2"/>
    <mergeCell ref="H1:H2"/>
    <mergeCell ref="D1:D2"/>
    <mergeCell ref="G1:G2"/>
  </mergeCells>
  <pageMargins left="0.7" right="0.7" top="0.75" bottom="0.75" header="0.3" footer="0.3"/>
  <pageSetup scale="68" orientation="landscape" r:id="rId1"/>
  <headerFooter>
    <oddHeader>&amp;CANNEXURE I                                                                                                                                                                                            
REMUNERATION OF COUNCILLORS 30 JUNE 2016</oddHead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29"/>
  <sheetViews>
    <sheetView zoomScaleNormal="100" workbookViewId="0">
      <pane ySplit="1020" topLeftCell="A598" activePane="bottomLeft"/>
      <selection activeCell="V1" sqref="V1:Z1048576"/>
      <selection pane="bottomLeft" activeCell="AB613" sqref="AB613:AB619"/>
    </sheetView>
  </sheetViews>
  <sheetFormatPr defaultRowHeight="12.75" x14ac:dyDescent="0.2"/>
  <cols>
    <col min="1" max="1" width="6.42578125" style="318" customWidth="1"/>
    <col min="2" max="2" width="53.7109375" style="318" customWidth="1"/>
    <col min="3" max="5" width="16.140625" style="620" hidden="1" customWidth="1"/>
    <col min="6" max="6" width="19.7109375" style="620" hidden="1" customWidth="1"/>
    <col min="7" max="8" width="16.140625" style="620" hidden="1" customWidth="1"/>
    <col min="9" max="10" width="15.7109375" style="620" hidden="1" customWidth="1"/>
    <col min="11" max="11" width="13.140625" style="620" hidden="1" customWidth="1"/>
    <col min="12" max="12" width="15.7109375" style="620" hidden="1" customWidth="1"/>
    <col min="13" max="13" width="14.85546875" style="463" hidden="1" customWidth="1"/>
    <col min="14" max="15" width="13.5703125" style="463" hidden="1" customWidth="1"/>
    <col min="16" max="17" width="16.140625" style="620" hidden="1" customWidth="1"/>
    <col min="18" max="18" width="19.7109375" style="620" hidden="1" customWidth="1"/>
    <col min="19" max="19" width="16.7109375" style="318" hidden="1" customWidth="1"/>
    <col min="20" max="21" width="19.42578125" style="318" hidden="1" customWidth="1"/>
    <col min="22" max="22" width="16.140625" style="318" hidden="1" customWidth="1"/>
    <col min="23" max="23" width="13.140625" style="318" hidden="1" customWidth="1"/>
    <col min="24" max="24" width="19" style="318" hidden="1" customWidth="1"/>
    <col min="25" max="25" width="15.5703125" style="318" hidden="1" customWidth="1"/>
    <col min="26" max="26" width="16" style="318" hidden="1" customWidth="1"/>
    <col min="27" max="27" width="21.28515625" style="318" customWidth="1"/>
    <col min="28" max="28" width="20.85546875" style="318" customWidth="1"/>
    <col min="29" max="29" width="13.140625" style="318" hidden="1" customWidth="1"/>
    <col min="30" max="30" width="21" style="318" hidden="1" customWidth="1"/>
    <col min="31" max="31" width="9.140625" style="318"/>
    <col min="32" max="32" width="9.85546875" style="318" bestFit="1" customWidth="1"/>
    <col min="33" max="33" width="16" style="318" bestFit="1" customWidth="1"/>
    <col min="34" max="34" width="14.42578125" style="318" bestFit="1" customWidth="1"/>
    <col min="35" max="16384" width="9.140625" style="318"/>
  </cols>
  <sheetData>
    <row r="1" spans="1:30" x14ac:dyDescent="0.2">
      <c r="B1" s="459" t="s">
        <v>318</v>
      </c>
      <c r="C1" s="1140" t="s">
        <v>1365</v>
      </c>
      <c r="D1" s="1140" t="s">
        <v>1366</v>
      </c>
      <c r="E1" s="1140" t="s">
        <v>1368</v>
      </c>
      <c r="F1" s="1140" t="s">
        <v>1369</v>
      </c>
      <c r="G1" s="1140" t="s">
        <v>1365</v>
      </c>
      <c r="H1" s="1140" t="s">
        <v>2957</v>
      </c>
      <c r="I1" s="1140" t="s">
        <v>58</v>
      </c>
      <c r="J1" s="1140" t="s">
        <v>1366</v>
      </c>
      <c r="K1" s="1140" t="s">
        <v>1368</v>
      </c>
      <c r="L1" s="1140" t="s">
        <v>1369</v>
      </c>
      <c r="M1" s="794" t="s">
        <v>3160</v>
      </c>
      <c r="N1" s="794" t="s">
        <v>2957</v>
      </c>
      <c r="O1" s="794" t="s">
        <v>1005</v>
      </c>
      <c r="P1" s="1140" t="s">
        <v>1366</v>
      </c>
      <c r="Q1" s="1140" t="s">
        <v>1368</v>
      </c>
      <c r="R1" s="1140" t="s">
        <v>1369</v>
      </c>
      <c r="S1" s="794" t="s">
        <v>3160</v>
      </c>
      <c r="T1" s="794" t="s">
        <v>2957</v>
      </c>
      <c r="U1" s="794" t="s">
        <v>1005</v>
      </c>
      <c r="V1" s="1140" t="s">
        <v>1366</v>
      </c>
      <c r="W1" s="1140" t="s">
        <v>1368</v>
      </c>
      <c r="X1" s="1140" t="s">
        <v>1369</v>
      </c>
      <c r="Y1" s="794" t="s">
        <v>3160</v>
      </c>
      <c r="Z1" s="794" t="s">
        <v>2957</v>
      </c>
      <c r="AA1" s="794" t="s">
        <v>1005</v>
      </c>
      <c r="AB1" s="1140" t="s">
        <v>1366</v>
      </c>
      <c r="AC1" s="1140" t="s">
        <v>1368</v>
      </c>
      <c r="AD1" s="1140" t="s">
        <v>1369</v>
      </c>
    </row>
    <row r="2" spans="1:30" x14ac:dyDescent="0.2">
      <c r="C2" s="1141" t="s">
        <v>530</v>
      </c>
      <c r="D2" s="1141" t="s">
        <v>1367</v>
      </c>
      <c r="E2" s="1141" t="s">
        <v>1367</v>
      </c>
      <c r="F2" s="1141" t="s">
        <v>1367</v>
      </c>
      <c r="G2" s="1141" t="s">
        <v>2951</v>
      </c>
      <c r="H2" s="1141" t="s">
        <v>2951</v>
      </c>
      <c r="I2" s="1141">
        <v>2013</v>
      </c>
      <c r="J2" s="1141" t="s">
        <v>2950</v>
      </c>
      <c r="K2" s="1141" t="s">
        <v>2950</v>
      </c>
      <c r="L2" s="1141" t="s">
        <v>2950</v>
      </c>
      <c r="M2" s="1142" t="s">
        <v>531</v>
      </c>
      <c r="N2" s="1142" t="s">
        <v>531</v>
      </c>
      <c r="O2" s="1142" t="s">
        <v>531</v>
      </c>
      <c r="P2" s="1141" t="s">
        <v>3155</v>
      </c>
      <c r="Q2" s="1141" t="s">
        <v>3155</v>
      </c>
      <c r="R2" s="1141" t="s">
        <v>3155</v>
      </c>
      <c r="S2" s="1142" t="s">
        <v>532</v>
      </c>
      <c r="T2" s="1142" t="s">
        <v>532</v>
      </c>
      <c r="U2" s="1142" t="s">
        <v>532</v>
      </c>
      <c r="V2" s="1141" t="s">
        <v>3574</v>
      </c>
      <c r="W2" s="1141" t="s">
        <v>3574</v>
      </c>
      <c r="X2" s="1141" t="s">
        <v>3574</v>
      </c>
      <c r="Y2" s="1142" t="s">
        <v>533</v>
      </c>
      <c r="Z2" s="1142" t="s">
        <v>533</v>
      </c>
      <c r="AA2" s="1142" t="s">
        <v>533</v>
      </c>
      <c r="AB2" s="1141" t="s">
        <v>3897</v>
      </c>
      <c r="AC2" s="1141" t="s">
        <v>3897</v>
      </c>
      <c r="AD2" s="1141" t="s">
        <v>3897</v>
      </c>
    </row>
    <row r="3" spans="1:30" x14ac:dyDescent="0.2">
      <c r="A3" s="928">
        <v>200</v>
      </c>
      <c r="B3" s="928" t="s">
        <v>162</v>
      </c>
      <c r="C3" s="968"/>
      <c r="D3" s="968"/>
      <c r="E3" s="968"/>
      <c r="F3" s="968"/>
      <c r="G3" s="968"/>
      <c r="H3" s="968"/>
      <c r="I3" s="968"/>
      <c r="J3" s="968"/>
      <c r="K3" s="968"/>
      <c r="L3" s="968"/>
      <c r="M3" s="974"/>
      <c r="N3" s="974"/>
      <c r="O3" s="974"/>
      <c r="P3" s="968"/>
      <c r="Q3" s="968"/>
      <c r="R3" s="968"/>
      <c r="S3" s="968"/>
      <c r="T3" s="968"/>
      <c r="U3" s="968"/>
      <c r="V3" s="968"/>
      <c r="W3" s="968"/>
      <c r="X3" s="968"/>
      <c r="Y3" s="928"/>
      <c r="Z3" s="928"/>
      <c r="AA3" s="928"/>
      <c r="AB3" s="928"/>
      <c r="AC3" s="928"/>
      <c r="AD3" s="928"/>
    </row>
    <row r="4" spans="1:30" x14ac:dyDescent="0.2">
      <c r="A4" s="928"/>
      <c r="B4" s="928"/>
      <c r="C4" s="968"/>
      <c r="D4" s="968"/>
      <c r="E4" s="968"/>
      <c r="F4" s="968"/>
      <c r="G4" s="968"/>
      <c r="H4" s="968"/>
      <c r="I4" s="968"/>
      <c r="J4" s="968"/>
      <c r="K4" s="968"/>
      <c r="L4" s="968"/>
      <c r="M4" s="974"/>
      <c r="N4" s="974"/>
      <c r="O4" s="974"/>
      <c r="P4" s="968"/>
      <c r="Q4" s="968"/>
      <c r="R4" s="968"/>
      <c r="S4" s="968"/>
      <c r="T4" s="968"/>
      <c r="U4" s="968"/>
      <c r="V4" s="968"/>
      <c r="W4" s="968"/>
      <c r="X4" s="968"/>
      <c r="Y4" s="928"/>
      <c r="Z4" s="928"/>
      <c r="AA4" s="928"/>
      <c r="AB4" s="928"/>
      <c r="AC4" s="928"/>
      <c r="AD4" s="928"/>
    </row>
    <row r="5" spans="1:30" x14ac:dyDescent="0.2">
      <c r="A5" s="928">
        <v>101</v>
      </c>
      <c r="B5" s="928" t="s">
        <v>1088</v>
      </c>
      <c r="C5" s="968">
        <v>-228355000</v>
      </c>
      <c r="D5" s="968">
        <v>-229422699.41999999</v>
      </c>
      <c r="E5" s="968"/>
      <c r="F5" s="968">
        <f>D5+E5</f>
        <v>-229422699.41999999</v>
      </c>
      <c r="G5" s="968">
        <v>-248982000</v>
      </c>
      <c r="H5" s="968">
        <f>-248982000-5000000</f>
        <v>-253982000</v>
      </c>
      <c r="I5" s="968">
        <f>-248982000-5000000</f>
        <v>-253982000</v>
      </c>
      <c r="J5" s="968">
        <v>-254720915.69</v>
      </c>
      <c r="K5" s="968"/>
      <c r="L5" s="968">
        <f>J5+K5</f>
        <v>-254720915.69</v>
      </c>
      <c r="M5" s="974">
        <v>-279863000</v>
      </c>
      <c r="N5" s="974">
        <v>-279863000</v>
      </c>
      <c r="O5" s="974">
        <v>-279863000</v>
      </c>
      <c r="P5" s="968">
        <v>-296844656.87</v>
      </c>
      <c r="Q5" s="968">
        <f>9133691.71+2318540.12</f>
        <v>11452231.830000002</v>
      </c>
      <c r="R5" s="968">
        <f>P5+Q5</f>
        <v>-285392425.04000002</v>
      </c>
      <c r="S5" s="968">
        <v>-302252040</v>
      </c>
      <c r="T5" s="968">
        <v>-302252040</v>
      </c>
      <c r="U5" s="968">
        <v>-302252040</v>
      </c>
      <c r="V5" s="968">
        <v>-256187487.36000001</v>
      </c>
      <c r="W5" s="968">
        <v>811545.53</v>
      </c>
      <c r="X5" s="968">
        <f>V5+W5</f>
        <v>-255375941.83000001</v>
      </c>
      <c r="Y5" s="1145">
        <v>-332477244</v>
      </c>
      <c r="Z5" s="1145">
        <v>-314000000</v>
      </c>
      <c r="AA5" s="1145">
        <v>-314000000</v>
      </c>
      <c r="AB5" s="1145">
        <f>-327277626.06+46256121.99-2216.84</f>
        <v>-281023720.90999997</v>
      </c>
      <c r="AC5" s="1145"/>
      <c r="AD5" s="1145">
        <f>AB5+AC5</f>
        <v>-281023720.90999997</v>
      </c>
    </row>
    <row r="6" spans="1:30" x14ac:dyDescent="0.2">
      <c r="A6" s="928"/>
      <c r="B6" s="928" t="s">
        <v>1089</v>
      </c>
      <c r="C6" s="1143">
        <f t="shared" ref="C6:P6" si="0">C5</f>
        <v>-228355000</v>
      </c>
      <c r="D6" s="1143">
        <f t="shared" si="0"/>
        <v>-229422699.41999999</v>
      </c>
      <c r="E6" s="1143">
        <f t="shared" si="0"/>
        <v>0</v>
      </c>
      <c r="F6" s="1143">
        <f t="shared" si="0"/>
        <v>-229422699.41999999</v>
      </c>
      <c r="G6" s="1143">
        <f t="shared" si="0"/>
        <v>-248982000</v>
      </c>
      <c r="H6" s="1143">
        <f t="shared" si="0"/>
        <v>-253982000</v>
      </c>
      <c r="I6" s="1143">
        <f t="shared" si="0"/>
        <v>-253982000</v>
      </c>
      <c r="J6" s="1143">
        <f t="shared" si="0"/>
        <v>-254720915.69</v>
      </c>
      <c r="K6" s="1143">
        <f t="shared" si="0"/>
        <v>0</v>
      </c>
      <c r="L6" s="1143">
        <f t="shared" si="0"/>
        <v>-254720915.69</v>
      </c>
      <c r="M6" s="1144">
        <f t="shared" si="0"/>
        <v>-279863000</v>
      </c>
      <c r="N6" s="1144">
        <f>N5</f>
        <v>-279863000</v>
      </c>
      <c r="O6" s="1144">
        <f t="shared" si="0"/>
        <v>-279863000</v>
      </c>
      <c r="P6" s="1143">
        <f t="shared" si="0"/>
        <v>-296844656.87</v>
      </c>
      <c r="Q6" s="1143">
        <f>Q5</f>
        <v>11452231.830000002</v>
      </c>
      <c r="R6" s="1143">
        <f>R5</f>
        <v>-285392425.04000002</v>
      </c>
      <c r="S6" s="1143">
        <f t="shared" ref="S6:AD6" si="1">S5</f>
        <v>-302252040</v>
      </c>
      <c r="T6" s="1143">
        <f t="shared" si="1"/>
        <v>-302252040</v>
      </c>
      <c r="U6" s="1143">
        <f t="shared" si="1"/>
        <v>-302252040</v>
      </c>
      <c r="V6" s="1143">
        <f t="shared" si="1"/>
        <v>-256187487.36000001</v>
      </c>
      <c r="W6" s="1143">
        <f t="shared" si="1"/>
        <v>811545.53</v>
      </c>
      <c r="X6" s="1143">
        <f t="shared" si="1"/>
        <v>-255375941.83000001</v>
      </c>
      <c r="Y6" s="1341">
        <f t="shared" si="1"/>
        <v>-332477244</v>
      </c>
      <c r="Z6" s="1341">
        <f t="shared" si="1"/>
        <v>-314000000</v>
      </c>
      <c r="AA6" s="1341">
        <f t="shared" si="1"/>
        <v>-314000000</v>
      </c>
      <c r="AB6" s="1341">
        <f t="shared" si="1"/>
        <v>-281023720.90999997</v>
      </c>
      <c r="AC6" s="1341">
        <f t="shared" si="1"/>
        <v>0</v>
      </c>
      <c r="AD6" s="1341">
        <f t="shared" si="1"/>
        <v>-281023720.90999997</v>
      </c>
    </row>
    <row r="7" spans="1:30" x14ac:dyDescent="0.2">
      <c r="A7" s="928"/>
      <c r="B7" s="928"/>
      <c r="C7" s="968"/>
      <c r="D7" s="968"/>
      <c r="E7" s="968"/>
      <c r="F7" s="968"/>
      <c r="G7" s="968"/>
      <c r="H7" s="968"/>
      <c r="I7" s="968"/>
      <c r="J7" s="968"/>
      <c r="K7" s="968"/>
      <c r="L7" s="968"/>
      <c r="M7" s="974"/>
      <c r="N7" s="974"/>
      <c r="O7" s="974"/>
      <c r="P7" s="968"/>
      <c r="Q7" s="968"/>
      <c r="R7" s="968"/>
      <c r="S7" s="968"/>
      <c r="T7" s="968"/>
      <c r="U7" s="968"/>
      <c r="V7" s="968"/>
      <c r="W7" s="968"/>
      <c r="X7" s="968"/>
      <c r="Y7" s="1145"/>
      <c r="Z7" s="1145"/>
      <c r="AA7" s="1145"/>
      <c r="AB7" s="1145"/>
      <c r="AC7" s="1145"/>
      <c r="AD7" s="1145"/>
    </row>
    <row r="8" spans="1:30" x14ac:dyDescent="0.2">
      <c r="A8" s="928">
        <v>400</v>
      </c>
      <c r="B8" s="928" t="s">
        <v>168</v>
      </c>
      <c r="C8" s="968"/>
      <c r="D8" s="968"/>
      <c r="E8" s="968"/>
      <c r="F8" s="968"/>
      <c r="G8" s="968"/>
      <c r="H8" s="968"/>
      <c r="I8" s="968"/>
      <c r="J8" s="968"/>
      <c r="K8" s="968"/>
      <c r="L8" s="968"/>
      <c r="M8" s="974"/>
      <c r="N8" s="974"/>
      <c r="O8" s="974"/>
      <c r="P8" s="968"/>
      <c r="Q8" s="968"/>
      <c r="R8" s="968"/>
      <c r="S8" s="968"/>
      <c r="T8" s="968"/>
      <c r="U8" s="968"/>
      <c r="V8" s="968"/>
      <c r="W8" s="968"/>
      <c r="X8" s="968"/>
      <c r="Y8" s="1145"/>
      <c r="Z8" s="1145"/>
      <c r="AA8" s="1145"/>
      <c r="AB8" s="1145"/>
      <c r="AC8" s="1145"/>
      <c r="AD8" s="1145"/>
    </row>
    <row r="9" spans="1:30" x14ac:dyDescent="0.2">
      <c r="A9" s="928"/>
      <c r="B9" s="928"/>
      <c r="C9" s="968"/>
      <c r="D9" s="968"/>
      <c r="E9" s="968"/>
      <c r="F9" s="968"/>
      <c r="G9" s="968"/>
      <c r="H9" s="968"/>
      <c r="I9" s="968"/>
      <c r="J9" s="968"/>
      <c r="K9" s="968"/>
      <c r="L9" s="968"/>
      <c r="M9" s="974"/>
      <c r="N9" s="974"/>
      <c r="O9" s="974"/>
      <c r="P9" s="968"/>
      <c r="Q9" s="968"/>
      <c r="R9" s="968"/>
      <c r="S9" s="968"/>
      <c r="T9" s="968"/>
      <c r="U9" s="968"/>
      <c r="V9" s="968"/>
      <c r="W9" s="968"/>
      <c r="X9" s="968"/>
      <c r="Y9" s="1145"/>
      <c r="Z9" s="1145"/>
      <c r="AA9" s="1145"/>
      <c r="AB9" s="1145"/>
      <c r="AC9" s="1145"/>
      <c r="AD9" s="1145"/>
    </row>
    <row r="10" spans="1:30" x14ac:dyDescent="0.2">
      <c r="A10" s="928"/>
      <c r="B10" s="976" t="s">
        <v>321</v>
      </c>
      <c r="C10" s="968"/>
      <c r="D10" s="968"/>
      <c r="E10" s="968"/>
      <c r="F10" s="968"/>
      <c r="G10" s="968"/>
      <c r="H10" s="968"/>
      <c r="I10" s="968"/>
      <c r="J10" s="968"/>
      <c r="K10" s="968"/>
      <c r="L10" s="968"/>
      <c r="M10" s="974"/>
      <c r="N10" s="974"/>
      <c r="O10" s="974"/>
      <c r="P10" s="968"/>
      <c r="Q10" s="968"/>
      <c r="R10" s="968"/>
      <c r="S10" s="968"/>
      <c r="T10" s="968"/>
      <c r="U10" s="968"/>
      <c r="V10" s="968"/>
      <c r="W10" s="968"/>
      <c r="X10" s="968"/>
      <c r="Y10" s="1145"/>
      <c r="Z10" s="1145"/>
      <c r="AA10" s="1145"/>
      <c r="AB10" s="1145"/>
      <c r="AC10" s="1145"/>
      <c r="AD10" s="1145"/>
    </row>
    <row r="11" spans="1:30" x14ac:dyDescent="0.2">
      <c r="A11" s="928">
        <v>301</v>
      </c>
      <c r="B11" s="928" t="s">
        <v>1090</v>
      </c>
      <c r="C11" s="968">
        <v>-4000000</v>
      </c>
      <c r="D11" s="968">
        <v>-3282905.38</v>
      </c>
      <c r="E11" s="968"/>
      <c r="F11" s="968">
        <f t="shared" ref="F11:F19" si="2">D11+E11</f>
        <v>-3282905.38</v>
      </c>
      <c r="G11" s="968">
        <v>-4000000</v>
      </c>
      <c r="H11" s="968">
        <v>-4000000</v>
      </c>
      <c r="I11" s="968">
        <v>-4000000</v>
      </c>
      <c r="J11" s="968">
        <v>-3899495.05</v>
      </c>
      <c r="K11" s="968"/>
      <c r="L11" s="968">
        <f t="shared" ref="L11:L19" si="3">J11+K11</f>
        <v>-3899495.05</v>
      </c>
      <c r="M11" s="974">
        <v>-5500000</v>
      </c>
      <c r="N11" s="974">
        <v>-5500000</v>
      </c>
      <c r="O11" s="974">
        <v>-5500000</v>
      </c>
      <c r="P11" s="968">
        <v>-2856582.91</v>
      </c>
      <c r="Q11" s="968"/>
      <c r="R11" s="968">
        <f t="shared" ref="R11:R19" si="4">P11+Q11</f>
        <v>-2856582.91</v>
      </c>
      <c r="S11" s="968">
        <v>-5000000</v>
      </c>
      <c r="T11" s="968">
        <v>-5000000</v>
      </c>
      <c r="U11" s="968">
        <v>-5000000</v>
      </c>
      <c r="V11" s="968">
        <v>-3443423.68</v>
      </c>
      <c r="W11" s="968"/>
      <c r="X11" s="968">
        <f t="shared" ref="X11:X69" si="5">V11+W11</f>
        <v>-3443423.68</v>
      </c>
      <c r="Y11" s="1145">
        <v>-4000000</v>
      </c>
      <c r="Z11" s="1145">
        <v>-4000000</v>
      </c>
      <c r="AA11" s="1145">
        <v>-4000000</v>
      </c>
      <c r="AB11" s="1145">
        <v>-6671071.6699999999</v>
      </c>
      <c r="AC11" s="1145"/>
      <c r="AD11" s="1145">
        <f t="shared" ref="AD11:AD19" si="6">AB11+AC11</f>
        <v>-6671071.6699999999</v>
      </c>
    </row>
    <row r="12" spans="1:30" x14ac:dyDescent="0.2">
      <c r="A12" s="928">
        <v>321</v>
      </c>
      <c r="B12" s="928" t="s">
        <v>1098</v>
      </c>
      <c r="C12" s="968">
        <v>-413000</v>
      </c>
      <c r="D12" s="968">
        <v>-380790.94</v>
      </c>
      <c r="E12" s="968"/>
      <c r="F12" s="968">
        <f t="shared" si="2"/>
        <v>-380790.94</v>
      </c>
      <c r="G12" s="968">
        <v>-378000</v>
      </c>
      <c r="H12" s="968">
        <v>-378000</v>
      </c>
      <c r="I12" s="968">
        <v>-378000</v>
      </c>
      <c r="J12" s="968">
        <v>0</v>
      </c>
      <c r="K12" s="968"/>
      <c r="L12" s="968">
        <f t="shared" si="3"/>
        <v>0</v>
      </c>
      <c r="M12" s="974">
        <v>-415800</v>
      </c>
      <c r="N12" s="974">
        <v>-415800</v>
      </c>
      <c r="O12" s="974">
        <v>-415800</v>
      </c>
      <c r="P12" s="968">
        <v>-16.32</v>
      </c>
      <c r="Q12" s="968"/>
      <c r="R12" s="968">
        <f t="shared" si="4"/>
        <v>-16.32</v>
      </c>
      <c r="S12" s="968">
        <v>-440748</v>
      </c>
      <c r="T12" s="968">
        <v>-440748</v>
      </c>
      <c r="U12" s="968">
        <v>-440748</v>
      </c>
      <c r="V12" s="968"/>
      <c r="W12" s="968"/>
      <c r="X12" s="968">
        <f t="shared" si="5"/>
        <v>0</v>
      </c>
      <c r="Y12" s="1145">
        <v>-498926</v>
      </c>
      <c r="Z12" s="1145">
        <v>-498926</v>
      </c>
      <c r="AA12" s="1145">
        <v>-498926</v>
      </c>
      <c r="AB12" s="1145"/>
      <c r="AC12" s="1145"/>
      <c r="AD12" s="1145">
        <f t="shared" si="6"/>
        <v>0</v>
      </c>
    </row>
    <row r="13" spans="1:30" x14ac:dyDescent="0.2">
      <c r="A13" s="928">
        <v>328</v>
      </c>
      <c r="B13" s="928" t="s">
        <v>1100</v>
      </c>
      <c r="C13" s="968">
        <v>-2237000</v>
      </c>
      <c r="D13" s="968">
        <v>-768855.64</v>
      </c>
      <c r="E13" s="968"/>
      <c r="F13" s="968">
        <f t="shared" si="2"/>
        <v>-768855.64</v>
      </c>
      <c r="G13" s="968">
        <v>-2236000</v>
      </c>
      <c r="H13" s="968">
        <v>-2236000</v>
      </c>
      <c r="I13" s="968">
        <v>-2236000</v>
      </c>
      <c r="J13" s="968">
        <v>-565392.55000000005</v>
      </c>
      <c r="K13" s="968"/>
      <c r="L13" s="968">
        <f t="shared" si="3"/>
        <v>-565392.55000000005</v>
      </c>
      <c r="M13" s="974">
        <v>-2459600</v>
      </c>
      <c r="N13" s="974">
        <v>-2459600</v>
      </c>
      <c r="O13" s="974">
        <v>-2459600</v>
      </c>
      <c r="P13" s="968">
        <v>-2360149.65</v>
      </c>
      <c r="Q13" s="968"/>
      <c r="R13" s="968">
        <f t="shared" si="4"/>
        <v>-2360149.65</v>
      </c>
      <c r="S13" s="968">
        <v>-2607176</v>
      </c>
      <c r="T13" s="968">
        <v>-2607176</v>
      </c>
      <c r="U13" s="968">
        <v>-2607176</v>
      </c>
      <c r="V13" s="968">
        <v>-66041.69</v>
      </c>
      <c r="W13" s="968"/>
      <c r="X13" s="968">
        <f t="shared" si="5"/>
        <v>-66041.69</v>
      </c>
      <c r="Y13" s="1145">
        <v>-2951323</v>
      </c>
      <c r="Z13" s="1145">
        <v>-2951323</v>
      </c>
      <c r="AA13" s="1145">
        <v>-2951323</v>
      </c>
      <c r="AB13" s="1145">
        <v>-21969.4</v>
      </c>
      <c r="AC13" s="1145"/>
      <c r="AD13" s="1145">
        <f t="shared" si="6"/>
        <v>-21969.4</v>
      </c>
    </row>
    <row r="14" spans="1:30" x14ac:dyDescent="0.2">
      <c r="A14" s="928">
        <v>340</v>
      </c>
      <c r="B14" s="928" t="s">
        <v>1104</v>
      </c>
      <c r="C14" s="968">
        <v>-358500000</v>
      </c>
      <c r="D14" s="968">
        <v>-412506210.02999997</v>
      </c>
      <c r="E14" s="968"/>
      <c r="F14" s="968">
        <f t="shared" si="2"/>
        <v>-412506210.02999997</v>
      </c>
      <c r="G14" s="968">
        <v>-394951000</v>
      </c>
      <c r="H14" s="968">
        <v>-430951000</v>
      </c>
      <c r="I14" s="968">
        <v>-430951000</v>
      </c>
      <c r="J14" s="968">
        <v>-427040996.81</v>
      </c>
      <c r="K14" s="968"/>
      <c r="L14" s="968">
        <f t="shared" si="3"/>
        <v>-427040996.81</v>
      </c>
      <c r="M14" s="974">
        <v>-478361100</v>
      </c>
      <c r="N14" s="974">
        <v>-478361100</v>
      </c>
      <c r="O14" s="974">
        <v>-478361100</v>
      </c>
      <c r="P14" s="968">
        <v>-429018691.67000002</v>
      </c>
      <c r="Q14" s="968"/>
      <c r="R14" s="968">
        <f t="shared" si="4"/>
        <v>-429018691.67000002</v>
      </c>
      <c r="S14" s="968">
        <v>-556413599</v>
      </c>
      <c r="T14" s="968">
        <f>-556413599+72070850</f>
        <v>-484342749</v>
      </c>
      <c r="U14" s="968">
        <f>-556413599+72070850</f>
        <v>-484342749</v>
      </c>
      <c r="V14" s="968">
        <f>-451827130.51+21746180-23051126</f>
        <v>-453132076.50999999</v>
      </c>
      <c r="W14" s="968">
        <v>351322.42</v>
      </c>
      <c r="X14" s="968">
        <f t="shared" si="5"/>
        <v>-452780754.08999997</v>
      </c>
      <c r="Y14" s="1145">
        <v>-548275991</v>
      </c>
      <c r="Z14" s="1145">
        <v>-548275991</v>
      </c>
      <c r="AA14" s="1145">
        <v>-548275991</v>
      </c>
      <c r="AB14" s="1145">
        <f>-530123986.31+23051126-24699369-931163.29</f>
        <v>-532703392.60000002</v>
      </c>
      <c r="AC14" s="1145"/>
      <c r="AD14" s="1145">
        <f t="shared" si="6"/>
        <v>-532703392.60000002</v>
      </c>
    </row>
    <row r="15" spans="1:30" x14ac:dyDescent="0.2">
      <c r="A15" s="928">
        <v>343</v>
      </c>
      <c r="B15" s="928" t="s">
        <v>1105</v>
      </c>
      <c r="C15" s="968">
        <v>-123530000</v>
      </c>
      <c r="D15" s="968">
        <f>-138968531.34+4724929.96</f>
        <v>-134243601.38</v>
      </c>
      <c r="E15" s="968"/>
      <c r="F15" s="968">
        <f t="shared" si="2"/>
        <v>-134243601.38</v>
      </c>
      <c r="G15" s="968">
        <v>-166171000</v>
      </c>
      <c r="H15" s="968">
        <v>-171171000</v>
      </c>
      <c r="I15" s="968">
        <v>-171171000</v>
      </c>
      <c r="J15" s="968">
        <v>-170149154.80000001</v>
      </c>
      <c r="K15" s="968"/>
      <c r="L15" s="968">
        <f t="shared" si="3"/>
        <v>-170149154.80000001</v>
      </c>
      <c r="M15" s="974">
        <v>-188288100</v>
      </c>
      <c r="N15" s="974">
        <v>-188288100</v>
      </c>
      <c r="O15" s="974">
        <v>-188288100</v>
      </c>
      <c r="P15" s="968">
        <v>-178250369.97999999</v>
      </c>
      <c r="Q15" s="968">
        <v>302899</v>
      </c>
      <c r="R15" s="968">
        <f t="shared" si="4"/>
        <v>-177947470.97999999</v>
      </c>
      <c r="S15" s="968">
        <v>-205234029</v>
      </c>
      <c r="T15" s="968">
        <v>-205234029</v>
      </c>
      <c r="U15" s="968">
        <v>-205234029</v>
      </c>
      <c r="V15" s="968">
        <f>-199334026.9-3612084+4060115</f>
        <v>-198885995.90000001</v>
      </c>
      <c r="W15" s="968"/>
      <c r="X15" s="968">
        <f t="shared" si="5"/>
        <v>-198885995.90000001</v>
      </c>
      <c r="Y15" s="1145">
        <v>-232324920</v>
      </c>
      <c r="Z15" s="1145">
        <v>-232324920</v>
      </c>
      <c r="AA15" s="1145">
        <v>-232324920</v>
      </c>
      <c r="AB15" s="1145">
        <v>-223777232.41</v>
      </c>
      <c r="AC15" s="1145"/>
      <c r="AD15" s="1145">
        <f t="shared" si="6"/>
        <v>-223777232.41</v>
      </c>
    </row>
    <row r="16" spans="1:30" x14ac:dyDescent="0.2">
      <c r="A16" s="928">
        <v>344</v>
      </c>
      <c r="B16" s="928" t="s">
        <v>1106</v>
      </c>
      <c r="C16" s="968">
        <v>-13609960</v>
      </c>
      <c r="D16" s="968">
        <v>-4887211.38</v>
      </c>
      <c r="E16" s="968"/>
      <c r="F16" s="968">
        <f t="shared" si="2"/>
        <v>-4887211.38</v>
      </c>
      <c r="G16" s="968"/>
      <c r="H16" s="968"/>
      <c r="I16" s="968"/>
      <c r="J16" s="968">
        <v>-2976193.03</v>
      </c>
      <c r="K16" s="968"/>
      <c r="L16" s="968">
        <f t="shared" si="3"/>
        <v>-2976193.03</v>
      </c>
      <c r="M16" s="974">
        <v>-4315000</v>
      </c>
      <c r="N16" s="974">
        <v>-4315000</v>
      </c>
      <c r="O16" s="974">
        <v>-4315000</v>
      </c>
      <c r="P16" s="968">
        <v>-2809589.48</v>
      </c>
      <c r="Q16" s="968"/>
      <c r="R16" s="968">
        <f t="shared" si="4"/>
        <v>-2809589.48</v>
      </c>
      <c r="S16" s="968">
        <v>-4573900</v>
      </c>
      <c r="T16" s="968">
        <v>-4573900</v>
      </c>
      <c r="U16" s="968">
        <v>-4573900</v>
      </c>
      <c r="V16" s="968">
        <v>-2021427.36</v>
      </c>
      <c r="W16" s="968"/>
      <c r="X16" s="968">
        <f t="shared" si="5"/>
        <v>-2021427.36</v>
      </c>
      <c r="Y16" s="1145">
        <v>-4565000</v>
      </c>
      <c r="Z16" s="1145">
        <v>-4565000</v>
      </c>
      <c r="AA16" s="1145">
        <v>-4565000</v>
      </c>
      <c r="AB16" s="1145">
        <v>-1345580.05</v>
      </c>
      <c r="AC16" s="1145"/>
      <c r="AD16" s="1145">
        <f t="shared" si="6"/>
        <v>-1345580.05</v>
      </c>
    </row>
    <row r="17" spans="1:30" x14ac:dyDescent="0.2">
      <c r="A17" s="928">
        <v>355</v>
      </c>
      <c r="B17" s="928" t="s">
        <v>1111</v>
      </c>
      <c r="C17" s="968">
        <v>-1007000</v>
      </c>
      <c r="D17" s="968">
        <v>-822415.84</v>
      </c>
      <c r="E17" s="968"/>
      <c r="F17" s="968">
        <f t="shared" si="2"/>
        <v>-822415.84</v>
      </c>
      <c r="G17" s="968">
        <v>-41469000</v>
      </c>
      <c r="H17" s="968">
        <v>-41469000</v>
      </c>
      <c r="I17" s="968">
        <v>-41469000</v>
      </c>
      <c r="J17" s="968">
        <v>-854576.57</v>
      </c>
      <c r="K17" s="968"/>
      <c r="L17" s="968">
        <f t="shared" si="3"/>
        <v>-854576.57</v>
      </c>
      <c r="M17" s="974">
        <v>-20000000</v>
      </c>
      <c r="N17" s="974">
        <v>-20000000</v>
      </c>
      <c r="O17" s="974">
        <v>-20000000</v>
      </c>
      <c r="P17" s="968">
        <v>-1932830.3</v>
      </c>
      <c r="Q17" s="968"/>
      <c r="R17" s="968">
        <f t="shared" si="4"/>
        <v>-1932830.3</v>
      </c>
      <c r="S17" s="968">
        <v>-800000</v>
      </c>
      <c r="T17" s="968">
        <v>-800000</v>
      </c>
      <c r="U17" s="968">
        <v>-800000</v>
      </c>
      <c r="V17" s="968">
        <v>-705722.17</v>
      </c>
      <c r="W17" s="968"/>
      <c r="X17" s="968">
        <f t="shared" si="5"/>
        <v>-705722.17</v>
      </c>
      <c r="Y17" s="1145">
        <v>-905600</v>
      </c>
      <c r="Z17" s="1145">
        <v>-905600</v>
      </c>
      <c r="AA17" s="1145">
        <v>-905600</v>
      </c>
      <c r="AB17" s="1145">
        <v>-144661.62</v>
      </c>
      <c r="AC17" s="1145"/>
      <c r="AD17" s="1145">
        <f t="shared" si="6"/>
        <v>-144661.62</v>
      </c>
    </row>
    <row r="18" spans="1:30" x14ac:dyDescent="0.2">
      <c r="A18" s="928">
        <v>367</v>
      </c>
      <c r="B18" s="928" t="s">
        <v>1117</v>
      </c>
      <c r="C18" s="968">
        <v>-100</v>
      </c>
      <c r="D18" s="968">
        <v>0</v>
      </c>
      <c r="E18" s="968"/>
      <c r="F18" s="968">
        <f t="shared" si="2"/>
        <v>0</v>
      </c>
      <c r="G18" s="968">
        <v>-600</v>
      </c>
      <c r="H18" s="968">
        <v>-600</v>
      </c>
      <c r="I18" s="968">
        <v>-600</v>
      </c>
      <c r="J18" s="968">
        <v>-127.5</v>
      </c>
      <c r="K18" s="968"/>
      <c r="L18" s="968">
        <f t="shared" si="3"/>
        <v>-127.5</v>
      </c>
      <c r="M18" s="974">
        <v>-660</v>
      </c>
      <c r="N18" s="974">
        <v>-660</v>
      </c>
      <c r="O18" s="974">
        <v>-660</v>
      </c>
      <c r="P18" s="968">
        <v>0</v>
      </c>
      <c r="Q18" s="968"/>
      <c r="R18" s="968">
        <f t="shared" si="4"/>
        <v>0</v>
      </c>
      <c r="S18" s="968">
        <v>-699</v>
      </c>
      <c r="T18" s="968">
        <v>-699</v>
      </c>
      <c r="U18" s="968">
        <v>-699</v>
      </c>
      <c r="V18" s="968">
        <v>-131.58000000000001</v>
      </c>
      <c r="W18" s="968"/>
      <c r="X18" s="968">
        <f t="shared" si="5"/>
        <v>-131.58000000000001</v>
      </c>
      <c r="Y18" s="1145">
        <v>-791</v>
      </c>
      <c r="Z18" s="1145">
        <v>-791</v>
      </c>
      <c r="AA18" s="1145">
        <v>-791</v>
      </c>
      <c r="AB18" s="1145"/>
      <c r="AC18" s="1145"/>
      <c r="AD18" s="1145">
        <f t="shared" si="6"/>
        <v>0</v>
      </c>
    </row>
    <row r="19" spans="1:30" x14ac:dyDescent="0.2">
      <c r="A19" s="928">
        <v>371</v>
      </c>
      <c r="B19" s="928" t="s">
        <v>1119</v>
      </c>
      <c r="C19" s="968">
        <v>-400</v>
      </c>
      <c r="D19" s="968">
        <v>-485.3</v>
      </c>
      <c r="E19" s="968"/>
      <c r="F19" s="968">
        <f t="shared" si="2"/>
        <v>-485.3</v>
      </c>
      <c r="G19" s="968">
        <v>-600</v>
      </c>
      <c r="H19" s="968">
        <v>-600</v>
      </c>
      <c r="I19" s="968">
        <v>-600</v>
      </c>
      <c r="J19" s="968">
        <v>-263.16000000000003</v>
      </c>
      <c r="K19" s="968"/>
      <c r="L19" s="968">
        <f t="shared" si="3"/>
        <v>-263.16000000000003</v>
      </c>
      <c r="M19" s="974">
        <v>-660</v>
      </c>
      <c r="N19" s="974">
        <v>-660</v>
      </c>
      <c r="O19" s="974">
        <v>-660</v>
      </c>
      <c r="P19" s="968">
        <v>-193.68</v>
      </c>
      <c r="Q19" s="968"/>
      <c r="R19" s="968">
        <f t="shared" si="4"/>
        <v>-193.68</v>
      </c>
      <c r="S19" s="968">
        <v>-699</v>
      </c>
      <c r="T19" s="968">
        <v>-699</v>
      </c>
      <c r="U19" s="968">
        <v>-699</v>
      </c>
      <c r="V19" s="968"/>
      <c r="W19" s="968"/>
      <c r="X19" s="968">
        <f t="shared" si="5"/>
        <v>0</v>
      </c>
      <c r="Y19" s="1145">
        <v>-791</v>
      </c>
      <c r="Z19" s="1145">
        <v>-791</v>
      </c>
      <c r="AA19" s="1145">
        <v>-791</v>
      </c>
      <c r="AB19" s="1145"/>
      <c r="AC19" s="1145"/>
      <c r="AD19" s="1145">
        <f t="shared" si="6"/>
        <v>0</v>
      </c>
    </row>
    <row r="20" spans="1:30" x14ac:dyDescent="0.2">
      <c r="A20" s="928"/>
      <c r="B20" s="976" t="s">
        <v>1488</v>
      </c>
      <c r="C20" s="1143">
        <f t="shared" ref="C20:P20" si="7">SUM(C11:C19)</f>
        <v>-503297460</v>
      </c>
      <c r="D20" s="1143">
        <f t="shared" si="7"/>
        <v>-556892475.88999987</v>
      </c>
      <c r="E20" s="1143">
        <f t="shared" si="7"/>
        <v>0</v>
      </c>
      <c r="F20" s="1143">
        <f t="shared" si="7"/>
        <v>-556892475.88999987</v>
      </c>
      <c r="G20" s="1143">
        <f t="shared" si="7"/>
        <v>-609206200</v>
      </c>
      <c r="H20" s="1143">
        <f t="shared" si="7"/>
        <v>-650206200</v>
      </c>
      <c r="I20" s="1143">
        <f t="shared" si="7"/>
        <v>-650206200</v>
      </c>
      <c r="J20" s="1143">
        <f>SUM(J11:J19)</f>
        <v>-605486199.47000003</v>
      </c>
      <c r="K20" s="1143">
        <f t="shared" si="7"/>
        <v>0</v>
      </c>
      <c r="L20" s="1143">
        <f t="shared" si="7"/>
        <v>-605486199.47000003</v>
      </c>
      <c r="M20" s="1144">
        <f t="shared" si="7"/>
        <v>-699340920</v>
      </c>
      <c r="N20" s="1144">
        <f>SUM(N11:N19)</f>
        <v>-699340920</v>
      </c>
      <c r="O20" s="1144">
        <f t="shared" si="7"/>
        <v>-699340920</v>
      </c>
      <c r="P20" s="1143">
        <f t="shared" si="7"/>
        <v>-617228423.98999989</v>
      </c>
      <c r="Q20" s="1143">
        <f>SUM(Q11:Q19)</f>
        <v>302899</v>
      </c>
      <c r="R20" s="1143">
        <f>SUM(R11:R19)</f>
        <v>-616925524.98999989</v>
      </c>
      <c r="S20" s="1143">
        <f t="shared" ref="S20:AD20" si="8">SUM(S11:S19)</f>
        <v>-775070850</v>
      </c>
      <c r="T20" s="1143">
        <f t="shared" si="8"/>
        <v>-703000000</v>
      </c>
      <c r="U20" s="1143">
        <f t="shared" si="8"/>
        <v>-703000000</v>
      </c>
      <c r="V20" s="1143">
        <f t="shared" si="8"/>
        <v>-658254818.88999999</v>
      </c>
      <c r="W20" s="1143">
        <f t="shared" si="8"/>
        <v>351322.42</v>
      </c>
      <c r="X20" s="1143">
        <f t="shared" si="8"/>
        <v>-657903496.47000003</v>
      </c>
      <c r="Y20" s="1341">
        <f t="shared" si="8"/>
        <v>-793523342</v>
      </c>
      <c r="Z20" s="1341">
        <f t="shared" si="8"/>
        <v>-793523342</v>
      </c>
      <c r="AA20" s="1341">
        <f t="shared" si="8"/>
        <v>-793523342</v>
      </c>
      <c r="AB20" s="1341">
        <f t="shared" si="8"/>
        <v>-764663907.75</v>
      </c>
      <c r="AC20" s="1341">
        <f t="shared" si="8"/>
        <v>0</v>
      </c>
      <c r="AD20" s="1341">
        <f t="shared" si="8"/>
        <v>-764663907.75</v>
      </c>
    </row>
    <row r="21" spans="1:30" x14ac:dyDescent="0.2">
      <c r="A21" s="928"/>
      <c r="B21" s="928"/>
      <c r="C21" s="968"/>
      <c r="D21" s="968"/>
      <c r="E21" s="968"/>
      <c r="F21" s="968"/>
      <c r="G21" s="968"/>
      <c r="H21" s="968"/>
      <c r="I21" s="968"/>
      <c r="J21" s="968"/>
      <c r="K21" s="968"/>
      <c r="L21" s="968"/>
      <c r="M21" s="974"/>
      <c r="N21" s="974"/>
      <c r="O21" s="974"/>
      <c r="P21" s="968"/>
      <c r="Q21" s="968"/>
      <c r="R21" s="968"/>
      <c r="S21" s="968"/>
      <c r="T21" s="968"/>
      <c r="U21" s="968"/>
      <c r="V21" s="968"/>
      <c r="W21" s="968"/>
      <c r="X21" s="968"/>
      <c r="Y21" s="1145"/>
      <c r="Z21" s="1145"/>
      <c r="AA21" s="1145"/>
      <c r="AB21" s="1145"/>
      <c r="AC21" s="1145"/>
      <c r="AD21" s="1145"/>
    </row>
    <row r="22" spans="1:30" x14ac:dyDescent="0.2">
      <c r="A22" s="928"/>
      <c r="B22" s="976" t="s">
        <v>438</v>
      </c>
      <c r="C22" s="968"/>
      <c r="D22" s="968"/>
      <c r="E22" s="968"/>
      <c r="F22" s="968"/>
      <c r="G22" s="968"/>
      <c r="H22" s="968"/>
      <c r="I22" s="968"/>
      <c r="J22" s="968"/>
      <c r="K22" s="968"/>
      <c r="L22" s="968"/>
      <c r="M22" s="974"/>
      <c r="N22" s="974"/>
      <c r="O22" s="974"/>
      <c r="P22" s="968"/>
      <c r="Q22" s="968"/>
      <c r="R22" s="968"/>
      <c r="S22" s="968"/>
      <c r="T22" s="968"/>
      <c r="U22" s="968"/>
      <c r="V22" s="968"/>
      <c r="W22" s="968"/>
      <c r="X22" s="968"/>
      <c r="Y22" s="1145"/>
      <c r="Z22" s="1145"/>
      <c r="AA22" s="1145"/>
      <c r="AB22" s="1145"/>
      <c r="AC22" s="1145"/>
      <c r="AD22" s="1145"/>
    </row>
    <row r="23" spans="1:30" x14ac:dyDescent="0.2">
      <c r="A23" s="928">
        <v>307</v>
      </c>
      <c r="B23" s="928" t="s">
        <v>1092</v>
      </c>
      <c r="C23" s="968">
        <v>-1600000</v>
      </c>
      <c r="D23" s="968">
        <v>-352375.96</v>
      </c>
      <c r="E23" s="968"/>
      <c r="F23" s="968">
        <f t="shared" ref="F23:F32" si="9">D23+E23</f>
        <v>-352375.96</v>
      </c>
      <c r="G23" s="968">
        <v>-1500000</v>
      </c>
      <c r="H23" s="968">
        <v>-1500000</v>
      </c>
      <c r="I23" s="968">
        <v>-1500000</v>
      </c>
      <c r="J23" s="968">
        <v>-1254111.97</v>
      </c>
      <c r="K23" s="968"/>
      <c r="L23" s="968">
        <f t="shared" ref="L23:L32" si="10">J23+K23</f>
        <v>-1254111.97</v>
      </c>
      <c r="M23" s="974">
        <v>-2750000</v>
      </c>
      <c r="N23" s="974">
        <v>-2750000</v>
      </c>
      <c r="O23" s="974">
        <v>-2750000</v>
      </c>
      <c r="P23" s="968">
        <v>-1390271.46</v>
      </c>
      <c r="Q23" s="968"/>
      <c r="R23" s="968">
        <f>P23+Q23</f>
        <v>-1390271.46</v>
      </c>
      <c r="S23" s="968">
        <v>-2500000</v>
      </c>
      <c r="T23" s="968">
        <v>-2500000</v>
      </c>
      <c r="U23" s="968">
        <v>-2500000</v>
      </c>
      <c r="V23" s="968">
        <v>-1248295.6200000001</v>
      </c>
      <c r="W23" s="968"/>
      <c r="X23" s="968">
        <f t="shared" si="5"/>
        <v>-1248295.6200000001</v>
      </c>
      <c r="Y23" s="1145">
        <v>-2645000</v>
      </c>
      <c r="Z23" s="1145">
        <v>-2645000</v>
      </c>
      <c r="AA23" s="1145">
        <v>-2645000</v>
      </c>
      <c r="AB23" s="1145">
        <v>-1460682.23</v>
      </c>
      <c r="AC23" s="1145"/>
      <c r="AD23" s="1145">
        <f t="shared" ref="AD23:AD32" si="11">AB23+AC23</f>
        <v>-1460682.23</v>
      </c>
    </row>
    <row r="24" spans="1:30" x14ac:dyDescent="0.2">
      <c r="A24" s="928">
        <v>310</v>
      </c>
      <c r="B24" s="928" t="s">
        <v>1094</v>
      </c>
      <c r="C24" s="968"/>
      <c r="D24" s="968"/>
      <c r="E24" s="968"/>
      <c r="F24" s="968"/>
      <c r="G24" s="968">
        <v>-30885000</v>
      </c>
      <c r="H24" s="968"/>
      <c r="I24" s="968"/>
      <c r="J24" s="968">
        <v>0</v>
      </c>
      <c r="K24" s="968"/>
      <c r="L24" s="968">
        <v>0</v>
      </c>
      <c r="M24" s="974">
        <v>-65000000</v>
      </c>
      <c r="N24" s="974">
        <v>0</v>
      </c>
      <c r="O24" s="974"/>
      <c r="P24" s="968">
        <v>0</v>
      </c>
      <c r="Q24" s="968"/>
      <c r="R24" s="968">
        <v>0</v>
      </c>
      <c r="S24" s="968">
        <v>-68900000</v>
      </c>
      <c r="T24" s="968">
        <v>-68900000</v>
      </c>
      <c r="U24" s="968">
        <v>0</v>
      </c>
      <c r="V24" s="968"/>
      <c r="W24" s="968"/>
      <c r="X24" s="968">
        <f t="shared" si="5"/>
        <v>0</v>
      </c>
      <c r="Y24" s="1145"/>
      <c r="Z24" s="1145"/>
      <c r="AA24" s="1145"/>
      <c r="AB24" s="1145"/>
      <c r="AC24" s="1145"/>
      <c r="AD24" s="1145">
        <f t="shared" si="11"/>
        <v>0</v>
      </c>
    </row>
    <row r="25" spans="1:30" x14ac:dyDescent="0.2">
      <c r="A25" s="928">
        <v>325</v>
      </c>
      <c r="B25" s="928" t="s">
        <v>1099</v>
      </c>
      <c r="C25" s="968">
        <v>-782000</v>
      </c>
      <c r="D25" s="968">
        <v>-807219.8</v>
      </c>
      <c r="E25" s="968"/>
      <c r="F25" s="968">
        <f t="shared" si="9"/>
        <v>-807219.8</v>
      </c>
      <c r="G25" s="968">
        <v>-663000</v>
      </c>
      <c r="H25" s="968">
        <v>-663000</v>
      </c>
      <c r="I25" s="968">
        <v>-663000</v>
      </c>
      <c r="J25" s="968">
        <v>0</v>
      </c>
      <c r="K25" s="968"/>
      <c r="L25" s="968">
        <f t="shared" si="10"/>
        <v>0</v>
      </c>
      <c r="M25" s="974">
        <v>-722670</v>
      </c>
      <c r="N25" s="974">
        <v>-722670</v>
      </c>
      <c r="O25" s="974">
        <v>-722670</v>
      </c>
      <c r="P25" s="968">
        <v>-448469.56</v>
      </c>
      <c r="Q25" s="968"/>
      <c r="R25" s="968">
        <f t="shared" ref="R25:R32" si="12">P25+Q25</f>
        <v>-448469.56</v>
      </c>
      <c r="S25" s="968">
        <v>-773256</v>
      </c>
      <c r="T25" s="968">
        <v>-773256</v>
      </c>
      <c r="U25" s="968">
        <v>-773256</v>
      </c>
      <c r="V25" s="968">
        <v>-424024.99</v>
      </c>
      <c r="W25" s="968"/>
      <c r="X25" s="968">
        <f t="shared" si="5"/>
        <v>-424024.99</v>
      </c>
      <c r="Y25" s="1145">
        <v>-858314</v>
      </c>
      <c r="Z25" s="1145">
        <v>-858314</v>
      </c>
      <c r="AA25" s="1145">
        <v>-858314</v>
      </c>
      <c r="AB25" s="1145">
        <v>-2465378.13</v>
      </c>
      <c r="AC25" s="1145"/>
      <c r="AD25" s="1145">
        <f t="shared" si="11"/>
        <v>-2465378.13</v>
      </c>
    </row>
    <row r="26" spans="1:30" x14ac:dyDescent="0.2">
      <c r="A26" s="928">
        <v>331</v>
      </c>
      <c r="B26" s="928" t="s">
        <v>1101</v>
      </c>
      <c r="C26" s="968">
        <v>-4325000</v>
      </c>
      <c r="D26" s="968">
        <v>-3578939.33</v>
      </c>
      <c r="E26" s="968"/>
      <c r="F26" s="968">
        <f t="shared" si="9"/>
        <v>-3578939.33</v>
      </c>
      <c r="G26" s="968">
        <v>-5345000</v>
      </c>
      <c r="H26" s="968">
        <v>-5345000</v>
      </c>
      <c r="I26" s="968">
        <v>-5345000</v>
      </c>
      <c r="J26" s="968">
        <v>-407571.03</v>
      </c>
      <c r="K26" s="968"/>
      <c r="L26" s="968">
        <f t="shared" si="10"/>
        <v>-407571.03</v>
      </c>
      <c r="M26" s="974">
        <v>-5826050</v>
      </c>
      <c r="N26" s="974">
        <v>-5826050</v>
      </c>
      <c r="O26" s="974">
        <v>-5826050</v>
      </c>
      <c r="P26" s="968">
        <v>-2176075.08</v>
      </c>
      <c r="Q26" s="968"/>
      <c r="R26" s="968">
        <f t="shared" si="12"/>
        <v>-2176075.08</v>
      </c>
      <c r="S26" s="968">
        <v>-6233873</v>
      </c>
      <c r="T26" s="968">
        <v>-6233873</v>
      </c>
      <c r="U26" s="968">
        <v>-6233873</v>
      </c>
      <c r="V26" s="968">
        <v>-5527681.1799999997</v>
      </c>
      <c r="W26" s="968"/>
      <c r="X26" s="968">
        <f t="shared" si="5"/>
        <v>-5527681.1799999997</v>
      </c>
      <c r="Y26" s="1145">
        <v>-6919599</v>
      </c>
      <c r="Z26" s="1145">
        <v>-6919599</v>
      </c>
      <c r="AA26" s="1145">
        <v>-6919599</v>
      </c>
      <c r="AB26" s="1145">
        <v>-50461.97</v>
      </c>
      <c r="AC26" s="1145"/>
      <c r="AD26" s="1145">
        <f t="shared" si="11"/>
        <v>-50461.97</v>
      </c>
    </row>
    <row r="27" spans="1:30" x14ac:dyDescent="0.2">
      <c r="A27" s="928">
        <v>346</v>
      </c>
      <c r="B27" s="928" t="s">
        <v>1108</v>
      </c>
      <c r="C27" s="968">
        <v>-3792855</v>
      </c>
      <c r="D27" s="968">
        <v>-4754493.59</v>
      </c>
      <c r="E27" s="968"/>
      <c r="F27" s="968">
        <f t="shared" si="9"/>
        <v>-4754493.59</v>
      </c>
      <c r="G27" s="968"/>
      <c r="H27" s="968"/>
      <c r="I27" s="968"/>
      <c r="J27" s="968">
        <v>-4926013.8899999997</v>
      </c>
      <c r="K27" s="968"/>
      <c r="L27" s="968">
        <f t="shared" si="10"/>
        <v>-4926013.8899999997</v>
      </c>
      <c r="M27" s="974">
        <v>-5181000</v>
      </c>
      <c r="N27" s="974">
        <v>-5181000</v>
      </c>
      <c r="O27" s="974">
        <v>-5181000</v>
      </c>
      <c r="P27" s="968">
        <v>-4841392.3099999996</v>
      </c>
      <c r="Q27" s="968"/>
      <c r="R27" s="968">
        <f t="shared" si="12"/>
        <v>-4841392.3099999996</v>
      </c>
      <c r="S27" s="968">
        <v>-5491860</v>
      </c>
      <c r="T27" s="968">
        <v>-5491860</v>
      </c>
      <c r="U27" s="968">
        <v>-5491860</v>
      </c>
      <c r="V27" s="968">
        <v>-3017653.07</v>
      </c>
      <c r="W27" s="968"/>
      <c r="X27" s="968">
        <f t="shared" si="5"/>
        <v>-3017653.07</v>
      </c>
      <c r="Y27" s="1145">
        <v>-5481000</v>
      </c>
      <c r="Z27" s="1145">
        <v>-5481000</v>
      </c>
      <c r="AA27" s="1145">
        <v>-5481000</v>
      </c>
      <c r="AB27" s="1145">
        <f>AC27-2567463.25</f>
        <v>-2567463.25</v>
      </c>
      <c r="AC27" s="1145"/>
      <c r="AD27" s="1145">
        <f t="shared" si="11"/>
        <v>-2567463.25</v>
      </c>
    </row>
    <row r="28" spans="1:30" x14ac:dyDescent="0.2">
      <c r="A28" s="928">
        <v>349</v>
      </c>
      <c r="B28" s="928" t="s">
        <v>1109</v>
      </c>
      <c r="C28" s="968">
        <v>-22000000</v>
      </c>
      <c r="D28" s="968">
        <f>-13802006.97-6767886.1</f>
        <v>-20569893.07</v>
      </c>
      <c r="E28" s="968"/>
      <c r="F28" s="968">
        <f t="shared" si="9"/>
        <v>-20569893.07</v>
      </c>
      <c r="G28" s="968">
        <v>-150570000</v>
      </c>
      <c r="H28" s="968">
        <v>-143570000</v>
      </c>
      <c r="I28" s="968">
        <v>-143570000</v>
      </c>
      <c r="J28" s="968">
        <v>0</v>
      </c>
      <c r="K28" s="968"/>
      <c r="L28" s="968">
        <f t="shared" si="10"/>
        <v>0</v>
      </c>
      <c r="M28" s="974">
        <v>-17636200</v>
      </c>
      <c r="N28" s="974">
        <v>-17636200</v>
      </c>
      <c r="O28" s="974">
        <v>-17636200</v>
      </c>
      <c r="P28" s="968">
        <v>0</v>
      </c>
      <c r="Q28" s="968"/>
      <c r="R28" s="968">
        <f t="shared" si="12"/>
        <v>0</v>
      </c>
      <c r="S28" s="968">
        <v>-176221717</v>
      </c>
      <c r="T28" s="968">
        <f>-176221717+45545526</f>
        <v>-130676191</v>
      </c>
      <c r="U28" s="968">
        <v>-19223458</v>
      </c>
      <c r="V28" s="968"/>
      <c r="W28" s="968"/>
      <c r="X28" s="968">
        <f t="shared" si="5"/>
        <v>0</v>
      </c>
      <c r="Y28" s="1145">
        <v>-145050572</v>
      </c>
      <c r="Z28" s="1145">
        <v>-145050572</v>
      </c>
      <c r="AA28" s="1145">
        <v>-145050572</v>
      </c>
      <c r="AB28" s="1145"/>
      <c r="AC28" s="1145"/>
      <c r="AD28" s="1145">
        <f t="shared" si="11"/>
        <v>0</v>
      </c>
    </row>
    <row r="29" spans="1:30" x14ac:dyDescent="0.2">
      <c r="A29" s="928">
        <v>351</v>
      </c>
      <c r="B29" s="928" t="s">
        <v>1110</v>
      </c>
      <c r="C29" s="968">
        <v>-106602000</v>
      </c>
      <c r="D29" s="968">
        <v>-107397045.56999999</v>
      </c>
      <c r="E29" s="968"/>
      <c r="F29" s="968">
        <f t="shared" si="9"/>
        <v>-107397045.56999999</v>
      </c>
      <c r="G29" s="968">
        <v>-16180000</v>
      </c>
      <c r="H29" s="968">
        <v>-16180000</v>
      </c>
      <c r="I29" s="968">
        <v>-16180000</v>
      </c>
      <c r="J29" s="968">
        <v>-157421499.61000001</v>
      </c>
      <c r="K29" s="968"/>
      <c r="L29" s="968">
        <f t="shared" si="10"/>
        <v>-157421499.61000001</v>
      </c>
      <c r="M29" s="974">
        <v>-161671300</v>
      </c>
      <c r="N29" s="974">
        <v>-161671300</v>
      </c>
      <c r="O29" s="974">
        <v>-161671300</v>
      </c>
      <c r="P29" s="968">
        <f>-152499955.68-2511208.84-131112.58-116837.32</f>
        <v>-155259114.42000002</v>
      </c>
      <c r="Q29" s="968"/>
      <c r="R29" s="968">
        <f t="shared" si="12"/>
        <v>-155259114.42000002</v>
      </c>
      <c r="S29" s="968">
        <v>-19223458</v>
      </c>
      <c r="T29" s="968">
        <v>-19223458</v>
      </c>
      <c r="U29" s="968">
        <v>-130676191</v>
      </c>
      <c r="V29" s="968">
        <f>-153244512.83+7544960-6263381</f>
        <v>-151962933.83000001</v>
      </c>
      <c r="W29" s="968">
        <v>9157477.0800000001</v>
      </c>
      <c r="X29" s="968">
        <f t="shared" si="5"/>
        <v>-142805456.75</v>
      </c>
      <c r="Y29" s="1145">
        <v>-21338038</v>
      </c>
      <c r="Z29" s="1145">
        <v>-21338038</v>
      </c>
      <c r="AA29" s="1145">
        <v>-21338038</v>
      </c>
      <c r="AB29" s="1145">
        <f>-201135457.46+6263381-8821183-1443.22</f>
        <v>-203694702.68000001</v>
      </c>
      <c r="AC29" s="1145"/>
      <c r="AD29" s="1145">
        <f t="shared" si="11"/>
        <v>-203694702.68000001</v>
      </c>
    </row>
    <row r="30" spans="1:30" x14ac:dyDescent="0.2">
      <c r="A30" s="928">
        <v>361</v>
      </c>
      <c r="B30" s="928" t="s">
        <v>1114</v>
      </c>
      <c r="C30" s="968">
        <v>-113000</v>
      </c>
      <c r="D30" s="968">
        <v>-389003.55</v>
      </c>
      <c r="E30" s="968"/>
      <c r="F30" s="968">
        <f t="shared" si="9"/>
        <v>-389003.55</v>
      </c>
      <c r="G30" s="968">
        <v>-25400000</v>
      </c>
      <c r="H30" s="968">
        <v>-20400000</v>
      </c>
      <c r="I30" s="968">
        <v>-20400000</v>
      </c>
      <c r="J30" s="968">
        <v>-161502.04</v>
      </c>
      <c r="K30" s="968"/>
      <c r="L30" s="968">
        <f t="shared" si="10"/>
        <v>-161502.04</v>
      </c>
      <c r="M30" s="974">
        <v>-10000000</v>
      </c>
      <c r="N30" s="974">
        <v>-10000000</v>
      </c>
      <c r="O30" s="974">
        <v>-10000000</v>
      </c>
      <c r="P30" s="968">
        <v>-478947.61</v>
      </c>
      <c r="Q30" s="968"/>
      <c r="R30" s="968">
        <f t="shared" si="12"/>
        <v>-478947.61</v>
      </c>
      <c r="S30" s="968">
        <v>-200000</v>
      </c>
      <c r="T30" s="968">
        <v>-200000</v>
      </c>
      <c r="U30" s="968">
        <v>-200000</v>
      </c>
      <c r="V30" s="968">
        <v>-294196.94</v>
      </c>
      <c r="W30" s="968"/>
      <c r="X30" s="968">
        <f t="shared" si="5"/>
        <v>-294196.94</v>
      </c>
      <c r="Y30" s="1145">
        <v>-222000</v>
      </c>
      <c r="Z30" s="1145">
        <v>-222000</v>
      </c>
      <c r="AA30" s="1145">
        <v>-222000</v>
      </c>
      <c r="AB30" s="1145">
        <v>-84639.63</v>
      </c>
      <c r="AC30" s="1145"/>
      <c r="AD30" s="1145">
        <f t="shared" si="11"/>
        <v>-84639.63</v>
      </c>
    </row>
    <row r="31" spans="1:30" x14ac:dyDescent="0.2">
      <c r="A31" s="928">
        <v>369</v>
      </c>
      <c r="B31" s="928" t="s">
        <v>1118</v>
      </c>
      <c r="C31" s="968">
        <v>-500</v>
      </c>
      <c r="D31" s="968">
        <v>-31.58</v>
      </c>
      <c r="E31" s="968"/>
      <c r="F31" s="968">
        <f t="shared" si="9"/>
        <v>-31.58</v>
      </c>
      <c r="G31" s="968">
        <v>-540</v>
      </c>
      <c r="H31" s="968">
        <v>-540</v>
      </c>
      <c r="I31" s="968">
        <v>-540</v>
      </c>
      <c r="J31" s="968">
        <v>-2903.54</v>
      </c>
      <c r="K31" s="968"/>
      <c r="L31" s="968">
        <f t="shared" si="10"/>
        <v>-2903.54</v>
      </c>
      <c r="M31" s="974">
        <v>-578</v>
      </c>
      <c r="N31" s="974">
        <v>-578</v>
      </c>
      <c r="O31" s="974">
        <v>-578</v>
      </c>
      <c r="P31" s="968">
        <v>-2451.38</v>
      </c>
      <c r="Q31" s="968"/>
      <c r="R31" s="968">
        <f t="shared" si="12"/>
        <v>-2451.38</v>
      </c>
      <c r="S31" s="968">
        <v>-618</v>
      </c>
      <c r="T31" s="968">
        <v>-618</v>
      </c>
      <c r="U31" s="968">
        <v>-618</v>
      </c>
      <c r="V31" s="968">
        <v>-3655.18</v>
      </c>
      <c r="W31" s="968"/>
      <c r="X31" s="968">
        <f t="shared" si="5"/>
        <v>-3655.18</v>
      </c>
      <c r="Y31" s="1145">
        <v>-685</v>
      </c>
      <c r="Z31" s="1145">
        <v>-685</v>
      </c>
      <c r="AA31" s="1145">
        <v>-685</v>
      </c>
      <c r="AB31" s="1145"/>
      <c r="AC31" s="1145"/>
      <c r="AD31" s="1145">
        <f t="shared" si="11"/>
        <v>0</v>
      </c>
    </row>
    <row r="32" spans="1:30" x14ac:dyDescent="0.2">
      <c r="A32" s="928">
        <v>373</v>
      </c>
      <c r="B32" s="928" t="s">
        <v>1120</v>
      </c>
      <c r="C32" s="968">
        <v>-600</v>
      </c>
      <c r="D32" s="968">
        <v>-1015.14</v>
      </c>
      <c r="E32" s="968"/>
      <c r="F32" s="968">
        <f t="shared" si="9"/>
        <v>-1015.14</v>
      </c>
      <c r="G32" s="968">
        <v>-650</v>
      </c>
      <c r="H32" s="968">
        <v>-650</v>
      </c>
      <c r="I32" s="968">
        <v>-650</v>
      </c>
      <c r="J32" s="968">
        <v>-1845.32</v>
      </c>
      <c r="K32" s="968"/>
      <c r="L32" s="968">
        <f t="shared" si="10"/>
        <v>-1845.32</v>
      </c>
      <c r="M32" s="974">
        <v>-696</v>
      </c>
      <c r="N32" s="974">
        <v>-696</v>
      </c>
      <c r="O32" s="974">
        <v>-696</v>
      </c>
      <c r="P32" s="968">
        <v>-3467.21</v>
      </c>
      <c r="Q32" s="968"/>
      <c r="R32" s="968">
        <f t="shared" si="12"/>
        <v>-3467.21</v>
      </c>
      <c r="S32" s="968">
        <v>-744</v>
      </c>
      <c r="T32" s="968">
        <v>-744</v>
      </c>
      <c r="U32" s="968">
        <v>-744</v>
      </c>
      <c r="V32" s="968">
        <v>-4353.21</v>
      </c>
      <c r="W32" s="968"/>
      <c r="X32" s="968">
        <f t="shared" si="5"/>
        <v>-4353.21</v>
      </c>
      <c r="Y32" s="1145">
        <v>-825</v>
      </c>
      <c r="Z32" s="1145">
        <v>-825</v>
      </c>
      <c r="AA32" s="1145">
        <v>-825</v>
      </c>
      <c r="AB32" s="1145">
        <v>-3503.08</v>
      </c>
      <c r="AC32" s="1145"/>
      <c r="AD32" s="1145">
        <f t="shared" si="11"/>
        <v>-3503.08</v>
      </c>
    </row>
    <row r="33" spans="1:30" x14ac:dyDescent="0.2">
      <c r="A33" s="928"/>
      <c r="B33" s="976" t="s">
        <v>1488</v>
      </c>
      <c r="C33" s="1143">
        <f t="shared" ref="C33:P33" si="13">SUM(C23:C32)</f>
        <v>-139215955</v>
      </c>
      <c r="D33" s="1143">
        <f t="shared" si="13"/>
        <v>-137850017.59</v>
      </c>
      <c r="E33" s="1143">
        <f t="shared" si="13"/>
        <v>0</v>
      </c>
      <c r="F33" s="1143">
        <f t="shared" si="13"/>
        <v>-137850017.59</v>
      </c>
      <c r="G33" s="1143">
        <f t="shared" si="13"/>
        <v>-230544190</v>
      </c>
      <c r="H33" s="1143">
        <f t="shared" si="13"/>
        <v>-187659190</v>
      </c>
      <c r="I33" s="1143">
        <f t="shared" si="13"/>
        <v>-187659190</v>
      </c>
      <c r="J33" s="1143">
        <f>SUM(J23:J32)</f>
        <v>-164175447.39999998</v>
      </c>
      <c r="K33" s="1143">
        <f t="shared" si="13"/>
        <v>0</v>
      </c>
      <c r="L33" s="1143">
        <f t="shared" si="13"/>
        <v>-164175447.39999998</v>
      </c>
      <c r="M33" s="1144">
        <f t="shared" si="13"/>
        <v>-268788494</v>
      </c>
      <c r="N33" s="1144">
        <f>SUM(N23:N32)</f>
        <v>-203788494</v>
      </c>
      <c r="O33" s="1144">
        <f t="shared" si="13"/>
        <v>-203788494</v>
      </c>
      <c r="P33" s="1143">
        <f t="shared" si="13"/>
        <v>-164600189.03000003</v>
      </c>
      <c r="Q33" s="1143">
        <f>SUM(Q23:Q32)</f>
        <v>0</v>
      </c>
      <c r="R33" s="1143">
        <f>SUM(R23:R32)</f>
        <v>-164600189.03000003</v>
      </c>
      <c r="S33" s="1143">
        <f t="shared" ref="S33:AD33" si="14">SUM(S23:S32)</f>
        <v>-279545526</v>
      </c>
      <c r="T33" s="1143">
        <f t="shared" si="14"/>
        <v>-234000000</v>
      </c>
      <c r="U33" s="1143">
        <f t="shared" si="14"/>
        <v>-165100000</v>
      </c>
      <c r="V33" s="1143">
        <f t="shared" si="14"/>
        <v>-162482794.02000001</v>
      </c>
      <c r="W33" s="1143">
        <f t="shared" si="14"/>
        <v>9157477.0800000001</v>
      </c>
      <c r="X33" s="1143">
        <f t="shared" si="14"/>
        <v>-153325316.94000003</v>
      </c>
      <c r="Y33" s="1341">
        <f t="shared" si="14"/>
        <v>-182516033</v>
      </c>
      <c r="Z33" s="1341">
        <f t="shared" si="14"/>
        <v>-182516033</v>
      </c>
      <c r="AA33" s="1341">
        <f t="shared" si="14"/>
        <v>-182516033</v>
      </c>
      <c r="AB33" s="1341">
        <f t="shared" si="14"/>
        <v>-210326830.97000003</v>
      </c>
      <c r="AC33" s="1341">
        <f t="shared" si="14"/>
        <v>0</v>
      </c>
      <c r="AD33" s="1341">
        <f t="shared" si="14"/>
        <v>-210326830.97000003</v>
      </c>
    </row>
    <row r="34" spans="1:30" x14ac:dyDescent="0.2">
      <c r="A34" s="928"/>
      <c r="B34" s="928"/>
      <c r="C34" s="968"/>
      <c r="D34" s="968"/>
      <c r="E34" s="968"/>
      <c r="F34" s="968"/>
      <c r="G34" s="968"/>
      <c r="H34" s="968"/>
      <c r="I34" s="968"/>
      <c r="J34" s="968"/>
      <c r="K34" s="968"/>
      <c r="L34" s="968"/>
      <c r="M34" s="974"/>
      <c r="N34" s="974"/>
      <c r="O34" s="974"/>
      <c r="P34" s="968"/>
      <c r="Q34" s="968"/>
      <c r="R34" s="968"/>
      <c r="S34" s="968"/>
      <c r="T34" s="968"/>
      <c r="U34" s="968"/>
      <c r="V34" s="968"/>
      <c r="W34" s="968"/>
      <c r="X34" s="968"/>
      <c r="Y34" s="1145"/>
      <c r="Z34" s="1145"/>
      <c r="AA34" s="1145"/>
      <c r="AB34" s="1145"/>
      <c r="AC34" s="1145"/>
      <c r="AD34" s="1145"/>
    </row>
    <row r="35" spans="1:30" x14ac:dyDescent="0.2">
      <c r="A35" s="928"/>
      <c r="B35" s="976" t="s">
        <v>1489</v>
      </c>
      <c r="C35" s="968"/>
      <c r="D35" s="968"/>
      <c r="E35" s="968"/>
      <c r="F35" s="968"/>
      <c r="G35" s="968"/>
      <c r="H35" s="968"/>
      <c r="I35" s="968"/>
      <c r="J35" s="968"/>
      <c r="K35" s="968"/>
      <c r="L35" s="968"/>
      <c r="M35" s="974"/>
      <c r="N35" s="974"/>
      <c r="O35" s="974"/>
      <c r="P35" s="968"/>
      <c r="Q35" s="968"/>
      <c r="R35" s="968"/>
      <c r="S35" s="968"/>
      <c r="T35" s="968"/>
      <c r="U35" s="968"/>
      <c r="V35" s="968"/>
      <c r="W35" s="968"/>
      <c r="X35" s="968"/>
      <c r="Y35" s="1145"/>
      <c r="Z35" s="1145"/>
      <c r="AA35" s="1145"/>
      <c r="AB35" s="1145"/>
      <c r="AC35" s="1145"/>
      <c r="AD35" s="1145"/>
    </row>
    <row r="36" spans="1:30" x14ac:dyDescent="0.2">
      <c r="A36" s="928">
        <v>304</v>
      </c>
      <c r="B36" s="928" t="s">
        <v>1091</v>
      </c>
      <c r="C36" s="968">
        <v>-534000</v>
      </c>
      <c r="D36" s="968">
        <v>-124758.74</v>
      </c>
      <c r="E36" s="968"/>
      <c r="F36" s="968">
        <f t="shared" ref="F36:F43" si="15">D36+E36</f>
        <v>-124758.74</v>
      </c>
      <c r="G36" s="968">
        <v>-500000</v>
      </c>
      <c r="H36" s="968">
        <v>-500000</v>
      </c>
      <c r="I36" s="968">
        <v>-500000</v>
      </c>
      <c r="J36" s="968">
        <v>-500248.4</v>
      </c>
      <c r="K36" s="968"/>
      <c r="L36" s="968">
        <f t="shared" ref="L36:L43" si="16">J36+K36</f>
        <v>-500248.4</v>
      </c>
      <c r="M36" s="974">
        <v>-1650000</v>
      </c>
      <c r="N36" s="974">
        <v>-1650000</v>
      </c>
      <c r="O36" s="974">
        <v>-1650000</v>
      </c>
      <c r="P36" s="968">
        <v>-541574.72</v>
      </c>
      <c r="Q36" s="968"/>
      <c r="R36" s="968">
        <f t="shared" ref="R36:R43" si="17">P36+Q36</f>
        <v>-541574.72</v>
      </c>
      <c r="S36" s="968">
        <v>-1500000</v>
      </c>
      <c r="T36" s="968">
        <v>-1500000</v>
      </c>
      <c r="U36" s="968">
        <v>-1500000</v>
      </c>
      <c r="V36" s="968">
        <v>-572798.26</v>
      </c>
      <c r="W36" s="968"/>
      <c r="X36" s="968">
        <f t="shared" si="5"/>
        <v>-572798.26</v>
      </c>
      <c r="Y36" s="1145">
        <v>-1587000</v>
      </c>
      <c r="Z36" s="1145">
        <v>-1587000</v>
      </c>
      <c r="AA36" s="1145">
        <v>-1587000</v>
      </c>
      <c r="AB36" s="1145">
        <v>-583546.46</v>
      </c>
      <c r="AC36" s="1145"/>
      <c r="AD36" s="1145">
        <f t="shared" ref="AD36:AD43" si="18">AB36+AC36</f>
        <v>-583546.46</v>
      </c>
    </row>
    <row r="37" spans="1:30" x14ac:dyDescent="0.2">
      <c r="A37" s="928">
        <v>308</v>
      </c>
      <c r="B37" s="928" t="s">
        <v>1093</v>
      </c>
      <c r="C37" s="968">
        <v>0</v>
      </c>
      <c r="D37" s="968">
        <v>0</v>
      </c>
      <c r="E37" s="968"/>
      <c r="F37" s="968">
        <f t="shared" si="15"/>
        <v>0</v>
      </c>
      <c r="G37" s="968">
        <v>-1909500</v>
      </c>
      <c r="H37" s="968">
        <v>-1909500</v>
      </c>
      <c r="I37" s="968">
        <v>-1909500</v>
      </c>
      <c r="J37" s="968">
        <v>-900</v>
      </c>
      <c r="K37" s="968"/>
      <c r="L37" s="968">
        <f t="shared" si="16"/>
        <v>-900</v>
      </c>
      <c r="M37" s="974">
        <v>-2043165</v>
      </c>
      <c r="N37" s="974">
        <v>-2043165</v>
      </c>
      <c r="O37" s="974">
        <v>-2043165</v>
      </c>
      <c r="P37" s="968">
        <v>0</v>
      </c>
      <c r="Q37" s="968"/>
      <c r="R37" s="968">
        <f t="shared" si="17"/>
        <v>0</v>
      </c>
      <c r="S37" s="968">
        <v>-2186186</v>
      </c>
      <c r="T37" s="968">
        <v>-2186186</v>
      </c>
      <c r="U37" s="968">
        <v>-2186186</v>
      </c>
      <c r="V37" s="968"/>
      <c r="W37" s="968"/>
      <c r="X37" s="968">
        <f t="shared" si="5"/>
        <v>0</v>
      </c>
      <c r="Y37" s="1145">
        <v>-2404804</v>
      </c>
      <c r="Z37" s="1145">
        <v>-2404804</v>
      </c>
      <c r="AA37" s="1145">
        <v>-2404804</v>
      </c>
      <c r="AB37" s="1145"/>
      <c r="AC37" s="1145"/>
      <c r="AD37" s="1145">
        <f t="shared" si="18"/>
        <v>0</v>
      </c>
    </row>
    <row r="38" spans="1:30" x14ac:dyDescent="0.2">
      <c r="A38" s="928">
        <v>313</v>
      </c>
      <c r="B38" s="928" t="s">
        <v>1095</v>
      </c>
      <c r="C38" s="968">
        <v>-13080000</v>
      </c>
      <c r="D38" s="968">
        <v>-4907032.29</v>
      </c>
      <c r="E38" s="968"/>
      <c r="F38" s="968">
        <f t="shared" si="15"/>
        <v>-4907032.29</v>
      </c>
      <c r="G38" s="968">
        <v>-16612000</v>
      </c>
      <c r="H38" s="968">
        <v>-16612000</v>
      </c>
      <c r="I38" s="968">
        <v>-16612000</v>
      </c>
      <c r="J38" s="968">
        <v>-10540463.130000001</v>
      </c>
      <c r="K38" s="968"/>
      <c r="L38" s="968">
        <f t="shared" si="16"/>
        <v>-10540463.130000001</v>
      </c>
      <c r="M38" s="974">
        <v>-18107080</v>
      </c>
      <c r="N38" s="974">
        <v>-18107080</v>
      </c>
      <c r="O38" s="974">
        <v>-18107080</v>
      </c>
      <c r="P38" s="968">
        <v>-12069502.039999999</v>
      </c>
      <c r="Q38" s="968"/>
      <c r="R38" s="968">
        <f t="shared" si="17"/>
        <v>-12069502.039999999</v>
      </c>
      <c r="S38" s="968">
        <v>-19374575</v>
      </c>
      <c r="T38" s="968">
        <v>-19374575</v>
      </c>
      <c r="U38" s="968">
        <v>-19374575</v>
      </c>
      <c r="V38" s="968">
        <v>-10673172.01</v>
      </c>
      <c r="W38" s="968"/>
      <c r="X38" s="968">
        <f t="shared" si="5"/>
        <v>-10673172.01</v>
      </c>
      <c r="Y38" s="1145">
        <v>-21312032</v>
      </c>
      <c r="Z38" s="1145">
        <v>-21312032</v>
      </c>
      <c r="AA38" s="1145">
        <v>-21312032</v>
      </c>
      <c r="AB38" s="1145">
        <v>-10091672.33</v>
      </c>
      <c r="AC38" s="1145"/>
      <c r="AD38" s="1145">
        <f t="shared" si="18"/>
        <v>-10091672.33</v>
      </c>
    </row>
    <row r="39" spans="1:30" x14ac:dyDescent="0.2">
      <c r="A39" s="928">
        <v>316</v>
      </c>
      <c r="B39" s="928" t="s">
        <v>1096</v>
      </c>
      <c r="C39" s="968">
        <v>-10200</v>
      </c>
      <c r="D39" s="968">
        <v>-70574.42</v>
      </c>
      <c r="E39" s="968"/>
      <c r="F39" s="968">
        <f t="shared" si="15"/>
        <v>-70574.42</v>
      </c>
      <c r="G39" s="968">
        <v>-113000</v>
      </c>
      <c r="H39" s="968">
        <v>-113000</v>
      </c>
      <c r="I39" s="968">
        <v>-113000</v>
      </c>
      <c r="J39" s="968">
        <v>-9013.2900000000009</v>
      </c>
      <c r="K39" s="968"/>
      <c r="L39" s="968">
        <f t="shared" si="16"/>
        <v>-9013.2900000000009</v>
      </c>
      <c r="M39" s="974">
        <v>-120910</v>
      </c>
      <c r="N39" s="974">
        <v>-120910</v>
      </c>
      <c r="O39" s="974">
        <v>-120910</v>
      </c>
      <c r="P39" s="968">
        <v>-64634.53</v>
      </c>
      <c r="Q39" s="968"/>
      <c r="R39" s="968">
        <f t="shared" si="17"/>
        <v>-64634.53</v>
      </c>
      <c r="S39" s="968">
        <v>-129373</v>
      </c>
      <c r="T39" s="968">
        <v>-129373</v>
      </c>
      <c r="U39" s="968">
        <v>-129373</v>
      </c>
      <c r="V39" s="968">
        <v>-47103.98</v>
      </c>
      <c r="W39" s="968"/>
      <c r="X39" s="968">
        <f t="shared" si="5"/>
        <v>-47103.98</v>
      </c>
      <c r="Y39" s="1145">
        <v>-142310</v>
      </c>
      <c r="Z39" s="1145">
        <v>-142310</v>
      </c>
      <c r="AA39" s="1145">
        <v>-142310</v>
      </c>
      <c r="AB39" s="1145"/>
      <c r="AC39" s="1145"/>
      <c r="AD39" s="1145">
        <f t="shared" si="18"/>
        <v>0</v>
      </c>
    </row>
    <row r="40" spans="1:30" x14ac:dyDescent="0.2">
      <c r="A40" s="928">
        <v>345</v>
      </c>
      <c r="B40" s="928" t="s">
        <v>1107</v>
      </c>
      <c r="C40" s="968">
        <v>0</v>
      </c>
      <c r="D40" s="968">
        <v>0</v>
      </c>
      <c r="E40" s="968"/>
      <c r="F40" s="968">
        <f t="shared" si="15"/>
        <v>0</v>
      </c>
      <c r="G40" s="968">
        <v>-65700</v>
      </c>
      <c r="H40" s="968">
        <v>-65700</v>
      </c>
      <c r="I40" s="968">
        <v>-65700</v>
      </c>
      <c r="J40" s="968">
        <v>-12446.05</v>
      </c>
      <c r="K40" s="968"/>
      <c r="L40" s="968">
        <f t="shared" si="16"/>
        <v>-12446.05</v>
      </c>
      <c r="M40" s="974">
        <v>-70299</v>
      </c>
      <c r="N40" s="974">
        <v>-70299</v>
      </c>
      <c r="O40" s="974">
        <v>-70299</v>
      </c>
      <c r="P40" s="968">
        <v>-4511.49</v>
      </c>
      <c r="Q40" s="968"/>
      <c r="R40" s="968">
        <f t="shared" si="17"/>
        <v>-4511.49</v>
      </c>
      <c r="S40" s="968">
        <v>-75219</v>
      </c>
      <c r="T40" s="968">
        <v>-75219</v>
      </c>
      <c r="U40" s="968">
        <v>-75219</v>
      </c>
      <c r="V40" s="968">
        <v>-1358.76</v>
      </c>
      <c r="W40" s="968"/>
      <c r="X40" s="968">
        <f t="shared" si="5"/>
        <v>-1358.76</v>
      </c>
      <c r="Y40" s="1145">
        <v>-82740</v>
      </c>
      <c r="Z40" s="1145">
        <v>-82740</v>
      </c>
      <c r="AA40" s="1145">
        <v>-82740</v>
      </c>
      <c r="AB40" s="1145">
        <v>-1438.5</v>
      </c>
      <c r="AC40" s="1145"/>
      <c r="AD40" s="1145">
        <f t="shared" si="18"/>
        <v>-1438.5</v>
      </c>
    </row>
    <row r="41" spans="1:30" x14ac:dyDescent="0.2">
      <c r="A41" s="928">
        <v>359</v>
      </c>
      <c r="B41" s="928" t="s">
        <v>1113</v>
      </c>
      <c r="C41" s="968">
        <v>-78000</v>
      </c>
      <c r="D41" s="968">
        <v>-260183.26</v>
      </c>
      <c r="E41" s="968"/>
      <c r="F41" s="968">
        <f t="shared" si="15"/>
        <v>-260183.26</v>
      </c>
      <c r="G41" s="968">
        <v>-12350000</v>
      </c>
      <c r="H41" s="968">
        <v>-12350000</v>
      </c>
      <c r="I41" s="968">
        <v>-12350000</v>
      </c>
      <c r="J41" s="968">
        <v>-388721.49</v>
      </c>
      <c r="K41" s="968"/>
      <c r="L41" s="968">
        <f t="shared" si="16"/>
        <v>-388721.49</v>
      </c>
      <c r="M41" s="974">
        <v>-6000000</v>
      </c>
      <c r="N41" s="974">
        <v>-6000000</v>
      </c>
      <c r="O41" s="974">
        <v>-6000000</v>
      </c>
      <c r="P41" s="968">
        <v>-104064.09</v>
      </c>
      <c r="Q41" s="968"/>
      <c r="R41" s="968">
        <f t="shared" si="17"/>
        <v>-104064.09</v>
      </c>
      <c r="S41" s="968">
        <v>-265000</v>
      </c>
      <c r="T41" s="968">
        <v>-265000</v>
      </c>
      <c r="U41" s="968">
        <v>-265000</v>
      </c>
      <c r="V41" s="968">
        <v>0</v>
      </c>
      <c r="W41" s="968"/>
      <c r="X41" s="968">
        <f t="shared" si="5"/>
        <v>0</v>
      </c>
      <c r="Y41" s="1145">
        <v>-291500</v>
      </c>
      <c r="Z41" s="1145">
        <v>-291500</v>
      </c>
      <c r="AA41" s="1145">
        <v>-291500</v>
      </c>
      <c r="AB41" s="1145"/>
      <c r="AC41" s="1145"/>
      <c r="AD41" s="1145">
        <f t="shared" si="18"/>
        <v>0</v>
      </c>
    </row>
    <row r="42" spans="1:30" x14ac:dyDescent="0.2">
      <c r="A42" s="928">
        <v>363</v>
      </c>
      <c r="B42" s="928" t="s">
        <v>1115</v>
      </c>
      <c r="C42" s="968">
        <v>-825650</v>
      </c>
      <c r="D42" s="968">
        <v>-832145.75</v>
      </c>
      <c r="E42" s="968"/>
      <c r="F42" s="968">
        <f t="shared" si="15"/>
        <v>-832145.75</v>
      </c>
      <c r="G42" s="968"/>
      <c r="H42" s="968"/>
      <c r="I42" s="968"/>
      <c r="J42" s="968">
        <v>-904731.6</v>
      </c>
      <c r="K42" s="968"/>
      <c r="L42" s="968">
        <f t="shared" si="16"/>
        <v>-904731.6</v>
      </c>
      <c r="M42" s="974">
        <v>-657000</v>
      </c>
      <c r="N42" s="974">
        <v>-657000</v>
      </c>
      <c r="O42" s="974">
        <v>-657000</v>
      </c>
      <c r="P42" s="968">
        <v>-968104.32</v>
      </c>
      <c r="Q42" s="968"/>
      <c r="R42" s="968">
        <f t="shared" si="17"/>
        <v>-968104.32</v>
      </c>
      <c r="S42" s="968">
        <v>-702990</v>
      </c>
      <c r="T42" s="968">
        <v>-702990</v>
      </c>
      <c r="U42" s="968">
        <v>-702990</v>
      </c>
      <c r="V42" s="968">
        <v>-810414.28</v>
      </c>
      <c r="W42" s="968"/>
      <c r="X42" s="968">
        <f t="shared" si="5"/>
        <v>-810414.28</v>
      </c>
      <c r="Y42" s="1145">
        <v>-1162000</v>
      </c>
      <c r="Z42" s="1145">
        <v>-1162000</v>
      </c>
      <c r="AA42" s="1145">
        <v>-1162000</v>
      </c>
      <c r="AB42" s="1145">
        <v>-1029080.8</v>
      </c>
      <c r="AC42" s="1145"/>
      <c r="AD42" s="1145">
        <f t="shared" si="18"/>
        <v>-1029080.8</v>
      </c>
    </row>
    <row r="43" spans="1:30" x14ac:dyDescent="0.2">
      <c r="A43" s="928">
        <v>365</v>
      </c>
      <c r="B43" s="928" t="s">
        <v>1116</v>
      </c>
      <c r="C43" s="968">
        <v>-33400000</v>
      </c>
      <c r="D43" s="968">
        <v>-33116339.789999999</v>
      </c>
      <c r="E43" s="968"/>
      <c r="F43" s="968">
        <f t="shared" si="15"/>
        <v>-33116339.789999999</v>
      </c>
      <c r="G43" s="968">
        <v>-31689000</v>
      </c>
      <c r="H43" s="968">
        <v>-34689000</v>
      </c>
      <c r="I43" s="968">
        <v>-34689000</v>
      </c>
      <c r="J43" s="968">
        <v>-34092421.130000003</v>
      </c>
      <c r="K43" s="968"/>
      <c r="L43" s="968">
        <f t="shared" si="16"/>
        <v>-34092421.130000003</v>
      </c>
      <c r="M43" s="974">
        <v>-38468010</v>
      </c>
      <c r="N43" s="974">
        <v>-38468010</v>
      </c>
      <c r="O43" s="974">
        <v>-38468010</v>
      </c>
      <c r="P43" s="968">
        <v>-34835261.560000002</v>
      </c>
      <c r="Q43" s="968"/>
      <c r="R43" s="968">
        <f t="shared" si="17"/>
        <v>-34835261.560000002</v>
      </c>
      <c r="S43" s="968">
        <v>-41930130</v>
      </c>
      <c r="T43" s="968">
        <f>-41930130+16163473</f>
        <v>-25766657</v>
      </c>
      <c r="U43" s="968">
        <f>-41930130+16163473</f>
        <v>-25766657</v>
      </c>
      <c r="V43" s="968">
        <v>-36959965.189999998</v>
      </c>
      <c r="W43" s="968"/>
      <c r="X43" s="968">
        <f t="shared" si="5"/>
        <v>-36959965.189999998</v>
      </c>
      <c r="Y43" s="1145">
        <v>-28343322</v>
      </c>
      <c r="Z43" s="1145">
        <v>-28343322</v>
      </c>
      <c r="AA43" s="1145">
        <v>-28343322</v>
      </c>
      <c r="AB43" s="1145">
        <f>-41094397.98-248.74</f>
        <v>-41094646.719999999</v>
      </c>
      <c r="AC43" s="1145"/>
      <c r="AD43" s="1145">
        <f t="shared" si="18"/>
        <v>-41094646.719999999</v>
      </c>
    </row>
    <row r="44" spans="1:30" x14ac:dyDescent="0.2">
      <c r="A44" s="928"/>
      <c r="B44" s="976" t="s">
        <v>1488</v>
      </c>
      <c r="C44" s="1143">
        <f t="shared" ref="C44:P44" si="19">SUM(C36:C43)</f>
        <v>-47927850</v>
      </c>
      <c r="D44" s="1143">
        <f t="shared" si="19"/>
        <v>-39311034.25</v>
      </c>
      <c r="E44" s="1143">
        <f t="shared" si="19"/>
        <v>0</v>
      </c>
      <c r="F44" s="1143">
        <f t="shared" si="19"/>
        <v>-39311034.25</v>
      </c>
      <c r="G44" s="1143">
        <f t="shared" si="19"/>
        <v>-63239200</v>
      </c>
      <c r="H44" s="1143">
        <f t="shared" si="19"/>
        <v>-66239200</v>
      </c>
      <c r="I44" s="1143">
        <f t="shared" si="19"/>
        <v>-66239200</v>
      </c>
      <c r="J44" s="1143">
        <f>SUM(J36:J43)</f>
        <v>-46448945.090000004</v>
      </c>
      <c r="K44" s="1143">
        <f t="shared" si="19"/>
        <v>0</v>
      </c>
      <c r="L44" s="1143">
        <f t="shared" si="19"/>
        <v>-46448945.090000004</v>
      </c>
      <c r="M44" s="1144">
        <f t="shared" si="19"/>
        <v>-67116464</v>
      </c>
      <c r="N44" s="1144">
        <f>SUM(N36:N43)</f>
        <v>-67116464</v>
      </c>
      <c r="O44" s="1144">
        <f t="shared" si="19"/>
        <v>-67116464</v>
      </c>
      <c r="P44" s="1143">
        <f t="shared" si="19"/>
        <v>-48587652.75</v>
      </c>
      <c r="Q44" s="1143">
        <f>SUM(Q36:Q43)</f>
        <v>0</v>
      </c>
      <c r="R44" s="1143">
        <f>SUM(R36:R43)</f>
        <v>-48587652.75</v>
      </c>
      <c r="S44" s="1143">
        <f t="shared" ref="S44:AD44" si="20">SUM(S36:S43)</f>
        <v>-66163473</v>
      </c>
      <c r="T44" s="1143">
        <f t="shared" si="20"/>
        <v>-50000000</v>
      </c>
      <c r="U44" s="1143">
        <f t="shared" si="20"/>
        <v>-50000000</v>
      </c>
      <c r="V44" s="1143">
        <f t="shared" si="20"/>
        <v>-49064812.479999997</v>
      </c>
      <c r="W44" s="1143">
        <f t="shared" si="20"/>
        <v>0</v>
      </c>
      <c r="X44" s="1143">
        <f t="shared" si="20"/>
        <v>-49064812.479999997</v>
      </c>
      <c r="Y44" s="1341">
        <f t="shared" si="20"/>
        <v>-55325708</v>
      </c>
      <c r="Z44" s="1341">
        <f t="shared" si="20"/>
        <v>-55325708</v>
      </c>
      <c r="AA44" s="1341">
        <f t="shared" si="20"/>
        <v>-55325708</v>
      </c>
      <c r="AB44" s="1341">
        <f t="shared" si="20"/>
        <v>-52800384.810000002</v>
      </c>
      <c r="AC44" s="1341">
        <f t="shared" si="20"/>
        <v>0</v>
      </c>
      <c r="AD44" s="1341">
        <f t="shared" si="20"/>
        <v>-52800384.810000002</v>
      </c>
    </row>
    <row r="45" spans="1:30" x14ac:dyDescent="0.2">
      <c r="A45" s="928"/>
      <c r="B45" s="928"/>
      <c r="C45" s="968"/>
      <c r="D45" s="968"/>
      <c r="E45" s="968"/>
      <c r="F45" s="968"/>
      <c r="G45" s="968"/>
      <c r="H45" s="968"/>
      <c r="I45" s="968"/>
      <c r="J45" s="968"/>
      <c r="K45" s="968"/>
      <c r="L45" s="968"/>
      <c r="M45" s="974"/>
      <c r="N45" s="974"/>
      <c r="O45" s="974"/>
      <c r="P45" s="968"/>
      <c r="Q45" s="968"/>
      <c r="R45" s="968"/>
      <c r="S45" s="968"/>
      <c r="T45" s="968"/>
      <c r="U45" s="968"/>
      <c r="V45" s="968"/>
      <c r="W45" s="968"/>
      <c r="X45" s="968"/>
      <c r="Y45" s="1145"/>
      <c r="Z45" s="1145"/>
      <c r="AA45" s="1145"/>
      <c r="AB45" s="1145"/>
      <c r="AC45" s="1145"/>
      <c r="AD45" s="1145"/>
    </row>
    <row r="46" spans="1:30" x14ac:dyDescent="0.2">
      <c r="A46" s="928"/>
      <c r="B46" s="976" t="s">
        <v>1490</v>
      </c>
      <c r="C46" s="968"/>
      <c r="D46" s="968"/>
      <c r="E46" s="968"/>
      <c r="F46" s="968"/>
      <c r="G46" s="968"/>
      <c r="H46" s="968"/>
      <c r="I46" s="968"/>
      <c r="J46" s="968"/>
      <c r="K46" s="968"/>
      <c r="L46" s="968"/>
      <c r="M46" s="974"/>
      <c r="N46" s="974"/>
      <c r="O46" s="974"/>
      <c r="P46" s="968"/>
      <c r="Q46" s="968"/>
      <c r="R46" s="968"/>
      <c r="S46" s="968"/>
      <c r="T46" s="968"/>
      <c r="U46" s="968"/>
      <c r="V46" s="968"/>
      <c r="W46" s="968"/>
      <c r="X46" s="968"/>
      <c r="Y46" s="1145"/>
      <c r="Z46" s="1145"/>
      <c r="AA46" s="1145"/>
      <c r="AB46" s="1145"/>
      <c r="AC46" s="1145"/>
      <c r="AD46" s="1145"/>
    </row>
    <row r="47" spans="1:30" x14ac:dyDescent="0.2">
      <c r="A47" s="928">
        <v>319</v>
      </c>
      <c r="B47" s="928" t="s">
        <v>1097</v>
      </c>
      <c r="C47" s="968">
        <v>-19000</v>
      </c>
      <c r="D47" s="968">
        <v>-14575.28</v>
      </c>
      <c r="E47" s="968"/>
      <c r="F47" s="968">
        <f>D47+E47</f>
        <v>-14575.28</v>
      </c>
      <c r="G47" s="968">
        <v>-39000</v>
      </c>
      <c r="H47" s="968">
        <v>-39000</v>
      </c>
      <c r="I47" s="968">
        <v>-39000</v>
      </c>
      <c r="J47" s="968">
        <v>-94168.59</v>
      </c>
      <c r="K47" s="968"/>
      <c r="L47" s="968">
        <f>J47+K47</f>
        <v>-94168.59</v>
      </c>
      <c r="M47" s="974">
        <v>-41730</v>
      </c>
      <c r="N47" s="974">
        <v>-41730</v>
      </c>
      <c r="O47" s="974">
        <v>-41730</v>
      </c>
      <c r="P47" s="968">
        <v>-40017.699999999997</v>
      </c>
      <c r="Q47" s="968"/>
      <c r="R47" s="968">
        <f>P47+Q47</f>
        <v>-40017.699999999997</v>
      </c>
      <c r="S47" s="968">
        <v>-44233</v>
      </c>
      <c r="T47" s="968">
        <v>-44233</v>
      </c>
      <c r="U47" s="968">
        <v>-44233</v>
      </c>
      <c r="V47" s="968">
        <v>-38697</v>
      </c>
      <c r="W47" s="968"/>
      <c r="X47" s="968">
        <f t="shared" si="5"/>
        <v>-38697</v>
      </c>
      <c r="Y47" s="1145">
        <v>-46886</v>
      </c>
      <c r="Z47" s="1145">
        <v>-46886</v>
      </c>
      <c r="AA47" s="1145">
        <v>-46886</v>
      </c>
      <c r="AB47" s="1145">
        <v>-81082</v>
      </c>
      <c r="AC47" s="1145"/>
      <c r="AD47" s="1145">
        <f>AB47+AC47</f>
        <v>-81082</v>
      </c>
    </row>
    <row r="48" spans="1:30" x14ac:dyDescent="0.2">
      <c r="A48" s="928">
        <v>334</v>
      </c>
      <c r="B48" s="928" t="s">
        <v>1102</v>
      </c>
      <c r="C48" s="968">
        <v>-199670</v>
      </c>
      <c r="D48" s="968">
        <v>-210628.65</v>
      </c>
      <c r="E48" s="968"/>
      <c r="F48" s="968">
        <f>D48+E48</f>
        <v>-210628.65</v>
      </c>
      <c r="G48" s="968"/>
      <c r="H48" s="968"/>
      <c r="I48" s="968"/>
      <c r="J48" s="968">
        <v>-203268.6</v>
      </c>
      <c r="K48" s="968"/>
      <c r="L48" s="968">
        <f>J48+K48</f>
        <v>-203268.6</v>
      </c>
      <c r="M48" s="974">
        <v>-657000</v>
      </c>
      <c r="N48" s="974">
        <v>-657000</v>
      </c>
      <c r="O48" s="974">
        <v>-657000</v>
      </c>
      <c r="P48" s="968">
        <v>-217262.63</v>
      </c>
      <c r="Q48" s="968"/>
      <c r="R48" s="968">
        <f>P48+Q48</f>
        <v>-217262.63</v>
      </c>
      <c r="S48" s="968">
        <v>-696420</v>
      </c>
      <c r="T48" s="968">
        <v>-696420</v>
      </c>
      <c r="U48" s="968">
        <v>-696420</v>
      </c>
      <c r="V48" s="968">
        <v>-191651.06</v>
      </c>
      <c r="W48" s="968"/>
      <c r="X48" s="968">
        <f t="shared" si="5"/>
        <v>-191651.06</v>
      </c>
      <c r="Y48" s="1145">
        <v>-228000</v>
      </c>
      <c r="Z48" s="1145">
        <v>-228000</v>
      </c>
      <c r="AA48" s="1145">
        <v>-228000</v>
      </c>
      <c r="AB48" s="1145">
        <v>-221631.9</v>
      </c>
      <c r="AC48" s="1145"/>
      <c r="AD48" s="1145">
        <f>AB48+AC48</f>
        <v>-221631.9</v>
      </c>
    </row>
    <row r="49" spans="1:30" x14ac:dyDescent="0.2">
      <c r="A49" s="928">
        <v>337</v>
      </c>
      <c r="B49" s="928" t="s">
        <v>1103</v>
      </c>
      <c r="C49" s="968">
        <v>-46150000</v>
      </c>
      <c r="D49" s="968">
        <v>-46584583.380000003</v>
      </c>
      <c r="E49" s="968"/>
      <c r="F49" s="968">
        <f>D49+E49</f>
        <v>-46584583.380000003</v>
      </c>
      <c r="G49" s="968">
        <v>-44589000</v>
      </c>
      <c r="H49" s="968">
        <v>-50589000</v>
      </c>
      <c r="I49" s="968">
        <v>-50589000</v>
      </c>
      <c r="J49" s="968">
        <v>-51101392.259999998</v>
      </c>
      <c r="K49" s="968"/>
      <c r="L49" s="968">
        <f>J49+K49</f>
        <v>-51101392.259999998</v>
      </c>
      <c r="M49" s="974">
        <v>-55799010</v>
      </c>
      <c r="N49" s="974">
        <v>-55799010</v>
      </c>
      <c r="O49" s="974">
        <v>-55799010</v>
      </c>
      <c r="P49" s="968">
        <f>-55748724.71+1192659.25-1192659.25+1192659.25</f>
        <v>-54556065.460000001</v>
      </c>
      <c r="Q49" s="968"/>
      <c r="R49" s="968">
        <f>P49+Q49</f>
        <v>-54556065.460000001</v>
      </c>
      <c r="S49" s="968">
        <v>-60262930</v>
      </c>
      <c r="T49" s="968">
        <f>-60262930+2959350</f>
        <v>-57303580</v>
      </c>
      <c r="U49" s="968">
        <f>-60262930+2959350</f>
        <v>-57303580</v>
      </c>
      <c r="V49" s="968">
        <v>-57196083.299999997</v>
      </c>
      <c r="W49" s="968"/>
      <c r="X49" s="968">
        <f t="shared" si="5"/>
        <v>-57196083.299999997</v>
      </c>
      <c r="Y49" s="1145">
        <v>-63033938</v>
      </c>
      <c r="Z49" s="1145">
        <v>-63033938</v>
      </c>
      <c r="AA49" s="1145">
        <v>-63033938</v>
      </c>
      <c r="AB49" s="1145">
        <f>-63950121.57-595.51</f>
        <v>-63950717.079999998</v>
      </c>
      <c r="AC49" s="1145"/>
      <c r="AD49" s="1145">
        <f>AB49+AC49</f>
        <v>-63950717.079999998</v>
      </c>
    </row>
    <row r="50" spans="1:30" x14ac:dyDescent="0.2">
      <c r="A50" s="928">
        <v>357</v>
      </c>
      <c r="B50" s="928" t="s">
        <v>1112</v>
      </c>
      <c r="C50" s="968">
        <v>-212000</v>
      </c>
      <c r="D50" s="968">
        <v>-418117.84</v>
      </c>
      <c r="E50" s="968"/>
      <c r="F50" s="968">
        <f>D50+E50</f>
        <v>-418117.84</v>
      </c>
      <c r="G50" s="968">
        <v>-597000</v>
      </c>
      <c r="H50" s="968">
        <v>-597000</v>
      </c>
      <c r="I50" s="968">
        <v>-597000</v>
      </c>
      <c r="J50" s="968">
        <v>-10335.200000000001</v>
      </c>
      <c r="K50" s="968"/>
      <c r="L50" s="968">
        <f>J50+K50</f>
        <v>-10335.200000000001</v>
      </c>
      <c r="M50" s="974">
        <v>-600000</v>
      </c>
      <c r="N50" s="974">
        <v>-600000</v>
      </c>
      <c r="O50" s="974">
        <v>-600000</v>
      </c>
      <c r="P50" s="968">
        <v>-57483.18</v>
      </c>
      <c r="Q50" s="968"/>
      <c r="R50" s="968">
        <f>P50+Q50</f>
        <v>-57483.18</v>
      </c>
      <c r="S50" s="968">
        <v>-636000</v>
      </c>
      <c r="T50" s="968">
        <v>-636000</v>
      </c>
      <c r="U50" s="968">
        <v>-636000</v>
      </c>
      <c r="V50" s="968"/>
      <c r="W50" s="968"/>
      <c r="X50" s="968">
        <f t="shared" si="5"/>
        <v>0</v>
      </c>
      <c r="Y50" s="1145">
        <v>-674160</v>
      </c>
      <c r="Z50" s="1145">
        <v>-674160</v>
      </c>
      <c r="AA50" s="1145">
        <v>-674160</v>
      </c>
      <c r="AB50" s="1145">
        <v>0</v>
      </c>
      <c r="AC50" s="1145"/>
      <c r="AD50" s="1145">
        <f>AB50+AC50</f>
        <v>0</v>
      </c>
    </row>
    <row r="51" spans="1:30" x14ac:dyDescent="0.2">
      <c r="A51" s="928"/>
      <c r="B51" s="976" t="s">
        <v>1488</v>
      </c>
      <c r="C51" s="1143">
        <f t="shared" ref="C51:L51" si="21">SUM(C47:C50)</f>
        <v>-46580670</v>
      </c>
      <c r="D51" s="1143">
        <f t="shared" si="21"/>
        <v>-47227905.150000006</v>
      </c>
      <c r="E51" s="1143">
        <f t="shared" si="21"/>
        <v>0</v>
      </c>
      <c r="F51" s="1143">
        <f t="shared" si="21"/>
        <v>-47227905.150000006</v>
      </c>
      <c r="G51" s="1143">
        <f t="shared" si="21"/>
        <v>-45225000</v>
      </c>
      <c r="H51" s="1143">
        <f t="shared" si="21"/>
        <v>-51225000</v>
      </c>
      <c r="I51" s="1143">
        <f>SUM(I47:I50)</f>
        <v>-51225000</v>
      </c>
      <c r="J51" s="1143">
        <f>SUM(J47:J50)</f>
        <v>-51409164.649999999</v>
      </c>
      <c r="K51" s="1143">
        <f t="shared" si="21"/>
        <v>0</v>
      </c>
      <c r="L51" s="1143">
        <f t="shared" si="21"/>
        <v>-51409164.649999999</v>
      </c>
      <c r="M51" s="1144">
        <f t="shared" ref="M51:R51" si="22">SUM(M47:M50)</f>
        <v>-57097740</v>
      </c>
      <c r="N51" s="1144">
        <f t="shared" si="22"/>
        <v>-57097740</v>
      </c>
      <c r="O51" s="1144">
        <f t="shared" si="22"/>
        <v>-57097740</v>
      </c>
      <c r="P51" s="1143">
        <f t="shared" si="22"/>
        <v>-54870828.969999999</v>
      </c>
      <c r="Q51" s="1143">
        <f t="shared" si="22"/>
        <v>0</v>
      </c>
      <c r="R51" s="1143">
        <f t="shared" si="22"/>
        <v>-54870828.969999999</v>
      </c>
      <c r="S51" s="1143">
        <f t="shared" ref="S51:AD51" si="23">SUM(S47:S50)</f>
        <v>-61639583</v>
      </c>
      <c r="T51" s="1143">
        <f t="shared" si="23"/>
        <v>-58680233</v>
      </c>
      <c r="U51" s="1143">
        <f t="shared" si="23"/>
        <v>-58680233</v>
      </c>
      <c r="V51" s="1143">
        <f t="shared" si="23"/>
        <v>-57426431.359999999</v>
      </c>
      <c r="W51" s="1143">
        <f t="shared" si="23"/>
        <v>0</v>
      </c>
      <c r="X51" s="1143">
        <f t="shared" si="23"/>
        <v>-57426431.359999999</v>
      </c>
      <c r="Y51" s="1341">
        <f t="shared" si="23"/>
        <v>-63982984</v>
      </c>
      <c r="Z51" s="1341">
        <f t="shared" si="23"/>
        <v>-63982984</v>
      </c>
      <c r="AA51" s="1341">
        <f t="shared" si="23"/>
        <v>-63982984</v>
      </c>
      <c r="AB51" s="1341">
        <f t="shared" si="23"/>
        <v>-64253430.979999997</v>
      </c>
      <c r="AC51" s="1341">
        <f t="shared" si="23"/>
        <v>0</v>
      </c>
      <c r="AD51" s="1341">
        <f t="shared" si="23"/>
        <v>-64253430.979999997</v>
      </c>
    </row>
    <row r="52" spans="1:30" x14ac:dyDescent="0.2">
      <c r="A52" s="928"/>
      <c r="B52" s="976"/>
      <c r="C52" s="968"/>
      <c r="D52" s="968"/>
      <c r="E52" s="968"/>
      <c r="F52" s="968"/>
      <c r="G52" s="968"/>
      <c r="H52" s="968"/>
      <c r="I52" s="968"/>
      <c r="J52" s="968"/>
      <c r="K52" s="968"/>
      <c r="L52" s="968"/>
      <c r="M52" s="974"/>
      <c r="N52" s="974"/>
      <c r="O52" s="974"/>
      <c r="P52" s="968"/>
      <c r="Q52" s="968"/>
      <c r="R52" s="968"/>
      <c r="S52" s="968"/>
      <c r="T52" s="968"/>
      <c r="U52" s="968"/>
      <c r="V52" s="968"/>
      <c r="W52" s="968"/>
      <c r="X52" s="968"/>
      <c r="Y52" s="1145"/>
      <c r="Z52" s="1145"/>
      <c r="AA52" s="1145"/>
      <c r="AB52" s="1145"/>
      <c r="AC52" s="1145"/>
      <c r="AD52" s="1145"/>
    </row>
    <row r="53" spans="1:30" x14ac:dyDescent="0.2">
      <c r="A53" s="928"/>
      <c r="B53" s="976" t="s">
        <v>1491</v>
      </c>
      <c r="C53" s="1143">
        <f t="shared" ref="C53:L53" si="24">C20+C33+C44+C51</f>
        <v>-737021935</v>
      </c>
      <c r="D53" s="1143">
        <f t="shared" si="24"/>
        <v>-781281432.87999988</v>
      </c>
      <c r="E53" s="1143">
        <f t="shared" si="24"/>
        <v>0</v>
      </c>
      <c r="F53" s="1143">
        <f t="shared" si="24"/>
        <v>-781281432.87999988</v>
      </c>
      <c r="G53" s="1143">
        <f t="shared" si="24"/>
        <v>-948214590</v>
      </c>
      <c r="H53" s="1143">
        <f t="shared" si="24"/>
        <v>-955329590</v>
      </c>
      <c r="I53" s="1143">
        <f>I20+I33+I44+I51</f>
        <v>-955329590</v>
      </c>
      <c r="J53" s="1143">
        <f t="shared" si="24"/>
        <v>-867519756.61000001</v>
      </c>
      <c r="K53" s="1143">
        <f t="shared" si="24"/>
        <v>0</v>
      </c>
      <c r="L53" s="1143">
        <f t="shared" si="24"/>
        <v>-867519756.61000001</v>
      </c>
      <c r="M53" s="1144">
        <f t="shared" ref="M53:R53" si="25">M20+M33+M44+M51</f>
        <v>-1092343618</v>
      </c>
      <c r="N53" s="1144">
        <f t="shared" si="25"/>
        <v>-1027343618</v>
      </c>
      <c r="O53" s="1144">
        <f t="shared" si="25"/>
        <v>-1027343618</v>
      </c>
      <c r="P53" s="1143">
        <f t="shared" si="25"/>
        <v>-885287094.74000001</v>
      </c>
      <c r="Q53" s="1143">
        <f t="shared" si="25"/>
        <v>302899</v>
      </c>
      <c r="R53" s="1143">
        <f t="shared" si="25"/>
        <v>-884984195.74000001</v>
      </c>
      <c r="S53" s="1143">
        <f t="shared" ref="S53:AD53" si="26">S20+S33+S44+S51</f>
        <v>-1182419432</v>
      </c>
      <c r="T53" s="1143">
        <f t="shared" si="26"/>
        <v>-1045680233</v>
      </c>
      <c r="U53" s="1143">
        <f t="shared" si="26"/>
        <v>-976780233</v>
      </c>
      <c r="V53" s="1143">
        <f t="shared" si="26"/>
        <v>-927228856.75</v>
      </c>
      <c r="W53" s="1143">
        <f t="shared" si="26"/>
        <v>9508799.5</v>
      </c>
      <c r="X53" s="1143">
        <f t="shared" si="26"/>
        <v>-917720057.25000012</v>
      </c>
      <c r="Y53" s="1341">
        <f t="shared" si="26"/>
        <v>-1095348067</v>
      </c>
      <c r="Z53" s="1341">
        <f t="shared" si="26"/>
        <v>-1095348067</v>
      </c>
      <c r="AA53" s="1341">
        <f t="shared" si="26"/>
        <v>-1095348067</v>
      </c>
      <c r="AB53" s="1341">
        <f t="shared" si="26"/>
        <v>-1092044554.51</v>
      </c>
      <c r="AC53" s="1341">
        <f t="shared" si="26"/>
        <v>0</v>
      </c>
      <c r="AD53" s="1341">
        <f t="shared" si="26"/>
        <v>-1092044554.51</v>
      </c>
    </row>
    <row r="54" spans="1:30" x14ac:dyDescent="0.2">
      <c r="A54" s="928"/>
      <c r="B54" s="976"/>
      <c r="C54" s="968"/>
      <c r="D54" s="968"/>
      <c r="E54" s="968"/>
      <c r="F54" s="968"/>
      <c r="G54" s="968"/>
      <c r="H54" s="968"/>
      <c r="I54" s="968"/>
      <c r="J54" s="968"/>
      <c r="K54" s="968"/>
      <c r="L54" s="968"/>
      <c r="M54" s="974"/>
      <c r="N54" s="974"/>
      <c r="O54" s="974"/>
      <c r="P54" s="968"/>
      <c r="Q54" s="968"/>
      <c r="R54" s="968"/>
      <c r="S54" s="968"/>
      <c r="T54" s="968"/>
      <c r="U54" s="968"/>
      <c r="V54" s="968"/>
      <c r="W54" s="968"/>
      <c r="X54" s="968"/>
      <c r="Y54" s="1145"/>
      <c r="Z54" s="1145"/>
      <c r="AA54" s="1145"/>
      <c r="AB54" s="1145"/>
      <c r="AC54" s="1145"/>
      <c r="AD54" s="1145"/>
    </row>
    <row r="55" spans="1:30" x14ac:dyDescent="0.2">
      <c r="A55" s="928"/>
      <c r="B55" s="928"/>
      <c r="C55" s="968"/>
      <c r="D55" s="968"/>
      <c r="E55" s="968"/>
      <c r="F55" s="968"/>
      <c r="G55" s="968"/>
      <c r="H55" s="968"/>
      <c r="I55" s="968"/>
      <c r="J55" s="968"/>
      <c r="K55" s="968"/>
      <c r="L55" s="968"/>
      <c r="M55" s="974"/>
      <c r="N55" s="974"/>
      <c r="O55" s="974"/>
      <c r="P55" s="968"/>
      <c r="Q55" s="968"/>
      <c r="R55" s="968"/>
      <c r="S55" s="968"/>
      <c r="T55" s="968"/>
      <c r="U55" s="968"/>
      <c r="V55" s="968"/>
      <c r="W55" s="968"/>
      <c r="X55" s="968"/>
      <c r="Y55" s="1145"/>
      <c r="Z55" s="1145"/>
      <c r="AA55" s="1145"/>
      <c r="AB55" s="1145"/>
      <c r="AC55" s="1145"/>
      <c r="AD55" s="1145"/>
    </row>
    <row r="56" spans="1:30" x14ac:dyDescent="0.2">
      <c r="A56" s="928">
        <v>700</v>
      </c>
      <c r="B56" s="928" t="s">
        <v>1121</v>
      </c>
      <c r="C56" s="968"/>
      <c r="D56" s="968"/>
      <c r="E56" s="968"/>
      <c r="F56" s="968"/>
      <c r="G56" s="968"/>
      <c r="H56" s="968"/>
      <c r="I56" s="968"/>
      <c r="J56" s="968"/>
      <c r="K56" s="968"/>
      <c r="L56" s="968"/>
      <c r="M56" s="974"/>
      <c r="N56" s="974"/>
      <c r="O56" s="974"/>
      <c r="P56" s="968"/>
      <c r="Q56" s="968"/>
      <c r="R56" s="968"/>
      <c r="S56" s="968"/>
      <c r="T56" s="968"/>
      <c r="U56" s="968"/>
      <c r="V56" s="968"/>
      <c r="W56" s="968"/>
      <c r="X56" s="968"/>
      <c r="Y56" s="1145"/>
      <c r="Z56" s="1145"/>
      <c r="AA56" s="1145"/>
      <c r="AB56" s="1145"/>
      <c r="AC56" s="1145"/>
      <c r="AD56" s="1145"/>
    </row>
    <row r="57" spans="1:30" x14ac:dyDescent="0.2">
      <c r="A57" s="928"/>
      <c r="B57" s="928"/>
      <c r="C57" s="968"/>
      <c r="D57" s="968"/>
      <c r="E57" s="968"/>
      <c r="F57" s="968"/>
      <c r="G57" s="968"/>
      <c r="H57" s="968"/>
      <c r="I57" s="968"/>
      <c r="J57" s="968"/>
      <c r="K57" s="968"/>
      <c r="L57" s="968"/>
      <c r="M57" s="974"/>
      <c r="N57" s="974"/>
      <c r="O57" s="974"/>
      <c r="P57" s="968"/>
      <c r="Q57" s="968"/>
      <c r="R57" s="968"/>
      <c r="S57" s="968"/>
      <c r="T57" s="968"/>
      <c r="U57" s="968"/>
      <c r="V57" s="968"/>
      <c r="W57" s="968"/>
      <c r="X57" s="968"/>
      <c r="Y57" s="1145"/>
      <c r="Z57" s="1145"/>
      <c r="AA57" s="1145"/>
      <c r="AB57" s="1145"/>
      <c r="AC57" s="1145"/>
      <c r="AD57" s="1145"/>
    </row>
    <row r="58" spans="1:30" x14ac:dyDescent="0.2">
      <c r="A58" s="928">
        <v>501</v>
      </c>
      <c r="B58" s="928" t="s">
        <v>1122</v>
      </c>
      <c r="C58" s="968">
        <v>-61000</v>
      </c>
      <c r="D58" s="968">
        <v>-89473.68</v>
      </c>
      <c r="E58" s="968"/>
      <c r="F58" s="968">
        <f t="shared" ref="F58:F84" si="27">D58+E58</f>
        <v>-89473.68</v>
      </c>
      <c r="G58" s="968">
        <v>-64000</v>
      </c>
      <c r="H58" s="968">
        <v>-64000</v>
      </c>
      <c r="I58" s="968">
        <v>-64000</v>
      </c>
      <c r="J58" s="968">
        <v>0</v>
      </c>
      <c r="K58" s="968"/>
      <c r="L58" s="968">
        <f t="shared" ref="L58:L84" si="28">J58+K58</f>
        <v>0</v>
      </c>
      <c r="M58" s="974">
        <v>-68480</v>
      </c>
      <c r="N58" s="974">
        <v>-68480</v>
      </c>
      <c r="O58" s="974">
        <v>-68480</v>
      </c>
      <c r="P58" s="968">
        <v>0</v>
      </c>
      <c r="Q58" s="968"/>
      <c r="R58" s="968">
        <f t="shared" ref="R58:R84" si="29">P58+Q58</f>
        <v>0</v>
      </c>
      <c r="S58" s="968">
        <v>-72588</v>
      </c>
      <c r="T58" s="968">
        <v>-72588</v>
      </c>
      <c r="U58" s="968">
        <v>-72588</v>
      </c>
      <c r="V58" s="968">
        <v>-58114.94</v>
      </c>
      <c r="W58" s="968"/>
      <c r="X58" s="968">
        <f t="shared" si="5"/>
        <v>-58114.94</v>
      </c>
      <c r="Y58" s="1145">
        <v>-76943</v>
      </c>
      <c r="Z58" s="1145">
        <v>-76943</v>
      </c>
      <c r="AA58" s="1145">
        <v>-76943</v>
      </c>
      <c r="AB58" s="1145">
        <v>-87224.39</v>
      </c>
      <c r="AC58" s="1145"/>
      <c r="AD58" s="1145">
        <f t="shared" ref="AD58:AD84" si="30">AB58+AC58</f>
        <v>-87224.39</v>
      </c>
    </row>
    <row r="59" spans="1:30" x14ac:dyDescent="0.2">
      <c r="A59" s="928">
        <v>504</v>
      </c>
      <c r="B59" s="928" t="s">
        <v>1123</v>
      </c>
      <c r="C59" s="968">
        <v>-38000</v>
      </c>
      <c r="D59" s="968">
        <v>-54169.43</v>
      </c>
      <c r="E59" s="968"/>
      <c r="F59" s="968">
        <f t="shared" si="27"/>
        <v>-54169.43</v>
      </c>
      <c r="G59" s="968">
        <v>-48000</v>
      </c>
      <c r="H59" s="968">
        <v>-48000</v>
      </c>
      <c r="I59" s="968">
        <v>-48000</v>
      </c>
      <c r="J59" s="968">
        <v>-19408.79</v>
      </c>
      <c r="K59" s="968"/>
      <c r="L59" s="968">
        <f t="shared" si="28"/>
        <v>-19408.79</v>
      </c>
      <c r="M59" s="974">
        <v>-51360</v>
      </c>
      <c r="N59" s="974">
        <v>-51360</v>
      </c>
      <c r="O59" s="974">
        <v>-51360</v>
      </c>
      <c r="P59" s="968">
        <v>-21907.05</v>
      </c>
      <c r="Q59" s="968"/>
      <c r="R59" s="968">
        <f t="shared" si="29"/>
        <v>-21907.05</v>
      </c>
      <c r="S59" s="968">
        <v>-54441</v>
      </c>
      <c r="T59" s="968">
        <v>-54441</v>
      </c>
      <c r="U59" s="968">
        <v>-54441</v>
      </c>
      <c r="V59" s="968"/>
      <c r="W59" s="968"/>
      <c r="X59" s="968">
        <f t="shared" si="5"/>
        <v>0</v>
      </c>
      <c r="Y59" s="1145">
        <v>-57707</v>
      </c>
      <c r="Z59" s="1145">
        <v>-57707</v>
      </c>
      <c r="AA59" s="1145">
        <v>-57707</v>
      </c>
      <c r="AB59" s="1145"/>
      <c r="AC59" s="1145"/>
      <c r="AD59" s="1145">
        <f t="shared" si="30"/>
        <v>0</v>
      </c>
    </row>
    <row r="60" spans="1:30" x14ac:dyDescent="0.2">
      <c r="A60" s="928">
        <v>505</v>
      </c>
      <c r="B60" s="928" t="s">
        <v>1124</v>
      </c>
      <c r="C60" s="968">
        <v>0</v>
      </c>
      <c r="D60" s="968">
        <v>0</v>
      </c>
      <c r="E60" s="968"/>
      <c r="F60" s="968">
        <f t="shared" si="27"/>
        <v>0</v>
      </c>
      <c r="G60" s="968">
        <v>-319000</v>
      </c>
      <c r="H60" s="968">
        <v>-319000</v>
      </c>
      <c r="I60" s="968">
        <v>-319000</v>
      </c>
      <c r="J60" s="968">
        <v>0</v>
      </c>
      <c r="K60" s="968"/>
      <c r="L60" s="968">
        <f t="shared" si="28"/>
        <v>0</v>
      </c>
      <c r="M60" s="974">
        <v>-341330</v>
      </c>
      <c r="N60" s="974">
        <v>-341330</v>
      </c>
      <c r="O60" s="974">
        <v>-341330</v>
      </c>
      <c r="P60" s="968">
        <v>0</v>
      </c>
      <c r="Q60" s="968"/>
      <c r="R60" s="968">
        <f t="shared" si="29"/>
        <v>0</v>
      </c>
      <c r="S60" s="968">
        <v>-361809</v>
      </c>
      <c r="T60" s="968">
        <v>-361809</v>
      </c>
      <c r="U60" s="968">
        <v>-361809</v>
      </c>
      <c r="V60" s="968"/>
      <c r="W60" s="968"/>
      <c r="X60" s="968">
        <f t="shared" si="5"/>
        <v>0</v>
      </c>
      <c r="Y60" s="1145">
        <v>-383517</v>
      </c>
      <c r="Z60" s="1145">
        <v>-383517</v>
      </c>
      <c r="AA60" s="1145">
        <v>-383517</v>
      </c>
      <c r="AB60" s="1145"/>
      <c r="AC60" s="1145"/>
      <c r="AD60" s="1145">
        <f t="shared" si="30"/>
        <v>0</v>
      </c>
    </row>
    <row r="61" spans="1:30" x14ac:dyDescent="0.2">
      <c r="A61" s="928">
        <v>506</v>
      </c>
      <c r="B61" s="928" t="s">
        <v>1125</v>
      </c>
      <c r="C61" s="968">
        <v>-960000</v>
      </c>
      <c r="D61" s="968">
        <v>-1877229.34</v>
      </c>
      <c r="E61" s="968"/>
      <c r="F61" s="968">
        <f t="shared" si="27"/>
        <v>-1877229.34</v>
      </c>
      <c r="G61" s="968">
        <v>-2371000</v>
      </c>
      <c r="H61" s="968">
        <v>-2371000</v>
      </c>
      <c r="I61" s="968">
        <v>-2371000</v>
      </c>
      <c r="J61" s="968">
        <v>-1446100.03</v>
      </c>
      <c r="K61" s="968"/>
      <c r="L61" s="968">
        <f t="shared" si="28"/>
        <v>-1446100.03</v>
      </c>
      <c r="M61" s="974">
        <v>-2536970</v>
      </c>
      <c r="N61" s="974">
        <v>-2536970</v>
      </c>
      <c r="O61" s="974">
        <v>-2536970</v>
      </c>
      <c r="P61" s="968">
        <v>-1864405.42</v>
      </c>
      <c r="Q61" s="968"/>
      <c r="R61" s="968">
        <f t="shared" si="29"/>
        <v>-1864405.42</v>
      </c>
      <c r="S61" s="968">
        <v>-2689188</v>
      </c>
      <c r="T61" s="968">
        <v>-2689188</v>
      </c>
      <c r="U61" s="968">
        <v>-2689188</v>
      </c>
      <c r="V61" s="968">
        <v>-2033586.58</v>
      </c>
      <c r="W61" s="968"/>
      <c r="X61" s="968">
        <f t="shared" si="5"/>
        <v>-2033586.58</v>
      </c>
      <c r="Y61" s="1145">
        <v>-2850539</v>
      </c>
      <c r="Z61" s="1145">
        <v>-2850539</v>
      </c>
      <c r="AA61" s="1145">
        <v>-2850539</v>
      </c>
      <c r="AB61" s="1145">
        <v>-1732009.94</v>
      </c>
      <c r="AC61" s="1145"/>
      <c r="AD61" s="1145">
        <f t="shared" si="30"/>
        <v>-1732009.94</v>
      </c>
    </row>
    <row r="62" spans="1:30" x14ac:dyDescent="0.2">
      <c r="A62" s="928">
        <v>507</v>
      </c>
      <c r="B62" s="928" t="s">
        <v>1126</v>
      </c>
      <c r="C62" s="968">
        <v>-148000</v>
      </c>
      <c r="D62" s="968">
        <v>-150614.76</v>
      </c>
      <c r="E62" s="968"/>
      <c r="F62" s="968">
        <f t="shared" si="27"/>
        <v>-150614.76</v>
      </c>
      <c r="G62" s="968">
        <v>-151000</v>
      </c>
      <c r="H62" s="968">
        <v>-151000</v>
      </c>
      <c r="I62" s="968">
        <v>-151000</v>
      </c>
      <c r="J62" s="968">
        <v>-150646.54</v>
      </c>
      <c r="K62" s="968"/>
      <c r="L62" s="968">
        <f t="shared" si="28"/>
        <v>-150646.54</v>
      </c>
      <c r="M62" s="974">
        <v>-161570</v>
      </c>
      <c r="N62" s="974">
        <v>-161570</v>
      </c>
      <c r="O62" s="974">
        <v>-161570</v>
      </c>
      <c r="P62" s="968">
        <v>-91735.92</v>
      </c>
      <c r="Q62" s="968"/>
      <c r="R62" s="968">
        <f t="shared" si="29"/>
        <v>-91735.92</v>
      </c>
      <c r="S62" s="968">
        <v>-171264</v>
      </c>
      <c r="T62" s="968">
        <v>-171264</v>
      </c>
      <c r="U62" s="968">
        <v>-171264</v>
      </c>
      <c r="V62" s="968">
        <v>-52480.69</v>
      </c>
      <c r="W62" s="968"/>
      <c r="X62" s="968">
        <f t="shared" si="5"/>
        <v>-52480.69</v>
      </c>
      <c r="Y62" s="1145">
        <v>-181539</v>
      </c>
      <c r="Z62" s="1145">
        <v>-181539</v>
      </c>
      <c r="AA62" s="1145">
        <v>-181539</v>
      </c>
      <c r="AB62" s="1145">
        <v>-51247.3</v>
      </c>
      <c r="AC62" s="1145"/>
      <c r="AD62" s="1145">
        <f t="shared" si="30"/>
        <v>-51247.3</v>
      </c>
    </row>
    <row r="63" spans="1:30" x14ac:dyDescent="0.2">
      <c r="A63" s="928">
        <v>510</v>
      </c>
      <c r="B63" s="928" t="s">
        <v>1127</v>
      </c>
      <c r="C63" s="968">
        <v>-30700</v>
      </c>
      <c r="D63" s="968">
        <v>-9479.81</v>
      </c>
      <c r="E63" s="968"/>
      <c r="F63" s="968">
        <f t="shared" si="27"/>
        <v>-9479.81</v>
      </c>
      <c r="G63" s="968">
        <v>-16000</v>
      </c>
      <c r="H63" s="968">
        <v>-16000</v>
      </c>
      <c r="I63" s="968">
        <v>-16000</v>
      </c>
      <c r="J63" s="968">
        <v>-263.16000000000003</v>
      </c>
      <c r="K63" s="968"/>
      <c r="L63" s="968">
        <f t="shared" si="28"/>
        <v>-263.16000000000003</v>
      </c>
      <c r="M63" s="974">
        <v>-17120</v>
      </c>
      <c r="N63" s="974">
        <v>-17120</v>
      </c>
      <c r="O63" s="974">
        <v>-17120</v>
      </c>
      <c r="P63" s="968">
        <v>-724.56</v>
      </c>
      <c r="Q63" s="968"/>
      <c r="R63" s="968">
        <f t="shared" si="29"/>
        <v>-724.56</v>
      </c>
      <c r="S63" s="968">
        <v>-18147</v>
      </c>
      <c r="T63" s="968">
        <v>-18147</v>
      </c>
      <c r="U63" s="968">
        <v>-18147</v>
      </c>
      <c r="V63" s="968">
        <v>-149.12</v>
      </c>
      <c r="W63" s="968"/>
      <c r="X63" s="968">
        <f t="shared" si="5"/>
        <v>-149.12</v>
      </c>
      <c r="Y63" s="1145">
        <v>-19235</v>
      </c>
      <c r="Z63" s="1145">
        <v>-19235</v>
      </c>
      <c r="AA63" s="1145">
        <v>-19235</v>
      </c>
      <c r="AB63" s="1145">
        <v>-2684.21</v>
      </c>
      <c r="AC63" s="1145"/>
      <c r="AD63" s="1145">
        <f t="shared" si="30"/>
        <v>-2684.21</v>
      </c>
    </row>
    <row r="64" spans="1:30" x14ac:dyDescent="0.2">
      <c r="A64" s="928">
        <v>513</v>
      </c>
      <c r="B64" s="928" t="s">
        <v>1128</v>
      </c>
      <c r="C64" s="968">
        <v>-117000</v>
      </c>
      <c r="D64" s="968">
        <v>-131970.88</v>
      </c>
      <c r="E64" s="968"/>
      <c r="F64" s="968">
        <f t="shared" si="27"/>
        <v>-131970.88</v>
      </c>
      <c r="G64" s="968">
        <v>-313000</v>
      </c>
      <c r="H64" s="968">
        <v>-313000</v>
      </c>
      <c r="I64" s="968">
        <v>-313000</v>
      </c>
      <c r="J64" s="968">
        <v>-343201.27</v>
      </c>
      <c r="K64" s="968"/>
      <c r="L64" s="968">
        <f t="shared" si="28"/>
        <v>-343201.27</v>
      </c>
      <c r="M64" s="974">
        <v>-334910</v>
      </c>
      <c r="N64" s="974">
        <v>-334910</v>
      </c>
      <c r="O64" s="974">
        <v>-334910</v>
      </c>
      <c r="P64" s="968">
        <v>-327999.46999999997</v>
      </c>
      <c r="Q64" s="968"/>
      <c r="R64" s="968">
        <f t="shared" si="29"/>
        <v>-327999.46999999997</v>
      </c>
      <c r="S64" s="968">
        <v>-355004</v>
      </c>
      <c r="T64" s="968">
        <v>-355004</v>
      </c>
      <c r="U64" s="968">
        <v>-355004</v>
      </c>
      <c r="V64" s="968">
        <v>-300966.28999999998</v>
      </c>
      <c r="W64" s="968"/>
      <c r="X64" s="968">
        <f t="shared" si="5"/>
        <v>-300966.28999999998</v>
      </c>
      <c r="Y64" s="1145">
        <v>-376304</v>
      </c>
      <c r="Z64" s="1145">
        <v>-376304</v>
      </c>
      <c r="AA64" s="1145">
        <v>-376304</v>
      </c>
      <c r="AB64" s="1145">
        <v>-281959.81</v>
      </c>
      <c r="AC64" s="1145"/>
      <c r="AD64" s="1145">
        <f t="shared" si="30"/>
        <v>-281959.81</v>
      </c>
    </row>
    <row r="65" spans="1:30" x14ac:dyDescent="0.2">
      <c r="A65" s="928">
        <v>515</v>
      </c>
      <c r="B65" s="928" t="s">
        <v>1129</v>
      </c>
      <c r="C65" s="968">
        <v>-54000</v>
      </c>
      <c r="D65" s="968">
        <v>-31150.44</v>
      </c>
      <c r="E65" s="968"/>
      <c r="F65" s="968">
        <f t="shared" si="27"/>
        <v>-31150.44</v>
      </c>
      <c r="G65" s="968">
        <v>-75000</v>
      </c>
      <c r="H65" s="968">
        <v>-75000</v>
      </c>
      <c r="I65" s="968">
        <v>-75000</v>
      </c>
      <c r="J65" s="968">
        <v>-34185.97</v>
      </c>
      <c r="K65" s="968"/>
      <c r="L65" s="968">
        <f t="shared" si="28"/>
        <v>-34185.97</v>
      </c>
      <c r="M65" s="974">
        <v>-80250</v>
      </c>
      <c r="N65" s="974">
        <v>-80250</v>
      </c>
      <c r="O65" s="974">
        <v>-80250</v>
      </c>
      <c r="P65" s="968">
        <v>-17603.52</v>
      </c>
      <c r="Q65" s="968"/>
      <c r="R65" s="968">
        <f t="shared" si="29"/>
        <v>-17603.52</v>
      </c>
      <c r="S65" s="968">
        <v>-85065</v>
      </c>
      <c r="T65" s="968">
        <v>-85065</v>
      </c>
      <c r="U65" s="968">
        <v>-85065</v>
      </c>
      <c r="V65" s="968">
        <v>-34732.480000000003</v>
      </c>
      <c r="W65" s="968"/>
      <c r="X65" s="968">
        <f t="shared" si="5"/>
        <v>-34732.480000000003</v>
      </c>
      <c r="Y65" s="1145">
        <v>-90168</v>
      </c>
      <c r="Z65" s="1145">
        <v>-90168</v>
      </c>
      <c r="AA65" s="1145">
        <v>-90168</v>
      </c>
      <c r="AB65" s="1145">
        <v>-37075.46</v>
      </c>
      <c r="AC65" s="1145"/>
      <c r="AD65" s="1145">
        <f t="shared" si="30"/>
        <v>-37075.46</v>
      </c>
    </row>
    <row r="66" spans="1:30" x14ac:dyDescent="0.2">
      <c r="A66" s="928">
        <v>516</v>
      </c>
      <c r="B66" s="928" t="s">
        <v>1130</v>
      </c>
      <c r="C66" s="968">
        <v>-900</v>
      </c>
      <c r="D66" s="968">
        <v>-15271.05</v>
      </c>
      <c r="E66" s="968"/>
      <c r="F66" s="968">
        <f t="shared" si="27"/>
        <v>-15271.05</v>
      </c>
      <c r="G66" s="968">
        <v>-46000</v>
      </c>
      <c r="H66" s="968">
        <v>-46000</v>
      </c>
      <c r="I66" s="968">
        <v>-46000</v>
      </c>
      <c r="J66" s="968">
        <v>0</v>
      </c>
      <c r="K66" s="968"/>
      <c r="L66" s="968">
        <f t="shared" si="28"/>
        <v>0</v>
      </c>
      <c r="M66" s="974">
        <v>-49220</v>
      </c>
      <c r="N66" s="974">
        <v>-49220</v>
      </c>
      <c r="O66" s="974">
        <v>-49220</v>
      </c>
      <c r="P66" s="968">
        <v>0</v>
      </c>
      <c r="Q66" s="968"/>
      <c r="R66" s="968">
        <f t="shared" si="29"/>
        <v>0</v>
      </c>
      <c r="S66" s="968">
        <v>-52173</v>
      </c>
      <c r="T66" s="968">
        <v>-52173</v>
      </c>
      <c r="U66" s="968">
        <v>-52173</v>
      </c>
      <c r="V66" s="968"/>
      <c r="W66" s="968"/>
      <c r="X66" s="968">
        <f t="shared" si="5"/>
        <v>0</v>
      </c>
      <c r="Y66" s="1145">
        <v>-55303</v>
      </c>
      <c r="Z66" s="1145">
        <v>-55303</v>
      </c>
      <c r="AA66" s="1145">
        <v>-55303</v>
      </c>
      <c r="AB66" s="1145">
        <v>-2789.48</v>
      </c>
      <c r="AC66" s="1145"/>
      <c r="AD66" s="1145">
        <f t="shared" si="30"/>
        <v>-2789.48</v>
      </c>
    </row>
    <row r="67" spans="1:30" x14ac:dyDescent="0.2">
      <c r="A67" s="928">
        <v>519</v>
      </c>
      <c r="B67" s="928" t="s">
        <v>1131</v>
      </c>
      <c r="C67" s="968">
        <v>-89000</v>
      </c>
      <c r="D67" s="968">
        <v>-67847.66</v>
      </c>
      <c r="E67" s="968"/>
      <c r="F67" s="968">
        <f t="shared" si="27"/>
        <v>-67847.66</v>
      </c>
      <c r="G67" s="968">
        <v>-187000</v>
      </c>
      <c r="H67" s="968">
        <v>-187000</v>
      </c>
      <c r="I67" s="968">
        <v>-187000</v>
      </c>
      <c r="J67" s="968">
        <v>-95762.84</v>
      </c>
      <c r="K67" s="968"/>
      <c r="L67" s="968">
        <f t="shared" si="28"/>
        <v>-95762.84</v>
      </c>
      <c r="M67" s="974">
        <v>-200090</v>
      </c>
      <c r="N67" s="974">
        <v>-200090</v>
      </c>
      <c r="O67" s="974">
        <v>-200090</v>
      </c>
      <c r="P67" s="968">
        <v>-111667.99</v>
      </c>
      <c r="Q67" s="968"/>
      <c r="R67" s="968">
        <f t="shared" si="29"/>
        <v>-111667.99</v>
      </c>
      <c r="S67" s="968">
        <v>-212095</v>
      </c>
      <c r="T67" s="968">
        <v>-212095</v>
      </c>
      <c r="U67" s="968">
        <v>-212095</v>
      </c>
      <c r="V67" s="968">
        <v>-156940.75</v>
      </c>
      <c r="W67" s="968"/>
      <c r="X67" s="968">
        <f t="shared" si="5"/>
        <v>-156940.75</v>
      </c>
      <c r="Y67" s="1145">
        <v>-224820</v>
      </c>
      <c r="Z67" s="1145">
        <v>-224820</v>
      </c>
      <c r="AA67" s="1145">
        <v>-224820</v>
      </c>
      <c r="AB67" s="1145">
        <v>-118633.58</v>
      </c>
      <c r="AC67" s="1145"/>
      <c r="AD67" s="1145">
        <f t="shared" si="30"/>
        <v>-118633.58</v>
      </c>
    </row>
    <row r="68" spans="1:30" x14ac:dyDescent="0.2">
      <c r="A68" s="928">
        <v>525</v>
      </c>
      <c r="B68" s="928" t="s">
        <v>1132</v>
      </c>
      <c r="C68" s="968">
        <v>-33000</v>
      </c>
      <c r="D68" s="968">
        <v>-58029.53</v>
      </c>
      <c r="E68" s="968"/>
      <c r="F68" s="968">
        <f t="shared" si="27"/>
        <v>-58029.53</v>
      </c>
      <c r="G68" s="968">
        <v>-162000</v>
      </c>
      <c r="H68" s="968">
        <v>-162000</v>
      </c>
      <c r="I68" s="968">
        <v>-162000</v>
      </c>
      <c r="J68" s="968">
        <v>-53036.86</v>
      </c>
      <c r="K68" s="968"/>
      <c r="L68" s="968">
        <f t="shared" si="28"/>
        <v>-53036.86</v>
      </c>
      <c r="M68" s="974">
        <v>-173340</v>
      </c>
      <c r="N68" s="974">
        <v>-173340</v>
      </c>
      <c r="O68" s="974">
        <v>-173340</v>
      </c>
      <c r="P68" s="968">
        <v>-63209.7</v>
      </c>
      <c r="Q68" s="968"/>
      <c r="R68" s="968">
        <f t="shared" si="29"/>
        <v>-63209.7</v>
      </c>
      <c r="S68" s="968">
        <v>-183740</v>
      </c>
      <c r="T68" s="968">
        <v>-183740</v>
      </c>
      <c r="U68" s="968">
        <v>-183740</v>
      </c>
      <c r="V68" s="968">
        <v>-46785.11</v>
      </c>
      <c r="W68" s="968"/>
      <c r="X68" s="968">
        <f t="shared" si="5"/>
        <v>-46785.11</v>
      </c>
      <c r="Y68" s="1145">
        <v>-194764</v>
      </c>
      <c r="Z68" s="1145">
        <v>-194764</v>
      </c>
      <c r="AA68" s="1145">
        <v>-194764</v>
      </c>
      <c r="AB68" s="1145">
        <v>-31761.05</v>
      </c>
      <c r="AC68" s="1145"/>
      <c r="AD68" s="1145">
        <f t="shared" si="30"/>
        <v>-31761.05</v>
      </c>
    </row>
    <row r="69" spans="1:30" x14ac:dyDescent="0.2">
      <c r="A69" s="928">
        <v>528</v>
      </c>
      <c r="B69" s="928" t="s">
        <v>1133</v>
      </c>
      <c r="C69" s="968">
        <v>-66800</v>
      </c>
      <c r="D69" s="968">
        <v>-50931.43</v>
      </c>
      <c r="E69" s="968"/>
      <c r="F69" s="968">
        <f t="shared" si="27"/>
        <v>-50931.43</v>
      </c>
      <c r="G69" s="968">
        <v>-82000</v>
      </c>
      <c r="H69" s="968">
        <v>-82000</v>
      </c>
      <c r="I69" s="968">
        <v>-82000</v>
      </c>
      <c r="J69" s="968">
        <v>-36064.839999999997</v>
      </c>
      <c r="K69" s="968"/>
      <c r="L69" s="968">
        <f t="shared" si="28"/>
        <v>-36064.839999999997</v>
      </c>
      <c r="M69" s="974">
        <v>-87245</v>
      </c>
      <c r="N69" s="974">
        <v>-87245</v>
      </c>
      <c r="O69" s="974">
        <v>-87245</v>
      </c>
      <c r="P69" s="968">
        <v>-30710.22</v>
      </c>
      <c r="Q69" s="968"/>
      <c r="R69" s="968">
        <f t="shared" si="29"/>
        <v>-30710.22</v>
      </c>
      <c r="S69" s="968">
        <v>-92478</v>
      </c>
      <c r="T69" s="968">
        <v>-92478</v>
      </c>
      <c r="U69" s="968">
        <v>-92478</v>
      </c>
      <c r="V69" s="968">
        <v>-29561.439999999999</v>
      </c>
      <c r="W69" s="968"/>
      <c r="X69" s="968">
        <f t="shared" si="5"/>
        <v>-29561.439999999999</v>
      </c>
      <c r="Y69" s="1145">
        <v>-98025</v>
      </c>
      <c r="Z69" s="1145">
        <v>-98025</v>
      </c>
      <c r="AA69" s="1145">
        <v>-98025</v>
      </c>
      <c r="AB69" s="1145">
        <v>-37885.79</v>
      </c>
      <c r="AC69" s="1145"/>
      <c r="AD69" s="1145">
        <f t="shared" si="30"/>
        <v>-37885.79</v>
      </c>
    </row>
    <row r="70" spans="1:30" x14ac:dyDescent="0.2">
      <c r="A70" s="928">
        <v>531</v>
      </c>
      <c r="B70" s="928" t="s">
        <v>1134</v>
      </c>
      <c r="C70" s="968">
        <v>-118500</v>
      </c>
      <c r="D70" s="968">
        <v>-78603.86</v>
      </c>
      <c r="E70" s="968"/>
      <c r="F70" s="968">
        <f t="shared" si="27"/>
        <v>-78603.86</v>
      </c>
      <c r="G70" s="968">
        <v>-76100</v>
      </c>
      <c r="H70" s="968">
        <v>-76100</v>
      </c>
      <c r="I70" s="968">
        <v>-76100</v>
      </c>
      <c r="J70" s="968">
        <v>-69783.570000000007</v>
      </c>
      <c r="K70" s="968"/>
      <c r="L70" s="968">
        <f t="shared" si="28"/>
        <v>-69783.570000000007</v>
      </c>
      <c r="M70" s="974">
        <v>-81427</v>
      </c>
      <c r="N70" s="974">
        <v>-81427</v>
      </c>
      <c r="O70" s="974">
        <v>-81427</v>
      </c>
      <c r="P70" s="968">
        <v>-71786.12</v>
      </c>
      <c r="Q70" s="968"/>
      <c r="R70" s="968">
        <f t="shared" si="29"/>
        <v>-71786.12</v>
      </c>
      <c r="S70" s="968">
        <v>-86311</v>
      </c>
      <c r="T70" s="968">
        <v>-86311</v>
      </c>
      <c r="U70" s="968">
        <v>-86311</v>
      </c>
      <c r="V70" s="968">
        <v>-116103.23</v>
      </c>
      <c r="W70" s="968"/>
      <c r="X70" s="968">
        <f t="shared" ref="X70:X134" si="31">V70+W70</f>
        <v>-116103.23</v>
      </c>
      <c r="Y70" s="1145">
        <v>-91488</v>
      </c>
      <c r="Z70" s="1145">
        <v>-91488</v>
      </c>
      <c r="AA70" s="1145">
        <v>-91488</v>
      </c>
      <c r="AB70" s="1145">
        <v>-49297.32</v>
      </c>
      <c r="AC70" s="1145"/>
      <c r="AD70" s="1145">
        <f t="shared" si="30"/>
        <v>-49297.32</v>
      </c>
    </row>
    <row r="71" spans="1:30" x14ac:dyDescent="0.2">
      <c r="A71" s="928">
        <v>534</v>
      </c>
      <c r="B71" s="928" t="s">
        <v>1135</v>
      </c>
      <c r="C71" s="968"/>
      <c r="D71" s="968"/>
      <c r="E71" s="968"/>
      <c r="F71" s="968"/>
      <c r="G71" s="968">
        <v>-408000</v>
      </c>
      <c r="H71" s="968">
        <v>-408000</v>
      </c>
      <c r="I71" s="968">
        <v>-408000</v>
      </c>
      <c r="J71" s="968">
        <v>-312789.59999999998</v>
      </c>
      <c r="K71" s="968"/>
      <c r="L71" s="968">
        <f t="shared" si="28"/>
        <v>-312789.59999999998</v>
      </c>
      <c r="M71" s="974">
        <v>-436560</v>
      </c>
      <c r="N71" s="974">
        <v>-436560</v>
      </c>
      <c r="O71" s="974">
        <v>-436560</v>
      </c>
      <c r="P71" s="968">
        <f>-902882.75+1311.58</f>
        <v>-901571.17</v>
      </c>
      <c r="Q71" s="968"/>
      <c r="R71" s="968">
        <f t="shared" si="29"/>
        <v>-901571.17</v>
      </c>
      <c r="S71" s="968">
        <v>-462753</v>
      </c>
      <c r="T71" s="968">
        <v>-462753</v>
      </c>
      <c r="U71" s="968">
        <v>-462753</v>
      </c>
      <c r="V71" s="968">
        <v>-710046.71</v>
      </c>
      <c r="W71" s="968"/>
      <c r="X71" s="968">
        <f t="shared" si="31"/>
        <v>-710046.71</v>
      </c>
      <c r="Y71" s="1145">
        <v>-490518</v>
      </c>
      <c r="Z71" s="1145">
        <v>-490518</v>
      </c>
      <c r="AA71" s="1145">
        <v>-490518</v>
      </c>
      <c r="AB71" s="1145">
        <v>-797621.66</v>
      </c>
      <c r="AC71" s="1145"/>
      <c r="AD71" s="1145">
        <f t="shared" si="30"/>
        <v>-797621.66</v>
      </c>
    </row>
    <row r="72" spans="1:30" x14ac:dyDescent="0.2">
      <c r="A72" s="928">
        <v>535</v>
      </c>
      <c r="B72" s="928" t="s">
        <v>1124</v>
      </c>
      <c r="C72" s="968">
        <v>-388000</v>
      </c>
      <c r="D72" s="968">
        <v>-408247.13</v>
      </c>
      <c r="E72" s="968"/>
      <c r="F72" s="968">
        <f t="shared" si="27"/>
        <v>-408247.13</v>
      </c>
      <c r="G72" s="968">
        <v>-692000</v>
      </c>
      <c r="H72" s="968">
        <v>-692000</v>
      </c>
      <c r="I72" s="968">
        <v>-692000</v>
      </c>
      <c r="J72" s="968">
        <v>0</v>
      </c>
      <c r="K72" s="968"/>
      <c r="L72" s="968">
        <f t="shared" si="28"/>
        <v>0</v>
      </c>
      <c r="M72" s="974">
        <v>-740440</v>
      </c>
      <c r="N72" s="974">
        <v>-740440</v>
      </c>
      <c r="O72" s="974">
        <v>-740440</v>
      </c>
      <c r="P72" s="968">
        <v>0</v>
      </c>
      <c r="Q72" s="968"/>
      <c r="R72" s="968">
        <f t="shared" si="29"/>
        <v>0</v>
      </c>
      <c r="S72" s="968">
        <v>-784866</v>
      </c>
      <c r="T72" s="968">
        <v>-784866</v>
      </c>
      <c r="U72" s="968">
        <v>-784866</v>
      </c>
      <c r="V72" s="968"/>
      <c r="W72" s="968"/>
      <c r="X72" s="968">
        <f t="shared" si="31"/>
        <v>0</v>
      </c>
      <c r="Y72" s="1145">
        <v>-831957</v>
      </c>
      <c r="Z72" s="1145">
        <v>-831957</v>
      </c>
      <c r="AA72" s="1145">
        <v>-831957</v>
      </c>
      <c r="AB72" s="1145"/>
      <c r="AC72" s="1145"/>
      <c r="AD72" s="1145">
        <f t="shared" si="30"/>
        <v>0</v>
      </c>
    </row>
    <row r="73" spans="1:30" x14ac:dyDescent="0.2">
      <c r="A73" s="928">
        <v>537</v>
      </c>
      <c r="B73" s="928" t="s">
        <v>1136</v>
      </c>
      <c r="C73" s="968">
        <v>-627460</v>
      </c>
      <c r="D73" s="968">
        <v>-131755.26999999999</v>
      </c>
      <c r="E73" s="968"/>
      <c r="F73" s="968">
        <f t="shared" si="27"/>
        <v>-131755.26999999999</v>
      </c>
      <c r="G73" s="968">
        <v>-734000</v>
      </c>
      <c r="H73" s="968">
        <v>-734000</v>
      </c>
      <c r="I73" s="968">
        <v>-734000</v>
      </c>
      <c r="J73" s="968">
        <v>-902028.25</v>
      </c>
      <c r="K73" s="968"/>
      <c r="L73" s="968">
        <f t="shared" si="28"/>
        <v>-902028.25</v>
      </c>
      <c r="M73" s="974">
        <v>-785380</v>
      </c>
      <c r="N73" s="974">
        <v>-785380</v>
      </c>
      <c r="O73" s="974">
        <v>-785380</v>
      </c>
      <c r="P73" s="968">
        <v>-8752258.5700000003</v>
      </c>
      <c r="Q73" s="968"/>
      <c r="R73" s="968">
        <f t="shared" si="29"/>
        <v>-8752258.5700000003</v>
      </c>
      <c r="S73" s="968">
        <v>-832502</v>
      </c>
      <c r="T73" s="968">
        <v>-832502</v>
      </c>
      <c r="U73" s="968">
        <v>-832502</v>
      </c>
      <c r="V73" s="968">
        <v>-4418060.55</v>
      </c>
      <c r="W73" s="968"/>
      <c r="X73" s="968">
        <f t="shared" si="31"/>
        <v>-4418060.55</v>
      </c>
      <c r="Y73" s="1145">
        <v>-882451</v>
      </c>
      <c r="Z73" s="1145">
        <v>-882451</v>
      </c>
      <c r="AA73" s="1145">
        <v>-882451</v>
      </c>
      <c r="AB73" s="1145">
        <v>-2212828.7000000002</v>
      </c>
      <c r="AC73" s="1145"/>
      <c r="AD73" s="1145">
        <f t="shared" si="30"/>
        <v>-2212828.7000000002</v>
      </c>
    </row>
    <row r="74" spans="1:30" x14ac:dyDescent="0.2">
      <c r="A74" s="928">
        <v>540</v>
      </c>
      <c r="B74" s="928" t="s">
        <v>1137</v>
      </c>
      <c r="C74" s="968">
        <v>-156200</v>
      </c>
      <c r="D74" s="968">
        <v>-151546.64000000001</v>
      </c>
      <c r="E74" s="968"/>
      <c r="F74" s="968">
        <f t="shared" si="27"/>
        <v>-151546.64000000001</v>
      </c>
      <c r="G74" s="968">
        <v>-164000</v>
      </c>
      <c r="H74" s="968">
        <v>-164000</v>
      </c>
      <c r="I74" s="968">
        <v>-164000</v>
      </c>
      <c r="J74" s="968">
        <v>-195555.27</v>
      </c>
      <c r="K74" s="968"/>
      <c r="L74" s="968">
        <f t="shared" si="28"/>
        <v>-195555.27</v>
      </c>
      <c r="M74" s="974">
        <v>-175480</v>
      </c>
      <c r="N74" s="974">
        <v>-175480</v>
      </c>
      <c r="O74" s="974">
        <v>-175480</v>
      </c>
      <c r="P74" s="968">
        <v>-207839.87</v>
      </c>
      <c r="Q74" s="968"/>
      <c r="R74" s="968">
        <f t="shared" si="29"/>
        <v>-207839.87</v>
      </c>
      <c r="S74" s="968">
        <v>-186008</v>
      </c>
      <c r="T74" s="968">
        <v>-186008</v>
      </c>
      <c r="U74" s="968">
        <v>-186008</v>
      </c>
      <c r="V74" s="968">
        <v>-220234.02</v>
      </c>
      <c r="W74" s="968"/>
      <c r="X74" s="968">
        <f t="shared" si="31"/>
        <v>-220234.02</v>
      </c>
      <c r="Y74" s="1145">
        <v>-197168</v>
      </c>
      <c r="Z74" s="1145">
        <v>-197168</v>
      </c>
      <c r="AA74" s="1145">
        <v>-197168</v>
      </c>
      <c r="AB74" s="1145">
        <v>-172937.37</v>
      </c>
      <c r="AC74" s="1145"/>
      <c r="AD74" s="1145">
        <f t="shared" si="30"/>
        <v>-172937.37</v>
      </c>
    </row>
    <row r="75" spans="1:30" x14ac:dyDescent="0.2">
      <c r="A75" s="928">
        <v>543</v>
      </c>
      <c r="B75" s="928" t="s">
        <v>1138</v>
      </c>
      <c r="C75" s="968">
        <v>0</v>
      </c>
      <c r="D75" s="968">
        <v>-29295.55</v>
      </c>
      <c r="E75" s="968"/>
      <c r="F75" s="968">
        <f t="shared" si="27"/>
        <v>-29295.55</v>
      </c>
      <c r="G75" s="968"/>
      <c r="H75" s="968"/>
      <c r="I75" s="968"/>
      <c r="J75" s="968">
        <v>-34636.01</v>
      </c>
      <c r="K75" s="968"/>
      <c r="L75" s="968">
        <f t="shared" si="28"/>
        <v>-34636.01</v>
      </c>
      <c r="M75" s="974"/>
      <c r="N75" s="974"/>
      <c r="O75" s="974"/>
      <c r="P75" s="968">
        <v>-18518.419999999998</v>
      </c>
      <c r="Q75" s="968"/>
      <c r="R75" s="968">
        <f t="shared" si="29"/>
        <v>-18518.419999999998</v>
      </c>
      <c r="S75" s="968">
        <v>0</v>
      </c>
      <c r="T75" s="968">
        <v>0</v>
      </c>
      <c r="U75" s="968">
        <v>0</v>
      </c>
      <c r="V75" s="968"/>
      <c r="W75" s="968"/>
      <c r="X75" s="968">
        <f t="shared" si="31"/>
        <v>0</v>
      </c>
      <c r="Y75" s="1145">
        <v>0</v>
      </c>
      <c r="Z75" s="1145">
        <v>0</v>
      </c>
      <c r="AA75" s="1145">
        <v>0</v>
      </c>
      <c r="AB75" s="1145">
        <v>-34682.239999999998</v>
      </c>
      <c r="AC75" s="1145"/>
      <c r="AD75" s="1145">
        <f t="shared" si="30"/>
        <v>-34682.239999999998</v>
      </c>
    </row>
    <row r="76" spans="1:30" x14ac:dyDescent="0.2">
      <c r="A76" s="928">
        <v>545</v>
      </c>
      <c r="B76" s="928" t="s">
        <v>1139</v>
      </c>
      <c r="C76" s="968">
        <v>0</v>
      </c>
      <c r="D76" s="968">
        <v>0</v>
      </c>
      <c r="E76" s="968"/>
      <c r="F76" s="968">
        <f t="shared" si="27"/>
        <v>0</v>
      </c>
      <c r="G76" s="968">
        <v>-10000000</v>
      </c>
      <c r="H76" s="968">
        <v>-10000000</v>
      </c>
      <c r="I76" s="968">
        <v>-10000000</v>
      </c>
      <c r="J76" s="968">
        <v>-6966480.8899999997</v>
      </c>
      <c r="K76" s="968"/>
      <c r="L76" s="968">
        <f t="shared" si="28"/>
        <v>-6966480.8899999997</v>
      </c>
      <c r="M76" s="974">
        <v>-10000000</v>
      </c>
      <c r="N76" s="974">
        <v>-10000000</v>
      </c>
      <c r="O76" s="974">
        <v>-10000000</v>
      </c>
      <c r="P76" s="968">
        <v>-2859241.92</v>
      </c>
      <c r="Q76" s="968"/>
      <c r="R76" s="968">
        <f t="shared" si="29"/>
        <v>-2859241.92</v>
      </c>
      <c r="S76" s="968">
        <v>-12000000</v>
      </c>
      <c r="T76" s="968">
        <v>-12000000</v>
      </c>
      <c r="U76" s="968">
        <v>-12000000</v>
      </c>
      <c r="V76" s="968">
        <v>-2744920.18</v>
      </c>
      <c r="W76" s="968"/>
      <c r="X76" s="968">
        <f t="shared" si="31"/>
        <v>-2744920.18</v>
      </c>
      <c r="Y76" s="1145">
        <v>-12720000</v>
      </c>
      <c r="Z76" s="1145">
        <v>-10720000</v>
      </c>
      <c r="AA76" s="1145">
        <v>-10720000</v>
      </c>
      <c r="AB76" s="1145">
        <v>-4697347.0599999996</v>
      </c>
      <c r="AC76" s="1145"/>
      <c r="AD76" s="1145">
        <f t="shared" si="30"/>
        <v>-4697347.0599999996</v>
      </c>
    </row>
    <row r="77" spans="1:30" x14ac:dyDescent="0.2">
      <c r="A77" s="928">
        <v>546</v>
      </c>
      <c r="B77" s="928" t="s">
        <v>1140</v>
      </c>
      <c r="C77" s="968">
        <v>-23000</v>
      </c>
      <c r="D77" s="968">
        <v>-16531.099999999999</v>
      </c>
      <c r="E77" s="968"/>
      <c r="F77" s="968">
        <f t="shared" si="27"/>
        <v>-16531.099999999999</v>
      </c>
      <c r="G77" s="968">
        <v>-20000</v>
      </c>
      <c r="H77" s="968">
        <v>-20000</v>
      </c>
      <c r="I77" s="968">
        <v>-20000</v>
      </c>
      <c r="J77" s="968">
        <v>0</v>
      </c>
      <c r="K77" s="968"/>
      <c r="L77" s="968">
        <f t="shared" si="28"/>
        <v>0</v>
      </c>
      <c r="M77" s="974">
        <v>-21400</v>
      </c>
      <c r="N77" s="974">
        <v>-21400</v>
      </c>
      <c r="O77" s="974">
        <v>-21400</v>
      </c>
      <c r="P77" s="968">
        <v>0</v>
      </c>
      <c r="Q77" s="968"/>
      <c r="R77" s="968">
        <f t="shared" si="29"/>
        <v>0</v>
      </c>
      <c r="S77" s="968">
        <v>-22684</v>
      </c>
      <c r="T77" s="968">
        <v>-22684</v>
      </c>
      <c r="U77" s="968">
        <v>-22684</v>
      </c>
      <c r="V77" s="968"/>
      <c r="W77" s="968"/>
      <c r="X77" s="968">
        <f t="shared" si="31"/>
        <v>0</v>
      </c>
      <c r="Y77" s="1145">
        <v>-24045</v>
      </c>
      <c r="Z77" s="1145">
        <v>-24045</v>
      </c>
      <c r="AA77" s="1145">
        <v>-24045</v>
      </c>
      <c r="AB77" s="1145"/>
      <c r="AC77" s="1145"/>
      <c r="AD77" s="1145">
        <f t="shared" si="30"/>
        <v>0</v>
      </c>
    </row>
    <row r="78" spans="1:30" x14ac:dyDescent="0.2">
      <c r="A78" s="928">
        <v>549</v>
      </c>
      <c r="B78" s="928" t="s">
        <v>873</v>
      </c>
      <c r="C78" s="968">
        <v>-811000</v>
      </c>
      <c r="D78" s="968">
        <v>-870261.47</v>
      </c>
      <c r="E78" s="968"/>
      <c r="F78" s="968">
        <f t="shared" si="27"/>
        <v>-870261.47</v>
      </c>
      <c r="G78" s="968">
        <v>-864000</v>
      </c>
      <c r="H78" s="968">
        <v>-864000</v>
      </c>
      <c r="I78" s="968">
        <v>-864000</v>
      </c>
      <c r="J78" s="968">
        <v>-1026708.91</v>
      </c>
      <c r="K78" s="968"/>
      <c r="L78" s="968">
        <f t="shared" si="28"/>
        <v>-1026708.91</v>
      </c>
      <c r="M78" s="974">
        <v>-924480</v>
      </c>
      <c r="N78" s="974">
        <v>-924480</v>
      </c>
      <c r="O78" s="974">
        <v>-924480</v>
      </c>
      <c r="P78" s="968">
        <v>-854710.22</v>
      </c>
      <c r="Q78" s="968"/>
      <c r="R78" s="968">
        <f t="shared" si="29"/>
        <v>-854710.22</v>
      </c>
      <c r="S78" s="968">
        <v>-979948</v>
      </c>
      <c r="T78" s="968">
        <v>-979948</v>
      </c>
      <c r="U78" s="968">
        <v>-979948</v>
      </c>
      <c r="V78" s="968">
        <v>-1074116.45</v>
      </c>
      <c r="W78" s="968"/>
      <c r="X78" s="968">
        <f t="shared" si="31"/>
        <v>-1074116.45</v>
      </c>
      <c r="Y78" s="1145">
        <v>-1038744</v>
      </c>
      <c r="Z78" s="1145">
        <v>-1038744</v>
      </c>
      <c r="AA78" s="1145">
        <v>-1038744</v>
      </c>
      <c r="AB78" s="1145">
        <v>-1029975.09</v>
      </c>
      <c r="AC78" s="1145"/>
      <c r="AD78" s="1145">
        <f t="shared" si="30"/>
        <v>-1029975.09</v>
      </c>
    </row>
    <row r="79" spans="1:30" x14ac:dyDescent="0.2">
      <c r="A79" s="928">
        <v>551</v>
      </c>
      <c r="B79" s="928" t="s">
        <v>1141</v>
      </c>
      <c r="C79" s="968">
        <v>-150000</v>
      </c>
      <c r="D79" s="968">
        <v>-191555.08</v>
      </c>
      <c r="E79" s="968"/>
      <c r="F79" s="968">
        <f t="shared" si="27"/>
        <v>-191555.08</v>
      </c>
      <c r="G79" s="968">
        <v>-147000</v>
      </c>
      <c r="H79" s="968">
        <v>-147000</v>
      </c>
      <c r="I79" s="968">
        <v>-147000</v>
      </c>
      <c r="J79" s="968">
        <v>-272906.45</v>
      </c>
      <c r="K79" s="968"/>
      <c r="L79" s="968">
        <f t="shared" si="28"/>
        <v>-272906.45</v>
      </c>
      <c r="M79" s="974">
        <v>-157290</v>
      </c>
      <c r="N79" s="974">
        <v>-157290</v>
      </c>
      <c r="O79" s="974">
        <v>-157290</v>
      </c>
      <c r="P79" s="968">
        <v>-458030.83</v>
      </c>
      <c r="Q79" s="968"/>
      <c r="R79" s="968">
        <f t="shared" si="29"/>
        <v>-458030.83</v>
      </c>
      <c r="S79" s="968">
        <v>-166727</v>
      </c>
      <c r="T79" s="968">
        <v>-166727</v>
      </c>
      <c r="U79" s="968">
        <v>-166727</v>
      </c>
      <c r="V79" s="968">
        <v>-392958.01</v>
      </c>
      <c r="W79" s="968"/>
      <c r="X79" s="968">
        <f t="shared" si="31"/>
        <v>-392958.01</v>
      </c>
      <c r="Y79" s="1145">
        <v>-176730</v>
      </c>
      <c r="Z79" s="1145">
        <v>-176730</v>
      </c>
      <c r="AA79" s="1145">
        <v>-176730</v>
      </c>
      <c r="AB79" s="1145">
        <v>-365875.82</v>
      </c>
      <c r="AC79" s="1145"/>
      <c r="AD79" s="1145">
        <f t="shared" si="30"/>
        <v>-365875.82</v>
      </c>
    </row>
    <row r="80" spans="1:30" x14ac:dyDescent="0.2">
      <c r="A80" s="928">
        <v>552</v>
      </c>
      <c r="B80" s="928" t="s">
        <v>1142</v>
      </c>
      <c r="C80" s="968">
        <v>-3700</v>
      </c>
      <c r="D80" s="968">
        <v>-1494</v>
      </c>
      <c r="E80" s="968"/>
      <c r="F80" s="968">
        <f t="shared" si="27"/>
        <v>-1494</v>
      </c>
      <c r="G80" s="968">
        <v>-2000</v>
      </c>
      <c r="H80" s="968">
        <v>-2000</v>
      </c>
      <c r="I80" s="968">
        <v>-2000</v>
      </c>
      <c r="J80" s="968">
        <v>-619.29999999999995</v>
      </c>
      <c r="K80" s="968"/>
      <c r="L80" s="968">
        <f t="shared" si="28"/>
        <v>-619.29999999999995</v>
      </c>
      <c r="M80" s="974">
        <v>-2140</v>
      </c>
      <c r="N80" s="974">
        <v>-2140</v>
      </c>
      <c r="O80" s="974">
        <v>-2140</v>
      </c>
      <c r="P80" s="968">
        <v>-1078.94</v>
      </c>
      <c r="Q80" s="968"/>
      <c r="R80" s="968">
        <f t="shared" si="29"/>
        <v>-1078.94</v>
      </c>
      <c r="S80" s="968">
        <v>-2268</v>
      </c>
      <c r="T80" s="968">
        <v>-2268</v>
      </c>
      <c r="U80" s="968">
        <v>-2268</v>
      </c>
      <c r="V80" s="968">
        <v>-1738.6</v>
      </c>
      <c r="W80" s="968"/>
      <c r="X80" s="968">
        <f t="shared" si="31"/>
        <v>-1738.6</v>
      </c>
      <c r="Y80" s="1145">
        <v>-2404</v>
      </c>
      <c r="Z80" s="1145">
        <v>-2404</v>
      </c>
      <c r="AA80" s="1145">
        <v>-2404</v>
      </c>
      <c r="AB80" s="1145"/>
      <c r="AC80" s="1145"/>
      <c r="AD80" s="1145">
        <f t="shared" si="30"/>
        <v>0</v>
      </c>
    </row>
    <row r="81" spans="1:30" x14ac:dyDescent="0.2">
      <c r="A81" s="928">
        <v>555</v>
      </c>
      <c r="B81" s="928" t="s">
        <v>1143</v>
      </c>
      <c r="C81" s="968">
        <v>-23000</v>
      </c>
      <c r="D81" s="968">
        <v>-24328.15</v>
      </c>
      <c r="E81" s="968"/>
      <c r="F81" s="968">
        <f t="shared" si="27"/>
        <v>-24328.15</v>
      </c>
      <c r="G81" s="968">
        <v>-22000</v>
      </c>
      <c r="H81" s="968">
        <v>-22000</v>
      </c>
      <c r="I81" s="968">
        <v>-22000</v>
      </c>
      <c r="J81" s="968">
        <v>-19271.060000000001</v>
      </c>
      <c r="K81" s="968"/>
      <c r="L81" s="968">
        <f t="shared" si="28"/>
        <v>-19271.060000000001</v>
      </c>
      <c r="M81" s="974">
        <v>-23540</v>
      </c>
      <c r="N81" s="974">
        <v>-23540</v>
      </c>
      <c r="O81" s="974">
        <v>-23540</v>
      </c>
      <c r="P81" s="968">
        <v>-22810.51</v>
      </c>
      <c r="Q81" s="968"/>
      <c r="R81" s="968">
        <f t="shared" si="29"/>
        <v>-22810.51</v>
      </c>
      <c r="S81" s="968">
        <v>-24952</v>
      </c>
      <c r="T81" s="968">
        <v>-24952</v>
      </c>
      <c r="U81" s="968">
        <v>-24952</v>
      </c>
      <c r="V81" s="968">
        <v>-9617.4699999999993</v>
      </c>
      <c r="W81" s="968"/>
      <c r="X81" s="968">
        <f t="shared" si="31"/>
        <v>-9617.4699999999993</v>
      </c>
      <c r="Y81" s="1145">
        <v>-26449</v>
      </c>
      <c r="Z81" s="1145">
        <v>-26449</v>
      </c>
      <c r="AA81" s="1145">
        <v>-26449</v>
      </c>
      <c r="AB81" s="1145">
        <v>-5669.33</v>
      </c>
      <c r="AC81" s="1145"/>
      <c r="AD81" s="1145">
        <f t="shared" si="30"/>
        <v>-5669.33</v>
      </c>
    </row>
    <row r="82" spans="1:30" x14ac:dyDescent="0.2">
      <c r="A82" s="928">
        <v>558</v>
      </c>
      <c r="B82" s="928" t="s">
        <v>1144</v>
      </c>
      <c r="C82" s="968">
        <v>-121000</v>
      </c>
      <c r="D82" s="968">
        <v>-852399.15</v>
      </c>
      <c r="E82" s="968"/>
      <c r="F82" s="968">
        <f t="shared" si="27"/>
        <v>-852399.15</v>
      </c>
      <c r="G82" s="968">
        <v>-283000</v>
      </c>
      <c r="H82" s="968">
        <v>-283000</v>
      </c>
      <c r="I82" s="968">
        <v>-283000</v>
      </c>
      <c r="J82" s="968">
        <v>-301155.52</v>
      </c>
      <c r="K82" s="968"/>
      <c r="L82" s="968">
        <f t="shared" si="28"/>
        <v>-301155.52</v>
      </c>
      <c r="M82" s="974">
        <v>-302810</v>
      </c>
      <c r="N82" s="974">
        <v>-302810</v>
      </c>
      <c r="O82" s="974">
        <v>-302810</v>
      </c>
      <c r="P82" s="968">
        <v>-218559.37</v>
      </c>
      <c r="Q82" s="968"/>
      <c r="R82" s="968">
        <f t="shared" si="29"/>
        <v>-218559.37</v>
      </c>
      <c r="S82" s="968">
        <v>-320978</v>
      </c>
      <c r="T82" s="968">
        <v>-320978</v>
      </c>
      <c r="U82" s="968">
        <v>-320978</v>
      </c>
      <c r="V82" s="968">
        <v>-377577.3</v>
      </c>
      <c r="W82" s="968"/>
      <c r="X82" s="968">
        <f t="shared" si="31"/>
        <v>-377577.3</v>
      </c>
      <c r="Y82" s="1145">
        <v>-340236</v>
      </c>
      <c r="Z82" s="1145">
        <v>-340236</v>
      </c>
      <c r="AA82" s="1145">
        <v>-340236</v>
      </c>
      <c r="AB82" s="1145">
        <v>-466730.44</v>
      </c>
      <c r="AC82" s="1145"/>
      <c r="AD82" s="1145">
        <f t="shared" si="30"/>
        <v>-466730.44</v>
      </c>
    </row>
    <row r="83" spans="1:30" x14ac:dyDescent="0.2">
      <c r="A83" s="928">
        <v>561</v>
      </c>
      <c r="B83" s="928" t="s">
        <v>1145</v>
      </c>
      <c r="C83" s="968">
        <v>-187000</v>
      </c>
      <c r="D83" s="968">
        <v>-199107.66</v>
      </c>
      <c r="E83" s="968"/>
      <c r="F83" s="968">
        <f t="shared" si="27"/>
        <v>-199107.66</v>
      </c>
      <c r="G83" s="968">
        <v>-217000</v>
      </c>
      <c r="H83" s="968">
        <v>-217000</v>
      </c>
      <c r="I83" s="968">
        <v>-217000</v>
      </c>
      <c r="J83" s="968">
        <v>-176254.01</v>
      </c>
      <c r="K83" s="968"/>
      <c r="L83" s="968">
        <f t="shared" si="28"/>
        <v>-176254.01</v>
      </c>
      <c r="M83" s="974">
        <v>-232190</v>
      </c>
      <c r="N83" s="974">
        <v>-232190</v>
      </c>
      <c r="O83" s="974">
        <v>-232190</v>
      </c>
      <c r="P83" s="968">
        <v>-222761.73</v>
      </c>
      <c r="Q83" s="968"/>
      <c r="R83" s="968">
        <f t="shared" si="29"/>
        <v>-222761.73</v>
      </c>
      <c r="S83" s="968">
        <v>-246121</v>
      </c>
      <c r="T83" s="968">
        <v>-246121</v>
      </c>
      <c r="U83" s="968">
        <v>-246121</v>
      </c>
      <c r="V83" s="968">
        <v>-180760.14</v>
      </c>
      <c r="W83" s="968"/>
      <c r="X83" s="968">
        <f t="shared" si="31"/>
        <v>-180760.14</v>
      </c>
      <c r="Y83" s="1145">
        <v>-260888</v>
      </c>
      <c r="Z83" s="1145">
        <v>-260888</v>
      </c>
      <c r="AA83" s="1145">
        <v>-260888</v>
      </c>
      <c r="AB83" s="1145">
        <v>-113309.57</v>
      </c>
      <c r="AC83" s="1145"/>
      <c r="AD83" s="1145">
        <f t="shared" si="30"/>
        <v>-113309.57</v>
      </c>
    </row>
    <row r="84" spans="1:30" x14ac:dyDescent="0.2">
      <c r="A84" s="928">
        <v>564</v>
      </c>
      <c r="B84" s="928" t="s">
        <v>1146</v>
      </c>
      <c r="C84" s="968">
        <v>-8500</v>
      </c>
      <c r="D84" s="968">
        <v>-18667.97</v>
      </c>
      <c r="E84" s="968"/>
      <c r="F84" s="968">
        <f t="shared" si="27"/>
        <v>-18667.97</v>
      </c>
      <c r="G84" s="968">
        <v>-16000</v>
      </c>
      <c r="H84" s="968">
        <v>-16000</v>
      </c>
      <c r="I84" s="968">
        <v>-16000</v>
      </c>
      <c r="J84" s="968">
        <v>-10274.59</v>
      </c>
      <c r="K84" s="968"/>
      <c r="L84" s="968">
        <f t="shared" si="28"/>
        <v>-10274.59</v>
      </c>
      <c r="M84" s="974">
        <v>-17120</v>
      </c>
      <c r="N84" s="974">
        <v>-17120</v>
      </c>
      <c r="O84" s="974">
        <v>-17120</v>
      </c>
      <c r="P84" s="968">
        <v>-13279.71</v>
      </c>
      <c r="Q84" s="968"/>
      <c r="R84" s="968">
        <f t="shared" si="29"/>
        <v>-13279.71</v>
      </c>
      <c r="S84" s="968">
        <v>-18147</v>
      </c>
      <c r="T84" s="968">
        <v>-18147</v>
      </c>
      <c r="U84" s="968">
        <v>-18147</v>
      </c>
      <c r="V84" s="968">
        <v>-14161.48</v>
      </c>
      <c r="W84" s="968"/>
      <c r="X84" s="968">
        <f t="shared" si="31"/>
        <v>-14161.48</v>
      </c>
      <c r="Y84" s="1145">
        <v>-19235</v>
      </c>
      <c r="Z84" s="1145">
        <v>-19235</v>
      </c>
      <c r="AA84" s="1145">
        <v>-19235</v>
      </c>
      <c r="AB84" s="1145">
        <v>-12646.37</v>
      </c>
      <c r="AC84" s="1145"/>
      <c r="AD84" s="1145">
        <f t="shared" si="30"/>
        <v>-12646.37</v>
      </c>
    </row>
    <row r="85" spans="1:30" x14ac:dyDescent="0.2">
      <c r="A85" s="928"/>
      <c r="B85" s="928" t="s">
        <v>1089</v>
      </c>
      <c r="C85" s="1143">
        <f t="shared" ref="C85:P85" si="32">SUM(C58:C84)</f>
        <v>-4215760</v>
      </c>
      <c r="D85" s="1143">
        <f t="shared" si="32"/>
        <v>-5509961.04</v>
      </c>
      <c r="E85" s="1143">
        <f t="shared" si="32"/>
        <v>0</v>
      </c>
      <c r="F85" s="1143">
        <f t="shared" si="32"/>
        <v>-5509961.04</v>
      </c>
      <c r="G85" s="1143">
        <f t="shared" si="32"/>
        <v>-17479100</v>
      </c>
      <c r="H85" s="1143">
        <f>SUM(H58:H84)</f>
        <v>-17479100</v>
      </c>
      <c r="I85" s="1143">
        <f>SUM(I58:I84)</f>
        <v>-17479100</v>
      </c>
      <c r="J85" s="1143">
        <f>SUM(J58:J84)</f>
        <v>-12467133.729999999</v>
      </c>
      <c r="K85" s="1143">
        <f t="shared" si="32"/>
        <v>0</v>
      </c>
      <c r="L85" s="1143">
        <f t="shared" si="32"/>
        <v>-12467133.729999999</v>
      </c>
      <c r="M85" s="1144">
        <f t="shared" si="32"/>
        <v>-18002142</v>
      </c>
      <c r="N85" s="1144">
        <f>SUM(N58:N84)</f>
        <v>-18002142</v>
      </c>
      <c r="O85" s="1144">
        <f t="shared" si="32"/>
        <v>-18002142</v>
      </c>
      <c r="P85" s="1143">
        <f t="shared" si="32"/>
        <v>-17132411.23</v>
      </c>
      <c r="Q85" s="1143">
        <f>SUM(Q58:Q84)</f>
        <v>0</v>
      </c>
      <c r="R85" s="1143">
        <f>SUM(R58:R84)</f>
        <v>-17132411.23</v>
      </c>
      <c r="S85" s="1143">
        <f t="shared" ref="S85:AD85" si="33">SUM(S58:S84)</f>
        <v>-20482257</v>
      </c>
      <c r="T85" s="1143">
        <f t="shared" si="33"/>
        <v>-20482257</v>
      </c>
      <c r="U85" s="1143">
        <f t="shared" si="33"/>
        <v>-20482257</v>
      </c>
      <c r="V85" s="1143">
        <f t="shared" si="33"/>
        <v>-12973611.540000001</v>
      </c>
      <c r="W85" s="1143">
        <f t="shared" si="33"/>
        <v>0</v>
      </c>
      <c r="X85" s="1143">
        <f t="shared" si="33"/>
        <v>-12973611.540000001</v>
      </c>
      <c r="Y85" s="1341">
        <f t="shared" si="33"/>
        <v>-21711177</v>
      </c>
      <c r="Z85" s="1341">
        <f t="shared" si="33"/>
        <v>-19711177</v>
      </c>
      <c r="AA85" s="1341">
        <f t="shared" si="33"/>
        <v>-19711177</v>
      </c>
      <c r="AB85" s="1341">
        <f t="shared" si="33"/>
        <v>-12342191.979999999</v>
      </c>
      <c r="AC85" s="1341">
        <f t="shared" si="33"/>
        <v>0</v>
      </c>
      <c r="AD85" s="1341">
        <f t="shared" si="33"/>
        <v>-12342191.979999999</v>
      </c>
    </row>
    <row r="86" spans="1:30" x14ac:dyDescent="0.2">
      <c r="A86" s="928"/>
      <c r="B86" s="928"/>
      <c r="C86" s="968"/>
      <c r="D86" s="968"/>
      <c r="E86" s="968"/>
      <c r="F86" s="968"/>
      <c r="G86" s="968"/>
      <c r="H86" s="968"/>
      <c r="I86" s="968"/>
      <c r="J86" s="968"/>
      <c r="K86" s="968"/>
      <c r="L86" s="968"/>
      <c r="M86" s="974"/>
      <c r="N86" s="974"/>
      <c r="O86" s="974"/>
      <c r="P86" s="968"/>
      <c r="Q86" s="968"/>
      <c r="R86" s="968"/>
      <c r="S86" s="968"/>
      <c r="T86" s="968"/>
      <c r="U86" s="968"/>
      <c r="V86" s="968"/>
      <c r="W86" s="968"/>
      <c r="X86" s="968"/>
      <c r="Y86" s="1145"/>
      <c r="Z86" s="1145"/>
      <c r="AA86" s="1145"/>
      <c r="AB86" s="1145"/>
      <c r="AC86" s="1145"/>
      <c r="AD86" s="1145"/>
    </row>
    <row r="87" spans="1:30" x14ac:dyDescent="0.2">
      <c r="A87" s="928">
        <v>800</v>
      </c>
      <c r="B87" s="928" t="s">
        <v>1147</v>
      </c>
      <c r="C87" s="968"/>
      <c r="D87" s="968"/>
      <c r="E87" s="968"/>
      <c r="F87" s="968"/>
      <c r="G87" s="968"/>
      <c r="H87" s="968"/>
      <c r="I87" s="968"/>
      <c r="J87" s="968"/>
      <c r="K87" s="968"/>
      <c r="L87" s="968"/>
      <c r="M87" s="974"/>
      <c r="N87" s="974"/>
      <c r="O87" s="974"/>
      <c r="P87" s="968"/>
      <c r="Q87" s="968"/>
      <c r="R87" s="968"/>
      <c r="S87" s="968"/>
      <c r="T87" s="968"/>
      <c r="U87" s="968"/>
      <c r="V87" s="968"/>
      <c r="W87" s="968"/>
      <c r="X87" s="968"/>
      <c r="Y87" s="1145"/>
      <c r="Z87" s="1145"/>
      <c r="AA87" s="1145"/>
      <c r="AB87" s="1145"/>
      <c r="AC87" s="1145"/>
      <c r="AD87" s="1145"/>
    </row>
    <row r="88" spans="1:30" x14ac:dyDescent="0.2">
      <c r="A88" s="928"/>
      <c r="B88" s="928"/>
      <c r="C88" s="968"/>
      <c r="D88" s="968"/>
      <c r="E88" s="968"/>
      <c r="F88" s="968"/>
      <c r="G88" s="968"/>
      <c r="H88" s="968"/>
      <c r="I88" s="968"/>
      <c r="J88" s="968"/>
      <c r="K88" s="968"/>
      <c r="L88" s="968"/>
      <c r="M88" s="974"/>
      <c r="N88" s="974"/>
      <c r="O88" s="974"/>
      <c r="P88" s="968"/>
      <c r="Q88" s="968"/>
      <c r="R88" s="968"/>
      <c r="S88" s="968"/>
      <c r="T88" s="968"/>
      <c r="U88" s="968"/>
      <c r="V88" s="968"/>
      <c r="W88" s="968"/>
      <c r="X88" s="968"/>
      <c r="Y88" s="1145"/>
      <c r="Z88" s="1145"/>
      <c r="AA88" s="1145"/>
      <c r="AB88" s="1145"/>
      <c r="AC88" s="1145"/>
      <c r="AD88" s="1145"/>
    </row>
    <row r="89" spans="1:30" x14ac:dyDescent="0.2">
      <c r="A89" s="928">
        <v>701</v>
      </c>
      <c r="B89" s="928" t="s">
        <v>1148</v>
      </c>
      <c r="C89" s="968">
        <v>-8000000</v>
      </c>
      <c r="D89" s="968">
        <v>-24554093.219999999</v>
      </c>
      <c r="E89" s="968"/>
      <c r="F89" s="968">
        <f>D89+E89</f>
        <v>-24554093.219999999</v>
      </c>
      <c r="G89" s="968">
        <v>-8677285</v>
      </c>
      <c r="H89" s="968">
        <v>-8677285</v>
      </c>
      <c r="I89" s="968">
        <v>-8677285</v>
      </c>
      <c r="J89" s="968">
        <f>-23016234.89-445.2</f>
        <v>-23016680.09</v>
      </c>
      <c r="K89" s="968"/>
      <c r="L89" s="968">
        <f>J89+K89</f>
        <v>-23016680.09</v>
      </c>
      <c r="M89" s="974">
        <v>-12500000</v>
      </c>
      <c r="N89" s="974">
        <v>-12500000</v>
      </c>
      <c r="O89" s="974">
        <v>-12500000</v>
      </c>
      <c r="P89" s="968">
        <v>-30546748.059999999</v>
      </c>
      <c r="Q89" s="968"/>
      <c r="R89" s="968">
        <f>P89+Q89</f>
        <v>-30546748.059999999</v>
      </c>
      <c r="S89" s="968">
        <v>-23000000</v>
      </c>
      <c r="T89" s="968">
        <v>-23000000</v>
      </c>
      <c r="U89" s="968">
        <v>-23000000</v>
      </c>
      <c r="V89" s="968">
        <f>-35098801.51-621856.54</f>
        <v>-35720658.049999997</v>
      </c>
      <c r="W89" s="968"/>
      <c r="X89" s="968">
        <f t="shared" si="31"/>
        <v>-35720658.049999997</v>
      </c>
      <c r="Y89" s="1145">
        <v>-31000000</v>
      </c>
      <c r="Z89" s="1145">
        <v>-37000000</v>
      </c>
      <c r="AA89" s="1145">
        <v>-37000000</v>
      </c>
      <c r="AB89" s="1145">
        <v>-27592761.699999999</v>
      </c>
      <c r="AC89" s="1145"/>
      <c r="AD89" s="1145">
        <f>AB89+AC89</f>
        <v>-27592761.699999999</v>
      </c>
    </row>
    <row r="90" spans="1:30" x14ac:dyDescent="0.2">
      <c r="A90" s="928"/>
      <c r="B90" s="928" t="s">
        <v>1089</v>
      </c>
      <c r="C90" s="1143">
        <f t="shared" ref="C90:P90" si="34">SUM(C89)</f>
        <v>-8000000</v>
      </c>
      <c r="D90" s="1143">
        <f t="shared" si="34"/>
        <v>-24554093.219999999</v>
      </c>
      <c r="E90" s="1143">
        <f t="shared" si="34"/>
        <v>0</v>
      </c>
      <c r="F90" s="1143">
        <f t="shared" si="34"/>
        <v>-24554093.219999999</v>
      </c>
      <c r="G90" s="1143">
        <f t="shared" si="34"/>
        <v>-8677285</v>
      </c>
      <c r="H90" s="1143">
        <f t="shared" si="34"/>
        <v>-8677285</v>
      </c>
      <c r="I90" s="1143">
        <f t="shared" si="34"/>
        <v>-8677285</v>
      </c>
      <c r="J90" s="1143">
        <f t="shared" si="34"/>
        <v>-23016680.09</v>
      </c>
      <c r="K90" s="1143">
        <f t="shared" si="34"/>
        <v>0</v>
      </c>
      <c r="L90" s="1143">
        <f t="shared" si="34"/>
        <v>-23016680.09</v>
      </c>
      <c r="M90" s="1144">
        <f t="shared" si="34"/>
        <v>-12500000</v>
      </c>
      <c r="N90" s="1144">
        <f>SUM(N89)</f>
        <v>-12500000</v>
      </c>
      <c r="O90" s="1144">
        <f t="shared" si="34"/>
        <v>-12500000</v>
      </c>
      <c r="P90" s="1143">
        <f t="shared" si="34"/>
        <v>-30546748.059999999</v>
      </c>
      <c r="Q90" s="1143">
        <f>SUM(Q89)</f>
        <v>0</v>
      </c>
      <c r="R90" s="1143">
        <f>SUM(R89)</f>
        <v>-30546748.059999999</v>
      </c>
      <c r="S90" s="1143">
        <f t="shared" ref="S90:AD90" si="35">SUM(S89)</f>
        <v>-23000000</v>
      </c>
      <c r="T90" s="1143">
        <f t="shared" si="35"/>
        <v>-23000000</v>
      </c>
      <c r="U90" s="1143">
        <f t="shared" si="35"/>
        <v>-23000000</v>
      </c>
      <c r="V90" s="1143">
        <f t="shared" si="35"/>
        <v>-35720658.049999997</v>
      </c>
      <c r="W90" s="1143">
        <f t="shared" si="35"/>
        <v>0</v>
      </c>
      <c r="X90" s="1143">
        <f t="shared" si="35"/>
        <v>-35720658.049999997</v>
      </c>
      <c r="Y90" s="1341">
        <f t="shared" si="35"/>
        <v>-31000000</v>
      </c>
      <c r="Z90" s="1341">
        <f t="shared" si="35"/>
        <v>-37000000</v>
      </c>
      <c r="AA90" s="1341">
        <f t="shared" si="35"/>
        <v>-37000000</v>
      </c>
      <c r="AB90" s="1341">
        <f t="shared" si="35"/>
        <v>-27592761.699999999</v>
      </c>
      <c r="AC90" s="1341">
        <f t="shared" si="35"/>
        <v>0</v>
      </c>
      <c r="AD90" s="1341">
        <f t="shared" si="35"/>
        <v>-27592761.699999999</v>
      </c>
    </row>
    <row r="91" spans="1:30" x14ac:dyDescent="0.2">
      <c r="A91" s="928"/>
      <c r="B91" s="928"/>
      <c r="C91" s="968"/>
      <c r="D91" s="968"/>
      <c r="E91" s="968"/>
      <c r="F91" s="968"/>
      <c r="G91" s="968"/>
      <c r="H91" s="968"/>
      <c r="I91" s="968"/>
      <c r="J91" s="968"/>
      <c r="K91" s="968"/>
      <c r="L91" s="968"/>
      <c r="M91" s="974"/>
      <c r="N91" s="974"/>
      <c r="O91" s="974"/>
      <c r="P91" s="968"/>
      <c r="Q91" s="968"/>
      <c r="R91" s="968"/>
      <c r="S91" s="968"/>
      <c r="T91" s="968"/>
      <c r="U91" s="968"/>
      <c r="V91" s="968"/>
      <c r="W91" s="968"/>
      <c r="X91" s="968"/>
      <c r="Y91" s="1145"/>
      <c r="Z91" s="1145"/>
      <c r="AA91" s="1145"/>
      <c r="AB91" s="1145"/>
      <c r="AC91" s="1145"/>
      <c r="AD91" s="1145"/>
    </row>
    <row r="92" spans="1:30" x14ac:dyDescent="0.2">
      <c r="A92" s="928">
        <v>1000</v>
      </c>
      <c r="B92" s="928" t="s">
        <v>1149</v>
      </c>
      <c r="C92" s="968"/>
      <c r="D92" s="968"/>
      <c r="E92" s="968"/>
      <c r="F92" s="968"/>
      <c r="G92" s="968"/>
      <c r="H92" s="968"/>
      <c r="I92" s="968"/>
      <c r="J92" s="968"/>
      <c r="K92" s="968"/>
      <c r="L92" s="968"/>
      <c r="M92" s="974"/>
      <c r="N92" s="974"/>
      <c r="O92" s="974"/>
      <c r="P92" s="968"/>
      <c r="Q92" s="968"/>
      <c r="R92" s="968"/>
      <c r="S92" s="968"/>
      <c r="T92" s="968"/>
      <c r="U92" s="968"/>
      <c r="V92" s="968"/>
      <c r="W92" s="968"/>
      <c r="X92" s="968"/>
      <c r="Y92" s="1145"/>
      <c r="Z92" s="1145"/>
      <c r="AA92" s="1145"/>
      <c r="AB92" s="1145"/>
      <c r="AC92" s="1145"/>
      <c r="AD92" s="1145"/>
    </row>
    <row r="93" spans="1:30" x14ac:dyDescent="0.2">
      <c r="A93" s="928"/>
      <c r="B93" s="928"/>
      <c r="C93" s="968"/>
      <c r="D93" s="968"/>
      <c r="E93" s="968"/>
      <c r="F93" s="968"/>
      <c r="G93" s="968"/>
      <c r="H93" s="968"/>
      <c r="I93" s="968"/>
      <c r="J93" s="968"/>
      <c r="K93" s="968"/>
      <c r="L93" s="968"/>
      <c r="M93" s="974"/>
      <c r="N93" s="974"/>
      <c r="O93" s="974"/>
      <c r="P93" s="968"/>
      <c r="Q93" s="968"/>
      <c r="R93" s="968"/>
      <c r="S93" s="968"/>
      <c r="T93" s="968"/>
      <c r="U93" s="968"/>
      <c r="V93" s="968"/>
      <c r="W93" s="968"/>
      <c r="X93" s="968"/>
      <c r="Y93" s="1145"/>
      <c r="Z93" s="1145"/>
      <c r="AA93" s="1145"/>
      <c r="AB93" s="1145"/>
      <c r="AC93" s="1145"/>
      <c r="AD93" s="1145"/>
    </row>
    <row r="94" spans="1:30" x14ac:dyDescent="0.2">
      <c r="A94" s="928">
        <v>901</v>
      </c>
      <c r="B94" s="928" t="s">
        <v>1150</v>
      </c>
      <c r="C94" s="968">
        <v>-20000000</v>
      </c>
      <c r="D94" s="968">
        <v>-14916653.07</v>
      </c>
      <c r="E94" s="968"/>
      <c r="F94" s="968">
        <f>D94+E94</f>
        <v>-14916653.07</v>
      </c>
      <c r="G94" s="968">
        <v>-25000000</v>
      </c>
      <c r="H94" s="968">
        <v>-25000000</v>
      </c>
      <c r="I94" s="968">
        <v>-25000000</v>
      </c>
      <c r="J94" s="968">
        <v>-7377256.9800000004</v>
      </c>
      <c r="K94" s="968"/>
      <c r="L94" s="968">
        <f>J94+K94</f>
        <v>-7377256.9800000004</v>
      </c>
      <c r="M94" s="974">
        <v>-18000000</v>
      </c>
      <c r="N94" s="974">
        <v>-18000000</v>
      </c>
      <c r="O94" s="974">
        <v>-18000000</v>
      </c>
      <c r="P94" s="968">
        <f>-51075007.53-227415.84</f>
        <v>-51302423.370000005</v>
      </c>
      <c r="Q94" s="968"/>
      <c r="R94" s="968">
        <f>P94+Q94</f>
        <v>-51302423.370000005</v>
      </c>
      <c r="S94" s="968">
        <v>-30000000</v>
      </c>
      <c r="T94" s="968">
        <v>-30000000</v>
      </c>
      <c r="U94" s="968">
        <v>-30000000</v>
      </c>
      <c r="V94" s="968">
        <v>-45797675.810000002</v>
      </c>
      <c r="W94" s="968"/>
      <c r="X94" s="968">
        <f t="shared" si="31"/>
        <v>-45797675.810000002</v>
      </c>
      <c r="Y94" s="1145">
        <v>-31800000</v>
      </c>
      <c r="Z94" s="1145">
        <v>-25800000</v>
      </c>
      <c r="AA94" s="1145">
        <v>-25800000</v>
      </c>
      <c r="AB94" s="1145">
        <v>-54307169.009999998</v>
      </c>
      <c r="AC94" s="1145"/>
      <c r="AD94" s="1145">
        <f>AB94+AC94</f>
        <v>-54307169.009999998</v>
      </c>
    </row>
    <row r="95" spans="1:30" x14ac:dyDescent="0.2">
      <c r="A95" s="928">
        <v>902</v>
      </c>
      <c r="B95" s="928" t="s">
        <v>1151</v>
      </c>
      <c r="C95" s="968">
        <v>-67000</v>
      </c>
      <c r="D95" s="968">
        <v>-2761837.91</v>
      </c>
      <c r="E95" s="968"/>
      <c r="F95" s="968">
        <f>D95+E95</f>
        <v>-2761837.91</v>
      </c>
      <c r="G95" s="968"/>
      <c r="H95" s="968"/>
      <c r="I95" s="968"/>
      <c r="J95" s="968">
        <v>0</v>
      </c>
      <c r="K95" s="968"/>
      <c r="L95" s="968">
        <f>J95+K95</f>
        <v>0</v>
      </c>
      <c r="M95" s="974"/>
      <c r="N95" s="974"/>
      <c r="O95" s="974"/>
      <c r="P95" s="968">
        <v>0</v>
      </c>
      <c r="Q95" s="968"/>
      <c r="R95" s="968">
        <f>P95+Q95</f>
        <v>0</v>
      </c>
      <c r="S95" s="968"/>
      <c r="T95" s="968"/>
      <c r="U95" s="968"/>
      <c r="V95" s="968"/>
      <c r="W95" s="968"/>
      <c r="X95" s="968">
        <f t="shared" si="31"/>
        <v>0</v>
      </c>
      <c r="Y95" s="1145"/>
      <c r="Z95" s="1145">
        <v>0</v>
      </c>
      <c r="AA95" s="1145"/>
      <c r="AB95" s="1145"/>
      <c r="AC95" s="1145"/>
      <c r="AD95" s="1145">
        <f>AB95+AC95</f>
        <v>0</v>
      </c>
    </row>
    <row r="96" spans="1:30" x14ac:dyDescent="0.2">
      <c r="A96" s="928">
        <v>906</v>
      </c>
      <c r="B96" s="928" t="s">
        <v>1152</v>
      </c>
      <c r="C96" s="968">
        <v>0</v>
      </c>
      <c r="D96" s="968">
        <v>0</v>
      </c>
      <c r="E96" s="968"/>
      <c r="F96" s="968">
        <f>D96+E96</f>
        <v>0</v>
      </c>
      <c r="G96" s="968"/>
      <c r="H96" s="968"/>
      <c r="I96" s="968"/>
      <c r="J96" s="968">
        <v>0</v>
      </c>
      <c r="K96" s="968"/>
      <c r="L96" s="968">
        <f>J96+K96</f>
        <v>0</v>
      </c>
      <c r="M96" s="974"/>
      <c r="N96" s="974"/>
      <c r="O96" s="974"/>
      <c r="P96" s="968">
        <v>0</v>
      </c>
      <c r="Q96" s="968"/>
      <c r="R96" s="968">
        <f>P96+Q96</f>
        <v>0</v>
      </c>
      <c r="S96" s="968"/>
      <c r="T96" s="968"/>
      <c r="U96" s="968"/>
      <c r="V96" s="968"/>
      <c r="W96" s="968"/>
      <c r="X96" s="968">
        <f t="shared" si="31"/>
        <v>0</v>
      </c>
      <c r="Y96" s="1145"/>
      <c r="Z96" s="1145">
        <v>0</v>
      </c>
      <c r="AA96" s="1145"/>
      <c r="AB96" s="1145"/>
      <c r="AC96" s="1145"/>
      <c r="AD96" s="1145">
        <f>AB96+AC96</f>
        <v>0</v>
      </c>
    </row>
    <row r="97" spans="1:30" x14ac:dyDescent="0.2">
      <c r="A97" s="928"/>
      <c r="B97" s="928" t="s">
        <v>1089</v>
      </c>
      <c r="C97" s="1143">
        <f t="shared" ref="C97:P97" si="36">SUM(C94:C96)</f>
        <v>-20067000</v>
      </c>
      <c r="D97" s="1143">
        <f t="shared" si="36"/>
        <v>-17678490.98</v>
      </c>
      <c r="E97" s="1143">
        <f t="shared" si="36"/>
        <v>0</v>
      </c>
      <c r="F97" s="1143">
        <f t="shared" si="36"/>
        <v>-17678490.98</v>
      </c>
      <c r="G97" s="1143">
        <f t="shared" si="36"/>
        <v>-25000000</v>
      </c>
      <c r="H97" s="1143">
        <f t="shared" si="36"/>
        <v>-25000000</v>
      </c>
      <c r="I97" s="1143">
        <f t="shared" si="36"/>
        <v>-25000000</v>
      </c>
      <c r="J97" s="1143">
        <f t="shared" si="36"/>
        <v>-7377256.9800000004</v>
      </c>
      <c r="K97" s="1143">
        <f t="shared" si="36"/>
        <v>0</v>
      </c>
      <c r="L97" s="1143">
        <f t="shared" si="36"/>
        <v>-7377256.9800000004</v>
      </c>
      <c r="M97" s="1144">
        <f t="shared" si="36"/>
        <v>-18000000</v>
      </c>
      <c r="N97" s="1144">
        <f>SUM(N94:N96)</f>
        <v>-18000000</v>
      </c>
      <c r="O97" s="1144">
        <f t="shared" si="36"/>
        <v>-18000000</v>
      </c>
      <c r="P97" s="1143">
        <f t="shared" si="36"/>
        <v>-51302423.370000005</v>
      </c>
      <c r="Q97" s="1143">
        <f>SUM(Q94:Q96)</f>
        <v>0</v>
      </c>
      <c r="R97" s="1143">
        <f>SUM(R94:R96)</f>
        <v>-51302423.370000005</v>
      </c>
      <c r="S97" s="1143">
        <f t="shared" ref="S97:AD97" si="37">SUM(S94:S96)</f>
        <v>-30000000</v>
      </c>
      <c r="T97" s="1143">
        <f t="shared" si="37"/>
        <v>-30000000</v>
      </c>
      <c r="U97" s="1143">
        <f t="shared" si="37"/>
        <v>-30000000</v>
      </c>
      <c r="V97" s="1143">
        <f t="shared" si="37"/>
        <v>-45797675.810000002</v>
      </c>
      <c r="W97" s="1143">
        <f t="shared" si="37"/>
        <v>0</v>
      </c>
      <c r="X97" s="1143">
        <f t="shared" si="37"/>
        <v>-45797675.810000002</v>
      </c>
      <c r="Y97" s="1341">
        <f t="shared" si="37"/>
        <v>-31800000</v>
      </c>
      <c r="Z97" s="1341">
        <f t="shared" si="37"/>
        <v>-25800000</v>
      </c>
      <c r="AA97" s="1341">
        <f t="shared" si="37"/>
        <v>-25800000</v>
      </c>
      <c r="AB97" s="1341">
        <f t="shared" si="37"/>
        <v>-54307169.009999998</v>
      </c>
      <c r="AC97" s="1341">
        <f t="shared" si="37"/>
        <v>0</v>
      </c>
      <c r="AD97" s="1341">
        <f t="shared" si="37"/>
        <v>-54307169.009999998</v>
      </c>
    </row>
    <row r="98" spans="1:30" x14ac:dyDescent="0.2">
      <c r="A98" s="928"/>
      <c r="B98" s="928"/>
      <c r="C98" s="968"/>
      <c r="D98" s="968"/>
      <c r="E98" s="968"/>
      <c r="F98" s="968"/>
      <c r="G98" s="968"/>
      <c r="H98" s="968"/>
      <c r="I98" s="968"/>
      <c r="J98" s="968"/>
      <c r="K98" s="968"/>
      <c r="L98" s="968"/>
      <c r="M98" s="974"/>
      <c r="N98" s="974"/>
      <c r="O98" s="974"/>
      <c r="P98" s="968"/>
      <c r="Q98" s="968"/>
      <c r="R98" s="968"/>
      <c r="S98" s="968"/>
      <c r="T98" s="968"/>
      <c r="U98" s="968"/>
      <c r="V98" s="968"/>
      <c r="W98" s="968"/>
      <c r="X98" s="968"/>
      <c r="Y98" s="1145"/>
      <c r="Z98" s="1145"/>
      <c r="AA98" s="1145"/>
      <c r="AB98" s="1145"/>
      <c r="AC98" s="1145"/>
      <c r="AD98" s="1145"/>
    </row>
    <row r="99" spans="1:30" x14ac:dyDescent="0.2">
      <c r="A99" s="928">
        <v>1300</v>
      </c>
      <c r="B99" s="928" t="s">
        <v>10</v>
      </c>
      <c r="C99" s="968"/>
      <c r="D99" s="968"/>
      <c r="E99" s="968"/>
      <c r="F99" s="968"/>
      <c r="G99" s="968"/>
      <c r="H99" s="968"/>
      <c r="I99" s="968"/>
      <c r="J99" s="968"/>
      <c r="K99" s="968"/>
      <c r="L99" s="968"/>
      <c r="M99" s="974"/>
      <c r="N99" s="974"/>
      <c r="O99" s="974"/>
      <c r="P99" s="968"/>
      <c r="Q99" s="968"/>
      <c r="R99" s="968"/>
      <c r="S99" s="968"/>
      <c r="T99" s="968"/>
      <c r="U99" s="968"/>
      <c r="V99" s="968"/>
      <c r="W99" s="968"/>
      <c r="X99" s="968"/>
      <c r="Y99" s="1145"/>
      <c r="Z99" s="1145"/>
      <c r="AA99" s="1145"/>
      <c r="AB99" s="1145"/>
      <c r="AC99" s="1145"/>
      <c r="AD99" s="1145"/>
    </row>
    <row r="100" spans="1:30" x14ac:dyDescent="0.2">
      <c r="A100" s="928"/>
      <c r="B100" s="928"/>
      <c r="C100" s="968"/>
      <c r="D100" s="968"/>
      <c r="E100" s="968"/>
      <c r="F100" s="968"/>
      <c r="G100" s="968"/>
      <c r="H100" s="968"/>
      <c r="I100" s="968"/>
      <c r="J100" s="968"/>
      <c r="K100" s="968"/>
      <c r="L100" s="968"/>
      <c r="M100" s="974"/>
      <c r="N100" s="974"/>
      <c r="O100" s="974"/>
      <c r="P100" s="968"/>
      <c r="Q100" s="968"/>
      <c r="R100" s="968"/>
      <c r="S100" s="968"/>
      <c r="T100" s="968"/>
      <c r="U100" s="968"/>
      <c r="V100" s="968"/>
      <c r="W100" s="968"/>
      <c r="X100" s="968"/>
      <c r="Y100" s="1145"/>
      <c r="Z100" s="1145"/>
      <c r="AA100" s="1145"/>
      <c r="AB100" s="1145"/>
      <c r="AC100" s="1145"/>
      <c r="AD100" s="1145"/>
    </row>
    <row r="101" spans="1:30" x14ac:dyDescent="0.2">
      <c r="A101" s="928">
        <v>1301</v>
      </c>
      <c r="B101" s="928" t="s">
        <v>10</v>
      </c>
      <c r="C101" s="968">
        <v>-5135700</v>
      </c>
      <c r="D101" s="968">
        <v>-4496561.6900000004</v>
      </c>
      <c r="E101" s="968"/>
      <c r="F101" s="968">
        <f>D101+E101</f>
        <v>-4496561.6900000004</v>
      </c>
      <c r="G101" s="968">
        <v>-5689000</v>
      </c>
      <c r="H101" s="968">
        <f>-5688999-1</f>
        <v>-5689000</v>
      </c>
      <c r="I101" s="968">
        <f>-5688999-1</f>
        <v>-5689000</v>
      </c>
      <c r="J101" s="968">
        <v>-2626889.42</v>
      </c>
      <c r="K101" s="968"/>
      <c r="L101" s="968">
        <f>J101+K101</f>
        <v>-2626889.42</v>
      </c>
      <c r="M101" s="974">
        <v>-6087320</v>
      </c>
      <c r="N101" s="974">
        <v>-6087320</v>
      </c>
      <c r="O101" s="974">
        <v>-6087320</v>
      </c>
      <c r="P101" s="968">
        <f>-2789373.74-9557190</f>
        <v>-12346563.74</v>
      </c>
      <c r="Q101" s="968"/>
      <c r="R101" s="968">
        <f>P101+Q101</f>
        <v>-12346563.74</v>
      </c>
      <c r="S101" s="968">
        <v>-10752559</v>
      </c>
      <c r="T101" s="968">
        <v>-10752559</v>
      </c>
      <c r="U101" s="968">
        <v>-10752559</v>
      </c>
      <c r="V101" s="968">
        <f>-2425137.2-7421360</f>
        <v>-9846497.1999999993</v>
      </c>
      <c r="W101" s="968"/>
      <c r="X101" s="968">
        <f t="shared" si="31"/>
        <v>-9846497.1999999993</v>
      </c>
      <c r="Y101" s="1145">
        <v>-13725784</v>
      </c>
      <c r="Z101" s="1145">
        <v>-13725784</v>
      </c>
      <c r="AA101" s="1145">
        <v>-13725784</v>
      </c>
      <c r="AB101" s="1145">
        <f>-3723564.78-6072300-7332720</f>
        <v>-17128584.780000001</v>
      </c>
      <c r="AC101" s="1145"/>
      <c r="AD101" s="1145">
        <f>AB101+AC101</f>
        <v>-17128584.780000001</v>
      </c>
    </row>
    <row r="102" spans="1:30" x14ac:dyDescent="0.2">
      <c r="A102" s="928"/>
      <c r="B102" s="928" t="s">
        <v>1089</v>
      </c>
      <c r="C102" s="1143">
        <f t="shared" ref="C102:P102" si="38">SUM(C101)</f>
        <v>-5135700</v>
      </c>
      <c r="D102" s="1143">
        <f t="shared" si="38"/>
        <v>-4496561.6900000004</v>
      </c>
      <c r="E102" s="1143">
        <f t="shared" si="38"/>
        <v>0</v>
      </c>
      <c r="F102" s="1143">
        <f t="shared" si="38"/>
        <v>-4496561.6900000004</v>
      </c>
      <c r="G102" s="1143">
        <f t="shared" si="38"/>
        <v>-5689000</v>
      </c>
      <c r="H102" s="1143">
        <f>SUM(H101)</f>
        <v>-5689000</v>
      </c>
      <c r="I102" s="1143">
        <f>SUM(I101)</f>
        <v>-5689000</v>
      </c>
      <c r="J102" s="1143">
        <f t="shared" si="38"/>
        <v>-2626889.42</v>
      </c>
      <c r="K102" s="1143">
        <f t="shared" si="38"/>
        <v>0</v>
      </c>
      <c r="L102" s="1143">
        <f t="shared" si="38"/>
        <v>-2626889.42</v>
      </c>
      <c r="M102" s="1144">
        <f t="shared" si="38"/>
        <v>-6087320</v>
      </c>
      <c r="N102" s="1144">
        <f>SUM(N101)</f>
        <v>-6087320</v>
      </c>
      <c r="O102" s="1144">
        <f t="shared" si="38"/>
        <v>-6087320</v>
      </c>
      <c r="P102" s="1143">
        <f t="shared" si="38"/>
        <v>-12346563.74</v>
      </c>
      <c r="Q102" s="1143">
        <f>SUM(Q101)</f>
        <v>0</v>
      </c>
      <c r="R102" s="1143">
        <f>SUM(R101)</f>
        <v>-12346563.74</v>
      </c>
      <c r="S102" s="1143">
        <f t="shared" ref="S102:AD102" si="39">SUM(S101)</f>
        <v>-10752559</v>
      </c>
      <c r="T102" s="1143">
        <f t="shared" si="39"/>
        <v>-10752559</v>
      </c>
      <c r="U102" s="1143">
        <f t="shared" si="39"/>
        <v>-10752559</v>
      </c>
      <c r="V102" s="1143">
        <f t="shared" si="39"/>
        <v>-9846497.1999999993</v>
      </c>
      <c r="W102" s="1143">
        <f t="shared" si="39"/>
        <v>0</v>
      </c>
      <c r="X102" s="1143">
        <f t="shared" si="39"/>
        <v>-9846497.1999999993</v>
      </c>
      <c r="Y102" s="1341">
        <f t="shared" si="39"/>
        <v>-13725784</v>
      </c>
      <c r="Z102" s="1341">
        <f t="shared" si="39"/>
        <v>-13725784</v>
      </c>
      <c r="AA102" s="1341">
        <f t="shared" si="39"/>
        <v>-13725784</v>
      </c>
      <c r="AB102" s="1341">
        <f t="shared" si="39"/>
        <v>-17128584.780000001</v>
      </c>
      <c r="AC102" s="1341">
        <f t="shared" si="39"/>
        <v>0</v>
      </c>
      <c r="AD102" s="1341">
        <f t="shared" si="39"/>
        <v>-17128584.780000001</v>
      </c>
    </row>
    <row r="103" spans="1:30" x14ac:dyDescent="0.2">
      <c r="A103" s="928"/>
      <c r="B103" s="928"/>
      <c r="C103" s="968"/>
      <c r="D103" s="968"/>
      <c r="E103" s="968"/>
      <c r="F103" s="968"/>
      <c r="G103" s="968"/>
      <c r="H103" s="968"/>
      <c r="I103" s="968"/>
      <c r="J103" s="968"/>
      <c r="K103" s="968"/>
      <c r="L103" s="968"/>
      <c r="M103" s="974"/>
      <c r="N103" s="974"/>
      <c r="O103" s="974"/>
      <c r="P103" s="968"/>
      <c r="Q103" s="968"/>
      <c r="R103" s="968"/>
      <c r="S103" s="968"/>
      <c r="T103" s="968"/>
      <c r="U103" s="968"/>
      <c r="V103" s="968"/>
      <c r="W103" s="968"/>
      <c r="X103" s="968"/>
      <c r="Y103" s="1145"/>
      <c r="Z103" s="1145"/>
      <c r="AA103" s="1145"/>
      <c r="AB103" s="1145"/>
      <c r="AC103" s="1145"/>
      <c r="AD103" s="1145"/>
    </row>
    <row r="104" spans="1:30" x14ac:dyDescent="0.2">
      <c r="A104" s="928">
        <v>1400</v>
      </c>
      <c r="B104" s="928" t="s">
        <v>1153</v>
      </c>
      <c r="C104" s="968"/>
      <c r="D104" s="968"/>
      <c r="E104" s="968"/>
      <c r="F104" s="968"/>
      <c r="G104" s="968"/>
      <c r="H104" s="968"/>
      <c r="I104" s="968"/>
      <c r="J104" s="968"/>
      <c r="K104" s="968"/>
      <c r="L104" s="968"/>
      <c r="M104" s="974"/>
      <c r="N104" s="974"/>
      <c r="O104" s="974"/>
      <c r="P104" s="968"/>
      <c r="Q104" s="968"/>
      <c r="R104" s="968"/>
      <c r="S104" s="968"/>
      <c r="T104" s="968"/>
      <c r="U104" s="968"/>
      <c r="V104" s="968"/>
      <c r="W104" s="968"/>
      <c r="X104" s="968"/>
      <c r="Y104" s="1145"/>
      <c r="Z104" s="1145"/>
      <c r="AA104" s="1145"/>
      <c r="AB104" s="1145"/>
      <c r="AC104" s="1145"/>
      <c r="AD104" s="1145"/>
    </row>
    <row r="105" spans="1:30" x14ac:dyDescent="0.2">
      <c r="A105" s="928"/>
      <c r="B105" s="928"/>
      <c r="C105" s="968"/>
      <c r="D105" s="968"/>
      <c r="E105" s="968"/>
      <c r="F105" s="968"/>
      <c r="G105" s="968"/>
      <c r="H105" s="968"/>
      <c r="I105" s="968"/>
      <c r="J105" s="968"/>
      <c r="K105" s="968"/>
      <c r="L105" s="968"/>
      <c r="M105" s="974"/>
      <c r="N105" s="974"/>
      <c r="O105" s="974"/>
      <c r="P105" s="968"/>
      <c r="Q105" s="968"/>
      <c r="R105" s="968"/>
      <c r="S105" s="968"/>
      <c r="T105" s="968"/>
      <c r="U105" s="968"/>
      <c r="V105" s="968"/>
      <c r="W105" s="968"/>
      <c r="X105" s="968"/>
      <c r="Y105" s="1145"/>
      <c r="Z105" s="1145"/>
      <c r="AA105" s="1145"/>
      <c r="AB105" s="1145"/>
      <c r="AC105" s="1145"/>
      <c r="AD105" s="1145"/>
    </row>
    <row r="106" spans="1:30" x14ac:dyDescent="0.2">
      <c r="A106" s="928">
        <v>1501</v>
      </c>
      <c r="B106" s="928" t="s">
        <v>1154</v>
      </c>
      <c r="C106" s="968">
        <v>-5352000</v>
      </c>
      <c r="D106" s="968">
        <v>-4675433.5</v>
      </c>
      <c r="E106" s="968"/>
      <c r="F106" s="968">
        <f t="shared" ref="F106:F116" si="40">D106+E106</f>
        <v>-4675433.5</v>
      </c>
      <c r="G106" s="968">
        <v>-4690000</v>
      </c>
      <c r="H106" s="968">
        <v>-4690000</v>
      </c>
      <c r="I106" s="968">
        <v>-4690000</v>
      </c>
      <c r="J106" s="968">
        <v>-4654510.1399999997</v>
      </c>
      <c r="K106" s="968"/>
      <c r="L106" s="968">
        <f t="shared" ref="L106:L116" si="41">J106+K106</f>
        <v>-4654510.1399999997</v>
      </c>
      <c r="M106" s="974">
        <v>-5018300</v>
      </c>
      <c r="N106" s="974">
        <v>-5018300</v>
      </c>
      <c r="O106" s="974">
        <v>-5018300</v>
      </c>
      <c r="P106" s="968">
        <v>-4733318.8499999996</v>
      </c>
      <c r="Q106" s="968"/>
      <c r="R106" s="968">
        <f t="shared" ref="R106:R116" si="42">P106+Q106</f>
        <v>-4733318.8499999996</v>
      </c>
      <c r="S106" s="968">
        <v>-5319398</v>
      </c>
      <c r="T106" s="968">
        <v>-5319398</v>
      </c>
      <c r="U106" s="968">
        <v>-5319398</v>
      </c>
      <c r="V106" s="968">
        <v>-5000459</v>
      </c>
      <c r="W106" s="968"/>
      <c r="X106" s="968">
        <f t="shared" si="31"/>
        <v>-5000459</v>
      </c>
      <c r="Y106" s="1145">
        <v>-5638561</v>
      </c>
      <c r="Z106" s="1145">
        <v>-5638561</v>
      </c>
      <c r="AA106" s="1145">
        <v>-5638561</v>
      </c>
      <c r="AB106" s="1145">
        <v>-3961510.4</v>
      </c>
      <c r="AC106" s="1145"/>
      <c r="AD106" s="1145">
        <f t="shared" ref="AD106:AD116" si="43">AB106+AC106</f>
        <v>-3961510.4</v>
      </c>
    </row>
    <row r="107" spans="1:30" x14ac:dyDescent="0.2">
      <c r="A107" s="928">
        <v>1503</v>
      </c>
      <c r="B107" s="928" t="s">
        <v>1155</v>
      </c>
      <c r="C107" s="968">
        <v>-46500</v>
      </c>
      <c r="D107" s="968">
        <v>-57515.64</v>
      </c>
      <c r="E107" s="968"/>
      <c r="F107" s="968">
        <f t="shared" si="40"/>
        <v>-57515.64</v>
      </c>
      <c r="G107" s="968">
        <v>-27000</v>
      </c>
      <c r="H107" s="968">
        <v>-27000</v>
      </c>
      <c r="I107" s="968">
        <v>-27000</v>
      </c>
      <c r="J107" s="968">
        <v>-282169.40000000002</v>
      </c>
      <c r="K107" s="968"/>
      <c r="L107" s="968">
        <f t="shared" si="41"/>
        <v>-282169.40000000002</v>
      </c>
      <c r="M107" s="974">
        <v>-28890</v>
      </c>
      <c r="N107" s="974">
        <v>-28890</v>
      </c>
      <c r="O107" s="974">
        <v>-28890</v>
      </c>
      <c r="P107" s="968">
        <v>-161949</v>
      </c>
      <c r="Q107" s="968"/>
      <c r="R107" s="968">
        <f t="shared" si="42"/>
        <v>-161949</v>
      </c>
      <c r="S107" s="968">
        <v>-30623</v>
      </c>
      <c r="T107" s="968">
        <v>-30623</v>
      </c>
      <c r="U107" s="968">
        <v>-30623</v>
      </c>
      <c r="V107" s="968">
        <v>-93166</v>
      </c>
      <c r="W107" s="968"/>
      <c r="X107" s="968">
        <f t="shared" si="31"/>
        <v>-93166</v>
      </c>
      <c r="Y107" s="1145">
        <v>-32460</v>
      </c>
      <c r="Z107" s="1145">
        <v>-32460</v>
      </c>
      <c r="AA107" s="1145">
        <v>-32460</v>
      </c>
      <c r="AB107" s="1145">
        <v>-107724</v>
      </c>
      <c r="AC107" s="1145"/>
      <c r="AD107" s="1145">
        <f t="shared" si="43"/>
        <v>-107724</v>
      </c>
    </row>
    <row r="108" spans="1:30" x14ac:dyDescent="0.2">
      <c r="A108" s="928">
        <v>1505</v>
      </c>
      <c r="B108" s="928" t="s">
        <v>1156</v>
      </c>
      <c r="C108" s="968">
        <v>-67200</v>
      </c>
      <c r="D108" s="968">
        <v>-75742.61</v>
      </c>
      <c r="E108" s="968"/>
      <c r="F108" s="968">
        <f t="shared" si="40"/>
        <v>-75742.61</v>
      </c>
      <c r="G108" s="968">
        <v>-85000</v>
      </c>
      <c r="H108" s="968">
        <v>-85000</v>
      </c>
      <c r="I108" s="968">
        <v>-85000</v>
      </c>
      <c r="J108" s="968">
        <v>-69574.31</v>
      </c>
      <c r="K108" s="968"/>
      <c r="L108" s="968">
        <f t="shared" si="41"/>
        <v>-69574.31</v>
      </c>
      <c r="M108" s="974">
        <v>-90950</v>
      </c>
      <c r="N108" s="974">
        <v>-90950</v>
      </c>
      <c r="O108" s="974">
        <v>-90950</v>
      </c>
      <c r="P108" s="968">
        <v>-77032.23</v>
      </c>
      <c r="Q108" s="968"/>
      <c r="R108" s="968">
        <f t="shared" si="42"/>
        <v>-77032.23</v>
      </c>
      <c r="S108" s="968">
        <v>-96407</v>
      </c>
      <c r="T108" s="968">
        <v>-96407</v>
      </c>
      <c r="U108" s="968">
        <v>-96407</v>
      </c>
      <c r="V108" s="968">
        <v>-74882.009999999995</v>
      </c>
      <c r="W108" s="968"/>
      <c r="X108" s="968">
        <f t="shared" si="31"/>
        <v>-74882.009999999995</v>
      </c>
      <c r="Y108" s="1145">
        <v>-102191</v>
      </c>
      <c r="Z108" s="1145">
        <v>-102191</v>
      </c>
      <c r="AA108" s="1145">
        <v>-102191</v>
      </c>
      <c r="AB108" s="1145">
        <v>-95263</v>
      </c>
      <c r="AC108" s="1145"/>
      <c r="AD108" s="1145">
        <f t="shared" si="43"/>
        <v>-95263</v>
      </c>
    </row>
    <row r="109" spans="1:30" x14ac:dyDescent="0.2">
      <c r="A109" s="928">
        <v>1507</v>
      </c>
      <c r="B109" s="928" t="s">
        <v>1157</v>
      </c>
      <c r="C109" s="968">
        <v>-2948000</v>
      </c>
      <c r="D109" s="968">
        <v>-3245650.5</v>
      </c>
      <c r="E109" s="968"/>
      <c r="F109" s="968">
        <f t="shared" si="40"/>
        <v>-3245650.5</v>
      </c>
      <c r="G109" s="968">
        <v>-2958000</v>
      </c>
      <c r="H109" s="968">
        <v>-2958000</v>
      </c>
      <c r="I109" s="968">
        <v>-2958000</v>
      </c>
      <c r="J109" s="968">
        <v>-3420953.96</v>
      </c>
      <c r="K109" s="968"/>
      <c r="L109" s="968">
        <f t="shared" si="41"/>
        <v>-3420953.96</v>
      </c>
      <c r="M109" s="974">
        <v>-3165060</v>
      </c>
      <c r="N109" s="974">
        <v>-3165060</v>
      </c>
      <c r="O109" s="974">
        <v>-3165060</v>
      </c>
      <c r="P109" s="968">
        <v>-3375038</v>
      </c>
      <c r="Q109" s="968"/>
      <c r="R109" s="968">
        <f t="shared" si="42"/>
        <v>-3375038</v>
      </c>
      <c r="S109" s="968">
        <v>-3354963</v>
      </c>
      <c r="T109" s="968">
        <v>-3354963</v>
      </c>
      <c r="U109" s="968">
        <v>-3354963</v>
      </c>
      <c r="V109" s="968">
        <v>-3508090</v>
      </c>
      <c r="W109" s="968"/>
      <c r="X109" s="968">
        <f t="shared" si="31"/>
        <v>-3508090</v>
      </c>
      <c r="Y109" s="1145">
        <v>-3556260</v>
      </c>
      <c r="Z109" s="1145">
        <v>-3556260</v>
      </c>
      <c r="AA109" s="1145">
        <v>-3556260</v>
      </c>
      <c r="AB109" s="1145">
        <v>-3461076</v>
      </c>
      <c r="AC109" s="1145"/>
      <c r="AD109" s="1145">
        <f t="shared" si="43"/>
        <v>-3461076</v>
      </c>
    </row>
    <row r="110" spans="1:30" x14ac:dyDescent="0.2">
      <c r="A110" s="928">
        <v>1509</v>
      </c>
      <c r="B110" s="928" t="s">
        <v>1158</v>
      </c>
      <c r="C110" s="968">
        <v>-5800</v>
      </c>
      <c r="D110" s="968">
        <v>-18590.990000000002</v>
      </c>
      <c r="E110" s="968"/>
      <c r="F110" s="968">
        <f t="shared" si="40"/>
        <v>-18590.990000000002</v>
      </c>
      <c r="G110" s="968">
        <v>-16000</v>
      </c>
      <c r="H110" s="968">
        <v>-16000</v>
      </c>
      <c r="I110" s="968">
        <v>-16000</v>
      </c>
      <c r="J110" s="968">
        <v>-10565.81</v>
      </c>
      <c r="K110" s="968"/>
      <c r="L110" s="968">
        <f t="shared" si="41"/>
        <v>-10565.81</v>
      </c>
      <c r="M110" s="974">
        <v>-17120</v>
      </c>
      <c r="N110" s="974">
        <v>-17120</v>
      </c>
      <c r="O110" s="974">
        <v>-17120</v>
      </c>
      <c r="P110" s="968">
        <v>-13033</v>
      </c>
      <c r="Q110" s="968"/>
      <c r="R110" s="968">
        <f t="shared" si="42"/>
        <v>-13033</v>
      </c>
      <c r="S110" s="968">
        <v>-18147</v>
      </c>
      <c r="T110" s="968">
        <v>-18147</v>
      </c>
      <c r="U110" s="968">
        <v>-18147</v>
      </c>
      <c r="V110" s="968">
        <v>-9150</v>
      </c>
      <c r="W110" s="968"/>
      <c r="X110" s="968">
        <f t="shared" si="31"/>
        <v>-9150</v>
      </c>
      <c r="Y110" s="1145">
        <v>-19235</v>
      </c>
      <c r="Z110" s="1145">
        <v>-19235</v>
      </c>
      <c r="AA110" s="1145">
        <v>-19235</v>
      </c>
      <c r="AB110" s="1145">
        <v>-5462</v>
      </c>
      <c r="AC110" s="1145"/>
      <c r="AD110" s="1145">
        <f t="shared" si="43"/>
        <v>-5462</v>
      </c>
    </row>
    <row r="111" spans="1:30" x14ac:dyDescent="0.2">
      <c r="A111" s="928">
        <v>1510</v>
      </c>
      <c r="B111" s="928" t="s">
        <v>3916</v>
      </c>
      <c r="C111" s="968"/>
      <c r="D111" s="968"/>
      <c r="E111" s="968"/>
      <c r="F111" s="968"/>
      <c r="G111" s="968"/>
      <c r="H111" s="968"/>
      <c r="I111" s="968"/>
      <c r="J111" s="968"/>
      <c r="K111" s="968"/>
      <c r="L111" s="968"/>
      <c r="M111" s="974"/>
      <c r="N111" s="974"/>
      <c r="O111" s="974"/>
      <c r="P111" s="968"/>
      <c r="Q111" s="968"/>
      <c r="R111" s="968"/>
      <c r="S111" s="968"/>
      <c r="T111" s="968"/>
      <c r="U111" s="968"/>
      <c r="V111" s="968"/>
      <c r="W111" s="968"/>
      <c r="X111" s="968"/>
      <c r="Y111" s="1145"/>
      <c r="Z111" s="1145">
        <v>-1000</v>
      </c>
      <c r="AA111" s="1145">
        <v>-1000</v>
      </c>
      <c r="AB111" s="1145">
        <v>-934.2</v>
      </c>
      <c r="AC111" s="1145"/>
      <c r="AD111" s="1145">
        <f t="shared" si="43"/>
        <v>-934.2</v>
      </c>
    </row>
    <row r="112" spans="1:30" x14ac:dyDescent="0.2">
      <c r="A112" s="928">
        <v>1513</v>
      </c>
      <c r="B112" s="928" t="s">
        <v>1159</v>
      </c>
      <c r="C112" s="968">
        <v>-1200</v>
      </c>
      <c r="D112" s="968">
        <v>0</v>
      </c>
      <c r="E112" s="968"/>
      <c r="F112" s="968">
        <f t="shared" si="40"/>
        <v>0</v>
      </c>
      <c r="G112" s="968">
        <v>-1295</v>
      </c>
      <c r="H112" s="968">
        <v>-1295</v>
      </c>
      <c r="I112" s="968">
        <v>-1295</v>
      </c>
      <c r="J112" s="968">
        <v>0</v>
      </c>
      <c r="K112" s="968"/>
      <c r="L112" s="968">
        <f t="shared" si="41"/>
        <v>0</v>
      </c>
      <c r="M112" s="974">
        <v>-1386</v>
      </c>
      <c r="N112" s="974">
        <v>-1386</v>
      </c>
      <c r="O112" s="974">
        <v>-1386</v>
      </c>
      <c r="P112" s="968">
        <v>-16767</v>
      </c>
      <c r="Q112" s="968"/>
      <c r="R112" s="968">
        <f t="shared" si="42"/>
        <v>-16767</v>
      </c>
      <c r="S112" s="968">
        <v>-1469</v>
      </c>
      <c r="T112" s="968">
        <v>-1469</v>
      </c>
      <c r="U112" s="968">
        <v>-1469</v>
      </c>
      <c r="V112" s="968">
        <v>-35793</v>
      </c>
      <c r="W112" s="968"/>
      <c r="X112" s="968">
        <f t="shared" si="31"/>
        <v>-35793</v>
      </c>
      <c r="Y112" s="1145">
        <v>-1557</v>
      </c>
      <c r="Z112" s="1145">
        <v>-1557</v>
      </c>
      <c r="AA112" s="1145">
        <v>-1557</v>
      </c>
      <c r="AB112" s="1145">
        <v>-47904</v>
      </c>
      <c r="AC112" s="1145"/>
      <c r="AD112" s="1145">
        <f t="shared" si="43"/>
        <v>-47904</v>
      </c>
    </row>
    <row r="113" spans="1:30" x14ac:dyDescent="0.2">
      <c r="A113" s="928">
        <v>1517</v>
      </c>
      <c r="B113" s="928" t="s">
        <v>559</v>
      </c>
      <c r="C113" s="968">
        <v>-100</v>
      </c>
      <c r="D113" s="968">
        <v>-85.09</v>
      </c>
      <c r="E113" s="968"/>
      <c r="F113" s="968">
        <f t="shared" si="40"/>
        <v>-85.09</v>
      </c>
      <c r="G113" s="968">
        <v>-200</v>
      </c>
      <c r="H113" s="968">
        <v>-200</v>
      </c>
      <c r="I113" s="968">
        <v>-200</v>
      </c>
      <c r="J113" s="968">
        <v>-4995.3500000000004</v>
      </c>
      <c r="K113" s="968"/>
      <c r="L113" s="968">
        <f t="shared" si="41"/>
        <v>-4995.3500000000004</v>
      </c>
      <c r="M113" s="974">
        <v>-211</v>
      </c>
      <c r="N113" s="974">
        <v>-211</v>
      </c>
      <c r="O113" s="974">
        <v>-211</v>
      </c>
      <c r="P113" s="968">
        <v>-112</v>
      </c>
      <c r="Q113" s="968"/>
      <c r="R113" s="968">
        <f t="shared" si="42"/>
        <v>-112</v>
      </c>
      <c r="S113" s="968">
        <v>-223</v>
      </c>
      <c r="T113" s="968">
        <v>-223</v>
      </c>
      <c r="U113" s="968">
        <v>-223</v>
      </c>
      <c r="V113" s="968">
        <v>-162</v>
      </c>
      <c r="W113" s="968"/>
      <c r="X113" s="968">
        <f t="shared" si="31"/>
        <v>-162</v>
      </c>
      <c r="Y113" s="1145">
        <v>-236</v>
      </c>
      <c r="Z113" s="1145">
        <v>-236</v>
      </c>
      <c r="AA113" s="1145">
        <v>-236</v>
      </c>
      <c r="AB113" s="1145">
        <v>-36</v>
      </c>
      <c r="AC113" s="1145"/>
      <c r="AD113" s="1145">
        <f t="shared" si="43"/>
        <v>-36</v>
      </c>
    </row>
    <row r="114" spans="1:30" x14ac:dyDescent="0.2">
      <c r="A114" s="928">
        <v>1521</v>
      </c>
      <c r="B114" s="928" t="s">
        <v>1160</v>
      </c>
      <c r="C114" s="968">
        <v>-79500</v>
      </c>
      <c r="D114" s="968">
        <v>-52576.97</v>
      </c>
      <c r="E114" s="968"/>
      <c r="F114" s="968">
        <f t="shared" si="40"/>
        <v>-52576.97</v>
      </c>
      <c r="G114" s="968">
        <v>-83000</v>
      </c>
      <c r="H114" s="968">
        <v>-83000</v>
      </c>
      <c r="I114" s="968">
        <v>-83000</v>
      </c>
      <c r="J114" s="968">
        <v>-52276.25</v>
      </c>
      <c r="K114" s="968"/>
      <c r="L114" s="968">
        <f t="shared" si="41"/>
        <v>-52276.25</v>
      </c>
      <c r="M114" s="974">
        <v>-88810</v>
      </c>
      <c r="N114" s="974">
        <v>-88810</v>
      </c>
      <c r="O114" s="974">
        <v>-88810</v>
      </c>
      <c r="P114" s="968">
        <v>-46544.53</v>
      </c>
      <c r="Q114" s="968"/>
      <c r="R114" s="968">
        <f t="shared" si="42"/>
        <v>-46544.53</v>
      </c>
      <c r="S114" s="968">
        <v>-94138</v>
      </c>
      <c r="T114" s="968">
        <v>-94138</v>
      </c>
      <c r="U114" s="968">
        <v>-94138</v>
      </c>
      <c r="V114" s="968">
        <v>-76380</v>
      </c>
      <c r="W114" s="968"/>
      <c r="X114" s="968">
        <f t="shared" si="31"/>
        <v>-76380</v>
      </c>
      <c r="Y114" s="1145">
        <v>-99786</v>
      </c>
      <c r="Z114" s="1145">
        <v>-99786</v>
      </c>
      <c r="AA114" s="1145">
        <v>-99786</v>
      </c>
      <c r="AB114" s="1145">
        <v>-66618</v>
      </c>
      <c r="AC114" s="1145"/>
      <c r="AD114" s="1145">
        <f t="shared" si="43"/>
        <v>-66618</v>
      </c>
    </row>
    <row r="115" spans="1:30" x14ac:dyDescent="0.2">
      <c r="A115" s="928">
        <v>1525</v>
      </c>
      <c r="B115" s="928" t="s">
        <v>1161</v>
      </c>
      <c r="C115" s="968">
        <v>-200</v>
      </c>
      <c r="D115" s="968">
        <v>0</v>
      </c>
      <c r="E115" s="968"/>
      <c r="F115" s="968">
        <f t="shared" si="40"/>
        <v>0</v>
      </c>
      <c r="G115" s="968">
        <v>-215</v>
      </c>
      <c r="H115" s="968">
        <v>-215</v>
      </c>
      <c r="I115" s="968">
        <v>-215</v>
      </c>
      <c r="J115" s="968">
        <v>0</v>
      </c>
      <c r="K115" s="968"/>
      <c r="L115" s="968">
        <f t="shared" si="41"/>
        <v>0</v>
      </c>
      <c r="M115" s="974">
        <v>-227</v>
      </c>
      <c r="N115" s="974">
        <v>-227</v>
      </c>
      <c r="O115" s="974">
        <v>-227</v>
      </c>
      <c r="P115" s="968">
        <v>0</v>
      </c>
      <c r="Q115" s="968"/>
      <c r="R115" s="968">
        <f t="shared" si="42"/>
        <v>0</v>
      </c>
      <c r="S115" s="968">
        <v>-240</v>
      </c>
      <c r="T115" s="968">
        <v>-240</v>
      </c>
      <c r="U115" s="968">
        <v>-240</v>
      </c>
      <c r="V115" s="968"/>
      <c r="W115" s="968"/>
      <c r="X115" s="968">
        <f t="shared" si="31"/>
        <v>0</v>
      </c>
      <c r="Y115" s="1145">
        <v>-254</v>
      </c>
      <c r="Z115" s="1145">
        <v>-254</v>
      </c>
      <c r="AA115" s="1145">
        <v>-254</v>
      </c>
      <c r="AB115" s="1145"/>
      <c r="AC115" s="1145"/>
      <c r="AD115" s="1145">
        <f t="shared" si="43"/>
        <v>0</v>
      </c>
    </row>
    <row r="116" spans="1:30" x14ac:dyDescent="0.2">
      <c r="A116" s="928">
        <v>1529</v>
      </c>
      <c r="B116" s="928" t="s">
        <v>1162</v>
      </c>
      <c r="C116" s="968">
        <v>-146000</v>
      </c>
      <c r="D116" s="968">
        <v>-108822.39</v>
      </c>
      <c r="E116" s="968"/>
      <c r="F116" s="968">
        <f t="shared" si="40"/>
        <v>-108822.39</v>
      </c>
      <c r="G116" s="968">
        <v>-100000</v>
      </c>
      <c r="H116" s="968">
        <v>-100000</v>
      </c>
      <c r="I116" s="968">
        <v>-100000</v>
      </c>
      <c r="J116" s="968">
        <v>-320772.65999999997</v>
      </c>
      <c r="K116" s="968"/>
      <c r="L116" s="968">
        <f t="shared" si="41"/>
        <v>-320772.65999999997</v>
      </c>
      <c r="M116" s="974">
        <v>-105500</v>
      </c>
      <c r="N116" s="974">
        <v>-105500</v>
      </c>
      <c r="O116" s="974">
        <v>-105500</v>
      </c>
      <c r="P116" s="968">
        <v>-485247.03</v>
      </c>
      <c r="Q116" s="968"/>
      <c r="R116" s="968">
        <f t="shared" si="42"/>
        <v>-485247.03</v>
      </c>
      <c r="S116" s="968">
        <v>-111830</v>
      </c>
      <c r="T116" s="968">
        <v>-111830</v>
      </c>
      <c r="U116" s="968">
        <v>-111830</v>
      </c>
      <c r="V116" s="968">
        <v>-397427.4</v>
      </c>
      <c r="W116" s="968"/>
      <c r="X116" s="968">
        <f t="shared" si="31"/>
        <v>-397427.4</v>
      </c>
      <c r="Y116" s="1145">
        <v>-118539</v>
      </c>
      <c r="Z116" s="1145">
        <v>-118539</v>
      </c>
      <c r="AA116" s="1145">
        <v>-118539</v>
      </c>
      <c r="AB116" s="1145">
        <v>-354434.6</v>
      </c>
      <c r="AC116" s="1145"/>
      <c r="AD116" s="1145">
        <f t="shared" si="43"/>
        <v>-354434.6</v>
      </c>
    </row>
    <row r="117" spans="1:30" x14ac:dyDescent="0.2">
      <c r="A117" s="928"/>
      <c r="B117" s="928" t="s">
        <v>1089</v>
      </c>
      <c r="C117" s="1143">
        <f t="shared" ref="C117:P117" si="44">SUM(C106:C116)</f>
        <v>-8646500</v>
      </c>
      <c r="D117" s="1143">
        <f t="shared" si="44"/>
        <v>-8234417.6899999995</v>
      </c>
      <c r="E117" s="1143">
        <f t="shared" si="44"/>
        <v>0</v>
      </c>
      <c r="F117" s="1143">
        <f t="shared" si="44"/>
        <v>-8234417.6899999995</v>
      </c>
      <c r="G117" s="1143">
        <f t="shared" si="44"/>
        <v>-7960710</v>
      </c>
      <c r="H117" s="1143">
        <f>SUM(H106:H116)</f>
        <v>-7960710</v>
      </c>
      <c r="I117" s="1143">
        <f>SUM(I106:I116)</f>
        <v>-7960710</v>
      </c>
      <c r="J117" s="1143">
        <f t="shared" si="44"/>
        <v>-8815817.879999999</v>
      </c>
      <c r="K117" s="1143">
        <f t="shared" si="44"/>
        <v>0</v>
      </c>
      <c r="L117" s="1143">
        <f t="shared" si="44"/>
        <v>-8815817.879999999</v>
      </c>
      <c r="M117" s="1144">
        <f t="shared" si="44"/>
        <v>-8516454</v>
      </c>
      <c r="N117" s="1144">
        <f>SUM(N106:N116)</f>
        <v>-8516454</v>
      </c>
      <c r="O117" s="1144">
        <f t="shared" si="44"/>
        <v>-8516454</v>
      </c>
      <c r="P117" s="1143">
        <f t="shared" si="44"/>
        <v>-8909041.6399999987</v>
      </c>
      <c r="Q117" s="1143">
        <f>SUM(Q106:Q116)</f>
        <v>0</v>
      </c>
      <c r="R117" s="1143">
        <f>SUM(R106:R116)</f>
        <v>-8909041.6399999987</v>
      </c>
      <c r="S117" s="1143">
        <f t="shared" ref="S117:AD117" si="45">SUM(S106:S116)</f>
        <v>-9027438</v>
      </c>
      <c r="T117" s="1143">
        <f t="shared" si="45"/>
        <v>-9027438</v>
      </c>
      <c r="U117" s="1143">
        <f t="shared" si="45"/>
        <v>-9027438</v>
      </c>
      <c r="V117" s="1143">
        <f t="shared" si="45"/>
        <v>-9195509.4100000001</v>
      </c>
      <c r="W117" s="1143">
        <f t="shared" si="45"/>
        <v>0</v>
      </c>
      <c r="X117" s="1143">
        <f t="shared" si="45"/>
        <v>-9195509.4100000001</v>
      </c>
      <c r="Y117" s="1341">
        <f t="shared" si="45"/>
        <v>-9569079</v>
      </c>
      <c r="Z117" s="1341">
        <f t="shared" si="45"/>
        <v>-9570079</v>
      </c>
      <c r="AA117" s="1341">
        <f t="shared" si="45"/>
        <v>-9570079</v>
      </c>
      <c r="AB117" s="1341">
        <f t="shared" si="45"/>
        <v>-8100962.2000000002</v>
      </c>
      <c r="AC117" s="1341">
        <f t="shared" si="45"/>
        <v>0</v>
      </c>
      <c r="AD117" s="1341">
        <f t="shared" si="45"/>
        <v>-8100962.2000000002</v>
      </c>
    </row>
    <row r="118" spans="1:30" x14ac:dyDescent="0.2">
      <c r="A118" s="928"/>
      <c r="B118" s="928"/>
      <c r="C118" s="968"/>
      <c r="D118" s="968"/>
      <c r="E118" s="968"/>
      <c r="F118" s="968"/>
      <c r="G118" s="968"/>
      <c r="H118" s="968"/>
      <c r="I118" s="968"/>
      <c r="J118" s="968"/>
      <c r="K118" s="968"/>
      <c r="L118" s="968"/>
      <c r="M118" s="974"/>
      <c r="N118" s="974"/>
      <c r="O118" s="974"/>
      <c r="P118" s="968"/>
      <c r="Q118" s="968"/>
      <c r="R118" s="968"/>
      <c r="S118" s="968"/>
      <c r="T118" s="968"/>
      <c r="U118" s="968"/>
      <c r="V118" s="968"/>
      <c r="W118" s="968"/>
      <c r="X118" s="968"/>
      <c r="Y118" s="1145"/>
      <c r="Z118" s="1145"/>
      <c r="AA118" s="1145"/>
      <c r="AB118" s="1145"/>
      <c r="AC118" s="1145"/>
      <c r="AD118" s="1145"/>
    </row>
    <row r="119" spans="1:30" x14ac:dyDescent="0.2">
      <c r="A119" s="928">
        <v>1500</v>
      </c>
      <c r="B119" s="928" t="s">
        <v>1163</v>
      </c>
      <c r="C119" s="968"/>
      <c r="D119" s="968"/>
      <c r="E119" s="968"/>
      <c r="F119" s="968"/>
      <c r="G119" s="968"/>
      <c r="H119" s="968"/>
      <c r="I119" s="968"/>
      <c r="J119" s="968"/>
      <c r="K119" s="968"/>
      <c r="L119" s="968"/>
      <c r="M119" s="974"/>
      <c r="N119" s="974"/>
      <c r="O119" s="974"/>
      <c r="P119" s="968"/>
      <c r="Q119" s="968"/>
      <c r="R119" s="968"/>
      <c r="S119" s="968"/>
      <c r="T119" s="968"/>
      <c r="U119" s="968"/>
      <c r="V119" s="968"/>
      <c r="W119" s="968"/>
      <c r="X119" s="968"/>
      <c r="Y119" s="1145"/>
      <c r="Z119" s="1145"/>
      <c r="AA119" s="1145"/>
      <c r="AB119" s="1145"/>
      <c r="AC119" s="1145"/>
      <c r="AD119" s="1145"/>
    </row>
    <row r="120" spans="1:30" x14ac:dyDescent="0.2">
      <c r="A120" s="928"/>
      <c r="B120" s="928"/>
      <c r="C120" s="968"/>
      <c r="D120" s="968"/>
      <c r="E120" s="968"/>
      <c r="F120" s="968"/>
      <c r="G120" s="968"/>
      <c r="H120" s="968"/>
      <c r="I120" s="968"/>
      <c r="J120" s="968"/>
      <c r="K120" s="968"/>
      <c r="L120" s="968"/>
      <c r="M120" s="974"/>
      <c r="N120" s="974"/>
      <c r="O120" s="974"/>
      <c r="P120" s="968"/>
      <c r="Q120" s="968"/>
      <c r="R120" s="968"/>
      <c r="S120" s="968"/>
      <c r="T120" s="968"/>
      <c r="U120" s="968"/>
      <c r="V120" s="968"/>
      <c r="W120" s="968"/>
      <c r="X120" s="968"/>
      <c r="Y120" s="1145"/>
      <c r="Z120" s="1145"/>
      <c r="AA120" s="1145"/>
      <c r="AB120" s="1145"/>
      <c r="AC120" s="1145"/>
      <c r="AD120" s="1145"/>
    </row>
    <row r="121" spans="1:30" x14ac:dyDescent="0.2">
      <c r="A121" s="928">
        <v>1701</v>
      </c>
      <c r="B121" s="928" t="s">
        <v>1164</v>
      </c>
      <c r="C121" s="968">
        <v>-13000000</v>
      </c>
      <c r="D121" s="968">
        <v>-13827379.539999999</v>
      </c>
      <c r="E121" s="968"/>
      <c r="F121" s="968">
        <f>D121+E121</f>
        <v>-13827379.539999999</v>
      </c>
      <c r="G121" s="968">
        <v>-14000000</v>
      </c>
      <c r="H121" s="968">
        <f>-13999999-1</f>
        <v>-14000000</v>
      </c>
      <c r="I121" s="968">
        <f>-13999999-1</f>
        <v>-14000000</v>
      </c>
      <c r="J121" s="968">
        <v>-13892068.42</v>
      </c>
      <c r="K121" s="968"/>
      <c r="L121" s="968">
        <f>J121+K121</f>
        <v>-13892068.42</v>
      </c>
      <c r="M121" s="974">
        <v>-14770000</v>
      </c>
      <c r="N121" s="974">
        <v>-14770000</v>
      </c>
      <c r="O121" s="974">
        <v>-14770000</v>
      </c>
      <c r="P121" s="968">
        <f>-14403772.11-1872751+236555.7</f>
        <v>-16039967.41</v>
      </c>
      <c r="Q121" s="968"/>
      <c r="R121" s="968">
        <f>P121+Q121</f>
        <v>-16039967.41</v>
      </c>
      <c r="S121" s="968">
        <v>-15656200</v>
      </c>
      <c r="T121" s="968">
        <v>-15656200</v>
      </c>
      <c r="U121" s="968">
        <v>-15656200</v>
      </c>
      <c r="V121" s="968">
        <v>-15608126.880000001</v>
      </c>
      <c r="W121" s="968"/>
      <c r="X121" s="968">
        <f t="shared" si="31"/>
        <v>-15608126.880000001</v>
      </c>
      <c r="Y121" s="1145">
        <v>-16595572</v>
      </c>
      <c r="Z121" s="1145">
        <v>-16595572</v>
      </c>
      <c r="AA121" s="1145">
        <v>-16595572</v>
      </c>
      <c r="AB121" s="1145">
        <f>-16088378.36+107950.2+48610</f>
        <v>-15931818.16</v>
      </c>
      <c r="AC121" s="1145"/>
      <c r="AD121" s="1145">
        <f>AB121+AC121</f>
        <v>-15931818.16</v>
      </c>
    </row>
    <row r="122" spans="1:30" x14ac:dyDescent="0.2">
      <c r="A122" s="928"/>
      <c r="B122" s="928" t="s">
        <v>1089</v>
      </c>
      <c r="C122" s="1143">
        <f t="shared" ref="C122:P122" si="46">SUM(C121)</f>
        <v>-13000000</v>
      </c>
      <c r="D122" s="1143">
        <f t="shared" si="46"/>
        <v>-13827379.539999999</v>
      </c>
      <c r="E122" s="1143">
        <f t="shared" si="46"/>
        <v>0</v>
      </c>
      <c r="F122" s="1143">
        <f t="shared" si="46"/>
        <v>-13827379.539999999</v>
      </c>
      <c r="G122" s="1143">
        <f t="shared" si="46"/>
        <v>-14000000</v>
      </c>
      <c r="H122" s="1143">
        <f>SUM(H121)</f>
        <v>-14000000</v>
      </c>
      <c r="I122" s="1143">
        <f>SUM(I121)</f>
        <v>-14000000</v>
      </c>
      <c r="J122" s="1143">
        <f t="shared" si="46"/>
        <v>-13892068.42</v>
      </c>
      <c r="K122" s="1143">
        <f t="shared" si="46"/>
        <v>0</v>
      </c>
      <c r="L122" s="1143">
        <f t="shared" si="46"/>
        <v>-13892068.42</v>
      </c>
      <c r="M122" s="1144">
        <f t="shared" si="46"/>
        <v>-14770000</v>
      </c>
      <c r="N122" s="1144">
        <f>SUM(N121)</f>
        <v>-14770000</v>
      </c>
      <c r="O122" s="1144">
        <f t="shared" si="46"/>
        <v>-14770000</v>
      </c>
      <c r="P122" s="1143">
        <f t="shared" si="46"/>
        <v>-16039967.41</v>
      </c>
      <c r="Q122" s="1143">
        <f>SUM(Q121)</f>
        <v>0</v>
      </c>
      <c r="R122" s="1143">
        <f>SUM(R121)</f>
        <v>-16039967.41</v>
      </c>
      <c r="S122" s="1143">
        <f t="shared" ref="S122:AD122" si="47">SUM(S121)</f>
        <v>-15656200</v>
      </c>
      <c r="T122" s="1143">
        <f t="shared" si="47"/>
        <v>-15656200</v>
      </c>
      <c r="U122" s="1143">
        <f t="shared" si="47"/>
        <v>-15656200</v>
      </c>
      <c r="V122" s="1143">
        <f t="shared" si="47"/>
        <v>-15608126.880000001</v>
      </c>
      <c r="W122" s="1143">
        <f t="shared" si="47"/>
        <v>0</v>
      </c>
      <c r="X122" s="1143">
        <f t="shared" si="47"/>
        <v>-15608126.880000001</v>
      </c>
      <c r="Y122" s="1341">
        <f t="shared" si="47"/>
        <v>-16595572</v>
      </c>
      <c r="Z122" s="1341">
        <f t="shared" si="47"/>
        <v>-16595572</v>
      </c>
      <c r="AA122" s="1341">
        <f t="shared" si="47"/>
        <v>-16595572</v>
      </c>
      <c r="AB122" s="1341">
        <f t="shared" si="47"/>
        <v>-15931818.16</v>
      </c>
      <c r="AC122" s="1341">
        <f t="shared" si="47"/>
        <v>0</v>
      </c>
      <c r="AD122" s="1341">
        <f t="shared" si="47"/>
        <v>-15931818.16</v>
      </c>
    </row>
    <row r="123" spans="1:30" x14ac:dyDescent="0.2">
      <c r="A123" s="928"/>
      <c r="B123" s="928"/>
      <c r="C123" s="968"/>
      <c r="D123" s="968"/>
      <c r="E123" s="968"/>
      <c r="F123" s="968"/>
      <c r="G123" s="968"/>
      <c r="H123" s="968"/>
      <c r="I123" s="968"/>
      <c r="J123" s="968"/>
      <c r="K123" s="968"/>
      <c r="L123" s="968"/>
      <c r="M123" s="974"/>
      <c r="N123" s="974"/>
      <c r="O123" s="974"/>
      <c r="P123" s="968"/>
      <c r="Q123" s="968"/>
      <c r="R123" s="968"/>
      <c r="S123" s="968"/>
      <c r="T123" s="968"/>
      <c r="U123" s="968"/>
      <c r="V123" s="968"/>
      <c r="W123" s="968"/>
      <c r="X123" s="968"/>
      <c r="Y123" s="1145"/>
      <c r="Z123" s="1145"/>
      <c r="AA123" s="1145"/>
      <c r="AB123" s="1145"/>
      <c r="AC123" s="1145"/>
      <c r="AD123" s="1145"/>
    </row>
    <row r="124" spans="1:30" x14ac:dyDescent="0.2">
      <c r="A124" s="928">
        <v>1600</v>
      </c>
      <c r="B124" s="928" t="s">
        <v>1165</v>
      </c>
      <c r="C124" s="968"/>
      <c r="D124" s="968"/>
      <c r="E124" s="968"/>
      <c r="F124" s="968"/>
      <c r="G124" s="968"/>
      <c r="H124" s="968"/>
      <c r="I124" s="968"/>
      <c r="J124" s="968"/>
      <c r="K124" s="968"/>
      <c r="L124" s="968"/>
      <c r="M124" s="974"/>
      <c r="N124" s="974"/>
      <c r="O124" s="974"/>
      <c r="P124" s="968"/>
      <c r="Q124" s="968"/>
      <c r="R124" s="968"/>
      <c r="S124" s="968"/>
      <c r="T124" s="968"/>
      <c r="U124" s="968"/>
      <c r="V124" s="968"/>
      <c r="W124" s="968"/>
      <c r="X124" s="968"/>
      <c r="Y124" s="1145"/>
      <c r="Z124" s="1145"/>
      <c r="AA124" s="1145"/>
      <c r="AB124" s="1145"/>
      <c r="AC124" s="1145"/>
      <c r="AD124" s="1145"/>
    </row>
    <row r="125" spans="1:30" x14ac:dyDescent="0.2">
      <c r="A125" s="928"/>
      <c r="B125" s="928"/>
      <c r="C125" s="968"/>
      <c r="D125" s="968"/>
      <c r="E125" s="968"/>
      <c r="F125" s="968"/>
      <c r="G125" s="968"/>
      <c r="H125" s="968"/>
      <c r="I125" s="968"/>
      <c r="J125" s="968"/>
      <c r="K125" s="968"/>
      <c r="L125" s="968"/>
      <c r="M125" s="974"/>
      <c r="N125" s="974"/>
      <c r="O125" s="974"/>
      <c r="P125" s="968"/>
      <c r="Q125" s="968"/>
      <c r="R125" s="968"/>
      <c r="S125" s="968"/>
      <c r="T125" s="968"/>
      <c r="U125" s="968"/>
      <c r="V125" s="968"/>
      <c r="W125" s="968"/>
      <c r="X125" s="968"/>
      <c r="Y125" s="1145"/>
      <c r="Z125" s="1145"/>
      <c r="AA125" s="1145"/>
      <c r="AB125" s="1145"/>
      <c r="AC125" s="1145"/>
      <c r="AD125" s="1145"/>
    </row>
    <row r="126" spans="1:30" x14ac:dyDescent="0.2">
      <c r="A126" s="928">
        <v>2101</v>
      </c>
      <c r="B126" s="928" t="s">
        <v>2955</v>
      </c>
      <c r="C126" s="968">
        <v>0</v>
      </c>
      <c r="D126" s="968">
        <v>0</v>
      </c>
      <c r="E126" s="968"/>
      <c r="F126" s="968">
        <f t="shared" ref="F126:F148" si="48">D126+E126</f>
        <v>0</v>
      </c>
      <c r="G126" s="968">
        <v>0</v>
      </c>
      <c r="H126" s="968">
        <v>0</v>
      </c>
      <c r="I126" s="968">
        <v>0</v>
      </c>
      <c r="J126" s="968">
        <v>0</v>
      </c>
      <c r="K126" s="968"/>
      <c r="L126" s="968">
        <f t="shared" ref="L126:L148" si="49">J126+K126</f>
        <v>0</v>
      </c>
      <c r="M126" s="974"/>
      <c r="N126" s="974"/>
      <c r="O126" s="974"/>
      <c r="P126" s="968">
        <v>0</v>
      </c>
      <c r="Q126" s="968"/>
      <c r="R126" s="968">
        <f t="shared" ref="R126:R148" si="50">P126+Q126</f>
        <v>0</v>
      </c>
      <c r="S126" s="968"/>
      <c r="T126" s="968"/>
      <c r="U126" s="968"/>
      <c r="V126" s="968"/>
      <c r="W126" s="968"/>
      <c r="X126" s="968">
        <f t="shared" si="31"/>
        <v>0</v>
      </c>
      <c r="Y126" s="1145"/>
      <c r="Z126" s="1145"/>
      <c r="AA126" s="1145"/>
      <c r="AB126" s="1145"/>
      <c r="AC126" s="1145"/>
      <c r="AD126" s="1145">
        <f t="shared" ref="AD126:AD148" si="51">AB126+AC126</f>
        <v>0</v>
      </c>
    </row>
    <row r="127" spans="1:30" x14ac:dyDescent="0.2">
      <c r="A127" s="928">
        <v>2103</v>
      </c>
      <c r="B127" s="928" t="s">
        <v>1166</v>
      </c>
      <c r="C127" s="968">
        <v>0</v>
      </c>
      <c r="D127" s="968">
        <v>0</v>
      </c>
      <c r="E127" s="968"/>
      <c r="F127" s="968">
        <f t="shared" si="48"/>
        <v>0</v>
      </c>
      <c r="G127" s="968">
        <v>0</v>
      </c>
      <c r="H127" s="968">
        <v>0</v>
      </c>
      <c r="I127" s="968">
        <v>0</v>
      </c>
      <c r="J127" s="968">
        <v>-7030429.2400000002</v>
      </c>
      <c r="K127" s="968"/>
      <c r="L127" s="968">
        <f t="shared" si="49"/>
        <v>-7030429.2400000002</v>
      </c>
      <c r="M127" s="974"/>
      <c r="N127" s="974"/>
      <c r="O127" s="974"/>
      <c r="P127" s="968">
        <v>0</v>
      </c>
      <c r="Q127" s="968"/>
      <c r="R127" s="968">
        <f t="shared" si="50"/>
        <v>0</v>
      </c>
      <c r="S127" s="968"/>
      <c r="T127" s="968"/>
      <c r="U127" s="968"/>
      <c r="V127" s="968"/>
      <c r="W127" s="968"/>
      <c r="X127" s="968">
        <f t="shared" si="31"/>
        <v>0</v>
      </c>
      <c r="Y127" s="1145"/>
      <c r="Z127" s="1145"/>
      <c r="AA127" s="1145"/>
      <c r="AB127" s="1145"/>
      <c r="AC127" s="1145"/>
      <c r="AD127" s="1145">
        <f t="shared" si="51"/>
        <v>0</v>
      </c>
    </row>
    <row r="128" spans="1:30" x14ac:dyDescent="0.2">
      <c r="A128" s="928">
        <v>2105</v>
      </c>
      <c r="B128" s="928" t="s">
        <v>1167</v>
      </c>
      <c r="C128" s="968">
        <v>0</v>
      </c>
      <c r="D128" s="968">
        <v>0</v>
      </c>
      <c r="E128" s="968"/>
      <c r="F128" s="968">
        <f t="shared" si="48"/>
        <v>0</v>
      </c>
      <c r="G128" s="968">
        <v>0</v>
      </c>
      <c r="H128" s="968">
        <v>-5446000</v>
      </c>
      <c r="I128" s="968">
        <v>0</v>
      </c>
      <c r="J128" s="968">
        <v>0</v>
      </c>
      <c r="K128" s="968"/>
      <c r="L128" s="968">
        <f t="shared" si="49"/>
        <v>0</v>
      </c>
      <c r="M128" s="974"/>
      <c r="N128" s="974"/>
      <c r="O128" s="974"/>
      <c r="P128" s="968">
        <v>0</v>
      </c>
      <c r="Q128" s="968"/>
      <c r="R128" s="968">
        <f t="shared" si="50"/>
        <v>0</v>
      </c>
      <c r="S128" s="968"/>
      <c r="T128" s="968"/>
      <c r="U128" s="968"/>
      <c r="V128" s="968"/>
      <c r="W128" s="968"/>
      <c r="X128" s="968">
        <f t="shared" si="31"/>
        <v>0</v>
      </c>
      <c r="Y128" s="1145"/>
      <c r="Z128" s="1145"/>
      <c r="AA128" s="1145"/>
      <c r="AB128" s="1145"/>
      <c r="AC128" s="1145"/>
      <c r="AD128" s="1145">
        <f t="shared" si="51"/>
        <v>0</v>
      </c>
    </row>
    <row r="129" spans="1:30" x14ac:dyDescent="0.2">
      <c r="A129" s="928">
        <v>2106</v>
      </c>
      <c r="B129" s="928" t="s">
        <v>3161</v>
      </c>
      <c r="C129" s="968"/>
      <c r="D129" s="968"/>
      <c r="E129" s="968"/>
      <c r="F129" s="968"/>
      <c r="G129" s="968"/>
      <c r="H129" s="968"/>
      <c r="I129" s="968"/>
      <c r="J129" s="968"/>
      <c r="K129" s="968"/>
      <c r="L129" s="968"/>
      <c r="M129" s="974">
        <v>-4614000</v>
      </c>
      <c r="N129" s="974">
        <v>-4614000</v>
      </c>
      <c r="O129" s="974">
        <v>-4614000</v>
      </c>
      <c r="P129" s="968">
        <v>-4614000</v>
      </c>
      <c r="Q129" s="968"/>
      <c r="R129" s="968">
        <f t="shared" si="50"/>
        <v>-4614000</v>
      </c>
      <c r="S129" s="968">
        <v>-3960000</v>
      </c>
      <c r="T129" s="968">
        <v>-3960000</v>
      </c>
      <c r="U129" s="968">
        <v>-3960000</v>
      </c>
      <c r="V129" s="968">
        <v>-3960000</v>
      </c>
      <c r="W129" s="968"/>
      <c r="X129" s="968">
        <f t="shared" si="31"/>
        <v>-3960000</v>
      </c>
      <c r="Y129" s="1145">
        <v>-2660000</v>
      </c>
      <c r="Z129" s="1145">
        <v>-2660000</v>
      </c>
      <c r="AA129" s="1145">
        <v>-2660000</v>
      </c>
      <c r="AB129" s="1145">
        <v>-2703301.4</v>
      </c>
      <c r="AC129" s="1145"/>
      <c r="AD129" s="1145">
        <f t="shared" si="51"/>
        <v>-2703301.4</v>
      </c>
    </row>
    <row r="130" spans="1:30" x14ac:dyDescent="0.2">
      <c r="A130" s="928">
        <v>2107</v>
      </c>
      <c r="B130" s="928" t="s">
        <v>1168</v>
      </c>
      <c r="C130" s="968">
        <v>-350705000</v>
      </c>
      <c r="D130" s="968">
        <v>-350705000</v>
      </c>
      <c r="E130" s="968"/>
      <c r="F130" s="968">
        <f t="shared" si="48"/>
        <v>-350705000</v>
      </c>
      <c r="G130" s="968">
        <v>-388232000</v>
      </c>
      <c r="H130" s="968">
        <v>-388232000</v>
      </c>
      <c r="I130" s="968">
        <v>-388232000</v>
      </c>
      <c r="J130" s="968">
        <v>-388232000</v>
      </c>
      <c r="K130" s="968"/>
      <c r="L130" s="968">
        <f t="shared" si="49"/>
        <v>-388232000</v>
      </c>
      <c r="M130" s="974">
        <v>-415990000</v>
      </c>
      <c r="N130" s="974">
        <v>-415990000</v>
      </c>
      <c r="O130" s="974">
        <v>-415990000</v>
      </c>
      <c r="P130" s="968">
        <v>-415990000</v>
      </c>
      <c r="Q130" s="968"/>
      <c r="R130" s="968">
        <f t="shared" si="50"/>
        <v>-415990000</v>
      </c>
      <c r="S130" s="968">
        <v>-455799000</v>
      </c>
      <c r="T130" s="968">
        <v>-455799000</v>
      </c>
      <c r="U130" s="968">
        <v>-455799000</v>
      </c>
      <c r="V130" s="968">
        <v>-455799000</v>
      </c>
      <c r="W130" s="968"/>
      <c r="X130" s="968">
        <f t="shared" si="31"/>
        <v>-455799000</v>
      </c>
      <c r="Y130" s="1145">
        <v>-522595000</v>
      </c>
      <c r="Z130" s="1145">
        <v>-522595000</v>
      </c>
      <c r="AA130" s="1145">
        <v>-522595000</v>
      </c>
      <c r="AB130" s="1145">
        <v>-522595000</v>
      </c>
      <c r="AC130" s="1145"/>
      <c r="AD130" s="1145">
        <f t="shared" si="51"/>
        <v>-522595000</v>
      </c>
    </row>
    <row r="131" spans="1:30" x14ac:dyDescent="0.2">
      <c r="A131" s="928">
        <v>2112</v>
      </c>
      <c r="B131" s="928" t="s">
        <v>1169</v>
      </c>
      <c r="C131" s="968">
        <v>0</v>
      </c>
      <c r="D131" s="968">
        <v>0</v>
      </c>
      <c r="E131" s="968"/>
      <c r="F131" s="968">
        <f t="shared" si="48"/>
        <v>0</v>
      </c>
      <c r="G131" s="968">
        <v>0</v>
      </c>
      <c r="H131" s="968">
        <v>0</v>
      </c>
      <c r="I131" s="968">
        <v>0</v>
      </c>
      <c r="J131" s="968">
        <v>-14625671.800000001</v>
      </c>
      <c r="K131" s="968"/>
      <c r="L131" s="968">
        <f t="shared" si="49"/>
        <v>-14625671.800000001</v>
      </c>
      <c r="M131" s="974"/>
      <c r="N131" s="974">
        <f>-35000000-1375000</f>
        <v>-36375000</v>
      </c>
      <c r="O131" s="974">
        <f>-35000000-1375000</f>
        <v>-36375000</v>
      </c>
      <c r="P131" s="968">
        <v>-36374328.200000003</v>
      </c>
      <c r="Q131" s="968"/>
      <c r="R131" s="968">
        <f t="shared" si="50"/>
        <v>-36374328.200000003</v>
      </c>
      <c r="S131" s="968">
        <v>-25000000</v>
      </c>
      <c r="T131" s="968">
        <v>-31000000</v>
      </c>
      <c r="U131" s="968">
        <v>-31000000</v>
      </c>
      <c r="V131" s="968">
        <v>-31000000</v>
      </c>
      <c r="W131" s="968"/>
      <c r="X131" s="968">
        <f t="shared" si="31"/>
        <v>-31000000</v>
      </c>
      <c r="Y131" s="1145">
        <v>-40000000</v>
      </c>
      <c r="Z131" s="1145">
        <v>-40000000</v>
      </c>
      <c r="AA131" s="1145">
        <v>-40000000</v>
      </c>
      <c r="AB131" s="1145">
        <v>-40000000</v>
      </c>
      <c r="AC131" s="1145"/>
      <c r="AD131" s="1145">
        <f t="shared" si="51"/>
        <v>-40000000</v>
      </c>
    </row>
    <row r="132" spans="1:30" x14ac:dyDescent="0.2">
      <c r="A132" s="928">
        <v>2115</v>
      </c>
      <c r="B132" s="928" t="s">
        <v>1170</v>
      </c>
      <c r="C132" s="968">
        <v>-4250000</v>
      </c>
      <c r="D132" s="968">
        <v>-1250000</v>
      </c>
      <c r="E132" s="968"/>
      <c r="F132" s="968">
        <f t="shared" si="48"/>
        <v>-1250000</v>
      </c>
      <c r="G132" s="968">
        <v>-1500000</v>
      </c>
      <c r="H132" s="968">
        <v>-1500000</v>
      </c>
      <c r="I132" s="968">
        <v>-1500000</v>
      </c>
      <c r="J132" s="968">
        <v>-1500000</v>
      </c>
      <c r="K132" s="968"/>
      <c r="L132" s="968">
        <f t="shared" si="49"/>
        <v>-1500000</v>
      </c>
      <c r="M132" s="974">
        <v>-1650000</v>
      </c>
      <c r="N132" s="974">
        <v>-1650000</v>
      </c>
      <c r="O132" s="974">
        <v>-1650000</v>
      </c>
      <c r="P132" s="968">
        <v>-1650000</v>
      </c>
      <c r="Q132" s="968"/>
      <c r="R132" s="968">
        <f t="shared" si="50"/>
        <v>-1650000</v>
      </c>
      <c r="S132" s="968">
        <v>-1800000</v>
      </c>
      <c r="T132" s="968">
        <v>-1800000</v>
      </c>
      <c r="U132" s="968">
        <v>-1800000</v>
      </c>
      <c r="V132" s="968">
        <v>-1800000</v>
      </c>
      <c r="W132" s="968"/>
      <c r="X132" s="968">
        <f t="shared" si="31"/>
        <v>-1800000</v>
      </c>
      <c r="Y132" s="1145">
        <v>-1875000</v>
      </c>
      <c r="Z132" s="1145">
        <v>-1875000</v>
      </c>
      <c r="AA132" s="1145">
        <v>-1875000</v>
      </c>
      <c r="AB132" s="1145">
        <v>-1241731.1200000001</v>
      </c>
      <c r="AC132" s="1145"/>
      <c r="AD132" s="1145">
        <f t="shared" si="51"/>
        <v>-1241731.1200000001</v>
      </c>
    </row>
    <row r="133" spans="1:30" x14ac:dyDescent="0.2">
      <c r="A133" s="928">
        <v>2118</v>
      </c>
      <c r="B133" s="928" t="s">
        <v>1171</v>
      </c>
      <c r="C133" s="968">
        <v>0</v>
      </c>
      <c r="D133" s="968">
        <v>0</v>
      </c>
      <c r="E133" s="968"/>
      <c r="F133" s="968">
        <f t="shared" si="48"/>
        <v>0</v>
      </c>
      <c r="G133" s="968">
        <v>0</v>
      </c>
      <c r="H133" s="968">
        <v>0</v>
      </c>
      <c r="I133" s="968">
        <v>0</v>
      </c>
      <c r="J133" s="968">
        <v>-37821956.630000003</v>
      </c>
      <c r="K133" s="968"/>
      <c r="L133" s="968">
        <f t="shared" si="49"/>
        <v>-37821956.630000003</v>
      </c>
      <c r="M133" s="974"/>
      <c r="N133" s="974"/>
      <c r="O133" s="974"/>
      <c r="P133" s="968"/>
      <c r="Q133" s="968"/>
      <c r="R133" s="968">
        <f t="shared" si="50"/>
        <v>0</v>
      </c>
      <c r="S133" s="968"/>
      <c r="T133" s="968"/>
      <c r="U133" s="968"/>
      <c r="V133" s="968"/>
      <c r="W133" s="968"/>
      <c r="X133" s="968">
        <f t="shared" si="31"/>
        <v>0</v>
      </c>
      <c r="Y133" s="1145"/>
      <c r="Z133" s="1145"/>
      <c r="AA133" s="1145"/>
      <c r="AB133" s="1145"/>
      <c r="AC133" s="1145"/>
      <c r="AD133" s="1145">
        <f t="shared" si="51"/>
        <v>0</v>
      </c>
    </row>
    <row r="134" spans="1:30" x14ac:dyDescent="0.2">
      <c r="A134" s="928">
        <v>2119</v>
      </c>
      <c r="B134" s="928" t="s">
        <v>3162</v>
      </c>
      <c r="C134" s="968"/>
      <c r="D134" s="968"/>
      <c r="E134" s="968"/>
      <c r="F134" s="968"/>
      <c r="G134" s="968"/>
      <c r="H134" s="968"/>
      <c r="I134" s="968"/>
      <c r="J134" s="968"/>
      <c r="K134" s="968"/>
      <c r="L134" s="968"/>
      <c r="M134" s="974">
        <v>-5188000</v>
      </c>
      <c r="N134" s="974">
        <f>-5188000-37546700</f>
        <v>-42734700</v>
      </c>
      <c r="O134" s="974">
        <f>-5188000-37546700</f>
        <v>-42734700</v>
      </c>
      <c r="P134" s="968">
        <v>-26592951.140000001</v>
      </c>
      <c r="Q134" s="968"/>
      <c r="R134" s="968">
        <f t="shared" si="50"/>
        <v>-26592951.140000001</v>
      </c>
      <c r="S134" s="968">
        <v>-46000000</v>
      </c>
      <c r="T134" s="968">
        <f>-46000000-16142000</f>
        <v>-62142000</v>
      </c>
      <c r="U134" s="968">
        <f>-46000000-16142000</f>
        <v>-62142000</v>
      </c>
      <c r="V134" s="968">
        <v>-44973054.729999997</v>
      </c>
      <c r="W134" s="968"/>
      <c r="X134" s="968">
        <f t="shared" si="31"/>
        <v>-44973054.729999997</v>
      </c>
      <c r="Y134" s="1145">
        <v>-42800000</v>
      </c>
      <c r="Z134" s="1145">
        <f>-42800000</f>
        <v>-42800000</v>
      </c>
      <c r="AA134" s="1145">
        <f>-42800000</f>
        <v>-42800000</v>
      </c>
      <c r="AB134" s="1145">
        <v>-32962853.98</v>
      </c>
      <c r="AC134" s="1145"/>
      <c r="AD134" s="1145">
        <f t="shared" si="51"/>
        <v>-32962853.98</v>
      </c>
    </row>
    <row r="135" spans="1:30" x14ac:dyDescent="0.2">
      <c r="A135" s="928">
        <v>2121</v>
      </c>
      <c r="B135" s="928" t="s">
        <v>1172</v>
      </c>
      <c r="C135" s="968">
        <v>-790000</v>
      </c>
      <c r="D135" s="968">
        <v>-790000</v>
      </c>
      <c r="E135" s="968"/>
      <c r="F135" s="968">
        <f t="shared" si="48"/>
        <v>-790000</v>
      </c>
      <c r="G135" s="968">
        <v>-800000</v>
      </c>
      <c r="H135" s="968">
        <v>-800000</v>
      </c>
      <c r="I135" s="968">
        <v>-800000</v>
      </c>
      <c r="J135" s="968">
        <v>-800000</v>
      </c>
      <c r="K135" s="968"/>
      <c r="L135" s="968">
        <f t="shared" si="49"/>
        <v>-800000</v>
      </c>
      <c r="M135" s="974">
        <v>-890000</v>
      </c>
      <c r="N135" s="974">
        <v>-890000</v>
      </c>
      <c r="O135" s="974">
        <v>-890000</v>
      </c>
      <c r="P135" s="968">
        <v>-890000</v>
      </c>
      <c r="Q135" s="968"/>
      <c r="R135" s="968">
        <f t="shared" si="50"/>
        <v>-890000</v>
      </c>
      <c r="S135" s="968">
        <v>-930000</v>
      </c>
      <c r="T135" s="968">
        <v>-930000</v>
      </c>
      <c r="U135" s="968">
        <v>-930000</v>
      </c>
      <c r="V135" s="968">
        <v>-930000</v>
      </c>
      <c r="W135" s="968"/>
      <c r="X135" s="968">
        <f t="shared" ref="X135:X200" si="52">V135+W135</f>
        <v>-930000</v>
      </c>
      <c r="Y135" s="1145">
        <v>-930000</v>
      </c>
      <c r="Z135" s="1145">
        <v>-930000</v>
      </c>
      <c r="AA135" s="1145">
        <v>-930000</v>
      </c>
      <c r="AB135" s="1145">
        <v>-930000</v>
      </c>
      <c r="AC135" s="1145"/>
      <c r="AD135" s="1145">
        <f t="shared" si="51"/>
        <v>-930000</v>
      </c>
    </row>
    <row r="136" spans="1:30" x14ac:dyDescent="0.2">
      <c r="A136" s="928">
        <v>2123</v>
      </c>
      <c r="B136" s="928" t="s">
        <v>1173</v>
      </c>
      <c r="C136" s="968">
        <v>0</v>
      </c>
      <c r="D136" s="968">
        <v>0</v>
      </c>
      <c r="E136" s="968"/>
      <c r="F136" s="968">
        <f t="shared" si="48"/>
        <v>0</v>
      </c>
      <c r="G136" s="968">
        <v>0</v>
      </c>
      <c r="H136" s="968">
        <v>0</v>
      </c>
      <c r="I136" s="968">
        <v>0</v>
      </c>
      <c r="J136" s="968">
        <v>0</v>
      </c>
      <c r="K136" s="968"/>
      <c r="L136" s="968">
        <f t="shared" si="49"/>
        <v>0</v>
      </c>
      <c r="M136" s="974"/>
      <c r="N136" s="974"/>
      <c r="O136" s="974"/>
      <c r="P136" s="968">
        <v>0</v>
      </c>
      <c r="Q136" s="968"/>
      <c r="R136" s="968">
        <f t="shared" si="50"/>
        <v>0</v>
      </c>
      <c r="S136" s="968"/>
      <c r="T136" s="968"/>
      <c r="U136" s="968"/>
      <c r="V136" s="968"/>
      <c r="W136" s="968"/>
      <c r="X136" s="968">
        <f t="shared" si="52"/>
        <v>0</v>
      </c>
      <c r="Y136" s="1145"/>
      <c r="Z136" s="1145"/>
      <c r="AA136" s="1145"/>
      <c r="AB136" s="1145"/>
      <c r="AC136" s="1145"/>
      <c r="AD136" s="1145">
        <f t="shared" si="51"/>
        <v>0</v>
      </c>
    </row>
    <row r="137" spans="1:30" x14ac:dyDescent="0.2">
      <c r="A137" s="928">
        <v>2127</v>
      </c>
      <c r="B137" s="928" t="s">
        <v>1174</v>
      </c>
      <c r="C137" s="968">
        <v>0</v>
      </c>
      <c r="D137" s="968">
        <v>0</v>
      </c>
      <c r="E137" s="968"/>
      <c r="F137" s="968">
        <f t="shared" si="48"/>
        <v>0</v>
      </c>
      <c r="G137" s="968">
        <v>0</v>
      </c>
      <c r="H137" s="968">
        <v>-82979855</v>
      </c>
      <c r="I137" s="968">
        <v>-82979855</v>
      </c>
      <c r="J137" s="968">
        <f>-40641578.61+1321254.46</f>
        <v>-39320324.149999999</v>
      </c>
      <c r="K137" s="968"/>
      <c r="L137" s="968">
        <f t="shared" si="49"/>
        <v>-39320324.149999999</v>
      </c>
      <c r="M137" s="974"/>
      <c r="N137" s="974"/>
      <c r="O137" s="974"/>
      <c r="P137" s="968">
        <v>0</v>
      </c>
      <c r="Q137" s="968"/>
      <c r="R137" s="968">
        <f t="shared" si="50"/>
        <v>0</v>
      </c>
      <c r="S137" s="968"/>
      <c r="T137" s="968"/>
      <c r="U137" s="968"/>
      <c r="V137" s="968">
        <v>-6093425.0999999996</v>
      </c>
      <c r="W137" s="968"/>
      <c r="X137" s="968">
        <f t="shared" si="52"/>
        <v>-6093425.0999999996</v>
      </c>
      <c r="Y137" s="1145">
        <v>-11000000</v>
      </c>
      <c r="Z137" s="1145">
        <v>-11000000</v>
      </c>
      <c r="AA137" s="1145">
        <v>-11000000</v>
      </c>
      <c r="AB137" s="1145">
        <v>-11000000</v>
      </c>
      <c r="AC137" s="1145"/>
      <c r="AD137" s="1145">
        <f t="shared" si="51"/>
        <v>-11000000</v>
      </c>
    </row>
    <row r="138" spans="1:30" x14ac:dyDescent="0.2">
      <c r="A138" s="928">
        <v>2128</v>
      </c>
      <c r="B138" s="928" t="s">
        <v>3163</v>
      </c>
      <c r="C138" s="968"/>
      <c r="D138" s="968"/>
      <c r="E138" s="968"/>
      <c r="F138" s="968"/>
      <c r="G138" s="968"/>
      <c r="H138" s="968"/>
      <c r="I138" s="968"/>
      <c r="J138" s="968"/>
      <c r="K138" s="968"/>
      <c r="L138" s="968"/>
      <c r="M138" s="974">
        <v>-19304000</v>
      </c>
      <c r="N138" s="974">
        <v>-19304000</v>
      </c>
      <c r="O138" s="974">
        <v>-19304000</v>
      </c>
      <c r="P138" s="968">
        <v>0</v>
      </c>
      <c r="Q138" s="968"/>
      <c r="R138" s="968">
        <f t="shared" si="50"/>
        <v>0</v>
      </c>
      <c r="S138" s="968"/>
      <c r="T138" s="968"/>
      <c r="U138" s="968"/>
      <c r="V138" s="968"/>
      <c r="W138" s="968"/>
      <c r="X138" s="968">
        <f t="shared" si="52"/>
        <v>0</v>
      </c>
      <c r="Y138" s="1145"/>
      <c r="Z138" s="1145"/>
      <c r="AA138" s="1145"/>
      <c r="AB138" s="1145"/>
      <c r="AC138" s="1145"/>
      <c r="AD138" s="1145">
        <f t="shared" si="51"/>
        <v>0</v>
      </c>
    </row>
    <row r="139" spans="1:30" x14ac:dyDescent="0.2">
      <c r="A139" s="928">
        <v>2105</v>
      </c>
      <c r="B139" s="928" t="s">
        <v>1167</v>
      </c>
      <c r="C139" s="968"/>
      <c r="D139" s="968"/>
      <c r="E139" s="968"/>
      <c r="F139" s="968"/>
      <c r="G139" s="968"/>
      <c r="H139" s="968"/>
      <c r="I139" s="968"/>
      <c r="J139" s="968">
        <v>-5299999.5199999996</v>
      </c>
      <c r="K139" s="968"/>
      <c r="L139" s="968">
        <f t="shared" si="49"/>
        <v>-5299999.5199999996</v>
      </c>
      <c r="M139" s="974"/>
      <c r="N139" s="974"/>
      <c r="O139" s="974"/>
      <c r="P139" s="968">
        <v>0</v>
      </c>
      <c r="Q139" s="968"/>
      <c r="R139" s="968">
        <f t="shared" si="50"/>
        <v>0</v>
      </c>
      <c r="S139" s="968"/>
      <c r="T139" s="968"/>
      <c r="U139" s="968"/>
      <c r="V139" s="968"/>
      <c r="W139" s="968"/>
      <c r="X139" s="968">
        <f t="shared" si="52"/>
        <v>0</v>
      </c>
      <c r="Y139" s="1145"/>
      <c r="Z139" s="1145"/>
      <c r="AA139" s="1145"/>
      <c r="AB139" s="1145"/>
      <c r="AC139" s="1145"/>
      <c r="AD139" s="1145">
        <f t="shared" si="51"/>
        <v>0</v>
      </c>
    </row>
    <row r="140" spans="1:30" x14ac:dyDescent="0.2">
      <c r="A140" s="928">
        <v>2131</v>
      </c>
      <c r="B140" s="928" t="s">
        <v>1505</v>
      </c>
      <c r="C140" s="968">
        <v>-40000000</v>
      </c>
      <c r="D140" s="968">
        <v>-8846855.5199999996</v>
      </c>
      <c r="E140" s="968"/>
      <c r="F140" s="968">
        <f t="shared" si="48"/>
        <v>-8846855.5199999996</v>
      </c>
      <c r="G140" s="968">
        <v>-6100000</v>
      </c>
      <c r="H140" s="968">
        <v>-6100000</v>
      </c>
      <c r="I140" s="968">
        <v>-6100000</v>
      </c>
      <c r="J140" s="968">
        <v>0</v>
      </c>
      <c r="K140" s="968"/>
      <c r="L140" s="968">
        <f t="shared" si="49"/>
        <v>0</v>
      </c>
      <c r="M140" s="974">
        <v>-6100000</v>
      </c>
      <c r="N140" s="974">
        <v>-6100000</v>
      </c>
      <c r="O140" s="974">
        <v>-6100000</v>
      </c>
      <c r="P140" s="968">
        <v>0</v>
      </c>
      <c r="Q140" s="968"/>
      <c r="R140" s="968">
        <f t="shared" si="50"/>
        <v>0</v>
      </c>
      <c r="S140" s="968">
        <f>-6153000+6153000</f>
        <v>0</v>
      </c>
      <c r="T140" s="968">
        <f>-6153000+6153000</f>
        <v>0</v>
      </c>
      <c r="U140" s="968">
        <f>-6153000+6153000</f>
        <v>0</v>
      </c>
      <c r="V140" s="968"/>
      <c r="W140" s="968"/>
      <c r="X140" s="968">
        <f t="shared" si="52"/>
        <v>0</v>
      </c>
      <c r="Y140" s="1145"/>
      <c r="Z140" s="1145"/>
      <c r="AA140" s="1145"/>
      <c r="AB140" s="1145"/>
      <c r="AC140" s="1145"/>
      <c r="AD140" s="1145">
        <f t="shared" si="51"/>
        <v>0</v>
      </c>
    </row>
    <row r="141" spans="1:30" x14ac:dyDescent="0.2">
      <c r="A141" s="928">
        <v>2133</v>
      </c>
      <c r="B141" s="928" t="s">
        <v>1176</v>
      </c>
      <c r="C141" s="968">
        <v>-2000000</v>
      </c>
      <c r="D141" s="968">
        <v>-1628802.58</v>
      </c>
      <c r="E141" s="968"/>
      <c r="F141" s="968">
        <f t="shared" si="48"/>
        <v>-1628802.58</v>
      </c>
      <c r="G141" s="968">
        <v>0</v>
      </c>
      <c r="H141" s="968">
        <v>0</v>
      </c>
      <c r="I141" s="968">
        <v>0</v>
      </c>
      <c r="J141" s="968">
        <v>-371197.42</v>
      </c>
      <c r="K141" s="968"/>
      <c r="L141" s="968">
        <f t="shared" si="49"/>
        <v>-371197.42</v>
      </c>
      <c r="M141" s="974">
        <v>-30000000</v>
      </c>
      <c r="N141" s="974">
        <f>-30000000+1500000-5000000</f>
        <v>-33500000</v>
      </c>
      <c r="O141" s="974">
        <f>-30000000+1500000-5000000</f>
        <v>-33500000</v>
      </c>
      <c r="P141" s="968">
        <v>-25229492.469999999</v>
      </c>
      <c r="Q141" s="968"/>
      <c r="R141" s="968">
        <f t="shared" si="50"/>
        <v>-25229492.469999999</v>
      </c>
      <c r="S141" s="968"/>
      <c r="T141" s="968"/>
      <c r="U141" s="968"/>
      <c r="V141" s="968"/>
      <c r="W141" s="968"/>
      <c r="X141" s="968">
        <f t="shared" si="52"/>
        <v>0</v>
      </c>
      <c r="Y141" s="1145"/>
      <c r="Z141" s="1145"/>
      <c r="AA141" s="1145"/>
      <c r="AB141" s="1145"/>
      <c r="AC141" s="1145"/>
      <c r="AD141" s="1145">
        <f t="shared" si="51"/>
        <v>0</v>
      </c>
    </row>
    <row r="142" spans="1:30" x14ac:dyDescent="0.2">
      <c r="A142" s="928">
        <v>2135</v>
      </c>
      <c r="B142" s="928" t="s">
        <v>1177</v>
      </c>
      <c r="C142" s="968">
        <v>-19518000</v>
      </c>
      <c r="D142" s="968">
        <v>-13111000</v>
      </c>
      <c r="E142" s="968"/>
      <c r="F142" s="968">
        <f t="shared" si="48"/>
        <v>-13111000</v>
      </c>
      <c r="G142" s="968">
        <v>-3273000</v>
      </c>
      <c r="H142" s="968">
        <v>-3273000</v>
      </c>
      <c r="I142" s="968">
        <v>-3273000</v>
      </c>
      <c r="J142" s="968">
        <v>-3273000</v>
      </c>
      <c r="K142" s="968"/>
      <c r="L142" s="968">
        <f t="shared" si="49"/>
        <v>-3273000</v>
      </c>
      <c r="M142" s="974"/>
      <c r="N142" s="974"/>
      <c r="O142" s="974"/>
      <c r="P142" s="968">
        <v>0</v>
      </c>
      <c r="Q142" s="968"/>
      <c r="R142" s="968">
        <f t="shared" si="50"/>
        <v>0</v>
      </c>
      <c r="S142" s="968">
        <v>-20000000</v>
      </c>
      <c r="T142" s="968">
        <f>-20000000+20000000</f>
        <v>0</v>
      </c>
      <c r="U142" s="968">
        <f>-20000000+20000000</f>
        <v>0</v>
      </c>
      <c r="V142" s="968"/>
      <c r="W142" s="968"/>
      <c r="X142" s="968">
        <f t="shared" si="52"/>
        <v>0</v>
      </c>
      <c r="Y142" s="1145"/>
      <c r="Z142" s="1145"/>
      <c r="AA142" s="1145"/>
      <c r="AB142" s="1145"/>
      <c r="AC142" s="1145"/>
      <c r="AD142" s="1145">
        <f t="shared" si="51"/>
        <v>0</v>
      </c>
    </row>
    <row r="143" spans="1:30" x14ac:dyDescent="0.2">
      <c r="A143" s="928">
        <v>2136</v>
      </c>
      <c r="B143" s="928" t="s">
        <v>1178</v>
      </c>
      <c r="C143" s="968">
        <v>0</v>
      </c>
      <c r="D143" s="968">
        <v>0</v>
      </c>
      <c r="E143" s="968"/>
      <c r="F143" s="968">
        <f t="shared" si="48"/>
        <v>0</v>
      </c>
      <c r="G143" s="968">
        <v>0</v>
      </c>
      <c r="H143" s="968">
        <v>0</v>
      </c>
      <c r="I143" s="968">
        <v>0</v>
      </c>
      <c r="J143" s="968">
        <v>0</v>
      </c>
      <c r="K143" s="968"/>
      <c r="L143" s="968">
        <f t="shared" si="49"/>
        <v>0</v>
      </c>
      <c r="M143" s="974"/>
      <c r="N143" s="974"/>
      <c r="O143" s="974"/>
      <c r="P143" s="968">
        <v>0</v>
      </c>
      <c r="Q143" s="968"/>
      <c r="R143" s="968">
        <f t="shared" si="50"/>
        <v>0</v>
      </c>
      <c r="S143" s="968"/>
      <c r="T143" s="968"/>
      <c r="U143" s="968"/>
      <c r="V143" s="968"/>
      <c r="W143" s="968"/>
      <c r="X143" s="968">
        <f t="shared" si="52"/>
        <v>0</v>
      </c>
      <c r="Y143" s="1145"/>
      <c r="Z143" s="1145"/>
      <c r="AA143" s="1145"/>
      <c r="AB143" s="1145"/>
      <c r="AC143" s="1145"/>
      <c r="AD143" s="1145">
        <f t="shared" si="51"/>
        <v>0</v>
      </c>
    </row>
    <row r="144" spans="1:30" x14ac:dyDescent="0.2">
      <c r="A144" s="928">
        <v>2137</v>
      </c>
      <c r="B144" s="928" t="s">
        <v>1179</v>
      </c>
      <c r="C144" s="968">
        <v>0</v>
      </c>
      <c r="D144" s="968">
        <v>0</v>
      </c>
      <c r="E144" s="968"/>
      <c r="F144" s="968">
        <f t="shared" si="48"/>
        <v>0</v>
      </c>
      <c r="G144" s="968">
        <v>0</v>
      </c>
      <c r="H144" s="968">
        <v>0</v>
      </c>
      <c r="I144" s="968">
        <v>0</v>
      </c>
      <c r="J144" s="968"/>
      <c r="K144" s="968"/>
      <c r="L144" s="968">
        <f t="shared" si="49"/>
        <v>0</v>
      </c>
      <c r="M144" s="974"/>
      <c r="N144" s="974"/>
      <c r="O144" s="974"/>
      <c r="P144" s="968">
        <v>0</v>
      </c>
      <c r="Q144" s="968"/>
      <c r="R144" s="968">
        <f t="shared" si="50"/>
        <v>0</v>
      </c>
      <c r="S144" s="968"/>
      <c r="T144" s="968"/>
      <c r="U144" s="968"/>
      <c r="V144" s="968"/>
      <c r="W144" s="968"/>
      <c r="X144" s="968">
        <f t="shared" si="52"/>
        <v>0</v>
      </c>
      <c r="Y144" s="1145"/>
      <c r="Z144" s="1145"/>
      <c r="AA144" s="1145"/>
      <c r="AB144" s="1145"/>
      <c r="AC144" s="1145"/>
      <c r="AD144" s="1145">
        <f t="shared" si="51"/>
        <v>0</v>
      </c>
    </row>
    <row r="145" spans="1:30" x14ac:dyDescent="0.2">
      <c r="A145" s="928">
        <v>2138</v>
      </c>
      <c r="B145" s="928" t="s">
        <v>3921</v>
      </c>
      <c r="C145" s="968">
        <v>0</v>
      </c>
      <c r="D145" s="968">
        <v>-25000000</v>
      </c>
      <c r="E145" s="968"/>
      <c r="F145" s="968">
        <f t="shared" si="48"/>
        <v>-25000000</v>
      </c>
      <c r="G145" s="968">
        <v>0</v>
      </c>
      <c r="H145" s="968">
        <v>0</v>
      </c>
      <c r="I145" s="968">
        <v>0</v>
      </c>
      <c r="J145" s="968"/>
      <c r="K145" s="968"/>
      <c r="L145" s="968">
        <f t="shared" si="49"/>
        <v>0</v>
      </c>
      <c r="M145" s="974"/>
      <c r="N145" s="974"/>
      <c r="O145" s="974"/>
      <c r="P145" s="968">
        <v>-54714.19</v>
      </c>
      <c r="Q145" s="968"/>
      <c r="R145" s="968">
        <f t="shared" si="50"/>
        <v>-54714.19</v>
      </c>
      <c r="S145" s="968"/>
      <c r="T145" s="968"/>
      <c r="U145" s="968"/>
      <c r="V145" s="968"/>
      <c r="W145" s="968"/>
      <c r="X145" s="968">
        <f t="shared" si="52"/>
        <v>0</v>
      </c>
      <c r="Y145" s="1145">
        <v>-52000000</v>
      </c>
      <c r="Z145" s="1145">
        <v>-52000000</v>
      </c>
      <c r="AA145" s="1145">
        <v>-52000000</v>
      </c>
      <c r="AB145" s="1145"/>
      <c r="AC145" s="1145"/>
      <c r="AD145" s="1145">
        <f t="shared" si="51"/>
        <v>0</v>
      </c>
    </row>
    <row r="146" spans="1:30" x14ac:dyDescent="0.2">
      <c r="A146" s="928">
        <v>2138</v>
      </c>
      <c r="B146" s="928" t="s">
        <v>3190</v>
      </c>
      <c r="C146" s="968"/>
      <c r="D146" s="968"/>
      <c r="E146" s="968"/>
      <c r="F146" s="968"/>
      <c r="G146" s="968"/>
      <c r="H146" s="968"/>
      <c r="I146" s="968"/>
      <c r="J146" s="968"/>
      <c r="K146" s="968"/>
      <c r="L146" s="968"/>
      <c r="M146" s="974"/>
      <c r="N146" s="974"/>
      <c r="O146" s="974"/>
      <c r="P146" s="968">
        <v>-649873.88</v>
      </c>
      <c r="Q146" s="968"/>
      <c r="R146" s="968">
        <f t="shared" si="50"/>
        <v>-649873.88</v>
      </c>
      <c r="S146" s="968"/>
      <c r="T146" s="968"/>
      <c r="U146" s="968"/>
      <c r="V146" s="968"/>
      <c r="W146" s="968"/>
      <c r="X146" s="968">
        <f t="shared" si="52"/>
        <v>0</v>
      </c>
      <c r="Y146" s="1145"/>
      <c r="Z146" s="1145"/>
      <c r="AA146" s="1145"/>
      <c r="AB146" s="1145"/>
      <c r="AC146" s="1145"/>
      <c r="AD146" s="1145">
        <f t="shared" si="51"/>
        <v>0</v>
      </c>
    </row>
    <row r="147" spans="1:30" x14ac:dyDescent="0.2">
      <c r="A147" s="928">
        <v>2138</v>
      </c>
      <c r="B147" s="928" t="s">
        <v>3191</v>
      </c>
      <c r="C147" s="968"/>
      <c r="D147" s="968"/>
      <c r="E147" s="968"/>
      <c r="F147" s="968"/>
      <c r="G147" s="968"/>
      <c r="H147" s="968"/>
      <c r="I147" s="968"/>
      <c r="J147" s="968"/>
      <c r="K147" s="968"/>
      <c r="L147" s="968"/>
      <c r="M147" s="974"/>
      <c r="N147" s="974"/>
      <c r="O147" s="974"/>
      <c r="P147" s="968">
        <v>-953926.67</v>
      </c>
      <c r="Q147" s="968"/>
      <c r="R147" s="968">
        <f t="shared" si="50"/>
        <v>-953926.67</v>
      </c>
      <c r="S147" s="968"/>
      <c r="T147" s="968"/>
      <c r="U147" s="968"/>
      <c r="V147" s="968"/>
      <c r="W147" s="968"/>
      <c r="X147" s="968">
        <f t="shared" si="52"/>
        <v>0</v>
      </c>
      <c r="Y147" s="1145"/>
      <c r="Z147" s="1145"/>
      <c r="AA147" s="1145"/>
      <c r="AB147" s="1145"/>
      <c r="AC147" s="1145"/>
      <c r="AD147" s="1145">
        <f t="shared" si="51"/>
        <v>0</v>
      </c>
    </row>
    <row r="148" spans="1:30" x14ac:dyDescent="0.2">
      <c r="A148" s="928">
        <v>2139</v>
      </c>
      <c r="B148" s="928" t="s">
        <v>2956</v>
      </c>
      <c r="C148" s="968">
        <v>0</v>
      </c>
      <c r="D148" s="968">
        <v>0</v>
      </c>
      <c r="E148" s="968"/>
      <c r="F148" s="968">
        <f t="shared" si="48"/>
        <v>0</v>
      </c>
      <c r="G148" s="968">
        <v>-3000000</v>
      </c>
      <c r="H148" s="968">
        <v>-3000000</v>
      </c>
      <c r="I148" s="968">
        <v>-3000000</v>
      </c>
      <c r="J148" s="968">
        <v>-3000000</v>
      </c>
      <c r="K148" s="968"/>
      <c r="L148" s="968">
        <f t="shared" si="49"/>
        <v>-3000000</v>
      </c>
      <c r="M148" s="974">
        <v>-3200000</v>
      </c>
      <c r="N148" s="974">
        <v>-3200000</v>
      </c>
      <c r="O148" s="974">
        <v>-3200000</v>
      </c>
      <c r="P148" s="968">
        <v>-3200000</v>
      </c>
      <c r="Q148" s="968"/>
      <c r="R148" s="968">
        <f t="shared" si="50"/>
        <v>-3200000</v>
      </c>
      <c r="S148" s="968">
        <v>-3000000</v>
      </c>
      <c r="T148" s="968">
        <v>-3000000</v>
      </c>
      <c r="U148" s="968">
        <v>-3000000</v>
      </c>
      <c r="V148" s="968">
        <v>-3000000</v>
      </c>
      <c r="W148" s="968"/>
      <c r="X148" s="968">
        <f t="shared" si="52"/>
        <v>-3000000</v>
      </c>
      <c r="Y148" s="1145">
        <v>-5000000</v>
      </c>
      <c r="Z148" s="1145">
        <v>-5000000</v>
      </c>
      <c r="AA148" s="1145">
        <v>-5000000</v>
      </c>
      <c r="AB148" s="1145">
        <v>-5000000</v>
      </c>
      <c r="AC148" s="1145"/>
      <c r="AD148" s="1145">
        <f t="shared" si="51"/>
        <v>-5000000</v>
      </c>
    </row>
    <row r="149" spans="1:30" x14ac:dyDescent="0.2">
      <c r="A149" s="928"/>
      <c r="B149" s="928" t="s">
        <v>1089</v>
      </c>
      <c r="C149" s="1143">
        <f t="shared" ref="C149:P149" si="53">SUM(C126:C148)</f>
        <v>-417263000</v>
      </c>
      <c r="D149" s="1143">
        <f t="shared" si="53"/>
        <v>-401331658.09999996</v>
      </c>
      <c r="E149" s="1143">
        <f t="shared" si="53"/>
        <v>0</v>
      </c>
      <c r="F149" s="1143">
        <f t="shared" si="53"/>
        <v>-401331658.09999996</v>
      </c>
      <c r="G149" s="1143">
        <f t="shared" si="53"/>
        <v>-402905000</v>
      </c>
      <c r="H149" s="1143">
        <f t="shared" si="53"/>
        <v>-491330855</v>
      </c>
      <c r="I149" s="1143">
        <f>SUM(I126:I148)</f>
        <v>-485884855</v>
      </c>
      <c r="J149" s="1143">
        <f t="shared" si="53"/>
        <v>-501274578.75999999</v>
      </c>
      <c r="K149" s="1143">
        <f t="shared" si="53"/>
        <v>0</v>
      </c>
      <c r="L149" s="1143">
        <f t="shared" si="53"/>
        <v>-501274578.75999999</v>
      </c>
      <c r="M149" s="1144">
        <f t="shared" si="53"/>
        <v>-486936000</v>
      </c>
      <c r="N149" s="1144">
        <f>SUM(N126:N148)</f>
        <v>-564357700</v>
      </c>
      <c r="O149" s="1144">
        <f t="shared" si="53"/>
        <v>-564357700</v>
      </c>
      <c r="P149" s="1143">
        <f t="shared" si="53"/>
        <v>-516199286.54999995</v>
      </c>
      <c r="Q149" s="1143">
        <f>SUM(Q126:Q148)</f>
        <v>0</v>
      </c>
      <c r="R149" s="1143">
        <f>SUM(R126:R148)</f>
        <v>-516199286.54999995</v>
      </c>
      <c r="S149" s="1143">
        <f t="shared" ref="S149:AD149" si="54">SUM(S126:S148)</f>
        <v>-556489000</v>
      </c>
      <c r="T149" s="1143">
        <f t="shared" si="54"/>
        <v>-558631000</v>
      </c>
      <c r="U149" s="1143">
        <f t="shared" si="54"/>
        <v>-558631000</v>
      </c>
      <c r="V149" s="1143">
        <f t="shared" si="54"/>
        <v>-547555479.83000004</v>
      </c>
      <c r="W149" s="1143">
        <f t="shared" si="54"/>
        <v>0</v>
      </c>
      <c r="X149" s="1143">
        <f t="shared" si="54"/>
        <v>-547555479.83000004</v>
      </c>
      <c r="Y149" s="1341">
        <f t="shared" si="54"/>
        <v>-678860000</v>
      </c>
      <c r="Z149" s="1341">
        <f t="shared" si="54"/>
        <v>-678860000</v>
      </c>
      <c r="AA149" s="1341">
        <f t="shared" si="54"/>
        <v>-678860000</v>
      </c>
      <c r="AB149" s="1341">
        <f t="shared" si="54"/>
        <v>-616432886.5</v>
      </c>
      <c r="AC149" s="1341">
        <f t="shared" si="54"/>
        <v>0</v>
      </c>
      <c r="AD149" s="1341">
        <f t="shared" si="54"/>
        <v>-616432886.5</v>
      </c>
    </row>
    <row r="150" spans="1:30" x14ac:dyDescent="0.2">
      <c r="A150" s="928"/>
      <c r="B150" s="928"/>
      <c r="C150" s="968"/>
      <c r="D150" s="968"/>
      <c r="E150" s="968"/>
      <c r="F150" s="968"/>
      <c r="G150" s="968"/>
      <c r="H150" s="968"/>
      <c r="I150" s="968"/>
      <c r="J150" s="968"/>
      <c r="K150" s="968"/>
      <c r="L150" s="968"/>
      <c r="M150" s="974"/>
      <c r="N150" s="974"/>
      <c r="O150" s="974"/>
      <c r="P150" s="968"/>
      <c r="Q150" s="968"/>
      <c r="R150" s="968"/>
      <c r="S150" s="968"/>
      <c r="T150" s="968"/>
      <c r="U150" s="968"/>
      <c r="V150" s="968"/>
      <c r="W150" s="968"/>
      <c r="X150" s="968"/>
      <c r="Y150" s="1145"/>
      <c r="Z150" s="1145"/>
      <c r="AA150" s="1145"/>
      <c r="AB150" s="1145"/>
      <c r="AC150" s="1145"/>
      <c r="AD150" s="1145"/>
    </row>
    <row r="151" spans="1:30" x14ac:dyDescent="0.2">
      <c r="A151" s="928">
        <v>1610</v>
      </c>
      <c r="B151" s="928" t="s">
        <v>1181</v>
      </c>
      <c r="C151" s="968"/>
      <c r="D151" s="968"/>
      <c r="E151" s="968"/>
      <c r="F151" s="968"/>
      <c r="G151" s="968"/>
      <c r="H151" s="968"/>
      <c r="I151" s="968"/>
      <c r="J151" s="968"/>
      <c r="K151" s="968"/>
      <c r="L151" s="968"/>
      <c r="M151" s="974"/>
      <c r="N151" s="974"/>
      <c r="O151" s="974"/>
      <c r="P151" s="968"/>
      <c r="Q151" s="968"/>
      <c r="R151" s="968"/>
      <c r="S151" s="968"/>
      <c r="T151" s="968"/>
      <c r="U151" s="968"/>
      <c r="V151" s="968"/>
      <c r="W151" s="968"/>
      <c r="X151" s="968"/>
      <c r="Y151" s="1145"/>
      <c r="Z151" s="1145"/>
      <c r="AA151" s="1145"/>
      <c r="AB151" s="1145"/>
      <c r="AC151" s="1145"/>
      <c r="AD151" s="1145"/>
    </row>
    <row r="152" spans="1:30" x14ac:dyDescent="0.2">
      <c r="A152" s="928"/>
      <c r="B152" s="928"/>
      <c r="C152" s="968"/>
      <c r="D152" s="968"/>
      <c r="E152" s="968"/>
      <c r="F152" s="968"/>
      <c r="G152" s="968"/>
      <c r="H152" s="968"/>
      <c r="I152" s="968"/>
      <c r="J152" s="968"/>
      <c r="K152" s="968"/>
      <c r="L152" s="968"/>
      <c r="M152" s="974"/>
      <c r="N152" s="974"/>
      <c r="O152" s="974"/>
      <c r="P152" s="968"/>
      <c r="Q152" s="968"/>
      <c r="R152" s="968"/>
      <c r="S152" s="968"/>
      <c r="T152" s="968"/>
      <c r="U152" s="968"/>
      <c r="V152" s="968"/>
      <c r="W152" s="968"/>
      <c r="X152" s="968"/>
      <c r="Y152" s="1145"/>
      <c r="Z152" s="1145"/>
      <c r="AA152" s="1145"/>
      <c r="AB152" s="1145"/>
      <c r="AC152" s="1145"/>
      <c r="AD152" s="1145"/>
    </row>
    <row r="153" spans="1:30" x14ac:dyDescent="0.2">
      <c r="A153" s="928">
        <v>2101</v>
      </c>
      <c r="B153" s="928" t="s">
        <v>1179</v>
      </c>
      <c r="C153" s="968">
        <v>0</v>
      </c>
      <c r="D153" s="968">
        <v>0</v>
      </c>
      <c r="E153" s="968"/>
      <c r="F153" s="968">
        <f t="shared" ref="F153:F172" si="55">D153+E153</f>
        <v>0</v>
      </c>
      <c r="G153" s="968">
        <v>-6407000</v>
      </c>
      <c r="H153" s="968">
        <v>-6407000</v>
      </c>
      <c r="I153" s="968">
        <v>-6407000</v>
      </c>
      <c r="J153" s="968">
        <v>-4349322.58</v>
      </c>
      <c r="K153" s="968"/>
      <c r="L153" s="968">
        <f t="shared" ref="L153:L172" si="56">J153+K153</f>
        <v>-4349322.58</v>
      </c>
      <c r="M153" s="974">
        <v>-10000000</v>
      </c>
      <c r="N153" s="974">
        <v>-10000000</v>
      </c>
      <c r="O153" s="974">
        <v>-10000000</v>
      </c>
      <c r="P153" s="968">
        <v>2080374.95</v>
      </c>
      <c r="Q153" s="968"/>
      <c r="R153" s="968">
        <f t="shared" ref="R153:R172" si="57">P153+Q153</f>
        <v>2080374.95</v>
      </c>
      <c r="S153" s="968"/>
      <c r="T153" s="968"/>
      <c r="U153" s="968"/>
      <c r="V153" s="968"/>
      <c r="W153" s="968"/>
      <c r="X153" s="968">
        <f t="shared" si="52"/>
        <v>0</v>
      </c>
      <c r="Y153" s="1145"/>
      <c r="Z153" s="1145"/>
      <c r="AA153" s="1145"/>
      <c r="AB153" s="1145"/>
      <c r="AC153" s="1145"/>
      <c r="AD153" s="1145">
        <f t="shared" ref="AD153:AD172" si="58">AB153+AC153</f>
        <v>0</v>
      </c>
    </row>
    <row r="154" spans="1:30" x14ac:dyDescent="0.2">
      <c r="A154" s="928">
        <v>2103</v>
      </c>
      <c r="B154" s="928" t="s">
        <v>1166</v>
      </c>
      <c r="C154" s="968">
        <v>0</v>
      </c>
      <c r="D154" s="968">
        <v>-951972.81</v>
      </c>
      <c r="E154" s="968"/>
      <c r="F154" s="968">
        <f t="shared" si="55"/>
        <v>-951972.81</v>
      </c>
      <c r="G154" s="968">
        <v>-10000000</v>
      </c>
      <c r="H154" s="968">
        <v>-10000000</v>
      </c>
      <c r="I154" s="968">
        <v>-10537558</v>
      </c>
      <c r="J154" s="968">
        <f>-10537557.99+7030429.24</f>
        <v>-3507128.75</v>
      </c>
      <c r="K154" s="968"/>
      <c r="L154" s="968">
        <f t="shared" si="56"/>
        <v>-3507128.75</v>
      </c>
      <c r="M154" s="974">
        <v>-10000000</v>
      </c>
      <c r="N154" s="974">
        <v>-10000000</v>
      </c>
      <c r="O154" s="974">
        <v>-10000000</v>
      </c>
      <c r="P154" s="968">
        <v>-5942610.3300000001</v>
      </c>
      <c r="Q154" s="968"/>
      <c r="R154" s="968">
        <f t="shared" si="57"/>
        <v>-5942610.3300000001</v>
      </c>
      <c r="S154" s="968">
        <v>-5000000</v>
      </c>
      <c r="T154" s="968">
        <f>-5000000-4057390+5000000</f>
        <v>-4057390</v>
      </c>
      <c r="U154" s="968">
        <f>-5000000-4057390+5000000</f>
        <v>-4057390</v>
      </c>
      <c r="V154" s="968">
        <v>-4057089.67</v>
      </c>
      <c r="W154" s="968"/>
      <c r="X154" s="968">
        <f t="shared" si="52"/>
        <v>-4057089.67</v>
      </c>
      <c r="Y154" s="1145"/>
      <c r="Z154" s="1145"/>
      <c r="AA154" s="1145"/>
      <c r="AB154" s="1145"/>
      <c r="AC154" s="1145"/>
      <c r="AD154" s="1145">
        <f t="shared" si="58"/>
        <v>0</v>
      </c>
    </row>
    <row r="155" spans="1:30" x14ac:dyDescent="0.2">
      <c r="A155" s="928">
        <v>2105</v>
      </c>
      <c r="B155" s="928" t="s">
        <v>1167</v>
      </c>
      <c r="C155" s="968">
        <v>-11214098</v>
      </c>
      <c r="D155" s="968">
        <v>-1248481.48</v>
      </c>
      <c r="E155" s="968"/>
      <c r="F155" s="968">
        <f t="shared" si="55"/>
        <v>-1248481.48</v>
      </c>
      <c r="G155" s="968">
        <v>-5446000</v>
      </c>
      <c r="H155" s="968">
        <f>-5446000+5446000-2464617</f>
        <v>-2464617</v>
      </c>
      <c r="I155" s="968">
        <v>-7910617</v>
      </c>
      <c r="J155" s="968">
        <f>-7764616.52+5299999.52</f>
        <v>-2464617</v>
      </c>
      <c r="K155" s="968"/>
      <c r="L155" s="968">
        <f t="shared" si="56"/>
        <v>-2464617</v>
      </c>
      <c r="M155" s="974"/>
      <c r="N155" s="974"/>
      <c r="O155" s="974"/>
      <c r="P155" s="968">
        <v>0</v>
      </c>
      <c r="Q155" s="968"/>
      <c r="R155" s="968">
        <f t="shared" si="57"/>
        <v>0</v>
      </c>
      <c r="S155" s="968"/>
      <c r="T155" s="968"/>
      <c r="U155" s="968"/>
      <c r="V155" s="968"/>
      <c r="W155" s="968"/>
      <c r="X155" s="968">
        <f t="shared" si="52"/>
        <v>0</v>
      </c>
      <c r="Y155" s="1145">
        <v>-1856000</v>
      </c>
      <c r="Z155" s="1145">
        <v>-1856000</v>
      </c>
      <c r="AA155" s="1145">
        <v>-1856000</v>
      </c>
      <c r="AB155" s="1145">
        <v>-1812698.6</v>
      </c>
      <c r="AC155" s="1145"/>
      <c r="AD155" s="1145">
        <f t="shared" si="58"/>
        <v>-1812698.6</v>
      </c>
    </row>
    <row r="156" spans="1:30" x14ac:dyDescent="0.2">
      <c r="A156" s="928">
        <v>2107</v>
      </c>
      <c r="B156" s="928" t="s">
        <v>1168</v>
      </c>
      <c r="C156" s="968">
        <v>0</v>
      </c>
      <c r="D156" s="968">
        <v>0</v>
      </c>
      <c r="E156" s="968"/>
      <c r="F156" s="968">
        <f t="shared" si="55"/>
        <v>0</v>
      </c>
      <c r="G156" s="968">
        <v>0</v>
      </c>
      <c r="H156" s="968">
        <v>0</v>
      </c>
      <c r="I156" s="968">
        <v>0</v>
      </c>
      <c r="J156" s="968">
        <v>0</v>
      </c>
      <c r="K156" s="968"/>
      <c r="L156" s="968">
        <f t="shared" si="56"/>
        <v>0</v>
      </c>
      <c r="M156" s="974"/>
      <c r="N156" s="974"/>
      <c r="O156" s="974"/>
      <c r="P156" s="968">
        <v>0</v>
      </c>
      <c r="Q156" s="968"/>
      <c r="R156" s="968">
        <f t="shared" si="57"/>
        <v>0</v>
      </c>
      <c r="S156" s="968"/>
      <c r="T156" s="968"/>
      <c r="U156" s="968"/>
      <c r="V156" s="968"/>
      <c r="W156" s="968"/>
      <c r="X156" s="968">
        <f t="shared" si="52"/>
        <v>0</v>
      </c>
      <c r="Y156" s="1145"/>
      <c r="Z156" s="1145"/>
      <c r="AA156" s="1145"/>
      <c r="AB156" s="1145"/>
      <c r="AC156" s="1145"/>
      <c r="AD156" s="1145">
        <f t="shared" si="58"/>
        <v>0</v>
      </c>
    </row>
    <row r="157" spans="1:30" x14ac:dyDescent="0.2">
      <c r="A157" s="928">
        <v>2112</v>
      </c>
      <c r="B157" s="928" t="s">
        <v>1169</v>
      </c>
      <c r="C157" s="968">
        <v>-43049413</v>
      </c>
      <c r="D157" s="968">
        <v>-16111933.529999999</v>
      </c>
      <c r="E157" s="968"/>
      <c r="F157" s="968">
        <f t="shared" si="55"/>
        <v>-16111933.529999999</v>
      </c>
      <c r="G157" s="968">
        <v>-16000000</v>
      </c>
      <c r="H157" s="968">
        <f>-16000000+8000000-8537558</f>
        <v>-16537558</v>
      </c>
      <c r="I157" s="968">
        <v>-16000000</v>
      </c>
      <c r="J157" s="968">
        <v>0</v>
      </c>
      <c r="K157" s="968"/>
      <c r="L157" s="968">
        <f t="shared" si="56"/>
        <v>0</v>
      </c>
      <c r="M157" s="974">
        <v>-35000000</v>
      </c>
      <c r="N157" s="974"/>
      <c r="O157" s="974"/>
      <c r="P157" s="968">
        <v>0</v>
      </c>
      <c r="Q157" s="968"/>
      <c r="R157" s="968">
        <f t="shared" si="57"/>
        <v>0</v>
      </c>
      <c r="S157" s="968">
        <f>-25000000+25000000</f>
        <v>0</v>
      </c>
      <c r="T157" s="968">
        <f>-25000000-6000000+31000000</f>
        <v>0</v>
      </c>
      <c r="U157" s="968">
        <f>-25000000-6000000+31000000</f>
        <v>0</v>
      </c>
      <c r="V157" s="968"/>
      <c r="W157" s="968"/>
      <c r="X157" s="968">
        <f t="shared" si="52"/>
        <v>0</v>
      </c>
      <c r="Y157" s="1145"/>
      <c r="Z157" s="1145"/>
      <c r="AA157" s="1145"/>
      <c r="AB157" s="1145"/>
      <c r="AC157" s="1145"/>
      <c r="AD157" s="1145">
        <f t="shared" si="58"/>
        <v>0</v>
      </c>
    </row>
    <row r="158" spans="1:30" x14ac:dyDescent="0.2">
      <c r="A158" s="928">
        <v>2115</v>
      </c>
      <c r="B158" s="928" t="s">
        <v>1170</v>
      </c>
      <c r="C158" s="968">
        <v>0</v>
      </c>
      <c r="D158" s="968">
        <v>0</v>
      </c>
      <c r="E158" s="968"/>
      <c r="F158" s="968">
        <f t="shared" si="55"/>
        <v>0</v>
      </c>
      <c r="G158" s="968">
        <v>0</v>
      </c>
      <c r="H158" s="968">
        <v>0</v>
      </c>
      <c r="I158" s="968">
        <v>0</v>
      </c>
      <c r="J158" s="968"/>
      <c r="K158" s="968"/>
      <c r="L158" s="968">
        <f t="shared" si="56"/>
        <v>0</v>
      </c>
      <c r="M158" s="974"/>
      <c r="N158" s="974"/>
      <c r="O158" s="974"/>
      <c r="P158" s="968">
        <v>0</v>
      </c>
      <c r="Q158" s="968"/>
      <c r="R158" s="968">
        <f t="shared" si="57"/>
        <v>0</v>
      </c>
      <c r="S158" s="968"/>
      <c r="T158" s="968"/>
      <c r="U158" s="968"/>
      <c r="V158" s="968"/>
      <c r="W158" s="968"/>
      <c r="X158" s="968">
        <f t="shared" si="52"/>
        <v>0</v>
      </c>
      <c r="Y158" s="1145"/>
      <c r="Z158" s="1145"/>
      <c r="AA158" s="1145"/>
      <c r="AB158" s="1145"/>
      <c r="AC158" s="1145"/>
      <c r="AD158" s="1145">
        <f t="shared" si="58"/>
        <v>0</v>
      </c>
    </row>
    <row r="159" spans="1:30" x14ac:dyDescent="0.2">
      <c r="A159" s="928">
        <v>2118</v>
      </c>
      <c r="B159" s="928" t="s">
        <v>1171</v>
      </c>
      <c r="C159" s="968">
        <v>-301126745</v>
      </c>
      <c r="D159" s="968">
        <v>-160800542</v>
      </c>
      <c r="E159" s="968"/>
      <c r="F159" s="968">
        <f t="shared" si="55"/>
        <v>-160800542</v>
      </c>
      <c r="G159" s="968">
        <v>-221514000</v>
      </c>
      <c r="H159" s="968">
        <f>-221514000-111398780</f>
        <v>-332912780</v>
      </c>
      <c r="I159" s="968">
        <f>-221514000-111398780</f>
        <v>-332912780</v>
      </c>
      <c r="J159" s="968">
        <f>-195256611.15+37821956.63</f>
        <v>-157434654.52000001</v>
      </c>
      <c r="K159" s="968"/>
      <c r="L159" s="968">
        <f t="shared" si="56"/>
        <v>-157434654.52000001</v>
      </c>
      <c r="M159" s="974">
        <v>-237000000</v>
      </c>
      <c r="N159" s="974">
        <f>-237000000-137656000+37546700</f>
        <v>-337109300</v>
      </c>
      <c r="O159" s="974">
        <f>-237000000-137656000+37546700</f>
        <v>-337109300</v>
      </c>
      <c r="P159" s="968">
        <v>-217144603.78999999</v>
      </c>
      <c r="Q159" s="968"/>
      <c r="R159" s="968">
        <f t="shared" si="57"/>
        <v>-217144603.78999999</v>
      </c>
      <c r="S159" s="968">
        <v>-220646000</v>
      </c>
      <c r="T159" s="968">
        <f>-220646000-119964760</f>
        <v>-340610760</v>
      </c>
      <c r="U159" s="968">
        <f>-220646000-119964760</f>
        <v>-340610760</v>
      </c>
      <c r="V159" s="968">
        <v>-262336165.93000001</v>
      </c>
      <c r="W159" s="968"/>
      <c r="X159" s="968">
        <f t="shared" si="52"/>
        <v>-262336165.93000001</v>
      </c>
      <c r="Y159" s="1145">
        <v>-271243000</v>
      </c>
      <c r="Z159" s="1145">
        <f>-236568789</f>
        <v>-236568789</v>
      </c>
      <c r="AA159" s="1145">
        <f>-236568789</f>
        <v>-236568789</v>
      </c>
      <c r="AB159" s="1145">
        <f>-224084516.1-23075898.78</f>
        <v>-247160414.88</v>
      </c>
      <c r="AC159" s="1145"/>
      <c r="AD159" s="1145">
        <f t="shared" si="58"/>
        <v>-247160414.88</v>
      </c>
    </row>
    <row r="160" spans="1:30" x14ac:dyDescent="0.2">
      <c r="A160" s="928">
        <v>2121</v>
      </c>
      <c r="B160" s="928" t="s">
        <v>1172</v>
      </c>
      <c r="C160" s="968">
        <v>0</v>
      </c>
      <c r="D160" s="968">
        <v>0</v>
      </c>
      <c r="E160" s="968"/>
      <c r="F160" s="968">
        <f t="shared" si="55"/>
        <v>0</v>
      </c>
      <c r="G160" s="968">
        <v>0</v>
      </c>
      <c r="H160" s="968">
        <v>0</v>
      </c>
      <c r="I160" s="968">
        <v>0</v>
      </c>
      <c r="J160" s="968">
        <v>0</v>
      </c>
      <c r="K160" s="968"/>
      <c r="L160" s="968">
        <f t="shared" si="56"/>
        <v>0</v>
      </c>
      <c r="M160" s="974"/>
      <c r="N160" s="974"/>
      <c r="O160" s="974"/>
      <c r="P160" s="968">
        <v>0</v>
      </c>
      <c r="Q160" s="968"/>
      <c r="R160" s="968">
        <f t="shared" si="57"/>
        <v>0</v>
      </c>
      <c r="S160" s="968"/>
      <c r="T160" s="968"/>
      <c r="U160" s="968"/>
      <c r="V160" s="968"/>
      <c r="W160" s="968"/>
      <c r="X160" s="968">
        <f t="shared" si="52"/>
        <v>0</v>
      </c>
      <c r="Y160" s="1145"/>
      <c r="Z160" s="1145"/>
      <c r="AA160" s="1145"/>
      <c r="AB160" s="1145"/>
      <c r="AC160" s="1145"/>
      <c r="AD160" s="1145">
        <f t="shared" si="58"/>
        <v>0</v>
      </c>
    </row>
    <row r="161" spans="1:30" x14ac:dyDescent="0.2">
      <c r="A161" s="928">
        <v>2122</v>
      </c>
      <c r="B161" s="928" t="s">
        <v>1170</v>
      </c>
      <c r="C161" s="968"/>
      <c r="D161" s="968"/>
      <c r="E161" s="968"/>
      <c r="F161" s="968"/>
      <c r="G161" s="968"/>
      <c r="H161" s="968"/>
      <c r="I161" s="968"/>
      <c r="J161" s="968"/>
      <c r="K161" s="968"/>
      <c r="L161" s="968"/>
      <c r="M161" s="974"/>
      <c r="N161" s="974"/>
      <c r="O161" s="974"/>
      <c r="P161" s="968"/>
      <c r="Q161" s="968"/>
      <c r="R161" s="968"/>
      <c r="S161" s="968"/>
      <c r="T161" s="968"/>
      <c r="U161" s="968"/>
      <c r="V161" s="968"/>
      <c r="W161" s="968"/>
      <c r="X161" s="968"/>
      <c r="Y161" s="1145"/>
      <c r="Z161" s="1145"/>
      <c r="AA161" s="1145"/>
      <c r="AB161" s="1145">
        <v>-633268.88</v>
      </c>
      <c r="AC161" s="1145"/>
      <c r="AD161" s="1145">
        <f t="shared" si="58"/>
        <v>-633268.88</v>
      </c>
    </row>
    <row r="162" spans="1:30" x14ac:dyDescent="0.2">
      <c r="A162" s="928">
        <v>2123</v>
      </c>
      <c r="B162" s="928" t="s">
        <v>1173</v>
      </c>
      <c r="C162" s="968">
        <v>-20626744</v>
      </c>
      <c r="D162" s="968">
        <v>-19605292.379999999</v>
      </c>
      <c r="E162" s="968"/>
      <c r="F162" s="968">
        <f t="shared" si="55"/>
        <v>-19605292.379999999</v>
      </c>
      <c r="G162" s="968">
        <v>-30000000</v>
      </c>
      <c r="H162" s="968">
        <f>-30000000+12000000</f>
        <v>-18000000</v>
      </c>
      <c r="I162" s="968">
        <f>-30000000+12000000</f>
        <v>-18000000</v>
      </c>
      <c r="J162" s="968">
        <v>-18000000</v>
      </c>
      <c r="K162" s="968"/>
      <c r="L162" s="968">
        <f t="shared" si="56"/>
        <v>-18000000</v>
      </c>
      <c r="M162" s="974">
        <v>-7750000</v>
      </c>
      <c r="N162" s="974">
        <f>-7750000+7750000</f>
        <v>0</v>
      </c>
      <c r="O162" s="974"/>
      <c r="P162" s="968">
        <v>0</v>
      </c>
      <c r="Q162" s="968"/>
      <c r="R162" s="968">
        <f t="shared" si="57"/>
        <v>0</v>
      </c>
      <c r="S162" s="968">
        <v>-5000000</v>
      </c>
      <c r="T162" s="968">
        <f>-5000000-5000000</f>
        <v>-10000000</v>
      </c>
      <c r="U162" s="968">
        <f>-5000000-5000000</f>
        <v>-10000000</v>
      </c>
      <c r="V162" s="968">
        <v>-4294308.43</v>
      </c>
      <c r="W162" s="968"/>
      <c r="X162" s="968">
        <f t="shared" si="52"/>
        <v>-4294308.43</v>
      </c>
      <c r="Y162" s="1145">
        <v>-20000000</v>
      </c>
      <c r="Z162" s="1145">
        <v>-31072000</v>
      </c>
      <c r="AA162" s="1145">
        <v>-31072000</v>
      </c>
      <c r="AB162" s="1145">
        <v>-22621548.629999999</v>
      </c>
      <c r="AC162" s="1145"/>
      <c r="AD162" s="1145">
        <f t="shared" si="58"/>
        <v>-22621548.629999999</v>
      </c>
    </row>
    <row r="163" spans="1:30" x14ac:dyDescent="0.2">
      <c r="A163" s="928">
        <v>2127</v>
      </c>
      <c r="B163" s="928" t="s">
        <v>1174</v>
      </c>
      <c r="C163" s="968">
        <v>-60597000</v>
      </c>
      <c r="D163" s="968">
        <v>-14792776.23</v>
      </c>
      <c r="E163" s="968"/>
      <c r="F163" s="968">
        <f t="shared" si="55"/>
        <v>-14792776.23</v>
      </c>
      <c r="G163" s="968">
        <v>-98703000</v>
      </c>
      <c r="H163" s="968">
        <f>-98703000+50000000-34276855+82979855</f>
        <v>0</v>
      </c>
      <c r="I163" s="968">
        <f>-98703000+50000000-34276855+82979855</f>
        <v>0</v>
      </c>
      <c r="J163" s="968">
        <v>-1321254.46</v>
      </c>
      <c r="K163" s="968"/>
      <c r="L163" s="968">
        <f t="shared" si="56"/>
        <v>-1321254.46</v>
      </c>
      <c r="M163" s="974">
        <v>-179457000</v>
      </c>
      <c r="N163" s="974">
        <f>-179457000-42338000</f>
        <v>-221795000</v>
      </c>
      <c r="O163" s="974">
        <f>-179457000-42338000</f>
        <v>-221795000</v>
      </c>
      <c r="P163" s="968">
        <v>-129181585.31999999</v>
      </c>
      <c r="Q163" s="968"/>
      <c r="R163" s="968">
        <f t="shared" si="57"/>
        <v>-129181585.31999999</v>
      </c>
      <c r="S163" s="968">
        <v>-200000000</v>
      </c>
      <c r="T163" s="968">
        <f>-200000000-111917690</f>
        <v>-311917690</v>
      </c>
      <c r="U163" s="968">
        <f>-200000000-111917690</f>
        <v>-311917690</v>
      </c>
      <c r="V163" s="968">
        <v>-277656398.14999998</v>
      </c>
      <c r="W163" s="968"/>
      <c r="X163" s="968">
        <f t="shared" si="52"/>
        <v>-277656398.14999998</v>
      </c>
      <c r="Y163" s="1145">
        <v>-173189000</v>
      </c>
      <c r="Z163" s="1145">
        <v>-201356868</v>
      </c>
      <c r="AA163" s="1145">
        <v>-201356868</v>
      </c>
      <c r="AB163" s="1145">
        <f>-183078672.61-18278195.42</f>
        <v>-201356868.03000003</v>
      </c>
      <c r="AC163" s="1145"/>
      <c r="AD163" s="1145">
        <f t="shared" si="58"/>
        <v>-201356868.03000003</v>
      </c>
    </row>
    <row r="164" spans="1:30" x14ac:dyDescent="0.2">
      <c r="A164" s="928">
        <v>2131</v>
      </c>
      <c r="B164" s="928" t="s">
        <v>1175</v>
      </c>
      <c r="C164" s="968">
        <v>0</v>
      </c>
      <c r="D164" s="968">
        <v>0</v>
      </c>
      <c r="E164" s="968"/>
      <c r="F164" s="968">
        <f t="shared" si="55"/>
        <v>0</v>
      </c>
      <c r="G164" s="968">
        <v>0</v>
      </c>
      <c r="H164" s="968">
        <v>0</v>
      </c>
      <c r="I164" s="968">
        <v>0</v>
      </c>
      <c r="J164" s="968"/>
      <c r="K164" s="968"/>
      <c r="L164" s="968">
        <f t="shared" si="56"/>
        <v>0</v>
      </c>
      <c r="M164" s="974"/>
      <c r="N164" s="974"/>
      <c r="O164" s="974"/>
      <c r="P164" s="968">
        <v>0</v>
      </c>
      <c r="Q164" s="968"/>
      <c r="R164" s="968">
        <f t="shared" si="57"/>
        <v>0</v>
      </c>
      <c r="S164" s="968">
        <v>-6153000</v>
      </c>
      <c r="T164" s="968">
        <v>-6153000</v>
      </c>
      <c r="U164" s="968">
        <v>-6153000</v>
      </c>
      <c r="V164" s="968">
        <v>-2797470.06</v>
      </c>
      <c r="W164" s="968"/>
      <c r="X164" s="968">
        <f t="shared" si="52"/>
        <v>-2797470.06</v>
      </c>
      <c r="Y164" s="1145"/>
      <c r="Z164" s="1145"/>
      <c r="AA164" s="1145"/>
      <c r="AB164" s="1145">
        <f>-3343445-12229.42</f>
        <v>-3355674.42</v>
      </c>
      <c r="AC164" s="1145"/>
      <c r="AD164" s="1145">
        <f t="shared" si="58"/>
        <v>-3355674.42</v>
      </c>
    </row>
    <row r="165" spans="1:30" x14ac:dyDescent="0.2">
      <c r="A165" s="928">
        <v>2133</v>
      </c>
      <c r="B165" s="928" t="s">
        <v>1176</v>
      </c>
      <c r="C165" s="968">
        <v>0</v>
      </c>
      <c r="D165" s="968">
        <v>0</v>
      </c>
      <c r="E165" s="968"/>
      <c r="F165" s="968">
        <f t="shared" si="55"/>
        <v>0</v>
      </c>
      <c r="G165" s="968">
        <v>0</v>
      </c>
      <c r="H165" s="968">
        <v>0</v>
      </c>
      <c r="I165" s="968">
        <v>0</v>
      </c>
      <c r="J165" s="968"/>
      <c r="K165" s="968"/>
      <c r="L165" s="968">
        <f t="shared" si="56"/>
        <v>0</v>
      </c>
      <c r="M165" s="974"/>
      <c r="N165" s="974"/>
      <c r="O165" s="974"/>
      <c r="P165" s="968">
        <v>0</v>
      </c>
      <c r="Q165" s="968"/>
      <c r="R165" s="968">
        <f t="shared" si="57"/>
        <v>0</v>
      </c>
      <c r="S165" s="968"/>
      <c r="T165" s="968"/>
      <c r="U165" s="968"/>
      <c r="V165" s="968"/>
      <c r="W165" s="968"/>
      <c r="X165" s="968">
        <f t="shared" si="52"/>
        <v>0</v>
      </c>
      <c r="Y165" s="1145"/>
      <c r="Z165" s="1145"/>
      <c r="AA165" s="1145"/>
      <c r="AB165" s="1145"/>
      <c r="AC165" s="1145"/>
      <c r="AD165" s="1145">
        <f t="shared" si="58"/>
        <v>0</v>
      </c>
    </row>
    <row r="166" spans="1:30" x14ac:dyDescent="0.2">
      <c r="A166" s="928">
        <v>2135</v>
      </c>
      <c r="B166" s="928" t="s">
        <v>1177</v>
      </c>
      <c r="C166" s="968">
        <v>-9700000</v>
      </c>
      <c r="D166" s="968">
        <v>0</v>
      </c>
      <c r="E166" s="968"/>
      <c r="F166" s="968">
        <f t="shared" si="55"/>
        <v>0</v>
      </c>
      <c r="G166" s="968">
        <v>0</v>
      </c>
      <c r="H166" s="968">
        <v>0</v>
      </c>
      <c r="I166" s="968">
        <v>0</v>
      </c>
      <c r="J166" s="968"/>
      <c r="K166" s="968"/>
      <c r="L166" s="968">
        <f t="shared" si="56"/>
        <v>0</v>
      </c>
      <c r="M166" s="974"/>
      <c r="N166" s="974"/>
      <c r="O166" s="974"/>
      <c r="P166" s="968">
        <v>0</v>
      </c>
      <c r="Q166" s="968"/>
      <c r="R166" s="968">
        <f t="shared" si="57"/>
        <v>0</v>
      </c>
      <c r="S166" s="968"/>
      <c r="T166" s="968">
        <v>-27731060</v>
      </c>
      <c r="U166" s="968">
        <v>-27731060</v>
      </c>
      <c r="V166" s="968">
        <v>-6890868.6200000001</v>
      </c>
      <c r="W166" s="968"/>
      <c r="X166" s="968">
        <f t="shared" si="52"/>
        <v>-6890868.6200000001</v>
      </c>
      <c r="Y166" s="1145"/>
      <c r="Z166" s="1145"/>
      <c r="AA166" s="1145"/>
      <c r="AB166" s="1145"/>
      <c r="AC166" s="1145"/>
      <c r="AD166" s="1145">
        <f t="shared" si="58"/>
        <v>0</v>
      </c>
    </row>
    <row r="167" spans="1:30" x14ac:dyDescent="0.2">
      <c r="A167" s="928">
        <v>2136</v>
      </c>
      <c r="B167" s="928" t="s">
        <v>1178</v>
      </c>
      <c r="C167" s="968">
        <v>0</v>
      </c>
      <c r="D167" s="968">
        <v>-2802180.58</v>
      </c>
      <c r="E167" s="968"/>
      <c r="F167" s="968">
        <f t="shared" si="55"/>
        <v>-2802180.58</v>
      </c>
      <c r="G167" s="968">
        <v>0</v>
      </c>
      <c r="H167" s="968">
        <v>0</v>
      </c>
      <c r="I167" s="968">
        <v>0</v>
      </c>
      <c r="J167" s="968"/>
      <c r="K167" s="968"/>
      <c r="L167" s="968">
        <f t="shared" si="56"/>
        <v>0</v>
      </c>
      <c r="M167" s="974"/>
      <c r="N167" s="974"/>
      <c r="O167" s="974"/>
      <c r="P167" s="968">
        <v>0</v>
      </c>
      <c r="Q167" s="968"/>
      <c r="R167" s="968">
        <f t="shared" si="57"/>
        <v>0</v>
      </c>
      <c r="S167" s="968"/>
      <c r="T167" s="968"/>
      <c r="U167" s="968"/>
      <c r="V167" s="968"/>
      <c r="W167" s="968"/>
      <c r="X167" s="968">
        <f t="shared" si="52"/>
        <v>0</v>
      </c>
      <c r="Y167" s="1145"/>
      <c r="Z167" s="1145"/>
      <c r="AA167" s="1145"/>
      <c r="AB167" s="1145"/>
      <c r="AC167" s="1145"/>
      <c r="AD167" s="1145">
        <f t="shared" si="58"/>
        <v>0</v>
      </c>
    </row>
    <row r="168" spans="1:30" x14ac:dyDescent="0.2">
      <c r="A168" s="928">
        <v>2137</v>
      </c>
      <c r="B168" s="928" t="s">
        <v>1179</v>
      </c>
      <c r="C168" s="968">
        <v>0</v>
      </c>
      <c r="D168" s="968">
        <v>0</v>
      </c>
      <c r="E168" s="968"/>
      <c r="F168" s="968">
        <f t="shared" si="55"/>
        <v>0</v>
      </c>
      <c r="G168" s="968">
        <v>0</v>
      </c>
      <c r="H168" s="968">
        <v>0</v>
      </c>
      <c r="I168" s="968">
        <v>0</v>
      </c>
      <c r="J168" s="968"/>
      <c r="K168" s="968"/>
      <c r="L168" s="968">
        <f t="shared" si="56"/>
        <v>0</v>
      </c>
      <c r="M168" s="974"/>
      <c r="N168" s="974"/>
      <c r="O168" s="974"/>
      <c r="P168" s="968">
        <v>0</v>
      </c>
      <c r="Q168" s="968"/>
      <c r="R168" s="968">
        <f t="shared" si="57"/>
        <v>0</v>
      </c>
      <c r="S168" s="968"/>
      <c r="T168" s="968"/>
      <c r="U168" s="968"/>
      <c r="V168" s="968"/>
      <c r="W168" s="968"/>
      <c r="X168" s="968">
        <f t="shared" si="52"/>
        <v>0</v>
      </c>
      <c r="Y168" s="1145"/>
      <c r="Z168" s="1145"/>
      <c r="AA168" s="1145"/>
      <c r="AB168" s="1145"/>
      <c r="AC168" s="1145"/>
      <c r="AD168" s="1145">
        <f t="shared" si="58"/>
        <v>0</v>
      </c>
    </row>
    <row r="169" spans="1:30" x14ac:dyDescent="0.2">
      <c r="A169" s="928">
        <v>2138</v>
      </c>
      <c r="B169" s="928" t="s">
        <v>3921</v>
      </c>
      <c r="C169" s="968">
        <v>0</v>
      </c>
      <c r="D169" s="968">
        <v>0</v>
      </c>
      <c r="E169" s="968"/>
      <c r="F169" s="968">
        <f t="shared" si="55"/>
        <v>0</v>
      </c>
      <c r="G169" s="968">
        <v>0</v>
      </c>
      <c r="H169" s="968">
        <v>0</v>
      </c>
      <c r="I169" s="968">
        <v>0</v>
      </c>
      <c r="J169" s="968"/>
      <c r="K169" s="968"/>
      <c r="L169" s="968">
        <f t="shared" si="56"/>
        <v>0</v>
      </c>
      <c r="M169" s="974"/>
      <c r="N169" s="974">
        <v>-7500000</v>
      </c>
      <c r="O169" s="974">
        <v>-7500000</v>
      </c>
      <c r="P169" s="968">
        <v>-5571999.0700000003</v>
      </c>
      <c r="Q169" s="968"/>
      <c r="R169" s="968">
        <f t="shared" si="57"/>
        <v>-5571999.0700000003</v>
      </c>
      <c r="S169" s="968"/>
      <c r="T169" s="968"/>
      <c r="U169" s="968"/>
      <c r="V169" s="968">
        <v>0</v>
      </c>
      <c r="W169" s="968"/>
      <c r="X169" s="968">
        <f t="shared" si="52"/>
        <v>0</v>
      </c>
      <c r="Y169" s="1145"/>
      <c r="Z169" s="1145"/>
      <c r="AA169" s="1145"/>
      <c r="AB169" s="1145"/>
      <c r="AC169" s="1145"/>
      <c r="AD169" s="1145">
        <f t="shared" si="58"/>
        <v>0</v>
      </c>
    </row>
    <row r="170" spans="1:30" x14ac:dyDescent="0.2">
      <c r="A170" s="928">
        <v>2138</v>
      </c>
      <c r="B170" s="928" t="s">
        <v>3170</v>
      </c>
      <c r="C170" s="968"/>
      <c r="D170" s="968"/>
      <c r="E170" s="968"/>
      <c r="F170" s="968"/>
      <c r="G170" s="968"/>
      <c r="H170" s="968"/>
      <c r="I170" s="968"/>
      <c r="J170" s="968"/>
      <c r="K170" s="968"/>
      <c r="L170" s="968"/>
      <c r="M170" s="974"/>
      <c r="N170" s="974">
        <v>0</v>
      </c>
      <c r="O170" s="974"/>
      <c r="P170" s="968"/>
      <c r="Q170" s="968"/>
      <c r="R170" s="968"/>
      <c r="S170" s="968"/>
      <c r="T170" s="968"/>
      <c r="U170" s="968"/>
      <c r="V170" s="968"/>
      <c r="W170" s="968"/>
      <c r="X170" s="968">
        <f t="shared" si="52"/>
        <v>0</v>
      </c>
      <c r="Y170" s="1145"/>
      <c r="Z170" s="1145"/>
      <c r="AA170" s="1145"/>
      <c r="AB170" s="1145"/>
      <c r="AC170" s="1145"/>
      <c r="AD170" s="1145">
        <f t="shared" si="58"/>
        <v>0</v>
      </c>
    </row>
    <row r="171" spans="1:30" x14ac:dyDescent="0.2">
      <c r="A171" s="928"/>
      <c r="B171" s="928" t="s">
        <v>3169</v>
      </c>
      <c r="C171" s="968"/>
      <c r="D171" s="968"/>
      <c r="E171" s="968"/>
      <c r="F171" s="968"/>
      <c r="G171" s="968"/>
      <c r="H171" s="968"/>
      <c r="I171" s="968"/>
      <c r="J171" s="968"/>
      <c r="K171" s="968"/>
      <c r="L171" s="968"/>
      <c r="M171" s="974"/>
      <c r="N171" s="974"/>
      <c r="O171" s="974"/>
      <c r="P171" s="968"/>
      <c r="Q171" s="968"/>
      <c r="R171" s="968"/>
      <c r="S171" s="968"/>
      <c r="T171" s="968"/>
      <c r="U171" s="968"/>
      <c r="V171" s="968"/>
      <c r="W171" s="968"/>
      <c r="X171" s="968">
        <f t="shared" si="52"/>
        <v>0</v>
      </c>
      <c r="Y171" s="1145"/>
      <c r="Z171" s="1145"/>
      <c r="AA171" s="1145"/>
      <c r="AB171" s="1145"/>
      <c r="AC171" s="1145"/>
      <c r="AD171" s="1145">
        <f t="shared" si="58"/>
        <v>0</v>
      </c>
    </row>
    <row r="172" spans="1:30" x14ac:dyDescent="0.2">
      <c r="A172" s="928">
        <v>2139</v>
      </c>
      <c r="B172" s="928" t="s">
        <v>1180</v>
      </c>
      <c r="C172" s="968">
        <v>0</v>
      </c>
      <c r="D172" s="968">
        <v>0</v>
      </c>
      <c r="E172" s="968"/>
      <c r="F172" s="968">
        <f t="shared" si="55"/>
        <v>0</v>
      </c>
      <c r="G172" s="968">
        <v>0</v>
      </c>
      <c r="H172" s="968">
        <v>0</v>
      </c>
      <c r="I172" s="968">
        <v>0</v>
      </c>
      <c r="J172" s="968"/>
      <c r="K172" s="968"/>
      <c r="L172" s="968">
        <f t="shared" si="56"/>
        <v>0</v>
      </c>
      <c r="M172" s="974"/>
      <c r="N172" s="974"/>
      <c r="O172" s="974"/>
      <c r="P172" s="968">
        <v>-12000</v>
      </c>
      <c r="Q172" s="968"/>
      <c r="R172" s="968">
        <f t="shared" si="57"/>
        <v>-12000</v>
      </c>
      <c r="S172" s="968"/>
      <c r="T172" s="968"/>
      <c r="U172" s="968"/>
      <c r="V172" s="968"/>
      <c r="W172" s="968"/>
      <c r="X172" s="968">
        <f t="shared" si="52"/>
        <v>0</v>
      </c>
      <c r="Y172" s="1145"/>
      <c r="Z172" s="1145"/>
      <c r="AA172" s="1145"/>
      <c r="AB172" s="1145"/>
      <c r="AC172" s="1145"/>
      <c r="AD172" s="1145">
        <f t="shared" si="58"/>
        <v>0</v>
      </c>
    </row>
    <row r="173" spans="1:30" x14ac:dyDescent="0.2">
      <c r="A173" s="928"/>
      <c r="B173" s="928" t="s">
        <v>1089</v>
      </c>
      <c r="C173" s="1143">
        <f t="shared" ref="C173:H173" si="59">SUM(C153:C172)</f>
        <v>-446314000</v>
      </c>
      <c r="D173" s="1143">
        <f t="shared" si="59"/>
        <v>-216313179.00999999</v>
      </c>
      <c r="E173" s="1143">
        <f t="shared" si="59"/>
        <v>0</v>
      </c>
      <c r="F173" s="1143">
        <f t="shared" si="59"/>
        <v>-216313179.00999999</v>
      </c>
      <c r="G173" s="1143">
        <f t="shared" si="59"/>
        <v>-388070000</v>
      </c>
      <c r="H173" s="1143">
        <f t="shared" si="59"/>
        <v>-386321955</v>
      </c>
      <c r="I173" s="1143">
        <f t="shared" ref="I173:AD173" si="60">SUM(I153:I172)</f>
        <v>-391767955</v>
      </c>
      <c r="J173" s="1143">
        <f t="shared" si="60"/>
        <v>-187076977.31000003</v>
      </c>
      <c r="K173" s="1143">
        <f t="shared" si="60"/>
        <v>0</v>
      </c>
      <c r="L173" s="1143">
        <f t="shared" si="60"/>
        <v>-187076977.31000003</v>
      </c>
      <c r="M173" s="1144">
        <f t="shared" si="60"/>
        <v>-479207000</v>
      </c>
      <c r="N173" s="1144">
        <f t="shared" si="60"/>
        <v>-586404300</v>
      </c>
      <c r="O173" s="1144">
        <f t="shared" si="60"/>
        <v>-586404300</v>
      </c>
      <c r="P173" s="1143">
        <f t="shared" si="60"/>
        <v>-355772423.56</v>
      </c>
      <c r="Q173" s="1143">
        <f t="shared" si="60"/>
        <v>0</v>
      </c>
      <c r="R173" s="1143">
        <f t="shared" si="60"/>
        <v>-355772423.56</v>
      </c>
      <c r="S173" s="1143">
        <f t="shared" si="60"/>
        <v>-436799000</v>
      </c>
      <c r="T173" s="1143">
        <f t="shared" si="60"/>
        <v>-700469900</v>
      </c>
      <c r="U173" s="1143">
        <f t="shared" si="60"/>
        <v>-700469900</v>
      </c>
      <c r="V173" s="1143">
        <f t="shared" si="60"/>
        <v>-558032300.8599999</v>
      </c>
      <c r="W173" s="1143">
        <f t="shared" si="60"/>
        <v>0</v>
      </c>
      <c r="X173" s="1143">
        <f t="shared" si="60"/>
        <v>-558032300.8599999</v>
      </c>
      <c r="Y173" s="1341">
        <f t="shared" si="60"/>
        <v>-466288000</v>
      </c>
      <c r="Z173" s="1341">
        <f t="shared" si="60"/>
        <v>-470853657</v>
      </c>
      <c r="AA173" s="1341">
        <f t="shared" si="60"/>
        <v>-470853657</v>
      </c>
      <c r="AB173" s="1341">
        <f t="shared" si="60"/>
        <v>-476940473.44000006</v>
      </c>
      <c r="AC173" s="1341">
        <f t="shared" si="60"/>
        <v>0</v>
      </c>
      <c r="AD173" s="1341">
        <f t="shared" si="60"/>
        <v>-476940473.44000006</v>
      </c>
    </row>
    <row r="174" spans="1:30" x14ac:dyDescent="0.2">
      <c r="A174" s="928"/>
      <c r="B174" s="928"/>
      <c r="C174" s="968"/>
      <c r="D174" s="968"/>
      <c r="E174" s="968"/>
      <c r="F174" s="968"/>
      <c r="G174" s="968"/>
      <c r="H174" s="968"/>
      <c r="I174" s="968"/>
      <c r="J174" s="968"/>
      <c r="K174" s="968"/>
      <c r="L174" s="968"/>
      <c r="M174" s="974"/>
      <c r="N174" s="974"/>
      <c r="O174" s="974"/>
      <c r="P174" s="968"/>
      <c r="Q174" s="968"/>
      <c r="R174" s="968"/>
      <c r="S174" s="968"/>
      <c r="T174" s="968"/>
      <c r="U174" s="968"/>
      <c r="V174" s="968"/>
      <c r="W174" s="968"/>
      <c r="X174" s="968"/>
      <c r="Y174" s="1145"/>
      <c r="Z174" s="1145"/>
      <c r="AA174" s="1145"/>
      <c r="AB174" s="1145"/>
      <c r="AC174" s="1145"/>
      <c r="AD174" s="1145"/>
    </row>
    <row r="175" spans="1:30" x14ac:dyDescent="0.2">
      <c r="A175" s="928">
        <v>1700</v>
      </c>
      <c r="B175" s="928" t="s">
        <v>937</v>
      </c>
      <c r="C175" s="968"/>
      <c r="D175" s="968"/>
      <c r="E175" s="968"/>
      <c r="F175" s="968"/>
      <c r="G175" s="968"/>
      <c r="H175" s="968"/>
      <c r="I175" s="968"/>
      <c r="J175" s="968"/>
      <c r="K175" s="968"/>
      <c r="L175" s="968"/>
      <c r="M175" s="974"/>
      <c r="N175" s="974"/>
      <c r="O175" s="974"/>
      <c r="P175" s="968"/>
      <c r="Q175" s="968"/>
      <c r="R175" s="968"/>
      <c r="S175" s="968"/>
      <c r="T175" s="968"/>
      <c r="U175" s="968"/>
      <c r="V175" s="968"/>
      <c r="W175" s="968"/>
      <c r="X175" s="968"/>
      <c r="Y175" s="1145"/>
      <c r="Z175" s="1145"/>
      <c r="AA175" s="1145"/>
      <c r="AB175" s="1145"/>
      <c r="AC175" s="1145"/>
      <c r="AD175" s="1145"/>
    </row>
    <row r="176" spans="1:30" x14ac:dyDescent="0.2">
      <c r="A176" s="928"/>
      <c r="B176" s="928"/>
      <c r="C176" s="968"/>
      <c r="D176" s="968"/>
      <c r="E176" s="968"/>
      <c r="F176" s="968"/>
      <c r="G176" s="968"/>
      <c r="H176" s="968"/>
      <c r="I176" s="968"/>
      <c r="J176" s="968"/>
      <c r="K176" s="968"/>
      <c r="L176" s="968"/>
      <c r="M176" s="974"/>
      <c r="N176" s="974"/>
      <c r="O176" s="974"/>
      <c r="P176" s="968"/>
      <c r="Q176" s="968"/>
      <c r="R176" s="968"/>
      <c r="S176" s="968"/>
      <c r="T176" s="968"/>
      <c r="U176" s="968"/>
      <c r="V176" s="968"/>
      <c r="W176" s="968"/>
      <c r="X176" s="968"/>
      <c r="Y176" s="1145"/>
      <c r="Z176" s="1145"/>
      <c r="AA176" s="1145"/>
      <c r="AB176" s="1145"/>
      <c r="AC176" s="1145"/>
      <c r="AD176" s="1145"/>
    </row>
    <row r="177" spans="1:34" x14ac:dyDescent="0.2">
      <c r="A177" s="928">
        <v>9970</v>
      </c>
      <c r="B177" s="928" t="s">
        <v>3580</v>
      </c>
      <c r="C177" s="968">
        <v>0</v>
      </c>
      <c r="D177" s="968"/>
      <c r="E177" s="968">
        <v>-2680566.6</v>
      </c>
      <c r="F177" s="968">
        <f>D177+E177</f>
        <v>-2680566.6</v>
      </c>
      <c r="G177" s="968">
        <v>0</v>
      </c>
      <c r="H177" s="968"/>
      <c r="I177" s="968"/>
      <c r="J177" s="968">
        <v>0</v>
      </c>
      <c r="K177" s="968"/>
      <c r="L177" s="968">
        <f>J177+K177</f>
        <v>0</v>
      </c>
      <c r="M177" s="974"/>
      <c r="N177" s="974">
        <v>-22000000</v>
      </c>
      <c r="O177" s="974">
        <v>-22000000</v>
      </c>
      <c r="P177" s="968">
        <v>0</v>
      </c>
      <c r="Q177" s="968"/>
      <c r="R177" s="968">
        <f>P177+Q177</f>
        <v>0</v>
      </c>
      <c r="S177" s="968"/>
      <c r="T177" s="968">
        <v>-136751199</v>
      </c>
      <c r="U177" s="968">
        <v>-136751199</v>
      </c>
      <c r="V177" s="968"/>
      <c r="W177" s="968"/>
      <c r="X177" s="968">
        <f t="shared" si="52"/>
        <v>0</v>
      </c>
      <c r="Y177" s="1145">
        <v>-38000000</v>
      </c>
      <c r="Z177" s="1145">
        <v>-125673625</v>
      </c>
      <c r="AA177" s="1145">
        <v>-125673625</v>
      </c>
      <c r="AB177" s="1145"/>
      <c r="AC177" s="1145"/>
      <c r="AD177" s="1145">
        <f t="shared" ref="AD177:AD241" si="61">AB177+AC177</f>
        <v>0</v>
      </c>
    </row>
    <row r="178" spans="1:34" x14ac:dyDescent="0.2">
      <c r="A178" s="928">
        <v>9971</v>
      </c>
      <c r="B178" s="928" t="s">
        <v>3917</v>
      </c>
      <c r="C178" s="968"/>
      <c r="D178" s="968"/>
      <c r="E178" s="968"/>
      <c r="F178" s="968"/>
      <c r="G178" s="968"/>
      <c r="H178" s="968"/>
      <c r="I178" s="968"/>
      <c r="J178" s="968"/>
      <c r="K178" s="968"/>
      <c r="L178" s="968"/>
      <c r="M178" s="974"/>
      <c r="N178" s="974"/>
      <c r="O178" s="974"/>
      <c r="P178" s="968"/>
      <c r="Q178" s="968"/>
      <c r="R178" s="968"/>
      <c r="S178" s="968"/>
      <c r="T178" s="968"/>
      <c r="U178" s="968"/>
      <c r="V178" s="968"/>
      <c r="W178" s="968"/>
      <c r="X178" s="968"/>
      <c r="Y178" s="1145"/>
      <c r="Z178" s="1145">
        <v>-6955962</v>
      </c>
      <c r="AA178" s="1145">
        <v>-6955962</v>
      </c>
      <c r="AB178" s="1145">
        <v>-6975636.7400000002</v>
      </c>
      <c r="AC178" s="1145"/>
      <c r="AD178" s="1145">
        <f t="shared" si="61"/>
        <v>-6975636.7400000002</v>
      </c>
    </row>
    <row r="179" spans="1:34" x14ac:dyDescent="0.2">
      <c r="A179" s="928">
        <v>310</v>
      </c>
      <c r="B179" s="928" t="s">
        <v>1094</v>
      </c>
      <c r="C179" s="968">
        <v>-16000000</v>
      </c>
      <c r="D179" s="968">
        <f>-27653014.05</f>
        <v>-27653014.050000001</v>
      </c>
      <c r="E179" s="968"/>
      <c r="F179" s="968">
        <f>D179+E179</f>
        <v>-27653014.050000001</v>
      </c>
      <c r="G179" s="968">
        <v>0</v>
      </c>
      <c r="H179" s="968">
        <v>-60885000</v>
      </c>
      <c r="I179" s="968">
        <v>-60885000</v>
      </c>
      <c r="J179" s="968">
        <v>-56884235.460000001</v>
      </c>
      <c r="K179" s="968"/>
      <c r="L179" s="968">
        <f>J179+K179</f>
        <v>-56884235.460000001</v>
      </c>
      <c r="M179" s="974"/>
      <c r="N179" s="974">
        <v>-65000000</v>
      </c>
      <c r="O179" s="974">
        <v>-65000000</v>
      </c>
      <c r="P179" s="968">
        <f>-38086833.45-8993220</f>
        <v>-47080053.450000003</v>
      </c>
      <c r="Q179" s="968"/>
      <c r="R179" s="968">
        <f>P179+Q179</f>
        <v>-47080053.450000003</v>
      </c>
      <c r="S179" s="968"/>
      <c r="T179" s="968"/>
      <c r="U179" s="968">
        <v>-68900000</v>
      </c>
      <c r="V179" s="968">
        <v>-60766635.270000003</v>
      </c>
      <c r="W179" s="968">
        <v>8367310.75</v>
      </c>
      <c r="X179" s="968">
        <f t="shared" si="52"/>
        <v>-52399324.520000003</v>
      </c>
      <c r="Y179" s="1145">
        <v>-76479000</v>
      </c>
      <c r="Z179" s="1145">
        <v>-76479000</v>
      </c>
      <c r="AA179" s="1145">
        <v>-76479000</v>
      </c>
      <c r="AB179" s="1145">
        <f>-78003598.69-1068150.29+1066350.7-130683.1</f>
        <v>-78136081.379999995</v>
      </c>
      <c r="AC179" s="1145"/>
      <c r="AD179" s="1145">
        <f t="shared" si="61"/>
        <v>-78136081.379999995</v>
      </c>
      <c r="AH179" s="620"/>
    </row>
    <row r="180" spans="1:34" x14ac:dyDescent="0.2">
      <c r="A180" s="928">
        <v>319</v>
      </c>
      <c r="B180" s="928" t="s">
        <v>1097</v>
      </c>
      <c r="C180" s="968">
        <v>0</v>
      </c>
      <c r="D180" s="968">
        <v>0</v>
      </c>
      <c r="E180" s="968"/>
      <c r="F180" s="968">
        <f>D180+E180</f>
        <v>0</v>
      </c>
      <c r="G180" s="968"/>
      <c r="H180" s="968"/>
      <c r="I180" s="968"/>
      <c r="J180" s="968">
        <v>0</v>
      </c>
      <c r="K180" s="968"/>
      <c r="L180" s="968">
        <f>J180+K180</f>
        <v>0</v>
      </c>
      <c r="M180" s="974"/>
      <c r="N180" s="974"/>
      <c r="O180" s="974"/>
      <c r="P180" s="968">
        <v>0</v>
      </c>
      <c r="Q180" s="968"/>
      <c r="R180" s="968">
        <f>P180+Q180</f>
        <v>0</v>
      </c>
      <c r="S180" s="968"/>
      <c r="T180" s="968"/>
      <c r="U180" s="968"/>
      <c r="V180" s="968"/>
      <c r="W180" s="968"/>
      <c r="X180" s="968">
        <f t="shared" si="52"/>
        <v>0</v>
      </c>
      <c r="Y180" s="1145"/>
      <c r="Z180" s="1145"/>
      <c r="AA180" s="1145"/>
      <c r="AB180" s="1145"/>
      <c r="AC180" s="1145"/>
      <c r="AD180" s="1145">
        <f t="shared" si="61"/>
        <v>0</v>
      </c>
    </row>
    <row r="181" spans="1:34" x14ac:dyDescent="0.2">
      <c r="A181" s="928">
        <v>358</v>
      </c>
      <c r="B181" s="928" t="s">
        <v>1182</v>
      </c>
      <c r="C181" s="968">
        <v>0</v>
      </c>
      <c r="D181" s="968">
        <v>0</v>
      </c>
      <c r="E181" s="968"/>
      <c r="F181" s="968">
        <f t="shared" ref="F181:F218" si="62">D181+E181</f>
        <v>0</v>
      </c>
      <c r="G181" s="968">
        <v>-21120000</v>
      </c>
      <c r="H181" s="968">
        <v>-21120000</v>
      </c>
      <c r="I181" s="968">
        <v>-21120000</v>
      </c>
      <c r="J181" s="968">
        <v>-47756.17</v>
      </c>
      <c r="K181" s="968"/>
      <c r="L181" s="968">
        <f t="shared" ref="L181:L240" si="63">J181+K181</f>
        <v>-47756.17</v>
      </c>
      <c r="M181" s="974">
        <v>-10000000</v>
      </c>
      <c r="N181" s="974">
        <v>-10000000</v>
      </c>
      <c r="O181" s="974">
        <v>-10000000</v>
      </c>
      <c r="P181" s="968">
        <v>-80194.42</v>
      </c>
      <c r="Q181" s="968"/>
      <c r="R181" s="968">
        <f t="shared" ref="R181:R240" si="64">P181+Q181</f>
        <v>-80194.42</v>
      </c>
      <c r="S181" s="968">
        <v>-100000</v>
      </c>
      <c r="T181" s="968">
        <v>-100000</v>
      </c>
      <c r="U181" s="968">
        <v>-100000</v>
      </c>
      <c r="V181" s="968">
        <v>-156595.67000000001</v>
      </c>
      <c r="W181" s="968"/>
      <c r="X181" s="968">
        <f t="shared" si="52"/>
        <v>-156595.67000000001</v>
      </c>
      <c r="Y181" s="1145">
        <v>-106000</v>
      </c>
      <c r="Z181" s="1145">
        <v>-106000</v>
      </c>
      <c r="AA181" s="1145">
        <v>-106000</v>
      </c>
      <c r="AB181" s="1145">
        <v>-78971.94</v>
      </c>
      <c r="AC181" s="1145"/>
      <c r="AD181" s="1145">
        <f t="shared" si="61"/>
        <v>-78971.94</v>
      </c>
    </row>
    <row r="182" spans="1:34" x14ac:dyDescent="0.2">
      <c r="A182" s="928">
        <v>534</v>
      </c>
      <c r="B182" s="928" t="s">
        <v>2958</v>
      </c>
      <c r="C182" s="968"/>
      <c r="D182" s="968"/>
      <c r="E182" s="968"/>
      <c r="F182" s="968"/>
      <c r="G182" s="968"/>
      <c r="H182" s="968"/>
      <c r="I182" s="968"/>
      <c r="J182" s="968">
        <v>0</v>
      </c>
      <c r="K182" s="968"/>
      <c r="L182" s="968">
        <f t="shared" si="63"/>
        <v>0</v>
      </c>
      <c r="M182" s="974"/>
      <c r="N182" s="974"/>
      <c r="O182" s="974"/>
      <c r="P182" s="968">
        <v>0</v>
      </c>
      <c r="Q182" s="968"/>
      <c r="R182" s="968">
        <f t="shared" si="64"/>
        <v>0</v>
      </c>
      <c r="S182" s="968"/>
      <c r="T182" s="968"/>
      <c r="U182" s="968"/>
      <c r="V182" s="968"/>
      <c r="W182" s="968"/>
      <c r="X182" s="968">
        <f t="shared" si="52"/>
        <v>0</v>
      </c>
      <c r="Y182" s="1145"/>
      <c r="Z182" s="1145"/>
      <c r="AA182" s="1145"/>
      <c r="AB182" s="1145"/>
      <c r="AC182" s="1145"/>
      <c r="AD182" s="1145">
        <f t="shared" si="61"/>
        <v>0</v>
      </c>
    </row>
    <row r="183" spans="1:34" x14ac:dyDescent="0.2">
      <c r="A183" s="928">
        <v>2301</v>
      </c>
      <c r="B183" s="928" t="s">
        <v>1183</v>
      </c>
      <c r="C183" s="968">
        <v>-7400</v>
      </c>
      <c r="D183" s="968">
        <v>-6352</v>
      </c>
      <c r="E183" s="968"/>
      <c r="F183" s="968">
        <f t="shared" si="62"/>
        <v>-6352</v>
      </c>
      <c r="G183" s="968">
        <v>-8215</v>
      </c>
      <c r="H183" s="968">
        <v>-8215</v>
      </c>
      <c r="I183" s="968">
        <v>-8215</v>
      </c>
      <c r="J183" s="968">
        <v>0</v>
      </c>
      <c r="K183" s="968"/>
      <c r="L183" s="968">
        <f t="shared" si="63"/>
        <v>0</v>
      </c>
      <c r="M183" s="974">
        <v>-8215</v>
      </c>
      <c r="N183" s="974">
        <v>-8215</v>
      </c>
      <c r="O183" s="974">
        <v>-8215</v>
      </c>
      <c r="P183" s="968">
        <v>0</v>
      </c>
      <c r="Q183" s="968"/>
      <c r="R183" s="968">
        <f t="shared" si="64"/>
        <v>0</v>
      </c>
      <c r="S183" s="968">
        <v>-8707</v>
      </c>
      <c r="T183" s="968">
        <v>-8707</v>
      </c>
      <c r="U183" s="968">
        <v>-8707</v>
      </c>
      <c r="V183" s="968"/>
      <c r="W183" s="968"/>
      <c r="X183" s="968">
        <f t="shared" si="52"/>
        <v>0</v>
      </c>
      <c r="Y183" s="1145">
        <v>-9229</v>
      </c>
      <c r="Z183" s="1145">
        <v>-9229</v>
      </c>
      <c r="AA183" s="1145">
        <v>-9229</v>
      </c>
      <c r="AB183" s="1145"/>
      <c r="AC183" s="1145"/>
      <c r="AD183" s="1145">
        <f t="shared" si="61"/>
        <v>0</v>
      </c>
    </row>
    <row r="184" spans="1:34" x14ac:dyDescent="0.2">
      <c r="A184" s="928">
        <v>2303</v>
      </c>
      <c r="B184" s="928" t="s">
        <v>1184</v>
      </c>
      <c r="C184" s="968">
        <v>-18205</v>
      </c>
      <c r="D184" s="968">
        <v>-16856</v>
      </c>
      <c r="E184" s="968"/>
      <c r="F184" s="968">
        <f t="shared" si="62"/>
        <v>-16856</v>
      </c>
      <c r="G184" s="968">
        <v>-19000</v>
      </c>
      <c r="H184" s="968">
        <v>-19000</v>
      </c>
      <c r="I184" s="968">
        <v>-19000</v>
      </c>
      <c r="J184" s="968">
        <v>-540</v>
      </c>
      <c r="K184" s="968"/>
      <c r="L184" s="968">
        <f t="shared" si="63"/>
        <v>-540</v>
      </c>
      <c r="M184" s="974">
        <v>-20330</v>
      </c>
      <c r="N184" s="974">
        <v>-20330</v>
      </c>
      <c r="O184" s="974">
        <v>-20330</v>
      </c>
      <c r="P184" s="968">
        <v>-334553.24</v>
      </c>
      <c r="Q184" s="968"/>
      <c r="R184" s="968">
        <f t="shared" si="64"/>
        <v>-334553.24</v>
      </c>
      <c r="S184" s="968">
        <v>-21549</v>
      </c>
      <c r="T184" s="968">
        <v>-21549</v>
      </c>
      <c r="U184" s="968">
        <v>-21549</v>
      </c>
      <c r="V184" s="968">
        <v>-58008.11</v>
      </c>
      <c r="W184" s="968"/>
      <c r="X184" s="968">
        <f t="shared" si="52"/>
        <v>-58008.11</v>
      </c>
      <c r="Y184" s="1145">
        <v>-22841</v>
      </c>
      <c r="Z184" s="1145">
        <v>-22841</v>
      </c>
      <c r="AA184" s="1145">
        <v>-22841</v>
      </c>
      <c r="AB184" s="1145">
        <v>-6270</v>
      </c>
      <c r="AC184" s="1145"/>
      <c r="AD184" s="1145">
        <f t="shared" si="61"/>
        <v>-6270</v>
      </c>
    </row>
    <row r="185" spans="1:34" x14ac:dyDescent="0.2">
      <c r="A185" s="928">
        <v>2305</v>
      </c>
      <c r="B185" s="928" t="s">
        <v>1185</v>
      </c>
      <c r="C185" s="968">
        <v>-1100</v>
      </c>
      <c r="D185" s="968">
        <v>0</v>
      </c>
      <c r="E185" s="968"/>
      <c r="F185" s="968">
        <f t="shared" si="62"/>
        <v>0</v>
      </c>
      <c r="G185" s="968">
        <v>0</v>
      </c>
      <c r="H185" s="968">
        <v>0</v>
      </c>
      <c r="I185" s="968">
        <v>0</v>
      </c>
      <c r="J185" s="968">
        <v>0</v>
      </c>
      <c r="K185" s="968"/>
      <c r="L185" s="968">
        <f t="shared" si="63"/>
        <v>0</v>
      </c>
      <c r="M185" s="974"/>
      <c r="N185" s="974"/>
      <c r="O185" s="974"/>
      <c r="P185" s="968">
        <v>-60</v>
      </c>
      <c r="Q185" s="968"/>
      <c r="R185" s="968">
        <f t="shared" si="64"/>
        <v>-60</v>
      </c>
      <c r="S185" s="968"/>
      <c r="T185" s="968"/>
      <c r="U185" s="968"/>
      <c r="V185" s="968"/>
      <c r="W185" s="968"/>
      <c r="X185" s="968">
        <f t="shared" si="52"/>
        <v>0</v>
      </c>
      <c r="Y185" s="1145"/>
      <c r="Z185" s="1145"/>
      <c r="AA185" s="1145"/>
      <c r="AB185" s="1145"/>
      <c r="AC185" s="1145"/>
      <c r="AD185" s="1145">
        <f t="shared" si="61"/>
        <v>0</v>
      </c>
    </row>
    <row r="186" spans="1:34" x14ac:dyDescent="0.2">
      <c r="A186" s="928">
        <v>2307</v>
      </c>
      <c r="B186" s="928" t="s">
        <v>1186</v>
      </c>
      <c r="C186" s="968">
        <v>-55000</v>
      </c>
      <c r="D186" s="968">
        <v>-24416</v>
      </c>
      <c r="E186" s="968"/>
      <c r="F186" s="968">
        <f t="shared" si="62"/>
        <v>-24416</v>
      </c>
      <c r="G186" s="968">
        <v>-34000</v>
      </c>
      <c r="H186" s="968">
        <v>-34000</v>
      </c>
      <c r="I186" s="968">
        <v>-34000</v>
      </c>
      <c r="J186" s="968">
        <v>-8584.2199999999993</v>
      </c>
      <c r="K186" s="968"/>
      <c r="L186" s="968">
        <f t="shared" si="63"/>
        <v>-8584.2199999999993</v>
      </c>
      <c r="M186" s="974">
        <v>-36380</v>
      </c>
      <c r="N186" s="974">
        <v>-36380</v>
      </c>
      <c r="O186" s="974">
        <v>-36380</v>
      </c>
      <c r="P186" s="968">
        <v>-14824.57</v>
      </c>
      <c r="Q186" s="968"/>
      <c r="R186" s="968">
        <f t="shared" si="64"/>
        <v>-14824.57</v>
      </c>
      <c r="S186" s="968">
        <v>-38562</v>
      </c>
      <c r="T186" s="968">
        <v>-38562</v>
      </c>
      <c r="U186" s="968">
        <v>-38562</v>
      </c>
      <c r="V186" s="968">
        <v>-67353.5</v>
      </c>
      <c r="W186" s="968"/>
      <c r="X186" s="968">
        <f t="shared" si="52"/>
        <v>-67353.5</v>
      </c>
      <c r="Y186" s="1145">
        <v>-40875</v>
      </c>
      <c r="Z186" s="1145">
        <v>-40875</v>
      </c>
      <c r="AA186" s="1145">
        <v>-40875</v>
      </c>
      <c r="AB186" s="1145">
        <v>-10498.25</v>
      </c>
      <c r="AC186" s="1145"/>
      <c r="AD186" s="1145">
        <f t="shared" si="61"/>
        <v>-10498.25</v>
      </c>
    </row>
    <row r="187" spans="1:34" x14ac:dyDescent="0.2">
      <c r="A187" s="928">
        <v>2309</v>
      </c>
      <c r="B187" s="928" t="s">
        <v>1187</v>
      </c>
      <c r="C187" s="968">
        <v>-705300</v>
      </c>
      <c r="D187" s="968">
        <v>-609087.5</v>
      </c>
      <c r="E187" s="968"/>
      <c r="F187" s="968">
        <f t="shared" si="62"/>
        <v>-609087.5</v>
      </c>
      <c r="G187" s="968">
        <v>-728000</v>
      </c>
      <c r="H187" s="968">
        <v>-728000</v>
      </c>
      <c r="I187" s="968">
        <v>-728000</v>
      </c>
      <c r="J187" s="968">
        <v>-617045.23</v>
      </c>
      <c r="K187" s="968"/>
      <c r="L187" s="968">
        <f t="shared" si="63"/>
        <v>-617045.23</v>
      </c>
      <c r="M187" s="974">
        <v>-778960</v>
      </c>
      <c r="N187" s="974">
        <v>-778960</v>
      </c>
      <c r="O187" s="974">
        <v>-778960</v>
      </c>
      <c r="P187" s="968">
        <v>-694085.74</v>
      </c>
      <c r="Q187" s="968"/>
      <c r="R187" s="968">
        <f t="shared" si="64"/>
        <v>-694085.74</v>
      </c>
      <c r="S187" s="968">
        <v>-825696</v>
      </c>
      <c r="T187" s="968">
        <v>-825696</v>
      </c>
      <c r="U187" s="968">
        <v>-825696</v>
      </c>
      <c r="V187" s="968">
        <v>-466368.68</v>
      </c>
      <c r="W187" s="968"/>
      <c r="X187" s="968">
        <f t="shared" si="52"/>
        <v>-466368.68</v>
      </c>
      <c r="Y187" s="1145">
        <v>-875236</v>
      </c>
      <c r="Z187" s="1145">
        <v>-875236</v>
      </c>
      <c r="AA187" s="1145">
        <v>-875236</v>
      </c>
      <c r="AB187" s="1145">
        <v>-652109.79</v>
      </c>
      <c r="AC187" s="1145"/>
      <c r="AD187" s="1145">
        <f t="shared" si="61"/>
        <v>-652109.79</v>
      </c>
    </row>
    <row r="188" spans="1:34" x14ac:dyDescent="0.2">
      <c r="A188" s="928">
        <v>2310</v>
      </c>
      <c r="B188" s="928" t="s">
        <v>1188</v>
      </c>
      <c r="C188" s="968">
        <v>-98000</v>
      </c>
      <c r="D188" s="968">
        <v>-79548</v>
      </c>
      <c r="E188" s="968"/>
      <c r="F188" s="968">
        <f t="shared" si="62"/>
        <v>-79548</v>
      </c>
      <c r="G188" s="968">
        <v>-117000</v>
      </c>
      <c r="H188" s="968">
        <v>-117000</v>
      </c>
      <c r="I188" s="968">
        <v>-117000</v>
      </c>
      <c r="J188" s="968">
        <v>-15576.83</v>
      </c>
      <c r="K188" s="968"/>
      <c r="L188" s="968">
        <f t="shared" si="63"/>
        <v>-15576.83</v>
      </c>
      <c r="M188" s="974">
        <v>-125190</v>
      </c>
      <c r="N188" s="974">
        <v>-125190</v>
      </c>
      <c r="O188" s="974">
        <v>-125190</v>
      </c>
      <c r="P188" s="968">
        <v>-35163.14</v>
      </c>
      <c r="Q188" s="968"/>
      <c r="R188" s="968">
        <f t="shared" si="64"/>
        <v>-35163.14</v>
      </c>
      <c r="S188" s="968">
        <v>-132701</v>
      </c>
      <c r="T188" s="968">
        <v>-132701</v>
      </c>
      <c r="U188" s="968">
        <v>-132701</v>
      </c>
      <c r="V188" s="968">
        <v>-78514.009999999995</v>
      </c>
      <c r="W188" s="968"/>
      <c r="X188" s="968">
        <f t="shared" si="52"/>
        <v>-78514.009999999995</v>
      </c>
      <c r="Y188" s="1145">
        <v>-140663</v>
      </c>
      <c r="Z188" s="1145">
        <v>-140663</v>
      </c>
      <c r="AA188" s="1145">
        <v>-140663</v>
      </c>
      <c r="AB188" s="1145">
        <v>-47431.59</v>
      </c>
      <c r="AC188" s="1145"/>
      <c r="AD188" s="1145">
        <f t="shared" si="61"/>
        <v>-47431.59</v>
      </c>
    </row>
    <row r="189" spans="1:34" x14ac:dyDescent="0.2">
      <c r="A189" s="928">
        <v>2312</v>
      </c>
      <c r="B189" s="928" t="s">
        <v>1189</v>
      </c>
      <c r="C189" s="968">
        <v>-37000</v>
      </c>
      <c r="D189" s="968">
        <v>-35056</v>
      </c>
      <c r="E189" s="968"/>
      <c r="F189" s="968">
        <f t="shared" si="62"/>
        <v>-35056</v>
      </c>
      <c r="G189" s="968">
        <v>-51000</v>
      </c>
      <c r="H189" s="968">
        <v>-51000</v>
      </c>
      <c r="I189" s="968">
        <v>-51000</v>
      </c>
      <c r="J189" s="968">
        <v>-22853.46</v>
      </c>
      <c r="K189" s="968"/>
      <c r="L189" s="968">
        <f t="shared" si="63"/>
        <v>-22853.46</v>
      </c>
      <c r="M189" s="974">
        <v>-54570</v>
      </c>
      <c r="N189" s="974">
        <v>-54570</v>
      </c>
      <c r="O189" s="974">
        <v>-54570</v>
      </c>
      <c r="P189" s="968">
        <v>-22987.75</v>
      </c>
      <c r="Q189" s="968"/>
      <c r="R189" s="968">
        <f t="shared" si="64"/>
        <v>-22987.75</v>
      </c>
      <c r="S189" s="968">
        <v>-57844</v>
      </c>
      <c r="T189" s="968">
        <v>-57844</v>
      </c>
      <c r="U189" s="968">
        <v>-57844</v>
      </c>
      <c r="V189" s="968">
        <v>-58385.96</v>
      </c>
      <c r="W189" s="968"/>
      <c r="X189" s="968">
        <f t="shared" si="52"/>
        <v>-58385.96</v>
      </c>
      <c r="Y189" s="1145">
        <v>-61314</v>
      </c>
      <c r="Z189" s="1145">
        <v>-61314</v>
      </c>
      <c r="AA189" s="1145">
        <v>-61314</v>
      </c>
      <c r="AB189" s="1145">
        <v>-31157.91</v>
      </c>
      <c r="AC189" s="1145"/>
      <c r="AD189" s="1145">
        <f t="shared" si="61"/>
        <v>-31157.91</v>
      </c>
    </row>
    <row r="190" spans="1:34" x14ac:dyDescent="0.2">
      <c r="A190" s="928">
        <v>2316</v>
      </c>
      <c r="B190" s="928" t="s">
        <v>1190</v>
      </c>
      <c r="C190" s="968">
        <v>0</v>
      </c>
      <c r="D190" s="968">
        <v>0</v>
      </c>
      <c r="E190" s="968"/>
      <c r="F190" s="968">
        <f t="shared" si="62"/>
        <v>0</v>
      </c>
      <c r="G190" s="968">
        <v>-7000</v>
      </c>
      <c r="H190" s="968">
        <v>-7000</v>
      </c>
      <c r="I190" s="968">
        <v>-7000</v>
      </c>
      <c r="J190" s="968">
        <v>-2216353.7200000002</v>
      </c>
      <c r="K190" s="968"/>
      <c r="L190" s="968">
        <f t="shared" si="63"/>
        <v>-2216353.7200000002</v>
      </c>
      <c r="M190" s="974">
        <v>-7490</v>
      </c>
      <c r="N190" s="974">
        <v>-7490</v>
      </c>
      <c r="O190" s="974">
        <v>-7490</v>
      </c>
      <c r="P190" s="968">
        <v>-10860.23</v>
      </c>
      <c r="Q190" s="968"/>
      <c r="R190" s="968">
        <f t="shared" si="64"/>
        <v>-10860.23</v>
      </c>
      <c r="S190" s="968">
        <v>-7939</v>
      </c>
      <c r="T190" s="968">
        <v>-7939</v>
      </c>
      <c r="U190" s="968">
        <v>-7939</v>
      </c>
      <c r="V190" s="968"/>
      <c r="W190" s="968"/>
      <c r="X190" s="968">
        <f t="shared" si="52"/>
        <v>0</v>
      </c>
      <c r="Y190" s="1145">
        <v>-8415</v>
      </c>
      <c r="Z190" s="1145">
        <v>-8415</v>
      </c>
      <c r="AA190" s="1145">
        <v>-8415</v>
      </c>
      <c r="AB190" s="1145"/>
      <c r="AC190" s="1145"/>
      <c r="AD190" s="1145">
        <f t="shared" si="61"/>
        <v>0</v>
      </c>
    </row>
    <row r="191" spans="1:34" x14ac:dyDescent="0.2">
      <c r="A191" s="928">
        <v>2318</v>
      </c>
      <c r="B191" s="928" t="s">
        <v>1191</v>
      </c>
      <c r="C191" s="968">
        <v>-7000</v>
      </c>
      <c r="D191" s="968">
        <v>-7408.22</v>
      </c>
      <c r="E191" s="968"/>
      <c r="F191" s="968">
        <f t="shared" si="62"/>
        <v>-7408.22</v>
      </c>
      <c r="G191" s="968">
        <v>-4000</v>
      </c>
      <c r="H191" s="968">
        <v>-4000</v>
      </c>
      <c r="I191" s="968">
        <v>-4000</v>
      </c>
      <c r="J191" s="968">
        <v>-13326.41</v>
      </c>
      <c r="K191" s="968"/>
      <c r="L191" s="968">
        <f t="shared" si="63"/>
        <v>-13326.41</v>
      </c>
      <c r="M191" s="974">
        <v>-4280</v>
      </c>
      <c r="N191" s="974">
        <v>-4280</v>
      </c>
      <c r="O191" s="974">
        <v>-4280</v>
      </c>
      <c r="P191" s="968">
        <v>-16273.03</v>
      </c>
      <c r="Q191" s="968"/>
      <c r="R191" s="968">
        <f t="shared" si="64"/>
        <v>-16273.03</v>
      </c>
      <c r="S191" s="968">
        <v>-4536</v>
      </c>
      <c r="T191" s="968">
        <v>-4536</v>
      </c>
      <c r="U191" s="968">
        <v>-4536</v>
      </c>
      <c r="V191" s="968"/>
      <c r="W191" s="968"/>
      <c r="X191" s="968">
        <f t="shared" si="52"/>
        <v>0</v>
      </c>
      <c r="Y191" s="1145">
        <v>-4808</v>
      </c>
      <c r="Z191" s="1145">
        <v>-4808</v>
      </c>
      <c r="AA191" s="1145">
        <v>-4808</v>
      </c>
      <c r="AB191" s="1145">
        <v>-589.48</v>
      </c>
      <c r="AC191" s="1145"/>
      <c r="AD191" s="1145">
        <f t="shared" si="61"/>
        <v>-589.48</v>
      </c>
    </row>
    <row r="192" spans="1:34" x14ac:dyDescent="0.2">
      <c r="A192" s="928">
        <v>2321</v>
      </c>
      <c r="B192" s="928" t="s">
        <v>1192</v>
      </c>
      <c r="C192" s="968">
        <v>-3045000</v>
      </c>
      <c r="D192" s="968">
        <v>-3084898.28</v>
      </c>
      <c r="E192" s="968"/>
      <c r="F192" s="968">
        <f t="shared" si="62"/>
        <v>-3084898.28</v>
      </c>
      <c r="G192" s="968">
        <v>-4737000</v>
      </c>
      <c r="H192" s="968">
        <v>-4737000</v>
      </c>
      <c r="I192" s="968">
        <v>-4737000</v>
      </c>
      <c r="J192" s="968">
        <v>-4901517.08</v>
      </c>
      <c r="K192" s="968"/>
      <c r="L192" s="968">
        <f t="shared" si="63"/>
        <v>-4901517.08</v>
      </c>
      <c r="M192" s="974">
        <v>-5068590</v>
      </c>
      <c r="N192" s="974">
        <v>-5068590</v>
      </c>
      <c r="O192" s="974">
        <v>-5068590</v>
      </c>
      <c r="P192" s="968">
        <v>-5283122.8</v>
      </c>
      <c r="Q192" s="968"/>
      <c r="R192" s="968">
        <f t="shared" si="64"/>
        <v>-5283122.8</v>
      </c>
      <c r="S192" s="968">
        <v>-5372705</v>
      </c>
      <c r="T192" s="968">
        <v>-5372705</v>
      </c>
      <c r="U192" s="968">
        <v>-5372705</v>
      </c>
      <c r="V192" s="968">
        <v>-5020826.0199999996</v>
      </c>
      <c r="W192" s="968"/>
      <c r="X192" s="968">
        <f t="shared" si="52"/>
        <v>-5020826.0199999996</v>
      </c>
      <c r="Y192" s="1145">
        <v>-5695067</v>
      </c>
      <c r="Z192" s="1145">
        <v>-5695067</v>
      </c>
      <c r="AA192" s="1145">
        <v>-5695067</v>
      </c>
      <c r="AB192" s="1145">
        <v>-4552516.24</v>
      </c>
      <c r="AC192" s="1145"/>
      <c r="AD192" s="1145">
        <f t="shared" si="61"/>
        <v>-4552516.24</v>
      </c>
    </row>
    <row r="193" spans="1:30" x14ac:dyDescent="0.2">
      <c r="A193" s="928">
        <v>2324</v>
      </c>
      <c r="B193" s="928" t="s">
        <v>1193</v>
      </c>
      <c r="C193" s="968">
        <v>-671000</v>
      </c>
      <c r="D193" s="968">
        <v>-495106.83</v>
      </c>
      <c r="E193" s="968"/>
      <c r="F193" s="968">
        <f t="shared" si="62"/>
        <v>-495106.83</v>
      </c>
      <c r="G193" s="968">
        <v>-634000</v>
      </c>
      <c r="H193" s="968">
        <v>-634000</v>
      </c>
      <c r="I193" s="968">
        <v>-634000</v>
      </c>
      <c r="J193" s="968">
        <v>-539706.5</v>
      </c>
      <c r="K193" s="968"/>
      <c r="L193" s="968">
        <f t="shared" si="63"/>
        <v>-539706.5</v>
      </c>
      <c r="M193" s="974">
        <v>-678380</v>
      </c>
      <c r="N193" s="974">
        <v>-678380</v>
      </c>
      <c r="O193" s="974">
        <v>-678380</v>
      </c>
      <c r="P193" s="968">
        <v>-544146.32999999996</v>
      </c>
      <c r="Q193" s="968"/>
      <c r="R193" s="968">
        <f t="shared" si="64"/>
        <v>-544146.32999999996</v>
      </c>
      <c r="S193" s="968">
        <v>-719082</v>
      </c>
      <c r="T193" s="968">
        <v>-719082</v>
      </c>
      <c r="U193" s="968">
        <v>-719082</v>
      </c>
      <c r="V193" s="968">
        <v>-569756.31999999995</v>
      </c>
      <c r="W193" s="968"/>
      <c r="X193" s="968">
        <f t="shared" si="52"/>
        <v>-569756.31999999995</v>
      </c>
      <c r="Y193" s="1145">
        <v>-762226</v>
      </c>
      <c r="Z193" s="1145">
        <v>-762226</v>
      </c>
      <c r="AA193" s="1145">
        <v>-762226</v>
      </c>
      <c r="AB193" s="1145">
        <v>-583185.1</v>
      </c>
      <c r="AC193" s="1145"/>
      <c r="AD193" s="1145">
        <f t="shared" si="61"/>
        <v>-583185.1</v>
      </c>
    </row>
    <row r="194" spans="1:30" x14ac:dyDescent="0.2">
      <c r="A194" s="928">
        <v>2327</v>
      </c>
      <c r="B194" s="928" t="s">
        <v>849</v>
      </c>
      <c r="C194" s="968">
        <v>-1400</v>
      </c>
      <c r="D194" s="968">
        <v>-538.5</v>
      </c>
      <c r="E194" s="968"/>
      <c r="F194" s="968">
        <f t="shared" si="62"/>
        <v>-538.5</v>
      </c>
      <c r="G194" s="968">
        <v>-500</v>
      </c>
      <c r="H194" s="968">
        <v>-500</v>
      </c>
      <c r="I194" s="968">
        <v>-500</v>
      </c>
      <c r="J194" s="968">
        <v>-518.41</v>
      </c>
      <c r="K194" s="968"/>
      <c r="L194" s="968">
        <f t="shared" si="63"/>
        <v>-518.41</v>
      </c>
      <c r="M194" s="974">
        <v>-535</v>
      </c>
      <c r="N194" s="974">
        <v>-535</v>
      </c>
      <c r="O194" s="974">
        <v>-535</v>
      </c>
      <c r="P194" s="968">
        <v>-1185.08</v>
      </c>
      <c r="Q194" s="968"/>
      <c r="R194" s="968">
        <f t="shared" si="64"/>
        <v>-1185.08</v>
      </c>
      <c r="S194" s="968">
        <v>-567</v>
      </c>
      <c r="T194" s="968">
        <v>-567</v>
      </c>
      <c r="U194" s="968">
        <v>-567</v>
      </c>
      <c r="V194" s="968">
        <v>-1072.8</v>
      </c>
      <c r="W194" s="968"/>
      <c r="X194" s="968">
        <f t="shared" si="52"/>
        <v>-1072.8</v>
      </c>
      <c r="Y194" s="1145">
        <v>-300</v>
      </c>
      <c r="Z194" s="1145">
        <v>-300</v>
      </c>
      <c r="AA194" s="1145">
        <v>-300</v>
      </c>
      <c r="AB194" s="1145">
        <v>-267.54000000000002</v>
      </c>
      <c r="AC194" s="1145"/>
      <c r="AD194" s="1145">
        <f t="shared" si="61"/>
        <v>-267.54000000000002</v>
      </c>
    </row>
    <row r="195" spans="1:30" x14ac:dyDescent="0.2">
      <c r="A195" s="928">
        <v>2330</v>
      </c>
      <c r="B195" s="928" t="s">
        <v>856</v>
      </c>
      <c r="C195" s="968">
        <v>-21200</v>
      </c>
      <c r="D195" s="968">
        <v>-6272.81</v>
      </c>
      <c r="E195" s="968"/>
      <c r="F195" s="968">
        <f t="shared" si="62"/>
        <v>-6272.81</v>
      </c>
      <c r="G195" s="968">
        <v>-6000</v>
      </c>
      <c r="H195" s="968">
        <v>-6000</v>
      </c>
      <c r="I195" s="968">
        <v>-6000</v>
      </c>
      <c r="J195" s="968">
        <v>-17191.21</v>
      </c>
      <c r="K195" s="968"/>
      <c r="L195" s="968">
        <f t="shared" si="63"/>
        <v>-17191.21</v>
      </c>
      <c r="M195" s="974">
        <v>-6420</v>
      </c>
      <c r="N195" s="974">
        <v>-6420</v>
      </c>
      <c r="O195" s="974">
        <v>-6420</v>
      </c>
      <c r="P195" s="968">
        <v>-17127.2</v>
      </c>
      <c r="Q195" s="968"/>
      <c r="R195" s="968">
        <f t="shared" si="64"/>
        <v>-17127.2</v>
      </c>
      <c r="S195" s="968">
        <v>-6805</v>
      </c>
      <c r="T195" s="968">
        <v>-6805</v>
      </c>
      <c r="U195" s="968">
        <v>-6805</v>
      </c>
      <c r="V195" s="968">
        <v>-12928.95</v>
      </c>
      <c r="W195" s="968"/>
      <c r="X195" s="968">
        <f t="shared" si="52"/>
        <v>-12928.95</v>
      </c>
      <c r="Y195" s="1145">
        <v>-7213</v>
      </c>
      <c r="Z195" s="1145">
        <v>-7213</v>
      </c>
      <c r="AA195" s="1145">
        <v>-7213</v>
      </c>
      <c r="AB195" s="1145">
        <v>-19168.62</v>
      </c>
      <c r="AC195" s="1145"/>
      <c r="AD195" s="1145">
        <f t="shared" si="61"/>
        <v>-19168.62</v>
      </c>
    </row>
    <row r="196" spans="1:30" x14ac:dyDescent="0.2">
      <c r="A196" s="928">
        <v>2336</v>
      </c>
      <c r="B196" s="928" t="s">
        <v>832</v>
      </c>
      <c r="C196" s="968">
        <v>-39000</v>
      </c>
      <c r="D196" s="968">
        <v>-59858</v>
      </c>
      <c r="E196" s="968"/>
      <c r="F196" s="968">
        <f t="shared" si="62"/>
        <v>-59858</v>
      </c>
      <c r="G196" s="968">
        <v>-103000</v>
      </c>
      <c r="H196" s="968">
        <v>-103000</v>
      </c>
      <c r="I196" s="968">
        <v>-103000</v>
      </c>
      <c r="J196" s="968">
        <v>-179728.59</v>
      </c>
      <c r="K196" s="968"/>
      <c r="L196" s="968">
        <f t="shared" si="63"/>
        <v>-179728.59</v>
      </c>
      <c r="M196" s="974">
        <v>-110210</v>
      </c>
      <c r="N196" s="974">
        <v>-110210</v>
      </c>
      <c r="O196" s="974">
        <v>-110210</v>
      </c>
      <c r="P196" s="968">
        <v>-197066.2</v>
      </c>
      <c r="Q196" s="968"/>
      <c r="R196" s="968">
        <f t="shared" si="64"/>
        <v>-197066.2</v>
      </c>
      <c r="S196" s="968">
        <v>-116822</v>
      </c>
      <c r="T196" s="968">
        <v>-116822</v>
      </c>
      <c r="U196" s="968">
        <v>-116822</v>
      </c>
      <c r="V196" s="968">
        <v>-195760.81</v>
      </c>
      <c r="W196" s="968"/>
      <c r="X196" s="968">
        <f t="shared" si="52"/>
        <v>-195760.81</v>
      </c>
      <c r="Y196" s="1145">
        <v>-123831</v>
      </c>
      <c r="Z196" s="1145">
        <v>-123831</v>
      </c>
      <c r="AA196" s="1145">
        <v>-123831</v>
      </c>
      <c r="AB196" s="1145">
        <v>-9829.94</v>
      </c>
      <c r="AC196" s="1145"/>
      <c r="AD196" s="1145">
        <f t="shared" si="61"/>
        <v>-9829.94</v>
      </c>
    </row>
    <row r="197" spans="1:30" x14ac:dyDescent="0.2">
      <c r="A197" s="928">
        <v>2339</v>
      </c>
      <c r="B197" s="928" t="s">
        <v>1194</v>
      </c>
      <c r="C197" s="968">
        <v>-46000</v>
      </c>
      <c r="D197" s="968">
        <v>-73491.509999999995</v>
      </c>
      <c r="E197" s="968"/>
      <c r="F197" s="968">
        <f t="shared" si="62"/>
        <v>-73491.509999999995</v>
      </c>
      <c r="G197" s="968">
        <v>-77000</v>
      </c>
      <c r="H197" s="968">
        <v>-77000</v>
      </c>
      <c r="I197" s="968">
        <v>-77000</v>
      </c>
      <c r="J197" s="968">
        <v>-76744.66</v>
      </c>
      <c r="K197" s="968"/>
      <c r="L197" s="968">
        <f t="shared" si="63"/>
        <v>-76744.66</v>
      </c>
      <c r="M197" s="974">
        <v>-82390</v>
      </c>
      <c r="N197" s="974">
        <v>-82390</v>
      </c>
      <c r="O197" s="974">
        <v>-82390</v>
      </c>
      <c r="P197" s="968">
        <v>-79853.850000000006</v>
      </c>
      <c r="Q197" s="968"/>
      <c r="R197" s="968">
        <f t="shared" si="64"/>
        <v>-79853.850000000006</v>
      </c>
      <c r="S197" s="968">
        <v>-87333</v>
      </c>
      <c r="T197" s="968">
        <v>-87333</v>
      </c>
      <c r="U197" s="968">
        <v>-87333</v>
      </c>
      <c r="V197" s="968">
        <v>-77482.399999999994</v>
      </c>
      <c r="W197" s="968"/>
      <c r="X197" s="968">
        <f t="shared" si="52"/>
        <v>-77482.399999999994</v>
      </c>
      <c r="Y197" s="1145">
        <v>-92572</v>
      </c>
      <c r="Z197" s="1145">
        <v>-92572</v>
      </c>
      <c r="AA197" s="1145">
        <v>-92572</v>
      </c>
      <c r="AB197" s="1145">
        <v>-94834.22</v>
      </c>
      <c r="AC197" s="1145"/>
      <c r="AD197" s="1145">
        <f t="shared" si="61"/>
        <v>-94834.22</v>
      </c>
    </row>
    <row r="198" spans="1:30" x14ac:dyDescent="0.2">
      <c r="A198" s="928">
        <v>2342</v>
      </c>
      <c r="B198" s="928" t="s">
        <v>1195</v>
      </c>
      <c r="C198" s="968">
        <v>-69300</v>
      </c>
      <c r="D198" s="968">
        <v>-62291.839999999997</v>
      </c>
      <c r="E198" s="968"/>
      <c r="F198" s="968">
        <f t="shared" si="62"/>
        <v>-62291.839999999997</v>
      </c>
      <c r="G198" s="968">
        <v>-233500</v>
      </c>
      <c r="H198" s="968">
        <v>-233500</v>
      </c>
      <c r="I198" s="968">
        <v>-233500</v>
      </c>
      <c r="J198" s="968">
        <v>-79534.350000000006</v>
      </c>
      <c r="K198" s="968"/>
      <c r="L198" s="968">
        <f t="shared" si="63"/>
        <v>-79534.350000000006</v>
      </c>
      <c r="M198" s="974">
        <v>-249845</v>
      </c>
      <c r="N198" s="974">
        <v>-249845</v>
      </c>
      <c r="O198" s="974">
        <v>-249845</v>
      </c>
      <c r="P198" s="968">
        <v>-91287.6</v>
      </c>
      <c r="Q198" s="968"/>
      <c r="R198" s="968">
        <f t="shared" si="64"/>
        <v>-91287.6</v>
      </c>
      <c r="S198" s="968">
        <v>-264834</v>
      </c>
      <c r="T198" s="968">
        <v>-264834</v>
      </c>
      <c r="U198" s="968">
        <v>-264834</v>
      </c>
      <c r="V198" s="968">
        <v>-141369.60000000001</v>
      </c>
      <c r="W198" s="968"/>
      <c r="X198" s="968">
        <f t="shared" si="52"/>
        <v>-141369.60000000001</v>
      </c>
      <c r="Y198" s="1145">
        <v>-280722</v>
      </c>
      <c r="Z198" s="1145">
        <v>-280722</v>
      </c>
      <c r="AA198" s="1145">
        <v>-280722</v>
      </c>
      <c r="AB198" s="1145">
        <v>-165641.29999999999</v>
      </c>
      <c r="AC198" s="1145"/>
      <c r="AD198" s="1145">
        <f t="shared" si="61"/>
        <v>-165641.29999999999</v>
      </c>
    </row>
    <row r="199" spans="1:30" x14ac:dyDescent="0.2">
      <c r="A199" s="928">
        <v>2345</v>
      </c>
      <c r="B199" s="928" t="s">
        <v>859</v>
      </c>
      <c r="C199" s="968">
        <v>-278200</v>
      </c>
      <c r="D199" s="968">
        <v>-263116</v>
      </c>
      <c r="E199" s="968"/>
      <c r="F199" s="968">
        <f t="shared" si="62"/>
        <v>-263116</v>
      </c>
      <c r="G199" s="968">
        <v>-285000</v>
      </c>
      <c r="H199" s="968">
        <v>-285000</v>
      </c>
      <c r="I199" s="968">
        <v>-285000</v>
      </c>
      <c r="J199" s="968">
        <v>-262881.74</v>
      </c>
      <c r="K199" s="968"/>
      <c r="L199" s="968">
        <f t="shared" si="63"/>
        <v>-262881.74</v>
      </c>
      <c r="M199" s="974">
        <v>-304950</v>
      </c>
      <c r="N199" s="974">
        <v>-304950</v>
      </c>
      <c r="O199" s="974">
        <v>-304950</v>
      </c>
      <c r="P199" s="968">
        <v>-212311.82</v>
      </c>
      <c r="Q199" s="968"/>
      <c r="R199" s="968">
        <f t="shared" si="64"/>
        <v>-212311.82</v>
      </c>
      <c r="S199" s="968">
        <v>-323246</v>
      </c>
      <c r="T199" s="968">
        <v>-323246</v>
      </c>
      <c r="U199" s="968">
        <v>-323246</v>
      </c>
      <c r="V199" s="968">
        <v>-228701.76</v>
      </c>
      <c r="W199" s="968"/>
      <c r="X199" s="968">
        <f t="shared" si="52"/>
        <v>-228701.76</v>
      </c>
      <c r="Y199" s="1145">
        <v>-342640</v>
      </c>
      <c r="Z199" s="1145">
        <v>-342640</v>
      </c>
      <c r="AA199" s="1145">
        <v>-342640</v>
      </c>
      <c r="AB199" s="1145">
        <v>-170671.98</v>
      </c>
      <c r="AC199" s="1145"/>
      <c r="AD199" s="1145">
        <f t="shared" si="61"/>
        <v>-170671.98</v>
      </c>
    </row>
    <row r="200" spans="1:30" x14ac:dyDescent="0.2">
      <c r="A200" s="928">
        <v>2348</v>
      </c>
      <c r="B200" s="928" t="s">
        <v>614</v>
      </c>
      <c r="C200" s="968">
        <v>-8000</v>
      </c>
      <c r="D200" s="968">
        <v>-5858.89</v>
      </c>
      <c r="E200" s="968"/>
      <c r="F200" s="968">
        <f t="shared" si="62"/>
        <v>-5858.89</v>
      </c>
      <c r="G200" s="968">
        <v>-9000</v>
      </c>
      <c r="H200" s="968">
        <v>-9000</v>
      </c>
      <c r="I200" s="968">
        <v>-9000</v>
      </c>
      <c r="J200" s="968">
        <v>-12870.2</v>
      </c>
      <c r="K200" s="968"/>
      <c r="L200" s="968">
        <f t="shared" si="63"/>
        <v>-12870.2</v>
      </c>
      <c r="M200" s="974">
        <v>-9630</v>
      </c>
      <c r="N200" s="974">
        <v>-9630</v>
      </c>
      <c r="O200" s="974">
        <v>-9630</v>
      </c>
      <c r="P200" s="968">
        <v>0</v>
      </c>
      <c r="Q200" s="968"/>
      <c r="R200" s="968">
        <f t="shared" si="64"/>
        <v>0</v>
      </c>
      <c r="S200" s="968">
        <v>-10207</v>
      </c>
      <c r="T200" s="968">
        <v>-10207</v>
      </c>
      <c r="U200" s="968">
        <v>-10207</v>
      </c>
      <c r="V200" s="968">
        <v>-3000.88</v>
      </c>
      <c r="W200" s="968"/>
      <c r="X200" s="968">
        <f t="shared" si="52"/>
        <v>-3000.88</v>
      </c>
      <c r="Y200" s="1145">
        <v>-10819</v>
      </c>
      <c r="Z200" s="1145">
        <v>-10819</v>
      </c>
      <c r="AA200" s="1145">
        <v>-10819</v>
      </c>
      <c r="AB200" s="1145">
        <v>-7874.56</v>
      </c>
      <c r="AC200" s="1145"/>
      <c r="AD200" s="1145">
        <f t="shared" si="61"/>
        <v>-7874.56</v>
      </c>
    </row>
    <row r="201" spans="1:30" x14ac:dyDescent="0.2">
      <c r="A201" s="928">
        <v>2357</v>
      </c>
      <c r="B201" s="928" t="s">
        <v>726</v>
      </c>
      <c r="C201" s="968">
        <v>-9000</v>
      </c>
      <c r="D201" s="968">
        <v>-14137.62</v>
      </c>
      <c r="E201" s="968"/>
      <c r="F201" s="968">
        <f t="shared" si="62"/>
        <v>-14137.62</v>
      </c>
      <c r="G201" s="968">
        <v>-9000</v>
      </c>
      <c r="H201" s="968">
        <v>-9000</v>
      </c>
      <c r="I201" s="968">
        <v>-9000</v>
      </c>
      <c r="J201" s="968">
        <v>-45214.77</v>
      </c>
      <c r="K201" s="968"/>
      <c r="L201" s="968">
        <f t="shared" si="63"/>
        <v>-45214.77</v>
      </c>
      <c r="M201" s="974">
        <v>-9630</v>
      </c>
      <c r="N201" s="974">
        <v>-9630</v>
      </c>
      <c r="O201" s="974">
        <v>-9630</v>
      </c>
      <c r="P201" s="968">
        <v>-5528.54</v>
      </c>
      <c r="Q201" s="968"/>
      <c r="R201" s="968">
        <f t="shared" si="64"/>
        <v>-5528.54</v>
      </c>
      <c r="S201" s="968">
        <v>-10207</v>
      </c>
      <c r="T201" s="968">
        <v>-10207</v>
      </c>
      <c r="U201" s="968">
        <v>-10207</v>
      </c>
      <c r="V201" s="968">
        <v>-207838.71</v>
      </c>
      <c r="W201" s="968"/>
      <c r="X201" s="968">
        <f t="shared" ref="X201:X265" si="65">V201+W201</f>
        <v>-207838.71</v>
      </c>
      <c r="Y201" s="1145">
        <v>-7257</v>
      </c>
      <c r="Z201" s="1145">
        <v>-7257</v>
      </c>
      <c r="AA201" s="1145">
        <v>-7257</v>
      </c>
      <c r="AB201" s="1145">
        <v>-34803.51</v>
      </c>
      <c r="AC201" s="1145"/>
      <c r="AD201" s="1145">
        <f t="shared" si="61"/>
        <v>-34803.51</v>
      </c>
    </row>
    <row r="202" spans="1:30" x14ac:dyDescent="0.2">
      <c r="A202" s="928">
        <v>2366</v>
      </c>
      <c r="B202" s="928" t="s">
        <v>1196</v>
      </c>
      <c r="C202" s="968">
        <v>-24000</v>
      </c>
      <c r="D202" s="968">
        <v>-24000</v>
      </c>
      <c r="E202" s="968"/>
      <c r="F202" s="968">
        <f t="shared" si="62"/>
        <v>-24000</v>
      </c>
      <c r="G202" s="968">
        <v>-24000</v>
      </c>
      <c r="H202" s="968">
        <v>-24000</v>
      </c>
      <c r="I202" s="968">
        <v>-24000</v>
      </c>
      <c r="J202" s="968">
        <v>-24000</v>
      </c>
      <c r="K202" s="968"/>
      <c r="L202" s="968">
        <f t="shared" si="63"/>
        <v>-24000</v>
      </c>
      <c r="M202" s="974">
        <v>-24000</v>
      </c>
      <c r="N202" s="974">
        <v>-24000</v>
      </c>
      <c r="O202" s="974">
        <v>-24000</v>
      </c>
      <c r="P202" s="968">
        <v>-50000</v>
      </c>
      <c r="Q202" s="968"/>
      <c r="R202" s="968">
        <f t="shared" si="64"/>
        <v>-50000</v>
      </c>
      <c r="S202" s="968">
        <v>-25440</v>
      </c>
      <c r="T202" s="968">
        <v>-25440</v>
      </c>
      <c r="U202" s="968">
        <v>-25440</v>
      </c>
      <c r="V202" s="968">
        <v>-24000</v>
      </c>
      <c r="W202" s="968"/>
      <c r="X202" s="968">
        <f t="shared" si="65"/>
        <v>-24000</v>
      </c>
      <c r="Y202" s="1145">
        <v>-26966</v>
      </c>
      <c r="Z202" s="1145">
        <v>-26966</v>
      </c>
      <c r="AA202" s="1145">
        <v>-26966</v>
      </c>
      <c r="AB202" s="1145">
        <v>-23017.52</v>
      </c>
      <c r="AC202" s="1145"/>
      <c r="AD202" s="1145">
        <f t="shared" si="61"/>
        <v>-23017.52</v>
      </c>
    </row>
    <row r="203" spans="1:30" x14ac:dyDescent="0.2">
      <c r="A203" s="928">
        <v>2375</v>
      </c>
      <c r="B203" s="928" t="s">
        <v>1197</v>
      </c>
      <c r="C203" s="968">
        <v>-126000</v>
      </c>
      <c r="D203" s="968">
        <v>-12660569.359999999</v>
      </c>
      <c r="E203" s="968">
        <v>-41263400.450000003</v>
      </c>
      <c r="F203" s="968">
        <f>D203+E203+3908949.56+6540551.13+41263400.45</f>
        <v>-2211068.6699999943</v>
      </c>
      <c r="G203" s="968">
        <v>-709000</v>
      </c>
      <c r="H203" s="968">
        <v>-709000</v>
      </c>
      <c r="I203" s="968">
        <v>-709000</v>
      </c>
      <c r="J203" s="968">
        <v>-2303476.2000000002</v>
      </c>
      <c r="K203" s="968"/>
      <c r="L203" s="968">
        <f t="shared" si="63"/>
        <v>-2303476.2000000002</v>
      </c>
      <c r="M203" s="974">
        <v>-759072</v>
      </c>
      <c r="N203" s="974">
        <v>-759072</v>
      </c>
      <c r="O203" s="974">
        <v>-759072</v>
      </c>
      <c r="P203" s="968">
        <f>-18368575.18+6861904.99+1030397.27+2559186.08+598819.08+66150.23</f>
        <v>-7252117.5299999993</v>
      </c>
      <c r="Q203" s="968"/>
      <c r="R203" s="968">
        <f t="shared" si="64"/>
        <v>-7252117.5299999993</v>
      </c>
      <c r="S203" s="968">
        <v>-816750</v>
      </c>
      <c r="T203" s="968">
        <v>-816750</v>
      </c>
      <c r="U203" s="968">
        <v>-816750</v>
      </c>
      <c r="V203" s="968">
        <f>-971676.01-893150.79-99649.58+66706.04+52471.13-66705.52-52470.85+31-119177.17-3000000</f>
        <v>-5083621.75</v>
      </c>
      <c r="W203" s="968"/>
      <c r="X203" s="968">
        <f t="shared" si="65"/>
        <v>-5083621.75</v>
      </c>
      <c r="Y203" s="1145">
        <v>-865754</v>
      </c>
      <c r="Z203" s="1145">
        <v>-865754</v>
      </c>
      <c r="AA203" s="1145">
        <v>-865754</v>
      </c>
      <c r="AB203" s="1145">
        <v>-6230489.8399999999</v>
      </c>
      <c r="AC203" s="1145"/>
      <c r="AD203" s="1145">
        <f t="shared" si="61"/>
        <v>-6230489.8399999999</v>
      </c>
    </row>
    <row r="204" spans="1:30" x14ac:dyDescent="0.2">
      <c r="A204" s="928">
        <v>2375</v>
      </c>
      <c r="B204" s="928" t="s">
        <v>4198</v>
      </c>
      <c r="C204" s="968"/>
      <c r="D204" s="968"/>
      <c r="E204" s="968"/>
      <c r="F204" s="968">
        <v>-6540551.1299999999</v>
      </c>
      <c r="G204" s="968">
        <v>0</v>
      </c>
      <c r="H204" s="968">
        <v>0</v>
      </c>
      <c r="I204" s="968">
        <v>0</v>
      </c>
      <c r="J204" s="968">
        <v>0</v>
      </c>
      <c r="K204" s="968"/>
      <c r="L204" s="968">
        <f t="shared" si="63"/>
        <v>0</v>
      </c>
      <c r="M204" s="974"/>
      <c r="N204" s="974"/>
      <c r="O204" s="974"/>
      <c r="P204" s="968">
        <v>-6861904.9900000002</v>
      </c>
      <c r="Q204" s="968"/>
      <c r="R204" s="968">
        <f t="shared" si="64"/>
        <v>-6861904.9900000002</v>
      </c>
      <c r="S204" s="968"/>
      <c r="T204" s="968"/>
      <c r="U204" s="968"/>
      <c r="V204" s="968"/>
      <c r="W204" s="968"/>
      <c r="X204" s="968">
        <f t="shared" si="65"/>
        <v>0</v>
      </c>
      <c r="Y204" s="1145"/>
      <c r="Z204" s="1145"/>
      <c r="AA204" s="1145"/>
      <c r="AB204" s="1145">
        <v>-9853903.5099999998</v>
      </c>
      <c r="AC204" s="1145"/>
      <c r="AD204" s="1145">
        <f t="shared" si="61"/>
        <v>-9853903.5099999998</v>
      </c>
    </row>
    <row r="205" spans="1:30" x14ac:dyDescent="0.2">
      <c r="A205" s="928"/>
      <c r="B205" s="928" t="s">
        <v>110</v>
      </c>
      <c r="C205" s="968"/>
      <c r="D205" s="968"/>
      <c r="E205" s="968"/>
      <c r="F205" s="968"/>
      <c r="G205" s="968"/>
      <c r="H205" s="968"/>
      <c r="I205" s="968"/>
      <c r="J205" s="968"/>
      <c r="K205" s="968"/>
      <c r="L205" s="968"/>
      <c r="M205" s="974"/>
      <c r="N205" s="974"/>
      <c r="O205" s="974"/>
      <c r="P205" s="968">
        <v>-1030397.27</v>
      </c>
      <c r="Q205" s="968"/>
      <c r="R205" s="968">
        <f t="shared" si="64"/>
        <v>-1030397.27</v>
      </c>
      <c r="S205" s="968"/>
      <c r="T205" s="968"/>
      <c r="U205" s="968"/>
      <c r="V205" s="968"/>
      <c r="W205" s="968"/>
      <c r="X205" s="968">
        <f t="shared" si="65"/>
        <v>0</v>
      </c>
      <c r="Y205" s="1145"/>
      <c r="Z205" s="1145"/>
      <c r="AA205" s="1145"/>
      <c r="AB205" s="1145"/>
      <c r="AC205" s="1145"/>
      <c r="AD205" s="1145">
        <f t="shared" si="61"/>
        <v>0</v>
      </c>
    </row>
    <row r="206" spans="1:30" x14ac:dyDescent="0.2">
      <c r="A206" s="928"/>
      <c r="B206" s="928" t="s">
        <v>112</v>
      </c>
      <c r="C206" s="968"/>
      <c r="D206" s="968"/>
      <c r="E206" s="968"/>
      <c r="F206" s="968"/>
      <c r="G206" s="968"/>
      <c r="H206" s="968"/>
      <c r="I206" s="968"/>
      <c r="J206" s="968"/>
      <c r="K206" s="968"/>
      <c r="L206" s="968"/>
      <c r="M206" s="974"/>
      <c r="N206" s="974"/>
      <c r="O206" s="974"/>
      <c r="P206" s="968">
        <v>-2559186.08</v>
      </c>
      <c r="Q206" s="968"/>
      <c r="R206" s="968">
        <f t="shared" si="64"/>
        <v>-2559186.08</v>
      </c>
      <c r="S206" s="968"/>
      <c r="T206" s="968"/>
      <c r="U206" s="968"/>
      <c r="V206" s="968"/>
      <c r="W206" s="968"/>
      <c r="X206" s="968">
        <f t="shared" si="65"/>
        <v>0</v>
      </c>
      <c r="Y206" s="1145"/>
      <c r="Z206" s="1145"/>
      <c r="AA206" s="1145"/>
      <c r="AB206" s="1145"/>
      <c r="AC206" s="1145"/>
      <c r="AD206" s="1145">
        <f t="shared" si="61"/>
        <v>0</v>
      </c>
    </row>
    <row r="207" spans="1:30" x14ac:dyDescent="0.2">
      <c r="A207" s="928"/>
      <c r="B207" s="928" t="s">
        <v>802</v>
      </c>
      <c r="C207" s="968"/>
      <c r="D207" s="968"/>
      <c r="E207" s="968"/>
      <c r="F207" s="968"/>
      <c r="G207" s="968"/>
      <c r="H207" s="968"/>
      <c r="I207" s="968"/>
      <c r="J207" s="968"/>
      <c r="K207" s="968"/>
      <c r="L207" s="968"/>
      <c r="M207" s="974"/>
      <c r="N207" s="974"/>
      <c r="O207" s="974"/>
      <c r="P207" s="968">
        <v>-598819.07999999996</v>
      </c>
      <c r="Q207" s="968"/>
      <c r="R207" s="968">
        <f t="shared" si="64"/>
        <v>-598819.07999999996</v>
      </c>
      <c r="S207" s="968"/>
      <c r="T207" s="968"/>
      <c r="U207" s="968"/>
      <c r="V207" s="968"/>
      <c r="W207" s="968"/>
      <c r="X207" s="968">
        <f t="shared" si="65"/>
        <v>0</v>
      </c>
      <c r="Y207" s="1145"/>
      <c r="Z207" s="1145"/>
      <c r="AA207" s="1145"/>
      <c r="AB207" s="1145"/>
      <c r="AC207" s="1145"/>
      <c r="AD207" s="1145">
        <f t="shared" si="61"/>
        <v>0</v>
      </c>
    </row>
    <row r="208" spans="1:30" x14ac:dyDescent="0.2">
      <c r="A208" s="928"/>
      <c r="B208" s="928" t="s">
        <v>813</v>
      </c>
      <c r="C208" s="968"/>
      <c r="D208" s="968"/>
      <c r="E208" s="968"/>
      <c r="F208" s="968">
        <v>-41263400.450000003</v>
      </c>
      <c r="G208" s="968">
        <v>0</v>
      </c>
      <c r="H208" s="968">
        <v>0</v>
      </c>
      <c r="I208" s="968">
        <v>0</v>
      </c>
      <c r="J208" s="968">
        <v>0</v>
      </c>
      <c r="K208" s="968"/>
      <c r="L208" s="968">
        <f t="shared" si="63"/>
        <v>0</v>
      </c>
      <c r="M208" s="974"/>
      <c r="N208" s="974"/>
      <c r="O208" s="974"/>
      <c r="P208" s="968">
        <v>0</v>
      </c>
      <c r="Q208" s="968"/>
      <c r="R208" s="968">
        <f t="shared" si="64"/>
        <v>0</v>
      </c>
      <c r="S208" s="968"/>
      <c r="T208" s="968"/>
      <c r="U208" s="968"/>
      <c r="V208" s="968"/>
      <c r="W208" s="968"/>
      <c r="X208" s="968">
        <f t="shared" si="65"/>
        <v>0</v>
      </c>
      <c r="Y208" s="1145"/>
      <c r="Z208" s="1145"/>
      <c r="AA208" s="1145"/>
      <c r="AB208" s="1145"/>
      <c r="AC208" s="1145"/>
      <c r="AD208" s="1145">
        <f t="shared" si="61"/>
        <v>0</v>
      </c>
    </row>
    <row r="209" spans="1:30" x14ac:dyDescent="0.2">
      <c r="A209" s="928">
        <v>2380</v>
      </c>
      <c r="B209" s="928" t="s">
        <v>841</v>
      </c>
      <c r="C209" s="968">
        <v>-500</v>
      </c>
      <c r="D209" s="968">
        <v>-6658.77</v>
      </c>
      <c r="E209" s="968"/>
      <c r="F209" s="968">
        <f t="shared" si="62"/>
        <v>-6658.77</v>
      </c>
      <c r="G209" s="968">
        <v>-10000</v>
      </c>
      <c r="H209" s="968">
        <v>-10000</v>
      </c>
      <c r="I209" s="968">
        <v>-10000</v>
      </c>
      <c r="J209" s="968">
        <v>0</v>
      </c>
      <c r="K209" s="968"/>
      <c r="L209" s="968">
        <f t="shared" si="63"/>
        <v>0</v>
      </c>
      <c r="M209" s="974">
        <v>-10700</v>
      </c>
      <c r="N209" s="974">
        <v>-10700</v>
      </c>
      <c r="O209" s="974">
        <v>-10700</v>
      </c>
      <c r="P209" s="968">
        <v>-438.6</v>
      </c>
      <c r="Q209" s="968"/>
      <c r="R209" s="968">
        <f t="shared" si="64"/>
        <v>-438.6</v>
      </c>
      <c r="S209" s="968">
        <v>-11342</v>
      </c>
      <c r="T209" s="968">
        <v>-11342</v>
      </c>
      <c r="U209" s="968">
        <v>-11342</v>
      </c>
      <c r="V209" s="968">
        <v>-1372.81</v>
      </c>
      <c r="W209" s="968"/>
      <c r="X209" s="968">
        <f t="shared" si="65"/>
        <v>-1372.81</v>
      </c>
      <c r="Y209" s="1145">
        <v>-12022</v>
      </c>
      <c r="Z209" s="1145">
        <v>-12022</v>
      </c>
      <c r="AA209" s="1145">
        <v>-12022</v>
      </c>
      <c r="AB209" s="1145"/>
      <c r="AC209" s="1145"/>
      <c r="AD209" s="1145">
        <f t="shared" si="61"/>
        <v>0</v>
      </c>
    </row>
    <row r="210" spans="1:30" x14ac:dyDescent="0.2">
      <c r="A210" s="928">
        <v>2382</v>
      </c>
      <c r="B210" s="928" t="s">
        <v>613</v>
      </c>
      <c r="C210" s="968">
        <v>-51500</v>
      </c>
      <c r="D210" s="968">
        <v>-34352.519999999997</v>
      </c>
      <c r="E210" s="968"/>
      <c r="F210" s="968">
        <f t="shared" si="62"/>
        <v>-34352.519999999997</v>
      </c>
      <c r="G210" s="968">
        <v>-45000</v>
      </c>
      <c r="H210" s="968">
        <v>-45000</v>
      </c>
      <c r="I210" s="968">
        <v>-45000</v>
      </c>
      <c r="J210" s="968">
        <v>-42674.5</v>
      </c>
      <c r="K210" s="968"/>
      <c r="L210" s="968">
        <f t="shared" si="63"/>
        <v>-42674.5</v>
      </c>
      <c r="M210" s="974">
        <v>-48150</v>
      </c>
      <c r="N210" s="974">
        <v>-48150</v>
      </c>
      <c r="O210" s="974">
        <v>-48150</v>
      </c>
      <c r="P210" s="968">
        <v>-43738.39</v>
      </c>
      <c r="Q210" s="968"/>
      <c r="R210" s="968">
        <f t="shared" si="64"/>
        <v>-43738.39</v>
      </c>
      <c r="S210" s="968">
        <v>-51039</v>
      </c>
      <c r="T210" s="968">
        <v>-51039</v>
      </c>
      <c r="U210" s="968">
        <v>-51039</v>
      </c>
      <c r="V210" s="968">
        <v>-51096.42</v>
      </c>
      <c r="W210" s="968"/>
      <c r="X210" s="968">
        <f t="shared" si="65"/>
        <v>-51096.42</v>
      </c>
      <c r="Y210" s="1145">
        <v>-54101</v>
      </c>
      <c r="Z210" s="1145">
        <v>-54101</v>
      </c>
      <c r="AA210" s="1145">
        <v>-54101</v>
      </c>
      <c r="AB210" s="1145">
        <v>-46726.26</v>
      </c>
      <c r="AC210" s="1145"/>
      <c r="AD210" s="1145">
        <f t="shared" si="61"/>
        <v>-46726.26</v>
      </c>
    </row>
    <row r="211" spans="1:30" x14ac:dyDescent="0.2">
      <c r="A211" s="928">
        <v>2390</v>
      </c>
      <c r="B211" s="928" t="s">
        <v>691</v>
      </c>
      <c r="C211" s="968">
        <v>-6500</v>
      </c>
      <c r="D211" s="968">
        <v>-8218.5499999999993</v>
      </c>
      <c r="E211" s="968"/>
      <c r="F211" s="968">
        <f t="shared" si="62"/>
        <v>-8218.5499999999993</v>
      </c>
      <c r="G211" s="968">
        <v>-1330000</v>
      </c>
      <c r="H211" s="968">
        <v>-1330000</v>
      </c>
      <c r="I211" s="968">
        <v>-1330000</v>
      </c>
      <c r="J211" s="968">
        <v>-1464.91</v>
      </c>
      <c r="K211" s="968"/>
      <c r="L211" s="968">
        <f t="shared" si="63"/>
        <v>-1464.91</v>
      </c>
      <c r="M211" s="974">
        <v>-1423100</v>
      </c>
      <c r="N211" s="974">
        <v>-1423100</v>
      </c>
      <c r="O211" s="974">
        <v>-1423100</v>
      </c>
      <c r="P211" s="968">
        <v>0</v>
      </c>
      <c r="Q211" s="968"/>
      <c r="R211" s="968">
        <f t="shared" si="64"/>
        <v>0</v>
      </c>
      <c r="S211" s="968">
        <v>-1508486</v>
      </c>
      <c r="T211" s="968">
        <v>-1508486</v>
      </c>
      <c r="U211" s="968">
        <v>-1508486</v>
      </c>
      <c r="V211" s="968"/>
      <c r="W211" s="968"/>
      <c r="X211" s="968">
        <f t="shared" si="65"/>
        <v>0</v>
      </c>
      <c r="Y211" s="1145">
        <v>-2998995</v>
      </c>
      <c r="Z211" s="1145">
        <v>-2998995</v>
      </c>
      <c r="AA211" s="1145">
        <v>-2998995</v>
      </c>
      <c r="AB211" s="1145"/>
      <c r="AC211" s="1145"/>
      <c r="AD211" s="1145">
        <f t="shared" si="61"/>
        <v>0</v>
      </c>
    </row>
    <row r="212" spans="1:30" x14ac:dyDescent="0.2">
      <c r="A212" s="928">
        <v>2392</v>
      </c>
      <c r="B212" s="928" t="s">
        <v>838</v>
      </c>
      <c r="C212" s="968">
        <v>-29000</v>
      </c>
      <c r="D212" s="968">
        <v>-25309.439999999999</v>
      </c>
      <c r="E212" s="968"/>
      <c r="F212" s="968">
        <f t="shared" si="62"/>
        <v>-25309.439999999999</v>
      </c>
      <c r="G212" s="968">
        <v>-26000</v>
      </c>
      <c r="H212" s="968">
        <v>-26000</v>
      </c>
      <c r="I212" s="968">
        <v>-26000</v>
      </c>
      <c r="J212" s="968">
        <v>-21279.119999999999</v>
      </c>
      <c r="K212" s="968"/>
      <c r="L212" s="968">
        <f t="shared" si="63"/>
        <v>-21279.119999999999</v>
      </c>
      <c r="M212" s="974">
        <v>-27820</v>
      </c>
      <c r="N212" s="974">
        <v>-27820</v>
      </c>
      <c r="O212" s="974">
        <v>-27820</v>
      </c>
      <c r="P212" s="968">
        <v>-17745.52</v>
      </c>
      <c r="Q212" s="968"/>
      <c r="R212" s="968">
        <f t="shared" si="64"/>
        <v>-17745.52</v>
      </c>
      <c r="S212" s="968">
        <v>-29489</v>
      </c>
      <c r="T212" s="968">
        <v>-29489</v>
      </c>
      <c r="U212" s="968">
        <v>-29489</v>
      </c>
      <c r="V212" s="968">
        <v>-9263.1</v>
      </c>
      <c r="W212" s="968"/>
      <c r="X212" s="968">
        <f t="shared" si="65"/>
        <v>-9263.1</v>
      </c>
      <c r="Y212" s="1145">
        <v>-31258</v>
      </c>
      <c r="Z212" s="1145">
        <v>-31258</v>
      </c>
      <c r="AA212" s="1145">
        <v>-31258</v>
      </c>
      <c r="AB212" s="1145">
        <v>-11491.03</v>
      </c>
      <c r="AC212" s="1145"/>
      <c r="AD212" s="1145">
        <f t="shared" si="61"/>
        <v>-11491.03</v>
      </c>
    </row>
    <row r="213" spans="1:30" x14ac:dyDescent="0.2">
      <c r="A213" s="928">
        <v>2398</v>
      </c>
      <c r="B213" s="928" t="s">
        <v>1198</v>
      </c>
      <c r="C213" s="968">
        <v>-5000</v>
      </c>
      <c r="D213" s="968">
        <v>-10824.41</v>
      </c>
      <c r="E213" s="968"/>
      <c r="F213" s="968">
        <f t="shared" si="62"/>
        <v>-10824.41</v>
      </c>
      <c r="G213" s="968">
        <v>-8000</v>
      </c>
      <c r="H213" s="968">
        <v>-8000</v>
      </c>
      <c r="I213" s="968">
        <v>-8000</v>
      </c>
      <c r="J213" s="968">
        <v>-6631.51</v>
      </c>
      <c r="K213" s="968"/>
      <c r="L213" s="968">
        <f t="shared" si="63"/>
        <v>-6631.51</v>
      </c>
      <c r="M213" s="974">
        <v>-8440</v>
      </c>
      <c r="N213" s="974">
        <v>-8440</v>
      </c>
      <c r="O213" s="974">
        <v>-8440</v>
      </c>
      <c r="P213" s="968">
        <v>0</v>
      </c>
      <c r="Q213" s="968"/>
      <c r="R213" s="968">
        <f t="shared" si="64"/>
        <v>0</v>
      </c>
      <c r="S213" s="968">
        <v>-8946</v>
      </c>
      <c r="T213" s="968">
        <v>-8946</v>
      </c>
      <c r="U213" s="968">
        <v>-8946</v>
      </c>
      <c r="V213" s="968"/>
      <c r="W213" s="968"/>
      <c r="X213" s="968">
        <f t="shared" si="65"/>
        <v>0</v>
      </c>
      <c r="Y213" s="1145">
        <v>-9482</v>
      </c>
      <c r="Z213" s="1145">
        <v>-9482</v>
      </c>
      <c r="AA213" s="1145">
        <v>-9482</v>
      </c>
      <c r="AB213" s="1145"/>
      <c r="AC213" s="1145"/>
      <c r="AD213" s="1145">
        <f t="shared" si="61"/>
        <v>0</v>
      </c>
    </row>
    <row r="214" spans="1:30" x14ac:dyDescent="0.2">
      <c r="A214" s="928">
        <v>2399</v>
      </c>
      <c r="B214" s="928" t="s">
        <v>858</v>
      </c>
      <c r="C214" s="968">
        <v>-1240000</v>
      </c>
      <c r="D214" s="968">
        <v>-1035013.1</v>
      </c>
      <c r="E214" s="968"/>
      <c r="F214" s="968">
        <f t="shared" si="62"/>
        <v>-1035013.1</v>
      </c>
      <c r="G214" s="968">
        <v>-1486000</v>
      </c>
      <c r="H214" s="968">
        <v>-1486000</v>
      </c>
      <c r="I214" s="968">
        <v>-1486000</v>
      </c>
      <c r="J214" s="968">
        <v>-1312751.6299999999</v>
      </c>
      <c r="K214" s="968"/>
      <c r="L214" s="968">
        <f t="shared" si="63"/>
        <v>-1312751.6299999999</v>
      </c>
      <c r="M214" s="974">
        <v>-1619740</v>
      </c>
      <c r="N214" s="974">
        <v>-1619740</v>
      </c>
      <c r="O214" s="974">
        <v>-1619740</v>
      </c>
      <c r="P214" s="968">
        <v>-920957.3</v>
      </c>
      <c r="Q214" s="968"/>
      <c r="R214" s="968">
        <f t="shared" si="64"/>
        <v>-920957.3</v>
      </c>
      <c r="S214" s="968">
        <v>-1716924</v>
      </c>
      <c r="T214" s="968">
        <v>-1716924</v>
      </c>
      <c r="U214" s="968">
        <v>-1716924</v>
      </c>
      <c r="V214" s="968">
        <v>-1299455</v>
      </c>
      <c r="W214" s="968"/>
      <c r="X214" s="968">
        <f t="shared" si="65"/>
        <v>-1299455</v>
      </c>
      <c r="Y214" s="1145">
        <v>-1819939</v>
      </c>
      <c r="Z214" s="1145">
        <v>-1819939</v>
      </c>
      <c r="AA214" s="1145">
        <v>-1819939</v>
      </c>
      <c r="AB214" s="1145">
        <v>-507333.12</v>
      </c>
      <c r="AC214" s="1145"/>
      <c r="AD214" s="1145">
        <f t="shared" si="61"/>
        <v>-507333.12</v>
      </c>
    </row>
    <row r="215" spans="1:30" x14ac:dyDescent="0.2">
      <c r="A215" s="928">
        <v>2400</v>
      </c>
      <c r="B215" s="928" t="s">
        <v>1199</v>
      </c>
      <c r="C215" s="968">
        <v>-1200000</v>
      </c>
      <c r="D215" s="968">
        <v>-316101.28999999998</v>
      </c>
      <c r="E215" s="968"/>
      <c r="F215" s="968">
        <f t="shared" si="62"/>
        <v>-316101.28999999998</v>
      </c>
      <c r="G215" s="968">
        <v>-474000</v>
      </c>
      <c r="H215" s="968">
        <v>-474000</v>
      </c>
      <c r="I215" s="968">
        <v>-474000</v>
      </c>
      <c r="J215" s="968">
        <v>-2197120.7000000002</v>
      </c>
      <c r="K215" s="968"/>
      <c r="L215" s="968">
        <f t="shared" si="63"/>
        <v>-2197120.7000000002</v>
      </c>
      <c r="M215" s="974">
        <v>-474000</v>
      </c>
      <c r="N215" s="974">
        <v>-474000</v>
      </c>
      <c r="O215" s="974">
        <v>-474000</v>
      </c>
      <c r="P215" s="968">
        <v>0</v>
      </c>
      <c r="Q215" s="968"/>
      <c r="R215" s="968">
        <f t="shared" si="64"/>
        <v>0</v>
      </c>
      <c r="S215" s="968">
        <v>-502440</v>
      </c>
      <c r="T215" s="968">
        <v>-502440</v>
      </c>
      <c r="U215" s="968">
        <v>-502440</v>
      </c>
      <c r="V215" s="968">
        <v>-1167823.93</v>
      </c>
      <c r="W215" s="968"/>
      <c r="X215" s="968">
        <f t="shared" si="65"/>
        <v>-1167823.93</v>
      </c>
      <c r="Y215" s="1145">
        <v>-532586</v>
      </c>
      <c r="Z215" s="1145">
        <v>-532586</v>
      </c>
      <c r="AA215" s="1145">
        <v>-532586</v>
      </c>
      <c r="AB215" s="1145">
        <v>-1138117.3799999999</v>
      </c>
      <c r="AC215" s="1145"/>
      <c r="AD215" s="1145">
        <f t="shared" si="61"/>
        <v>-1138117.3799999999</v>
      </c>
    </row>
    <row r="216" spans="1:30" x14ac:dyDescent="0.2">
      <c r="A216" s="928">
        <v>2406</v>
      </c>
      <c r="B216" s="928" t="s">
        <v>1200</v>
      </c>
      <c r="C216" s="968">
        <v>-1600</v>
      </c>
      <c r="D216" s="968">
        <v>-900</v>
      </c>
      <c r="E216" s="968"/>
      <c r="F216" s="968">
        <f t="shared" si="62"/>
        <v>-900</v>
      </c>
      <c r="G216" s="968">
        <v>-1400</v>
      </c>
      <c r="H216" s="968">
        <v>-1400</v>
      </c>
      <c r="I216" s="968">
        <v>-1400</v>
      </c>
      <c r="J216" s="968">
        <v>0</v>
      </c>
      <c r="K216" s="968"/>
      <c r="L216" s="968">
        <f t="shared" si="63"/>
        <v>0</v>
      </c>
      <c r="M216" s="974">
        <v>-1498</v>
      </c>
      <c r="N216" s="974">
        <v>-1498</v>
      </c>
      <c r="O216" s="974">
        <v>-1498</v>
      </c>
      <c r="P216" s="968">
        <v>0</v>
      </c>
      <c r="Q216" s="968"/>
      <c r="R216" s="968">
        <f t="shared" si="64"/>
        <v>0</v>
      </c>
      <c r="S216" s="968">
        <v>-1587</v>
      </c>
      <c r="T216" s="968">
        <v>-1587</v>
      </c>
      <c r="U216" s="968">
        <v>-1587</v>
      </c>
      <c r="V216" s="968"/>
      <c r="W216" s="968"/>
      <c r="X216" s="968">
        <f t="shared" si="65"/>
        <v>0</v>
      </c>
      <c r="Y216" s="1145">
        <v>-1682</v>
      </c>
      <c r="Z216" s="1145">
        <v>-1682</v>
      </c>
      <c r="AA216" s="1145">
        <v>-1682</v>
      </c>
      <c r="AB216" s="1145"/>
      <c r="AC216" s="1145"/>
      <c r="AD216" s="1145">
        <f t="shared" si="61"/>
        <v>0</v>
      </c>
    </row>
    <row r="217" spans="1:30" x14ac:dyDescent="0.2">
      <c r="A217" s="928">
        <v>2408</v>
      </c>
      <c r="B217" s="928" t="s">
        <v>1201</v>
      </c>
      <c r="C217" s="968">
        <v>-955000</v>
      </c>
      <c r="D217" s="968">
        <v>-284491.15999999997</v>
      </c>
      <c r="E217" s="968"/>
      <c r="F217" s="968">
        <f t="shared" si="62"/>
        <v>-284491.15999999997</v>
      </c>
      <c r="G217" s="968">
        <v>-427000</v>
      </c>
      <c r="H217" s="968">
        <v>-427000</v>
      </c>
      <c r="I217" s="968">
        <v>-427000</v>
      </c>
      <c r="J217" s="968">
        <v>0</v>
      </c>
      <c r="K217" s="968"/>
      <c r="L217" s="968">
        <f t="shared" si="63"/>
        <v>0</v>
      </c>
      <c r="M217" s="974">
        <v>-427000</v>
      </c>
      <c r="N217" s="974">
        <v>-427000</v>
      </c>
      <c r="O217" s="974">
        <v>-427000</v>
      </c>
      <c r="P217" s="968">
        <v>0</v>
      </c>
      <c r="Q217" s="968"/>
      <c r="R217" s="968">
        <f t="shared" si="64"/>
        <v>0</v>
      </c>
      <c r="S217" s="968">
        <v>-452620</v>
      </c>
      <c r="T217" s="968">
        <v>-452620</v>
      </c>
      <c r="U217" s="968">
        <v>-452620</v>
      </c>
      <c r="V217" s="968">
        <v>-448090.68</v>
      </c>
      <c r="W217" s="968"/>
      <c r="X217" s="968">
        <f t="shared" si="65"/>
        <v>-448090.68</v>
      </c>
      <c r="Y217" s="1145">
        <v>-479777</v>
      </c>
      <c r="Z217" s="1145">
        <v>-479777</v>
      </c>
      <c r="AA217" s="1145">
        <v>-479777</v>
      </c>
      <c r="AB217" s="1145"/>
      <c r="AC217" s="1145"/>
      <c r="AD217" s="1145">
        <f t="shared" si="61"/>
        <v>0</v>
      </c>
    </row>
    <row r="218" spans="1:30" x14ac:dyDescent="0.2">
      <c r="A218" s="928">
        <v>2410</v>
      </c>
      <c r="B218" s="928" t="s">
        <v>1202</v>
      </c>
      <c r="C218" s="968">
        <v>-147000</v>
      </c>
      <c r="D218" s="968">
        <v>-143623.67999999999</v>
      </c>
      <c r="E218" s="968"/>
      <c r="F218" s="968">
        <f t="shared" si="62"/>
        <v>-143623.67999999999</v>
      </c>
      <c r="G218" s="968">
        <v>-140000</v>
      </c>
      <c r="H218" s="968">
        <v>-140000</v>
      </c>
      <c r="I218" s="968">
        <v>-140000</v>
      </c>
      <c r="J218" s="968">
        <v>-105705.88</v>
      </c>
      <c r="K218" s="968"/>
      <c r="L218" s="968">
        <f t="shared" si="63"/>
        <v>-105705.88</v>
      </c>
      <c r="M218" s="974">
        <v>-149800</v>
      </c>
      <c r="N218" s="974">
        <v>-149800</v>
      </c>
      <c r="O218" s="974">
        <v>-149800</v>
      </c>
      <c r="P218" s="968">
        <v>-93497.78</v>
      </c>
      <c r="Q218" s="968"/>
      <c r="R218" s="968">
        <f t="shared" si="64"/>
        <v>-93497.78</v>
      </c>
      <c r="S218" s="968">
        <v>-158788</v>
      </c>
      <c r="T218" s="968">
        <v>-158788</v>
      </c>
      <c r="U218" s="968">
        <v>-158788</v>
      </c>
      <c r="V218" s="968">
        <v>-91708.82</v>
      </c>
      <c r="W218" s="968"/>
      <c r="X218" s="968">
        <f t="shared" si="65"/>
        <v>-91708.82</v>
      </c>
      <c r="Y218" s="1145">
        <v>-100000</v>
      </c>
      <c r="Z218" s="1145">
        <v>-100000</v>
      </c>
      <c r="AA218" s="1145">
        <v>-100000</v>
      </c>
      <c r="AB218" s="1145">
        <v>-73247.360000000001</v>
      </c>
      <c r="AC218" s="1145"/>
      <c r="AD218" s="1145">
        <f t="shared" si="61"/>
        <v>-73247.360000000001</v>
      </c>
    </row>
    <row r="219" spans="1:30" x14ac:dyDescent="0.2">
      <c r="A219" s="928">
        <v>2414</v>
      </c>
      <c r="B219" s="928" t="s">
        <v>1203</v>
      </c>
      <c r="C219" s="968">
        <v>-530000</v>
      </c>
      <c r="D219" s="968">
        <v>-673236.39</v>
      </c>
      <c r="E219" s="968"/>
      <c r="F219" s="968">
        <f t="shared" ref="F219:F237" si="66">D219+E219</f>
        <v>-673236.39</v>
      </c>
      <c r="G219" s="968">
        <v>-1145000</v>
      </c>
      <c r="H219" s="968">
        <v>-1145000</v>
      </c>
      <c r="I219" s="968">
        <v>-1145000</v>
      </c>
      <c r="J219" s="968">
        <v>-777618.43</v>
      </c>
      <c r="K219" s="968"/>
      <c r="L219" s="968">
        <f t="shared" si="63"/>
        <v>-777618.43</v>
      </c>
      <c r="M219" s="974">
        <v>-1225150</v>
      </c>
      <c r="N219" s="974">
        <v>-1225150</v>
      </c>
      <c r="O219" s="974">
        <v>-1225150</v>
      </c>
      <c r="P219" s="968">
        <v>-1445597.1</v>
      </c>
      <c r="Q219" s="968"/>
      <c r="R219" s="968">
        <f t="shared" si="64"/>
        <v>-1445597.1</v>
      </c>
      <c r="S219" s="968">
        <v>-1298606</v>
      </c>
      <c r="T219" s="968">
        <v>-1298606</v>
      </c>
      <c r="U219" s="968">
        <v>-1298606</v>
      </c>
      <c r="V219" s="968">
        <v>-2014923</v>
      </c>
      <c r="W219" s="968"/>
      <c r="X219" s="968">
        <f t="shared" si="65"/>
        <v>-2014923</v>
      </c>
      <c r="Y219" s="1145">
        <v>-1376522</v>
      </c>
      <c r="Z219" s="1145">
        <v>-1376522</v>
      </c>
      <c r="AA219" s="1145">
        <v>-1376522</v>
      </c>
      <c r="AB219" s="1145">
        <v>-1334185.75</v>
      </c>
      <c r="AC219" s="1145"/>
      <c r="AD219" s="1145">
        <f t="shared" si="61"/>
        <v>-1334185.75</v>
      </c>
    </row>
    <row r="220" spans="1:30" x14ac:dyDescent="0.2">
      <c r="A220" s="928">
        <v>2416</v>
      </c>
      <c r="B220" s="928" t="s">
        <v>1204</v>
      </c>
      <c r="C220" s="968">
        <v>-20200</v>
      </c>
      <c r="D220" s="968">
        <v>-105344.93</v>
      </c>
      <c r="E220" s="968"/>
      <c r="F220" s="968">
        <f t="shared" si="66"/>
        <v>-105344.93</v>
      </c>
      <c r="G220" s="968">
        <v>-107000</v>
      </c>
      <c r="H220" s="968">
        <v>-107000</v>
      </c>
      <c r="I220" s="968">
        <v>-107000</v>
      </c>
      <c r="J220" s="968">
        <v>-109114.17</v>
      </c>
      <c r="K220" s="968"/>
      <c r="L220" s="968">
        <f t="shared" si="63"/>
        <v>-109114.17</v>
      </c>
      <c r="M220" s="974">
        <v>-114490</v>
      </c>
      <c r="N220" s="974">
        <v>-114490</v>
      </c>
      <c r="O220" s="974">
        <v>-114490</v>
      </c>
      <c r="P220" s="968">
        <v>-115529.11</v>
      </c>
      <c r="Q220" s="968"/>
      <c r="R220" s="968">
        <f t="shared" si="64"/>
        <v>-115529.11</v>
      </c>
      <c r="S220" s="968">
        <v>-121359</v>
      </c>
      <c r="T220" s="968">
        <v>-121359</v>
      </c>
      <c r="U220" s="968">
        <v>-121359</v>
      </c>
      <c r="V220" s="968">
        <v>-137777.60999999999</v>
      </c>
      <c r="W220" s="968"/>
      <c r="X220" s="968">
        <f t="shared" si="65"/>
        <v>-137777.60999999999</v>
      </c>
      <c r="Y220" s="1145">
        <v>-128640</v>
      </c>
      <c r="Z220" s="1145">
        <v>-128640</v>
      </c>
      <c r="AA220" s="1145">
        <v>-128640</v>
      </c>
      <c r="AB220" s="1145">
        <v>-156910.76</v>
      </c>
      <c r="AC220" s="1145"/>
      <c r="AD220" s="1145">
        <f t="shared" si="61"/>
        <v>-156910.76</v>
      </c>
    </row>
    <row r="221" spans="1:30" x14ac:dyDescent="0.2">
      <c r="A221" s="928">
        <v>2420</v>
      </c>
      <c r="B221" s="928" t="s">
        <v>835</v>
      </c>
      <c r="C221" s="968">
        <v>-196000</v>
      </c>
      <c r="D221" s="968">
        <v>-248319.07</v>
      </c>
      <c r="E221" s="968"/>
      <c r="F221" s="968">
        <f t="shared" si="66"/>
        <v>-248319.07</v>
      </c>
      <c r="G221" s="968">
        <v>-683000</v>
      </c>
      <c r="H221" s="968">
        <v>-683000</v>
      </c>
      <c r="I221" s="968">
        <v>-683000</v>
      </c>
      <c r="J221" s="968">
        <v>-991602.63</v>
      </c>
      <c r="K221" s="968"/>
      <c r="L221" s="968">
        <f t="shared" si="63"/>
        <v>-991602.63</v>
      </c>
      <c r="M221" s="974">
        <v>-730810</v>
      </c>
      <c r="N221" s="974">
        <v>-730810</v>
      </c>
      <c r="O221" s="974">
        <v>-730810</v>
      </c>
      <c r="P221" s="968">
        <v>-521123.26</v>
      </c>
      <c r="Q221" s="968"/>
      <c r="R221" s="968">
        <f t="shared" si="64"/>
        <v>-521123.26</v>
      </c>
      <c r="S221" s="968">
        <v>-774658</v>
      </c>
      <c r="T221" s="968">
        <v>-774658</v>
      </c>
      <c r="U221" s="968">
        <v>-774658</v>
      </c>
      <c r="V221" s="968">
        <v>-725165.18</v>
      </c>
      <c r="W221" s="968"/>
      <c r="X221" s="968">
        <f t="shared" si="65"/>
        <v>-725165.18</v>
      </c>
      <c r="Y221" s="1145">
        <v>-821137</v>
      </c>
      <c r="Z221" s="1145">
        <v>-821137</v>
      </c>
      <c r="AA221" s="1145">
        <v>-821137</v>
      </c>
      <c r="AB221" s="1145">
        <v>-711757.87</v>
      </c>
      <c r="AC221" s="1145"/>
      <c r="AD221" s="1145">
        <f t="shared" si="61"/>
        <v>-711757.87</v>
      </c>
    </row>
    <row r="222" spans="1:30" x14ac:dyDescent="0.2">
      <c r="A222" s="928">
        <v>2422</v>
      </c>
      <c r="B222" s="928" t="s">
        <v>843</v>
      </c>
      <c r="C222" s="968">
        <v>-93700</v>
      </c>
      <c r="D222" s="968">
        <v>-18338.63</v>
      </c>
      <c r="E222" s="968"/>
      <c r="F222" s="968">
        <f t="shared" si="66"/>
        <v>-18338.63</v>
      </c>
      <c r="G222" s="968">
        <v>-27500</v>
      </c>
      <c r="H222" s="968">
        <v>-27500</v>
      </c>
      <c r="I222" s="968">
        <v>-27500</v>
      </c>
      <c r="J222" s="968">
        <v>-5473.36</v>
      </c>
      <c r="K222" s="968"/>
      <c r="L222" s="968">
        <f t="shared" si="63"/>
        <v>-5473.36</v>
      </c>
      <c r="M222" s="974">
        <v>-29425</v>
      </c>
      <c r="N222" s="974">
        <v>-29425</v>
      </c>
      <c r="O222" s="974">
        <v>-29425</v>
      </c>
      <c r="P222" s="968">
        <v>-1177.47</v>
      </c>
      <c r="Q222" s="968"/>
      <c r="R222" s="968">
        <f t="shared" si="64"/>
        <v>-1177.47</v>
      </c>
      <c r="S222" s="968">
        <v>-31190</v>
      </c>
      <c r="T222" s="968">
        <v>-31190</v>
      </c>
      <c r="U222" s="968">
        <v>-31190</v>
      </c>
      <c r="V222" s="968">
        <v>-4125.45</v>
      </c>
      <c r="W222" s="968"/>
      <c r="X222" s="968">
        <f t="shared" si="65"/>
        <v>-4125.45</v>
      </c>
      <c r="Y222" s="1145">
        <v>-33061</v>
      </c>
      <c r="Z222" s="1145">
        <v>-33061</v>
      </c>
      <c r="AA222" s="1145">
        <v>-33061</v>
      </c>
      <c r="AB222" s="1145">
        <v>-19596.490000000002</v>
      </c>
      <c r="AC222" s="1145"/>
      <c r="AD222" s="1145">
        <f t="shared" si="61"/>
        <v>-19596.490000000002</v>
      </c>
    </row>
    <row r="223" spans="1:30" x14ac:dyDescent="0.2">
      <c r="A223" s="928">
        <v>2423</v>
      </c>
      <c r="B223" s="928" t="s">
        <v>2953</v>
      </c>
      <c r="C223" s="968"/>
      <c r="D223" s="968"/>
      <c r="E223" s="968"/>
      <c r="F223" s="968">
        <v>-3908949.56</v>
      </c>
      <c r="G223" s="968">
        <v>0</v>
      </c>
      <c r="H223" s="968">
        <v>0</v>
      </c>
      <c r="I223" s="968">
        <v>0</v>
      </c>
      <c r="J223" s="968">
        <v>-1743513.45</v>
      </c>
      <c r="K223" s="968"/>
      <c r="L223" s="968">
        <f t="shared" si="63"/>
        <v>-1743513.45</v>
      </c>
      <c r="M223" s="974">
        <v>-2000000</v>
      </c>
      <c r="N223" s="974">
        <v>-2000000</v>
      </c>
      <c r="O223" s="974">
        <v>-2000000</v>
      </c>
      <c r="P223" s="968">
        <v>-2528061.16</v>
      </c>
      <c r="Q223" s="968"/>
      <c r="R223" s="968">
        <f t="shared" si="64"/>
        <v>-2528061.16</v>
      </c>
      <c r="S223" s="968">
        <v>-2120000</v>
      </c>
      <c r="T223" s="968">
        <v>-2120000</v>
      </c>
      <c r="U223" s="968">
        <v>-2120000</v>
      </c>
      <c r="V223" s="968">
        <v>-1594109.19</v>
      </c>
      <c r="W223" s="968"/>
      <c r="X223" s="968">
        <f t="shared" si="65"/>
        <v>-1594109.19</v>
      </c>
      <c r="Y223" s="1145">
        <v>-2247200</v>
      </c>
      <c r="Z223" s="1145">
        <v>-2247200</v>
      </c>
      <c r="AA223" s="1145">
        <v>-2247200</v>
      </c>
      <c r="AB223" s="1145">
        <v>-1365338.7</v>
      </c>
      <c r="AC223" s="1145"/>
      <c r="AD223" s="1145">
        <f t="shared" si="61"/>
        <v>-1365338.7</v>
      </c>
    </row>
    <row r="224" spans="1:30" x14ac:dyDescent="0.2">
      <c r="A224" s="928">
        <v>2424</v>
      </c>
      <c r="B224" s="928" t="s">
        <v>727</v>
      </c>
      <c r="C224" s="968">
        <v>0</v>
      </c>
      <c r="D224" s="968">
        <v>0</v>
      </c>
      <c r="E224" s="968"/>
      <c r="F224" s="968">
        <f t="shared" si="66"/>
        <v>0</v>
      </c>
      <c r="G224" s="968">
        <v>0</v>
      </c>
      <c r="H224" s="968">
        <v>0</v>
      </c>
      <c r="I224" s="968">
        <v>0</v>
      </c>
      <c r="J224" s="968">
        <v>0</v>
      </c>
      <c r="K224" s="968"/>
      <c r="L224" s="968">
        <f t="shared" si="63"/>
        <v>0</v>
      </c>
      <c r="M224" s="974"/>
      <c r="N224" s="974"/>
      <c r="O224" s="974"/>
      <c r="P224" s="968">
        <v>0</v>
      </c>
      <c r="Q224" s="968"/>
      <c r="R224" s="968">
        <f t="shared" si="64"/>
        <v>0</v>
      </c>
      <c r="S224" s="968"/>
      <c r="T224" s="968"/>
      <c r="U224" s="968"/>
      <c r="V224" s="968"/>
      <c r="W224" s="968"/>
      <c r="X224" s="968">
        <f t="shared" si="65"/>
        <v>0</v>
      </c>
      <c r="Y224" s="1145"/>
      <c r="Z224" s="1145"/>
      <c r="AA224" s="1145"/>
      <c r="AB224" s="1145"/>
      <c r="AC224" s="1145"/>
      <c r="AD224" s="1145">
        <f t="shared" si="61"/>
        <v>0</v>
      </c>
    </row>
    <row r="225" spans="1:30" x14ac:dyDescent="0.2">
      <c r="A225" s="928">
        <v>2426</v>
      </c>
      <c r="B225" s="928" t="s">
        <v>1205</v>
      </c>
      <c r="C225" s="968">
        <v>-10000</v>
      </c>
      <c r="D225" s="968">
        <v>-44686.12</v>
      </c>
      <c r="E225" s="968"/>
      <c r="F225" s="968">
        <f t="shared" si="66"/>
        <v>-44686.12</v>
      </c>
      <c r="G225" s="968">
        <v>-10800</v>
      </c>
      <c r="H225" s="968">
        <v>-10800</v>
      </c>
      <c r="I225" s="968">
        <v>-10800</v>
      </c>
      <c r="J225" s="968">
        <v>0</v>
      </c>
      <c r="K225" s="968"/>
      <c r="L225" s="968">
        <f t="shared" si="63"/>
        <v>0</v>
      </c>
      <c r="M225" s="974">
        <v>-11394</v>
      </c>
      <c r="N225" s="974">
        <v>-11394</v>
      </c>
      <c r="O225" s="974">
        <v>-11394</v>
      </c>
      <c r="P225" s="968">
        <v>0</v>
      </c>
      <c r="Q225" s="968"/>
      <c r="R225" s="968">
        <f t="shared" si="64"/>
        <v>0</v>
      </c>
      <c r="S225" s="968">
        <v>-12077</v>
      </c>
      <c r="T225" s="968">
        <v>-12077</v>
      </c>
      <c r="U225" s="968">
        <v>-12077</v>
      </c>
      <c r="V225" s="968"/>
      <c r="W225" s="968"/>
      <c r="X225" s="968">
        <f t="shared" si="65"/>
        <v>0</v>
      </c>
      <c r="Y225" s="1145">
        <v>-12801</v>
      </c>
      <c r="Z225" s="1145">
        <v>-12801</v>
      </c>
      <c r="AA225" s="1145">
        <v>-12801</v>
      </c>
      <c r="AB225" s="1145"/>
      <c r="AC225" s="1145"/>
      <c r="AD225" s="1145">
        <f t="shared" si="61"/>
        <v>0</v>
      </c>
    </row>
    <row r="226" spans="1:30" x14ac:dyDescent="0.2">
      <c r="A226" s="928">
        <v>2428</v>
      </c>
      <c r="B226" s="928" t="s">
        <v>1206</v>
      </c>
      <c r="C226" s="968">
        <v>-1200000</v>
      </c>
      <c r="D226" s="968">
        <v>-2091787.79</v>
      </c>
      <c r="E226" s="968"/>
      <c r="F226" s="968">
        <f t="shared" si="66"/>
        <v>-2091787.79</v>
      </c>
      <c r="G226" s="968">
        <v>-1500000</v>
      </c>
      <c r="H226" s="968">
        <v>-4500000</v>
      </c>
      <c r="I226" s="968">
        <v>-4500000</v>
      </c>
      <c r="J226" s="968">
        <v>-3278470.64</v>
      </c>
      <c r="K226" s="968"/>
      <c r="L226" s="968">
        <f t="shared" si="63"/>
        <v>-3278470.64</v>
      </c>
      <c r="M226" s="974">
        <v>-3974000</v>
      </c>
      <c r="N226" s="974">
        <v>-3974000</v>
      </c>
      <c r="O226" s="974">
        <v>-3974000</v>
      </c>
      <c r="P226" s="968">
        <v>-810891.58</v>
      </c>
      <c r="Q226" s="968"/>
      <c r="R226" s="968">
        <f t="shared" si="64"/>
        <v>-810891.58</v>
      </c>
      <c r="S226" s="968">
        <v>-4212440</v>
      </c>
      <c r="T226" s="968">
        <v>-4212440</v>
      </c>
      <c r="U226" s="968">
        <v>-4212440</v>
      </c>
      <c r="V226" s="968">
        <v>-317733.94</v>
      </c>
      <c r="W226" s="968"/>
      <c r="X226" s="968">
        <f t="shared" si="65"/>
        <v>-317733.94</v>
      </c>
      <c r="Y226" s="1145">
        <v>-4465186</v>
      </c>
      <c r="Z226" s="1145">
        <v>-4465186</v>
      </c>
      <c r="AA226" s="1145">
        <v>-4465186</v>
      </c>
      <c r="AB226" s="1145">
        <v>-1834588.55</v>
      </c>
      <c r="AC226" s="1145"/>
      <c r="AD226" s="1145">
        <f t="shared" si="61"/>
        <v>-1834588.55</v>
      </c>
    </row>
    <row r="227" spans="1:30" x14ac:dyDescent="0.2">
      <c r="A227" s="928">
        <v>2429</v>
      </c>
      <c r="B227" s="928" t="s">
        <v>1207</v>
      </c>
      <c r="C227" s="968">
        <v>0</v>
      </c>
      <c r="D227" s="968">
        <v>-18000</v>
      </c>
      <c r="E227" s="968"/>
      <c r="F227" s="968">
        <f t="shared" si="66"/>
        <v>-18000</v>
      </c>
      <c r="G227" s="968">
        <v>0</v>
      </c>
      <c r="H227" s="968">
        <v>0</v>
      </c>
      <c r="I227" s="968">
        <v>0</v>
      </c>
      <c r="J227" s="968">
        <v>0</v>
      </c>
      <c r="K227" s="968"/>
      <c r="L227" s="968">
        <f t="shared" si="63"/>
        <v>0</v>
      </c>
      <c r="M227" s="974">
        <v>-1500000</v>
      </c>
      <c r="N227" s="974">
        <v>-1500000</v>
      </c>
      <c r="O227" s="974">
        <v>-1500000</v>
      </c>
      <c r="P227" s="968">
        <v>-125000</v>
      </c>
      <c r="Q227" s="968"/>
      <c r="R227" s="968">
        <f t="shared" si="64"/>
        <v>-125000</v>
      </c>
      <c r="S227" s="968">
        <v>-3590000</v>
      </c>
      <c r="T227" s="968">
        <f>-3590000-74000</f>
        <v>-3664000</v>
      </c>
      <c r="U227" s="968">
        <f>-3590000-74000</f>
        <v>-3664000</v>
      </c>
      <c r="V227" s="968">
        <f>-4516498.2-610000</f>
        <v>-5126498.2</v>
      </c>
      <c r="W227" s="968">
        <f>-216394.78-149441.81</f>
        <v>-365836.58999999997</v>
      </c>
      <c r="X227" s="968">
        <f t="shared" si="65"/>
        <v>-5492334.79</v>
      </c>
      <c r="Y227" s="1145">
        <v>-3805400</v>
      </c>
      <c r="Z227" s="1145">
        <v>-3805400</v>
      </c>
      <c r="AA227" s="1145">
        <v>-3805400</v>
      </c>
      <c r="AB227" s="1145">
        <v>-987181.02</v>
      </c>
      <c r="AC227" s="1145"/>
      <c r="AD227" s="1145">
        <f t="shared" si="61"/>
        <v>-987181.02</v>
      </c>
    </row>
    <row r="228" spans="1:30" x14ac:dyDescent="0.2">
      <c r="A228" s="928">
        <v>2430</v>
      </c>
      <c r="B228" s="928" t="s">
        <v>1208</v>
      </c>
      <c r="C228" s="968">
        <v>0</v>
      </c>
      <c r="D228" s="968">
        <v>0</v>
      </c>
      <c r="E228" s="968"/>
      <c r="F228" s="968">
        <f t="shared" si="66"/>
        <v>0</v>
      </c>
      <c r="G228" s="968">
        <v>0</v>
      </c>
      <c r="H228" s="968">
        <v>0</v>
      </c>
      <c r="I228" s="968">
        <v>0</v>
      </c>
      <c r="J228" s="968">
        <v>-878674.83</v>
      </c>
      <c r="K228" s="968"/>
      <c r="L228" s="968">
        <f t="shared" si="63"/>
        <v>-878674.83</v>
      </c>
      <c r="M228" s="974">
        <v>-214</v>
      </c>
      <c r="N228" s="974">
        <v>-214</v>
      </c>
      <c r="O228" s="974">
        <v>-214</v>
      </c>
      <c r="P228" s="968">
        <v>0</v>
      </c>
      <c r="Q228" s="968"/>
      <c r="R228" s="968">
        <f t="shared" si="64"/>
        <v>0</v>
      </c>
      <c r="S228" s="968"/>
      <c r="T228" s="968"/>
      <c r="U228" s="968"/>
      <c r="V228" s="968"/>
      <c r="W228" s="968"/>
      <c r="X228" s="968">
        <f t="shared" si="65"/>
        <v>0</v>
      </c>
      <c r="Y228" s="1145"/>
      <c r="Z228" s="1145"/>
      <c r="AA228" s="1145"/>
      <c r="AB228" s="1145">
        <v>-1383261.91</v>
      </c>
      <c r="AC228" s="1145"/>
      <c r="AD228" s="1145">
        <f t="shared" si="61"/>
        <v>-1383261.91</v>
      </c>
    </row>
    <row r="229" spans="1:30" x14ac:dyDescent="0.2">
      <c r="A229" s="928">
        <v>2432</v>
      </c>
      <c r="B229" s="928" t="s">
        <v>1209</v>
      </c>
      <c r="C229" s="968">
        <v>-200</v>
      </c>
      <c r="D229" s="968">
        <v>-209.25</v>
      </c>
      <c r="E229" s="968"/>
      <c r="F229" s="968">
        <f t="shared" si="66"/>
        <v>-209.25</v>
      </c>
      <c r="G229" s="968">
        <v>-200</v>
      </c>
      <c r="H229" s="968">
        <v>-200</v>
      </c>
      <c r="I229" s="968">
        <v>-200</v>
      </c>
      <c r="J229" s="968">
        <v>0</v>
      </c>
      <c r="K229" s="968"/>
      <c r="L229" s="968">
        <f t="shared" si="63"/>
        <v>0</v>
      </c>
      <c r="M229" s="974"/>
      <c r="N229" s="974"/>
      <c r="O229" s="974"/>
      <c r="P229" s="968">
        <v>0</v>
      </c>
      <c r="Q229" s="968"/>
      <c r="R229" s="968">
        <f t="shared" si="64"/>
        <v>0</v>
      </c>
      <c r="S229" s="968">
        <v>-226</v>
      </c>
      <c r="T229" s="968">
        <v>-226</v>
      </c>
      <c r="U229" s="968">
        <v>-226</v>
      </c>
      <c r="V229" s="968"/>
      <c r="W229" s="968"/>
      <c r="X229" s="968">
        <f t="shared" si="65"/>
        <v>0</v>
      </c>
      <c r="Y229" s="1145">
        <v>-239</v>
      </c>
      <c r="Z229" s="1145">
        <v>-239</v>
      </c>
      <c r="AA229" s="1145">
        <v>-239</v>
      </c>
      <c r="AB229" s="1145">
        <v>-245.61</v>
      </c>
      <c r="AC229" s="1145"/>
      <c r="AD229" s="1145">
        <f t="shared" si="61"/>
        <v>-245.61</v>
      </c>
    </row>
    <row r="230" spans="1:30" x14ac:dyDescent="0.2">
      <c r="A230" s="928">
        <v>2434</v>
      </c>
      <c r="B230" s="928" t="s">
        <v>1210</v>
      </c>
      <c r="C230" s="968">
        <v>-25000000</v>
      </c>
      <c r="D230" s="968">
        <v>-1264912.28</v>
      </c>
      <c r="E230" s="968"/>
      <c r="F230" s="968">
        <f t="shared" si="66"/>
        <v>-1264912.28</v>
      </c>
      <c r="G230" s="968">
        <v>-52000000</v>
      </c>
      <c r="H230" s="968">
        <v>-52000000</v>
      </c>
      <c r="I230" s="968">
        <v>-52000000</v>
      </c>
      <c r="J230" s="968">
        <v>0</v>
      </c>
      <c r="K230" s="968"/>
      <c r="L230" s="968">
        <f t="shared" si="63"/>
        <v>0</v>
      </c>
      <c r="M230" s="974"/>
      <c r="N230" s="974"/>
      <c r="O230" s="974"/>
      <c r="P230" s="968">
        <v>-514561.4</v>
      </c>
      <c r="Q230" s="968"/>
      <c r="R230" s="968">
        <f t="shared" si="64"/>
        <v>-514561.4</v>
      </c>
      <c r="S230" s="968"/>
      <c r="T230" s="968"/>
      <c r="U230" s="968"/>
      <c r="V230" s="968">
        <v>-230000.01</v>
      </c>
      <c r="W230" s="968"/>
      <c r="X230" s="968">
        <f t="shared" si="65"/>
        <v>-230000.01</v>
      </c>
      <c r="Y230" s="1145"/>
      <c r="Z230" s="1145"/>
      <c r="AA230" s="1145"/>
      <c r="AB230" s="1145">
        <v>-2409824.67</v>
      </c>
      <c r="AC230" s="1145"/>
      <c r="AD230" s="1145">
        <f t="shared" si="61"/>
        <v>-2409824.67</v>
      </c>
    </row>
    <row r="231" spans="1:30" x14ac:dyDescent="0.2">
      <c r="A231" s="928">
        <v>2435</v>
      </c>
      <c r="B231" s="928" t="s">
        <v>725</v>
      </c>
      <c r="C231" s="968">
        <v>0</v>
      </c>
      <c r="D231" s="968">
        <v>0</v>
      </c>
      <c r="E231" s="968"/>
      <c r="F231" s="968">
        <f t="shared" si="66"/>
        <v>0</v>
      </c>
      <c r="G231" s="968">
        <v>0</v>
      </c>
      <c r="H231" s="968">
        <v>0</v>
      </c>
      <c r="I231" s="968">
        <v>0</v>
      </c>
      <c r="J231" s="968">
        <v>-65.61</v>
      </c>
      <c r="K231" s="968"/>
      <c r="L231" s="968">
        <f t="shared" si="63"/>
        <v>-65.61</v>
      </c>
      <c r="M231" s="974"/>
      <c r="N231" s="974"/>
      <c r="O231" s="974"/>
      <c r="P231" s="968">
        <v>-169.47</v>
      </c>
      <c r="Q231" s="968"/>
      <c r="R231" s="968">
        <f t="shared" si="64"/>
        <v>-169.47</v>
      </c>
      <c r="S231" s="968"/>
      <c r="T231" s="968"/>
      <c r="U231" s="968"/>
      <c r="V231" s="968">
        <v>0</v>
      </c>
      <c r="W231" s="968"/>
      <c r="X231" s="968">
        <f t="shared" si="65"/>
        <v>0</v>
      </c>
      <c r="Y231" s="1145"/>
      <c r="Z231" s="1145"/>
      <c r="AA231" s="1145"/>
      <c r="AB231" s="1145">
        <v>-642.47</v>
      </c>
      <c r="AC231" s="1145"/>
      <c r="AD231" s="1145">
        <f t="shared" si="61"/>
        <v>-642.47</v>
      </c>
    </row>
    <row r="232" spans="1:30" x14ac:dyDescent="0.2">
      <c r="A232" s="928">
        <v>2436</v>
      </c>
      <c r="B232" s="928" t="s">
        <v>1211</v>
      </c>
      <c r="C232" s="968">
        <v>0</v>
      </c>
      <c r="D232" s="968">
        <v>-118.42</v>
      </c>
      <c r="E232" s="968"/>
      <c r="F232" s="968">
        <f t="shared" si="66"/>
        <v>-118.42</v>
      </c>
      <c r="G232" s="968">
        <v>0</v>
      </c>
      <c r="H232" s="968">
        <v>0</v>
      </c>
      <c r="I232" s="968">
        <v>0</v>
      </c>
      <c r="J232" s="968">
        <v>-921.05</v>
      </c>
      <c r="K232" s="968"/>
      <c r="L232" s="968">
        <f t="shared" si="63"/>
        <v>-921.05</v>
      </c>
      <c r="M232" s="974"/>
      <c r="N232" s="974"/>
      <c r="O232" s="974"/>
      <c r="P232" s="968">
        <v>-13542.01</v>
      </c>
      <c r="Q232" s="968"/>
      <c r="R232" s="968">
        <f t="shared" si="64"/>
        <v>-13542.01</v>
      </c>
      <c r="S232" s="968"/>
      <c r="T232" s="968"/>
      <c r="U232" s="968"/>
      <c r="V232" s="968">
        <v>-2533.04</v>
      </c>
      <c r="W232" s="968"/>
      <c r="X232" s="968">
        <f t="shared" si="65"/>
        <v>-2533.04</v>
      </c>
      <c r="Y232" s="1145"/>
      <c r="Z232" s="1145"/>
      <c r="AA232" s="1145"/>
      <c r="AB232" s="1145"/>
      <c r="AC232" s="1145"/>
      <c r="AD232" s="1145">
        <f t="shared" si="61"/>
        <v>0</v>
      </c>
    </row>
    <row r="233" spans="1:30" x14ac:dyDescent="0.2">
      <c r="A233" s="928">
        <v>2438</v>
      </c>
      <c r="B233" s="928" t="s">
        <v>1212</v>
      </c>
      <c r="C233" s="968">
        <v>-1000</v>
      </c>
      <c r="D233" s="968">
        <v>-739.13</v>
      </c>
      <c r="E233" s="968"/>
      <c r="F233" s="968">
        <f t="shared" si="66"/>
        <v>-739.13</v>
      </c>
      <c r="G233" s="968">
        <v>-1000</v>
      </c>
      <c r="H233" s="968">
        <v>-1000</v>
      </c>
      <c r="I233" s="968">
        <v>-1000</v>
      </c>
      <c r="J233" s="968">
        <v>-664.46</v>
      </c>
      <c r="K233" s="968"/>
      <c r="L233" s="968">
        <f t="shared" si="63"/>
        <v>-664.46</v>
      </c>
      <c r="M233" s="974">
        <v>-1070</v>
      </c>
      <c r="N233" s="974">
        <v>-1070</v>
      </c>
      <c r="O233" s="974">
        <v>-1070</v>
      </c>
      <c r="P233" s="968">
        <v>-308.8</v>
      </c>
      <c r="Q233" s="968"/>
      <c r="R233" s="968">
        <f t="shared" si="64"/>
        <v>-308.8</v>
      </c>
      <c r="S233" s="968">
        <v>-1134</v>
      </c>
      <c r="T233" s="968">
        <v>-1134</v>
      </c>
      <c r="U233" s="968">
        <v>-1134</v>
      </c>
      <c r="V233" s="968">
        <v>-855.24</v>
      </c>
      <c r="W233" s="968"/>
      <c r="X233" s="968">
        <f t="shared" si="65"/>
        <v>-855.24</v>
      </c>
      <c r="Y233" s="1145">
        <v>-1202</v>
      </c>
      <c r="Z233" s="1145">
        <v>-1202</v>
      </c>
      <c r="AA233" s="1145">
        <v>-1202</v>
      </c>
      <c r="AB233" s="1145">
        <v>-1255.25</v>
      </c>
      <c r="AC233" s="1145"/>
      <c r="AD233" s="1145">
        <f t="shared" si="61"/>
        <v>-1255.25</v>
      </c>
    </row>
    <row r="234" spans="1:30" x14ac:dyDescent="0.2">
      <c r="A234" s="928">
        <v>2440</v>
      </c>
      <c r="B234" s="928" t="s">
        <v>1213</v>
      </c>
      <c r="C234" s="968">
        <v>-84400</v>
      </c>
      <c r="D234" s="968">
        <v>-98212.66</v>
      </c>
      <c r="E234" s="968"/>
      <c r="F234" s="968">
        <f t="shared" si="66"/>
        <v>-98212.66</v>
      </c>
      <c r="G234" s="968">
        <v>-137000</v>
      </c>
      <c r="H234" s="968">
        <v>-137000</v>
      </c>
      <c r="I234" s="968">
        <v>-137000</v>
      </c>
      <c r="J234" s="968">
        <v>-62172.95</v>
      </c>
      <c r="K234" s="968"/>
      <c r="L234" s="968">
        <f t="shared" si="63"/>
        <v>-62172.95</v>
      </c>
      <c r="M234" s="974">
        <v>-144570</v>
      </c>
      <c r="N234" s="974">
        <v>-144570</v>
      </c>
      <c r="O234" s="974">
        <v>-144570</v>
      </c>
      <c r="P234" s="968">
        <v>-57791.519999999997</v>
      </c>
      <c r="Q234" s="968"/>
      <c r="R234" s="968">
        <f t="shared" si="64"/>
        <v>-57791.519999999997</v>
      </c>
      <c r="S234" s="968">
        <v>-153244</v>
      </c>
      <c r="T234" s="968">
        <v>-153244</v>
      </c>
      <c r="U234" s="968">
        <v>-153244</v>
      </c>
      <c r="V234" s="968">
        <v>-35988.79</v>
      </c>
      <c r="W234" s="968"/>
      <c r="X234" s="968">
        <f t="shared" si="65"/>
        <v>-35988.79</v>
      </c>
      <c r="Y234" s="1145">
        <v>-162437</v>
      </c>
      <c r="Z234" s="1145">
        <v>-162437</v>
      </c>
      <c r="AA234" s="1145">
        <v>-162437</v>
      </c>
      <c r="AB234" s="1145">
        <v>-86666.22</v>
      </c>
      <c r="AC234" s="1145"/>
      <c r="AD234" s="1145">
        <f t="shared" si="61"/>
        <v>-86666.22</v>
      </c>
    </row>
    <row r="235" spans="1:30" x14ac:dyDescent="0.2">
      <c r="A235" s="928">
        <v>2442</v>
      </c>
      <c r="B235" s="928" t="s">
        <v>619</v>
      </c>
      <c r="C235" s="968">
        <v>-10400</v>
      </c>
      <c r="D235" s="968">
        <v>-38205.019999999997</v>
      </c>
      <c r="E235" s="968"/>
      <c r="F235" s="968">
        <f t="shared" si="66"/>
        <v>-38205.019999999997</v>
      </c>
      <c r="G235" s="968">
        <v>-11200</v>
      </c>
      <c r="H235" s="968">
        <v>-11200</v>
      </c>
      <c r="I235" s="968">
        <v>-11200</v>
      </c>
      <c r="J235" s="968">
        <v>-90993.88</v>
      </c>
      <c r="K235" s="968"/>
      <c r="L235" s="968">
        <f t="shared" si="63"/>
        <v>-90993.88</v>
      </c>
      <c r="M235" s="974">
        <v>-11228</v>
      </c>
      <c r="N235" s="974">
        <v>-11228</v>
      </c>
      <c r="O235" s="974">
        <v>-11228</v>
      </c>
      <c r="P235" s="968">
        <v>395980.87</v>
      </c>
      <c r="Q235" s="968"/>
      <c r="R235" s="968">
        <f t="shared" si="64"/>
        <v>395980.87</v>
      </c>
      <c r="S235" s="968">
        <v>-11947</v>
      </c>
      <c r="T235" s="968">
        <v>-11947</v>
      </c>
      <c r="U235" s="968">
        <v>-11947</v>
      </c>
      <c r="V235" s="968">
        <v>-5592.05</v>
      </c>
      <c r="W235" s="968"/>
      <c r="X235" s="968">
        <f t="shared" si="65"/>
        <v>-5592.05</v>
      </c>
      <c r="Y235" s="1145">
        <v>-12662</v>
      </c>
      <c r="Z235" s="1145">
        <v>-12662</v>
      </c>
      <c r="AA235" s="1145">
        <v>-12662</v>
      </c>
      <c r="AB235" s="1145">
        <v>-26685.64</v>
      </c>
      <c r="AC235" s="1145"/>
      <c r="AD235" s="1145">
        <f t="shared" si="61"/>
        <v>-26685.64</v>
      </c>
    </row>
    <row r="236" spans="1:30" x14ac:dyDescent="0.2">
      <c r="A236" s="928">
        <v>2445</v>
      </c>
      <c r="B236" s="928" t="s">
        <v>3210</v>
      </c>
      <c r="C236" s="968"/>
      <c r="D236" s="968"/>
      <c r="E236" s="968"/>
      <c r="F236" s="968"/>
      <c r="G236" s="968"/>
      <c r="H236" s="968"/>
      <c r="I236" s="968"/>
      <c r="J236" s="968"/>
      <c r="K236" s="968"/>
      <c r="L236" s="968"/>
      <c r="M236" s="974"/>
      <c r="N236" s="974"/>
      <c r="O236" s="974"/>
      <c r="P236" s="968">
        <v>-8</v>
      </c>
      <c r="Q236" s="968"/>
      <c r="R236" s="968">
        <f t="shared" si="64"/>
        <v>-8</v>
      </c>
      <c r="S236" s="968"/>
      <c r="T236" s="968"/>
      <c r="U236" s="968"/>
      <c r="V236" s="968">
        <v>-13371354.359999999</v>
      </c>
      <c r="W236" s="968">
        <v>13371354.359999999</v>
      </c>
      <c r="X236" s="968">
        <f t="shared" si="65"/>
        <v>0</v>
      </c>
      <c r="Y236" s="1145"/>
      <c r="Z236" s="1145"/>
      <c r="AA236" s="1145"/>
      <c r="AB236" s="1145"/>
      <c r="AC236" s="1145"/>
      <c r="AD236" s="1145">
        <f t="shared" si="61"/>
        <v>0</v>
      </c>
    </row>
    <row r="237" spans="1:30" x14ac:dyDescent="0.2">
      <c r="A237" s="928">
        <v>2450</v>
      </c>
      <c r="B237" s="928" t="s">
        <v>1214</v>
      </c>
      <c r="C237" s="968">
        <v>-1000</v>
      </c>
      <c r="D237" s="968">
        <v>0</v>
      </c>
      <c r="E237" s="968"/>
      <c r="F237" s="968">
        <f t="shared" si="66"/>
        <v>0</v>
      </c>
      <c r="G237" s="968">
        <v>-40000</v>
      </c>
      <c r="H237" s="968">
        <v>-40000</v>
      </c>
      <c r="I237" s="968">
        <v>-40000</v>
      </c>
      <c r="J237" s="968">
        <v>0</v>
      </c>
      <c r="K237" s="968"/>
      <c r="L237" s="968">
        <f t="shared" si="63"/>
        <v>0</v>
      </c>
      <c r="M237" s="974">
        <v>-42800</v>
      </c>
      <c r="N237" s="974">
        <v>-42800</v>
      </c>
      <c r="O237" s="974">
        <v>-42800</v>
      </c>
      <c r="P237" s="968">
        <v>0</v>
      </c>
      <c r="Q237" s="968"/>
      <c r="R237" s="968">
        <f t="shared" si="64"/>
        <v>0</v>
      </c>
      <c r="S237" s="968">
        <v>-100000</v>
      </c>
      <c r="T237" s="968">
        <v>-100000</v>
      </c>
      <c r="U237" s="968">
        <v>-100000</v>
      </c>
      <c r="V237" s="968"/>
      <c r="W237" s="968"/>
      <c r="X237" s="968">
        <f t="shared" si="65"/>
        <v>0</v>
      </c>
      <c r="Y237" s="1145">
        <v>-106000</v>
      </c>
      <c r="Z237" s="1145">
        <v>-106000</v>
      </c>
      <c r="AA237" s="1145">
        <v>-106000</v>
      </c>
      <c r="AB237" s="1145">
        <v>-280207.09000000003</v>
      </c>
      <c r="AC237" s="1145"/>
      <c r="AD237" s="1145">
        <f t="shared" si="61"/>
        <v>-280207.09000000003</v>
      </c>
    </row>
    <row r="238" spans="1:30" x14ac:dyDescent="0.2">
      <c r="A238" s="928" t="s">
        <v>3250</v>
      </c>
      <c r="B238" s="928" t="s">
        <v>3252</v>
      </c>
      <c r="C238" s="968"/>
      <c r="D238" s="968"/>
      <c r="E238" s="968"/>
      <c r="F238" s="968"/>
      <c r="G238" s="968"/>
      <c r="H238" s="968"/>
      <c r="I238" s="968"/>
      <c r="J238" s="968"/>
      <c r="K238" s="968"/>
      <c r="L238" s="968"/>
      <c r="M238" s="974"/>
      <c r="N238" s="974"/>
      <c r="O238" s="974"/>
      <c r="P238" s="968"/>
      <c r="Q238" s="968"/>
      <c r="R238" s="968">
        <f t="shared" si="64"/>
        <v>0</v>
      </c>
      <c r="S238" s="968"/>
      <c r="T238" s="968"/>
      <c r="U238" s="968"/>
      <c r="V238" s="968"/>
      <c r="W238" s="968"/>
      <c r="X238" s="968">
        <f t="shared" si="65"/>
        <v>0</v>
      </c>
      <c r="Y238" s="1145"/>
      <c r="Z238" s="1145"/>
      <c r="AA238" s="1145"/>
      <c r="AB238" s="1145"/>
      <c r="AC238" s="1145"/>
      <c r="AD238" s="1145">
        <f t="shared" si="61"/>
        <v>0</v>
      </c>
    </row>
    <row r="239" spans="1:30" x14ac:dyDescent="0.2">
      <c r="A239" s="928">
        <v>2601</v>
      </c>
      <c r="B239" s="928" t="s">
        <v>3645</v>
      </c>
      <c r="C239" s="968"/>
      <c r="D239" s="968"/>
      <c r="E239" s="968"/>
      <c r="F239" s="968"/>
      <c r="G239" s="968"/>
      <c r="H239" s="968"/>
      <c r="I239" s="968"/>
      <c r="J239" s="968"/>
      <c r="K239" s="968"/>
      <c r="L239" s="968"/>
      <c r="M239" s="974"/>
      <c r="N239" s="974"/>
      <c r="O239" s="974"/>
      <c r="P239" s="968"/>
      <c r="Q239" s="968"/>
      <c r="R239" s="968"/>
      <c r="S239" s="968">
        <v>-52000000</v>
      </c>
      <c r="T239" s="968">
        <f>-52000000+30000000</f>
        <v>-22000000</v>
      </c>
      <c r="U239" s="968">
        <f>-52000000+30000000</f>
        <v>-22000000</v>
      </c>
      <c r="V239" s="968">
        <f>-776323.29-18000+684971.55+109351.74</f>
        <v>0</v>
      </c>
      <c r="W239" s="968"/>
      <c r="X239" s="968">
        <f t="shared" si="65"/>
        <v>0</v>
      </c>
      <c r="Y239" s="1145">
        <v>-30000000</v>
      </c>
      <c r="Z239" s="1145">
        <v>-30000000</v>
      </c>
      <c r="AA239" s="1145">
        <v>-30000000</v>
      </c>
      <c r="AB239" s="1145">
        <v>-67421000</v>
      </c>
      <c r="AC239" s="1145"/>
      <c r="AD239" s="1145">
        <f t="shared" si="61"/>
        <v>-67421000</v>
      </c>
    </row>
    <row r="240" spans="1:30" x14ac:dyDescent="0.2">
      <c r="A240" s="928">
        <v>2610</v>
      </c>
      <c r="B240" s="928" t="s">
        <v>3049</v>
      </c>
      <c r="C240" s="968"/>
      <c r="D240" s="968"/>
      <c r="E240" s="968"/>
      <c r="F240" s="968"/>
      <c r="G240" s="968"/>
      <c r="H240" s="968"/>
      <c r="I240" s="968"/>
      <c r="J240" s="968">
        <v>-1314995.44</v>
      </c>
      <c r="K240" s="968"/>
      <c r="L240" s="968">
        <f t="shared" si="63"/>
        <v>-1314995.44</v>
      </c>
      <c r="M240" s="974"/>
      <c r="N240" s="974"/>
      <c r="O240" s="974"/>
      <c r="P240" s="968"/>
      <c r="Q240" s="968"/>
      <c r="R240" s="968">
        <f t="shared" si="64"/>
        <v>0</v>
      </c>
      <c r="S240" s="968"/>
      <c r="T240" s="968"/>
      <c r="U240" s="968"/>
      <c r="V240" s="968"/>
      <c r="W240" s="968"/>
      <c r="X240" s="968">
        <f t="shared" si="65"/>
        <v>0</v>
      </c>
      <c r="Y240" s="1145"/>
      <c r="Z240" s="1145"/>
      <c r="AA240" s="1145"/>
      <c r="AB240" s="1145"/>
      <c r="AC240" s="1145"/>
      <c r="AD240" s="1145">
        <f t="shared" si="61"/>
        <v>0</v>
      </c>
    </row>
    <row r="241" spans="1:33" x14ac:dyDescent="0.2">
      <c r="A241" s="928">
        <v>2610</v>
      </c>
      <c r="B241" s="928" t="s">
        <v>621</v>
      </c>
      <c r="C241" s="968">
        <v>-2000000</v>
      </c>
      <c r="D241" s="968">
        <f>-85668.51-160509.82</f>
        <v>-246178.33000000002</v>
      </c>
      <c r="E241" s="968"/>
      <c r="F241" s="968">
        <f>D241+E241</f>
        <v>-246178.33000000002</v>
      </c>
      <c r="G241" s="968">
        <v>-200000</v>
      </c>
      <c r="H241" s="968">
        <v>-200000</v>
      </c>
      <c r="I241" s="968">
        <v>-200000</v>
      </c>
      <c r="J241" s="968">
        <v>-135703.51999999999</v>
      </c>
      <c r="K241" s="968"/>
      <c r="L241" s="968">
        <f>J241+K241</f>
        <v>-135703.51999999999</v>
      </c>
      <c r="M241" s="974">
        <v>-200000</v>
      </c>
      <c r="N241" s="974">
        <v>-200000</v>
      </c>
      <c r="O241" s="974">
        <v>-200000</v>
      </c>
      <c r="P241" s="968">
        <v>-305087.64</v>
      </c>
      <c r="Q241" s="968"/>
      <c r="R241" s="968">
        <f>P241+Q241</f>
        <v>-305087.64</v>
      </c>
      <c r="S241" s="968">
        <v>-200000</v>
      </c>
      <c r="T241" s="968">
        <v>-200000</v>
      </c>
      <c r="U241" s="968">
        <v>-200000</v>
      </c>
      <c r="V241" s="968">
        <f>-62423.23-109351.74</f>
        <v>-171774.97</v>
      </c>
      <c r="W241" s="968"/>
      <c r="X241" s="968">
        <f t="shared" si="65"/>
        <v>-171774.97</v>
      </c>
      <c r="Y241" s="1145">
        <v>-200000</v>
      </c>
      <c r="Z241" s="1145">
        <v>-200000</v>
      </c>
      <c r="AA241" s="1145">
        <v>-200000</v>
      </c>
      <c r="AB241" s="1145"/>
      <c r="AC241" s="1145"/>
      <c r="AD241" s="1145">
        <f t="shared" si="61"/>
        <v>0</v>
      </c>
      <c r="AG241" s="620"/>
    </row>
    <row r="242" spans="1:33" x14ac:dyDescent="0.2">
      <c r="A242" s="928"/>
      <c r="B242" s="928" t="s">
        <v>1089</v>
      </c>
      <c r="C242" s="1143">
        <f t="shared" ref="C242:X242" si="67">SUM(C177:C241)</f>
        <v>-54050105</v>
      </c>
      <c r="D242" s="1143">
        <f t="shared" si="67"/>
        <v>-51895658.349999994</v>
      </c>
      <c r="E242" s="1143">
        <f t="shared" si="67"/>
        <v>-43943967.050000004</v>
      </c>
      <c r="F242" s="1143">
        <f t="shared" si="67"/>
        <v>-95839625.399999991</v>
      </c>
      <c r="G242" s="1143">
        <f t="shared" si="67"/>
        <v>-88725315</v>
      </c>
      <c r="H242" s="1143">
        <f t="shared" si="67"/>
        <v>-152610315</v>
      </c>
      <c r="I242" s="1143">
        <f t="shared" si="67"/>
        <v>-152610315</v>
      </c>
      <c r="J242" s="1143">
        <f t="shared" si="67"/>
        <v>-81347267.87999998</v>
      </c>
      <c r="K242" s="1143">
        <f t="shared" si="67"/>
        <v>0</v>
      </c>
      <c r="L242" s="1143">
        <f t="shared" si="67"/>
        <v>-81347267.87999998</v>
      </c>
      <c r="M242" s="1144">
        <f t="shared" si="67"/>
        <v>-32514466</v>
      </c>
      <c r="N242" s="1144">
        <f t="shared" si="67"/>
        <v>-119514466</v>
      </c>
      <c r="O242" s="1144">
        <f t="shared" si="67"/>
        <v>-119514466</v>
      </c>
      <c r="P242" s="1143">
        <f t="shared" si="67"/>
        <v>-80192355.179999977</v>
      </c>
      <c r="Q242" s="1143">
        <f t="shared" si="67"/>
        <v>0</v>
      </c>
      <c r="R242" s="1143">
        <f t="shared" si="67"/>
        <v>-80192355.179999977</v>
      </c>
      <c r="S242" s="1143">
        <f t="shared" si="67"/>
        <v>-78020074</v>
      </c>
      <c r="T242" s="1143">
        <f t="shared" si="67"/>
        <v>-184845273</v>
      </c>
      <c r="U242" s="1143">
        <f t="shared" si="67"/>
        <v>-253745273</v>
      </c>
      <c r="V242" s="1143">
        <f t="shared" si="67"/>
        <v>-100025462.99000001</v>
      </c>
      <c r="W242" s="1143">
        <f t="shared" si="67"/>
        <v>21372828.52</v>
      </c>
      <c r="X242" s="1143">
        <f t="shared" si="67"/>
        <v>-78652634.470000029</v>
      </c>
      <c r="Y242" s="1341">
        <f t="shared" ref="Y242:AD242" si="68">SUM(Y177:Y241)</f>
        <v>-173376077</v>
      </c>
      <c r="Z242" s="1341">
        <f t="shared" si="68"/>
        <v>-268005664</v>
      </c>
      <c r="AA242" s="1341">
        <f>SUM(AA177:AA241)</f>
        <v>-268005664</v>
      </c>
      <c r="AB242" s="1341">
        <f t="shared" si="68"/>
        <v>-187481214.11000001</v>
      </c>
      <c r="AC242" s="1341">
        <f t="shared" si="68"/>
        <v>0</v>
      </c>
      <c r="AD242" s="1341">
        <f t="shared" si="68"/>
        <v>-187481214.11000001</v>
      </c>
      <c r="AG242" s="620"/>
    </row>
    <row r="243" spans="1:33" x14ac:dyDescent="0.2">
      <c r="A243" s="928"/>
      <c r="B243" s="928"/>
      <c r="C243" s="968"/>
      <c r="D243" s="968"/>
      <c r="E243" s="968"/>
      <c r="F243" s="968"/>
      <c r="G243" s="968"/>
      <c r="H243" s="968"/>
      <c r="I243" s="968"/>
      <c r="J243" s="968"/>
      <c r="K243" s="968"/>
      <c r="L243" s="968"/>
      <c r="M243" s="974"/>
      <c r="N243" s="974"/>
      <c r="O243" s="974"/>
      <c r="P243" s="968"/>
      <c r="Q243" s="968"/>
      <c r="R243" s="968"/>
      <c r="S243" s="968"/>
      <c r="T243" s="968"/>
      <c r="U243" s="968"/>
      <c r="V243" s="968"/>
      <c r="W243" s="968"/>
      <c r="X243" s="968"/>
      <c r="Y243" s="1145"/>
      <c r="Z243" s="1145"/>
      <c r="AA243" s="1145"/>
      <c r="AB243" s="1145"/>
      <c r="AC243" s="1145"/>
      <c r="AD243" s="1145"/>
      <c r="AG243" s="620"/>
    </row>
    <row r="244" spans="1:33" x14ac:dyDescent="0.2">
      <c r="A244" s="928"/>
      <c r="B244" s="976" t="s">
        <v>1215</v>
      </c>
      <c r="C244" s="1143">
        <f t="shared" ref="C244:L244" si="69">C6+C53+C85+C90+C97+C102+C117+C122+C149+C173+C242</f>
        <v>-1942069000</v>
      </c>
      <c r="D244" s="1143">
        <f t="shared" si="69"/>
        <v>-1754545531.9199998</v>
      </c>
      <c r="E244" s="1143">
        <f t="shared" si="69"/>
        <v>-43943967.050000004</v>
      </c>
      <c r="F244" s="1143">
        <f t="shared" si="69"/>
        <v>-1798489498.97</v>
      </c>
      <c r="G244" s="1143">
        <f t="shared" si="69"/>
        <v>-2155703000</v>
      </c>
      <c r="H244" s="1143">
        <f t="shared" si="69"/>
        <v>-2318380810</v>
      </c>
      <c r="I244" s="1143">
        <f t="shared" si="69"/>
        <v>-2318380810</v>
      </c>
      <c r="J244" s="1143">
        <f t="shared" si="69"/>
        <v>-1960135342.77</v>
      </c>
      <c r="K244" s="1143">
        <f t="shared" si="69"/>
        <v>0</v>
      </c>
      <c r="L244" s="1143">
        <f t="shared" si="69"/>
        <v>-1960135342.77</v>
      </c>
      <c r="M244" s="1144">
        <f t="shared" ref="M244:X244" si="70">M6+M53+M85+M90+M97+M102+M117+M122+M149+M173+M242</f>
        <v>-2448740000</v>
      </c>
      <c r="N244" s="1144">
        <f t="shared" si="70"/>
        <v>-2655359000</v>
      </c>
      <c r="O244" s="1144">
        <f t="shared" si="70"/>
        <v>-2655359000</v>
      </c>
      <c r="P244" s="1143">
        <f t="shared" si="70"/>
        <v>-2270572972.3499999</v>
      </c>
      <c r="Q244" s="1143">
        <f t="shared" si="70"/>
        <v>11755130.830000002</v>
      </c>
      <c r="R244" s="1143">
        <f t="shared" si="70"/>
        <v>-2258817841.52</v>
      </c>
      <c r="S244" s="1143">
        <f t="shared" si="70"/>
        <v>-2664898000</v>
      </c>
      <c r="T244" s="1143">
        <f t="shared" si="70"/>
        <v>-2900796900</v>
      </c>
      <c r="U244" s="1143">
        <f t="shared" si="70"/>
        <v>-2900796900</v>
      </c>
      <c r="V244" s="1143">
        <f t="shared" si="70"/>
        <v>-2518171666.6800003</v>
      </c>
      <c r="W244" s="1143">
        <f t="shared" si="70"/>
        <v>31693173.549999997</v>
      </c>
      <c r="X244" s="1143">
        <f t="shared" si="70"/>
        <v>-2486478493.1300001</v>
      </c>
      <c r="Y244" s="1341">
        <f t="shared" ref="Y244:AD244" si="71">Y6+Y53+Y85+Y90+Y97+Y102+Y117+Y122+Y149+Y173+Y242</f>
        <v>-2870751000</v>
      </c>
      <c r="Z244" s="1341">
        <f t="shared" si="71"/>
        <v>-2949470000</v>
      </c>
      <c r="AA244" s="1341">
        <f t="shared" si="71"/>
        <v>-2949470000</v>
      </c>
      <c r="AB244" s="1341">
        <f t="shared" si="71"/>
        <v>-2789326337.3000007</v>
      </c>
      <c r="AC244" s="1341">
        <f t="shared" si="71"/>
        <v>0</v>
      </c>
      <c r="AD244" s="1341">
        <f t="shared" si="71"/>
        <v>-2789326337.3000007</v>
      </c>
    </row>
    <row r="245" spans="1:33" x14ac:dyDescent="0.2">
      <c r="A245" s="928"/>
      <c r="B245" s="928"/>
      <c r="C245" s="968"/>
      <c r="D245" s="968"/>
      <c r="E245" s="968"/>
      <c r="F245" s="968"/>
      <c r="G245" s="968"/>
      <c r="H245" s="968"/>
      <c r="I245" s="968"/>
      <c r="J245" s="968"/>
      <c r="K245" s="968"/>
      <c r="L245" s="968"/>
      <c r="M245" s="974"/>
      <c r="N245" s="974"/>
      <c r="O245" s="974"/>
      <c r="P245" s="968"/>
      <c r="Q245" s="968"/>
      <c r="R245" s="968"/>
      <c r="S245" s="968"/>
      <c r="T245" s="968"/>
      <c r="U245" s="968"/>
      <c r="V245" s="968"/>
      <c r="W245" s="968"/>
      <c r="X245" s="968"/>
      <c r="Y245" s="1145"/>
      <c r="Z245" s="1145"/>
      <c r="AA245" s="1145"/>
      <c r="AB245" s="1145"/>
      <c r="AC245" s="1145"/>
      <c r="AD245" s="1145"/>
    </row>
    <row r="246" spans="1:33" x14ac:dyDescent="0.2">
      <c r="A246" s="1371"/>
      <c r="B246" s="1371"/>
      <c r="C246" s="1148"/>
      <c r="D246" s="1148"/>
      <c r="E246" s="1148"/>
      <c r="F246" s="1148"/>
      <c r="G246" s="1148"/>
      <c r="H246" s="1148"/>
      <c r="I246" s="1148"/>
      <c r="J246" s="1148"/>
      <c r="K246" s="1148"/>
      <c r="L246" s="1148"/>
      <c r="M246" s="1372"/>
      <c r="N246" s="1372"/>
      <c r="O246" s="1372"/>
      <c r="P246" s="1148"/>
      <c r="Q246" s="1148"/>
      <c r="R246" s="1148"/>
      <c r="S246" s="1148"/>
      <c r="T246" s="1148"/>
      <c r="U246" s="1148"/>
      <c r="V246" s="1148"/>
      <c r="W246" s="1148"/>
      <c r="X246" s="1148"/>
      <c r="Y246" s="1370"/>
      <c r="Z246" s="1370"/>
      <c r="AA246" s="1370"/>
      <c r="AB246" s="1370"/>
      <c r="AC246" s="1145"/>
      <c r="AD246" s="1145"/>
    </row>
    <row r="247" spans="1:33" x14ac:dyDescent="0.2">
      <c r="A247" s="928"/>
      <c r="B247" s="976" t="s">
        <v>277</v>
      </c>
      <c r="C247" s="968"/>
      <c r="D247" s="968"/>
      <c r="E247" s="968"/>
      <c r="F247" s="968"/>
      <c r="G247" s="968"/>
      <c r="H247" s="968"/>
      <c r="I247" s="968"/>
      <c r="J247" s="968"/>
      <c r="K247" s="968"/>
      <c r="L247" s="968"/>
      <c r="M247" s="974"/>
      <c r="N247" s="974"/>
      <c r="O247" s="974"/>
      <c r="P247" s="968"/>
      <c r="Q247" s="968"/>
      <c r="R247" s="968"/>
      <c r="S247" s="968"/>
      <c r="T247" s="968"/>
      <c r="U247" s="968"/>
      <c r="V247" s="968"/>
      <c r="W247" s="968"/>
      <c r="X247" s="968"/>
      <c r="Y247" s="1145"/>
      <c r="Z247" s="1145"/>
      <c r="AA247" s="1145"/>
      <c r="AB247" s="1145"/>
      <c r="AC247" s="1145"/>
      <c r="AD247" s="1145"/>
    </row>
    <row r="248" spans="1:33" x14ac:dyDescent="0.2">
      <c r="A248" s="928"/>
      <c r="B248" s="928"/>
      <c r="C248" s="968"/>
      <c r="D248" s="968"/>
      <c r="E248" s="968"/>
      <c r="F248" s="968"/>
      <c r="G248" s="968"/>
      <c r="H248" s="968"/>
      <c r="I248" s="968"/>
      <c r="J248" s="968"/>
      <c r="K248" s="968"/>
      <c r="L248" s="968"/>
      <c r="M248" s="974"/>
      <c r="N248" s="974"/>
      <c r="O248" s="974"/>
      <c r="P248" s="968"/>
      <c r="Q248" s="968"/>
      <c r="R248" s="968"/>
      <c r="S248" s="968"/>
      <c r="T248" s="968"/>
      <c r="U248" s="968"/>
      <c r="V248" s="968"/>
      <c r="W248" s="968"/>
      <c r="X248" s="968"/>
      <c r="Y248" s="1145"/>
      <c r="Z248" s="1145"/>
      <c r="AA248" s="1145"/>
      <c r="AB248" s="1145"/>
      <c r="AC248" s="1145"/>
      <c r="AD248" s="1145"/>
    </row>
    <row r="249" spans="1:33" x14ac:dyDescent="0.2">
      <c r="A249" s="928">
        <v>3000</v>
      </c>
      <c r="B249" s="928" t="s">
        <v>1216</v>
      </c>
      <c r="C249" s="968"/>
      <c r="D249" s="968"/>
      <c r="E249" s="968"/>
      <c r="F249" s="968"/>
      <c r="G249" s="968"/>
      <c r="H249" s="968"/>
      <c r="I249" s="968"/>
      <c r="J249" s="968"/>
      <c r="K249" s="968"/>
      <c r="L249" s="968"/>
      <c r="M249" s="974"/>
      <c r="N249" s="974"/>
      <c r="O249" s="974"/>
      <c r="P249" s="968"/>
      <c r="Q249" s="968"/>
      <c r="R249" s="968"/>
      <c r="S249" s="968"/>
      <c r="T249" s="968"/>
      <c r="U249" s="968"/>
      <c r="V249" s="968"/>
      <c r="W249" s="968"/>
      <c r="X249" s="968"/>
      <c r="Y249" s="1145"/>
      <c r="Z249" s="1145"/>
      <c r="AA249" s="1145"/>
      <c r="AB249" s="1145"/>
      <c r="AC249" s="1145"/>
      <c r="AD249" s="1145"/>
    </row>
    <row r="250" spans="1:33" x14ac:dyDescent="0.2">
      <c r="A250" s="928"/>
      <c r="B250" s="928"/>
      <c r="C250" s="968"/>
      <c r="D250" s="968"/>
      <c r="E250" s="968"/>
      <c r="F250" s="968"/>
      <c r="G250" s="968"/>
      <c r="H250" s="968"/>
      <c r="I250" s="968"/>
      <c r="J250" s="968"/>
      <c r="K250" s="968"/>
      <c r="L250" s="968"/>
      <c r="M250" s="974"/>
      <c r="N250" s="974"/>
      <c r="O250" s="974"/>
      <c r="P250" s="968"/>
      <c r="Q250" s="968"/>
      <c r="R250" s="968"/>
      <c r="S250" s="968"/>
      <c r="T250" s="968"/>
      <c r="U250" s="968"/>
      <c r="V250" s="968"/>
      <c r="W250" s="968"/>
      <c r="X250" s="968"/>
      <c r="Y250" s="1145"/>
      <c r="Z250" s="1145"/>
      <c r="AA250" s="1145"/>
      <c r="AB250" s="1145"/>
      <c r="AC250" s="1145"/>
      <c r="AD250" s="1145"/>
    </row>
    <row r="251" spans="1:33" x14ac:dyDescent="0.2">
      <c r="A251" s="928">
        <v>5001</v>
      </c>
      <c r="B251" s="928" t="s">
        <v>732</v>
      </c>
      <c r="C251" s="968">
        <v>221914885</v>
      </c>
      <c r="D251" s="968">
        <v>208368730.53</v>
      </c>
      <c r="E251" s="968"/>
      <c r="F251" s="968">
        <f t="shared" ref="F251:F258" si="72">D251+E251</f>
        <v>208368730.53</v>
      </c>
      <c r="G251" s="968">
        <v>253995230</v>
      </c>
      <c r="H251" s="968">
        <f>253995230-31783760</f>
        <v>222211470</v>
      </c>
      <c r="I251" s="968">
        <v>220367370</v>
      </c>
      <c r="J251" s="968">
        <v>223716572.41</v>
      </c>
      <c r="K251" s="968"/>
      <c r="L251" s="968">
        <f t="shared" ref="L251:L258" si="73">J251+K251</f>
        <v>223716572.41</v>
      </c>
      <c r="M251" s="974">
        <v>252156499</v>
      </c>
      <c r="N251" s="974">
        <v>252156499</v>
      </c>
      <c r="O251" s="974">
        <v>255875719</v>
      </c>
      <c r="P251" s="968">
        <v>255875643.25</v>
      </c>
      <c r="Q251" s="968">
        <v>677362.39</v>
      </c>
      <c r="R251" s="968">
        <f t="shared" ref="R251:R258" si="74">P251+Q251</f>
        <v>256553005.63999999</v>
      </c>
      <c r="S251" s="968">
        <v>291607900</v>
      </c>
      <c r="T251" s="968">
        <v>291607900</v>
      </c>
      <c r="U251" s="968">
        <v>278855539</v>
      </c>
      <c r="V251" s="968">
        <v>278855295.13</v>
      </c>
      <c r="W251" s="968"/>
      <c r="X251" s="968">
        <f t="shared" si="65"/>
        <v>278855295.13</v>
      </c>
      <c r="Y251" s="1145">
        <v>336756375</v>
      </c>
      <c r="Z251" s="1145">
        <v>335876375</v>
      </c>
      <c r="AA251" s="1145">
        <v>324707450</v>
      </c>
      <c r="AB251" s="1145">
        <v>323488815.56999999</v>
      </c>
      <c r="AC251" s="1145"/>
      <c r="AD251" s="1145">
        <f t="shared" ref="AD251:AD258" si="75">AB251+AC251</f>
        <v>323488815.56999999</v>
      </c>
    </row>
    <row r="252" spans="1:33" x14ac:dyDescent="0.2">
      <c r="A252" s="928">
        <v>5001</v>
      </c>
      <c r="B252" s="928" t="s">
        <v>732</v>
      </c>
      <c r="C252" s="968"/>
      <c r="D252" s="968"/>
      <c r="E252" s="968"/>
      <c r="F252" s="968"/>
      <c r="G252" s="968"/>
      <c r="H252" s="968"/>
      <c r="I252" s="968"/>
      <c r="J252" s="968">
        <v>-2160.1799999999998</v>
      </c>
      <c r="K252" s="968"/>
      <c r="L252" s="968">
        <f t="shared" si="73"/>
        <v>-2160.1799999999998</v>
      </c>
      <c r="M252" s="974"/>
      <c r="N252" s="974"/>
      <c r="O252" s="974"/>
      <c r="P252" s="968">
        <v>0</v>
      </c>
      <c r="Q252" s="968"/>
      <c r="R252" s="968">
        <f t="shared" si="74"/>
        <v>0</v>
      </c>
      <c r="S252" s="968"/>
      <c r="T252" s="968"/>
      <c r="U252" s="968"/>
      <c r="V252" s="968"/>
      <c r="W252" s="968"/>
      <c r="X252" s="968">
        <f t="shared" si="65"/>
        <v>0</v>
      </c>
      <c r="Y252" s="1145"/>
      <c r="Z252" s="1145"/>
      <c r="AA252" s="1145"/>
      <c r="AB252" s="1145"/>
      <c r="AC252" s="1145"/>
      <c r="AD252" s="1145">
        <f t="shared" si="75"/>
        <v>0</v>
      </c>
    </row>
    <row r="253" spans="1:33" x14ac:dyDescent="0.2">
      <c r="A253" s="928">
        <v>5002</v>
      </c>
      <c r="B253" s="928" t="s">
        <v>1217</v>
      </c>
      <c r="C253" s="968">
        <v>4866795</v>
      </c>
      <c r="D253" s="968">
        <v>3971151.76</v>
      </c>
      <c r="E253" s="968"/>
      <c r="F253" s="968">
        <f t="shared" si="72"/>
        <v>3971151.76</v>
      </c>
      <c r="G253" s="968">
        <v>5576520</v>
      </c>
      <c r="H253" s="968">
        <f>5576520-390140</f>
        <v>5186380</v>
      </c>
      <c r="I253" s="968">
        <v>5178380</v>
      </c>
      <c r="J253" s="968">
        <v>5309415.13</v>
      </c>
      <c r="K253" s="968"/>
      <c r="L253" s="968">
        <f t="shared" si="73"/>
        <v>5309415.13</v>
      </c>
      <c r="M253" s="974">
        <v>7660725</v>
      </c>
      <c r="N253" s="974">
        <v>7660725</v>
      </c>
      <c r="O253" s="974">
        <v>7122615</v>
      </c>
      <c r="P253" s="968">
        <v>7122526.9000000004</v>
      </c>
      <c r="Q253" s="968"/>
      <c r="R253" s="968">
        <f t="shared" si="74"/>
        <v>7122526.9000000004</v>
      </c>
      <c r="S253" s="968">
        <v>8725405</v>
      </c>
      <c r="T253" s="968">
        <v>8725405</v>
      </c>
      <c r="U253" s="968">
        <v>8632575</v>
      </c>
      <c r="V253" s="968">
        <v>8632550.9199999999</v>
      </c>
      <c r="W253" s="968"/>
      <c r="X253" s="968">
        <f t="shared" si="65"/>
        <v>8632550.9199999999</v>
      </c>
      <c r="Y253" s="1145">
        <v>9467895</v>
      </c>
      <c r="Z253" s="1145">
        <v>9467895</v>
      </c>
      <c r="AA253" s="1145">
        <v>7579646</v>
      </c>
      <c r="AB253" s="1145">
        <v>6745121.7199999997</v>
      </c>
      <c r="AC253" s="1145"/>
      <c r="AD253" s="1145">
        <f t="shared" si="75"/>
        <v>6745121.7199999997</v>
      </c>
    </row>
    <row r="254" spans="1:33" x14ac:dyDescent="0.2">
      <c r="A254" s="928">
        <v>5004</v>
      </c>
      <c r="B254" s="928" t="s">
        <v>1218</v>
      </c>
      <c r="C254" s="968">
        <v>11046060</v>
      </c>
      <c r="D254" s="968">
        <v>7604428.9400000004</v>
      </c>
      <c r="E254" s="968"/>
      <c r="F254" s="968">
        <f t="shared" si="72"/>
        <v>7604428.9400000004</v>
      </c>
      <c r="G254" s="968">
        <v>13365760</v>
      </c>
      <c r="H254" s="968">
        <f>13365760-5983350</f>
        <v>7382410</v>
      </c>
      <c r="I254" s="968">
        <v>7382410</v>
      </c>
      <c r="J254" s="968">
        <v>7328064.0499999998</v>
      </c>
      <c r="K254" s="968"/>
      <c r="L254" s="968">
        <f t="shared" si="73"/>
        <v>7328064.0499999998</v>
      </c>
      <c r="M254" s="974">
        <v>19500549</v>
      </c>
      <c r="N254" s="974">
        <v>19500549</v>
      </c>
      <c r="O254" s="974">
        <v>8256249</v>
      </c>
      <c r="P254" s="968">
        <v>7853918.1699999999</v>
      </c>
      <c r="Q254" s="968"/>
      <c r="R254" s="968">
        <f t="shared" si="74"/>
        <v>7853918.1699999999</v>
      </c>
      <c r="S254" s="968">
        <v>20337895</v>
      </c>
      <c r="T254" s="968">
        <v>20337895</v>
      </c>
      <c r="U254" s="968">
        <v>19434385</v>
      </c>
      <c r="V254" s="968">
        <v>19434319.190000001</v>
      </c>
      <c r="W254" s="968"/>
      <c r="X254" s="968">
        <f t="shared" si="65"/>
        <v>19434319.190000001</v>
      </c>
      <c r="Y254" s="1145">
        <v>23433290</v>
      </c>
      <c r="Z254" s="1145">
        <v>23433290</v>
      </c>
      <c r="AA254" s="1145">
        <v>23433290</v>
      </c>
      <c r="AB254" s="1145">
        <v>20132972.050000001</v>
      </c>
      <c r="AC254" s="1145"/>
      <c r="AD254" s="1145">
        <f t="shared" si="75"/>
        <v>20132972.050000001</v>
      </c>
    </row>
    <row r="255" spans="1:33" x14ac:dyDescent="0.2">
      <c r="A255" s="928">
        <v>5006</v>
      </c>
      <c r="B255" s="928" t="s">
        <v>166</v>
      </c>
      <c r="C255" s="968">
        <v>0</v>
      </c>
      <c r="D255" s="968">
        <v>0</v>
      </c>
      <c r="E255" s="968"/>
      <c r="F255" s="968">
        <f t="shared" si="72"/>
        <v>0</v>
      </c>
      <c r="G255" s="968"/>
      <c r="H255" s="968"/>
      <c r="I255" s="968"/>
      <c r="J255" s="968">
        <v>0</v>
      </c>
      <c r="K255" s="968"/>
      <c r="L255" s="968">
        <f t="shared" si="73"/>
        <v>0</v>
      </c>
      <c r="M255" s="974"/>
      <c r="N255" s="974"/>
      <c r="O255" s="974"/>
      <c r="P255" s="968">
        <v>0</v>
      </c>
      <c r="Q255" s="968"/>
      <c r="R255" s="968">
        <f t="shared" si="74"/>
        <v>0</v>
      </c>
      <c r="S255" s="968"/>
      <c r="T255" s="968"/>
      <c r="U255" s="968"/>
      <c r="V255" s="968"/>
      <c r="W255" s="968"/>
      <c r="X255" s="968">
        <f t="shared" si="65"/>
        <v>0</v>
      </c>
      <c r="Y255" s="1145"/>
      <c r="Z255" s="1145"/>
      <c r="AA255" s="1145"/>
      <c r="AB255" s="1145"/>
      <c r="AC255" s="1145"/>
      <c r="AD255" s="1145">
        <f t="shared" si="75"/>
        <v>0</v>
      </c>
    </row>
    <row r="256" spans="1:33" x14ac:dyDescent="0.2">
      <c r="A256" s="928">
        <v>5034</v>
      </c>
      <c r="B256" s="928" t="s">
        <v>1227</v>
      </c>
      <c r="C256" s="968">
        <v>17362510</v>
      </c>
      <c r="D256" s="968">
        <v>17156077.949999999</v>
      </c>
      <c r="E256" s="968"/>
      <c r="F256" s="968">
        <f t="shared" si="72"/>
        <v>17156077.949999999</v>
      </c>
      <c r="G256" s="968">
        <v>18959785</v>
      </c>
      <c r="H256" s="968">
        <f>18959785+292150</f>
        <v>19251935</v>
      </c>
      <c r="I256" s="968">
        <v>19184935</v>
      </c>
      <c r="J256" s="968">
        <v>18144432.59</v>
      </c>
      <c r="K256" s="968"/>
      <c r="L256" s="968">
        <f t="shared" si="73"/>
        <v>18144432.59</v>
      </c>
      <c r="M256" s="974">
        <v>19521392</v>
      </c>
      <c r="N256" s="974">
        <v>19521392</v>
      </c>
      <c r="O256" s="974">
        <v>19634892</v>
      </c>
      <c r="P256" s="968">
        <v>19634826.960000001</v>
      </c>
      <c r="Q256" s="968"/>
      <c r="R256" s="968">
        <f t="shared" si="74"/>
        <v>19634826.960000001</v>
      </c>
      <c r="S256" s="968">
        <v>21512555</v>
      </c>
      <c r="T256" s="968">
        <v>21512555</v>
      </c>
      <c r="U256" s="968">
        <v>21606765</v>
      </c>
      <c r="V256" s="968">
        <v>21606759.73</v>
      </c>
      <c r="W256" s="968"/>
      <c r="X256" s="968">
        <f t="shared" si="65"/>
        <v>21606759.73</v>
      </c>
      <c r="Y256" s="1145">
        <v>23951195</v>
      </c>
      <c r="Z256" s="1145">
        <v>23951195</v>
      </c>
      <c r="AA256" s="1145">
        <v>24446118</v>
      </c>
      <c r="AB256" s="1145">
        <v>24446117.940000001</v>
      </c>
      <c r="AC256" s="1145"/>
      <c r="AD256" s="1145">
        <f t="shared" si="75"/>
        <v>24446117.940000001</v>
      </c>
    </row>
    <row r="257" spans="1:30" x14ac:dyDescent="0.2">
      <c r="A257" s="928">
        <v>5036</v>
      </c>
      <c r="B257" s="928" t="s">
        <v>1228</v>
      </c>
      <c r="C257" s="968">
        <v>0</v>
      </c>
      <c r="D257" s="968">
        <v>0</v>
      </c>
      <c r="E257" s="968"/>
      <c r="F257" s="968">
        <f t="shared" si="72"/>
        <v>0</v>
      </c>
      <c r="G257" s="968"/>
      <c r="H257" s="968"/>
      <c r="I257" s="968"/>
      <c r="J257" s="968">
        <v>0</v>
      </c>
      <c r="K257" s="968"/>
      <c r="L257" s="968">
        <f t="shared" si="73"/>
        <v>0</v>
      </c>
      <c r="M257" s="974"/>
      <c r="N257" s="974"/>
      <c r="O257" s="974"/>
      <c r="P257" s="968">
        <v>0</v>
      </c>
      <c r="Q257" s="968"/>
      <c r="R257" s="968">
        <f t="shared" si="74"/>
        <v>0</v>
      </c>
      <c r="S257" s="968"/>
      <c r="T257" s="968"/>
      <c r="U257" s="968"/>
      <c r="V257" s="968"/>
      <c r="W257" s="968"/>
      <c r="X257" s="968">
        <f t="shared" si="65"/>
        <v>0</v>
      </c>
      <c r="Y257" s="1145">
        <v>50000</v>
      </c>
      <c r="Z257" s="1145">
        <v>50000</v>
      </c>
      <c r="AA257" s="1145">
        <v>50000</v>
      </c>
      <c r="AB257" s="1145"/>
      <c r="AC257" s="1145"/>
      <c r="AD257" s="1145">
        <f t="shared" si="75"/>
        <v>0</v>
      </c>
    </row>
    <row r="258" spans="1:30" x14ac:dyDescent="0.2">
      <c r="A258" s="928">
        <v>5050</v>
      </c>
      <c r="B258" s="928" t="s">
        <v>1229</v>
      </c>
      <c r="C258" s="968">
        <v>90000</v>
      </c>
      <c r="D258" s="968">
        <v>0</v>
      </c>
      <c r="E258" s="968"/>
      <c r="F258" s="968">
        <f t="shared" si="72"/>
        <v>0</v>
      </c>
      <c r="G258" s="968">
        <v>95400</v>
      </c>
      <c r="H258" s="968">
        <f>95400-95400</f>
        <v>0</v>
      </c>
      <c r="I258" s="968"/>
      <c r="J258" s="968">
        <v>0</v>
      </c>
      <c r="K258" s="968"/>
      <c r="L258" s="968">
        <f t="shared" si="73"/>
        <v>0</v>
      </c>
      <c r="M258" s="974"/>
      <c r="N258" s="974"/>
      <c r="O258" s="974"/>
      <c r="P258" s="968">
        <v>0</v>
      </c>
      <c r="Q258" s="968"/>
      <c r="R258" s="968">
        <f t="shared" si="74"/>
        <v>0</v>
      </c>
      <c r="S258" s="968"/>
      <c r="T258" s="968"/>
      <c r="U258" s="968"/>
      <c r="V258" s="968"/>
      <c r="W258" s="968"/>
      <c r="X258" s="968">
        <f t="shared" si="65"/>
        <v>0</v>
      </c>
      <c r="Y258" s="1145"/>
      <c r="Z258" s="1145"/>
      <c r="AA258" s="1145"/>
      <c r="AB258" s="1145"/>
      <c r="AC258" s="1145"/>
      <c r="AD258" s="1145">
        <f t="shared" si="75"/>
        <v>0</v>
      </c>
    </row>
    <row r="259" spans="1:30" x14ac:dyDescent="0.2">
      <c r="A259" s="928"/>
      <c r="B259" s="976" t="s">
        <v>1230</v>
      </c>
      <c r="C259" s="1143">
        <f t="shared" ref="C259:P259" si="76">SUM(C251:C258)</f>
        <v>255280250</v>
      </c>
      <c r="D259" s="1143">
        <f t="shared" si="76"/>
        <v>237100389.17999998</v>
      </c>
      <c r="E259" s="1143">
        <f t="shared" si="76"/>
        <v>0</v>
      </c>
      <c r="F259" s="1143">
        <f t="shared" si="76"/>
        <v>237100389.17999998</v>
      </c>
      <c r="G259" s="1143">
        <f t="shared" si="76"/>
        <v>291992695</v>
      </c>
      <c r="H259" s="1143">
        <f t="shared" si="76"/>
        <v>254032195</v>
      </c>
      <c r="I259" s="1143">
        <f t="shared" si="76"/>
        <v>252113095</v>
      </c>
      <c r="J259" s="1143">
        <f t="shared" si="76"/>
        <v>254496324</v>
      </c>
      <c r="K259" s="1143">
        <f t="shared" si="76"/>
        <v>0</v>
      </c>
      <c r="L259" s="1143">
        <f t="shared" si="76"/>
        <v>254496324</v>
      </c>
      <c r="M259" s="1144">
        <f t="shared" si="76"/>
        <v>298839165</v>
      </c>
      <c r="N259" s="1144">
        <f>SUM(N251:N258)</f>
        <v>298839165</v>
      </c>
      <c r="O259" s="1144">
        <f t="shared" si="76"/>
        <v>290889475</v>
      </c>
      <c r="P259" s="1143">
        <f t="shared" si="76"/>
        <v>290486915.27999997</v>
      </c>
      <c r="Q259" s="1143">
        <f>SUM(Q251:Q258)</f>
        <v>677362.39</v>
      </c>
      <c r="R259" s="1143">
        <f>SUM(R251:R258)</f>
        <v>291164277.66999996</v>
      </c>
      <c r="S259" s="1143">
        <f t="shared" ref="S259:AD259" si="77">SUM(S251:S258)</f>
        <v>342183755</v>
      </c>
      <c r="T259" s="1143">
        <f t="shared" si="77"/>
        <v>342183755</v>
      </c>
      <c r="U259" s="1143">
        <f t="shared" si="77"/>
        <v>328529264</v>
      </c>
      <c r="V259" s="1143">
        <f t="shared" si="77"/>
        <v>328528924.97000003</v>
      </c>
      <c r="W259" s="1143">
        <f t="shared" si="77"/>
        <v>0</v>
      </c>
      <c r="X259" s="1143">
        <f t="shared" si="77"/>
        <v>328528924.97000003</v>
      </c>
      <c r="Y259" s="1341">
        <f t="shared" si="77"/>
        <v>393658755</v>
      </c>
      <c r="Z259" s="1341">
        <f t="shared" si="77"/>
        <v>392778755</v>
      </c>
      <c r="AA259" s="1341">
        <f t="shared" si="77"/>
        <v>380216504</v>
      </c>
      <c r="AB259" s="1341">
        <f t="shared" si="77"/>
        <v>374813027.28000003</v>
      </c>
      <c r="AC259" s="1341">
        <f t="shared" si="77"/>
        <v>0</v>
      </c>
      <c r="AD259" s="1341">
        <f t="shared" si="77"/>
        <v>374813027.28000003</v>
      </c>
    </row>
    <row r="260" spans="1:30" x14ac:dyDescent="0.2">
      <c r="A260" s="928"/>
      <c r="B260" s="928"/>
      <c r="C260" s="968"/>
      <c r="D260" s="968"/>
      <c r="E260" s="968"/>
      <c r="F260" s="968"/>
      <c r="G260" s="968"/>
      <c r="H260" s="968"/>
      <c r="I260" s="968"/>
      <c r="J260" s="968"/>
      <c r="K260" s="968"/>
      <c r="L260" s="968"/>
      <c r="M260" s="974"/>
      <c r="N260" s="974"/>
      <c r="O260" s="974"/>
      <c r="P260" s="968"/>
      <c r="Q260" s="968"/>
      <c r="R260" s="968"/>
      <c r="S260" s="968"/>
      <c r="T260" s="968"/>
      <c r="U260" s="968"/>
      <c r="V260" s="968"/>
      <c r="W260" s="968"/>
      <c r="X260" s="968"/>
      <c r="Y260" s="1145"/>
      <c r="Z260" s="1145"/>
      <c r="AA260" s="1145"/>
      <c r="AB260" s="1145"/>
      <c r="AC260" s="1145"/>
      <c r="AD260" s="1145"/>
    </row>
    <row r="261" spans="1:30" x14ac:dyDescent="0.2">
      <c r="A261" s="928"/>
      <c r="B261" s="928" t="s">
        <v>740</v>
      </c>
      <c r="C261" s="968"/>
      <c r="D261" s="968"/>
      <c r="E261" s="968"/>
      <c r="F261" s="968"/>
      <c r="G261" s="968"/>
      <c r="H261" s="968"/>
      <c r="I261" s="968"/>
      <c r="J261" s="968"/>
      <c r="K261" s="968"/>
      <c r="L261" s="968"/>
      <c r="M261" s="974"/>
      <c r="N261" s="974"/>
      <c r="O261" s="974"/>
      <c r="P261" s="968"/>
      <c r="Q261" s="968"/>
      <c r="R261" s="968"/>
      <c r="S261" s="968"/>
      <c r="T261" s="968"/>
      <c r="U261" s="968"/>
      <c r="V261" s="968"/>
      <c r="W261" s="968"/>
      <c r="X261" s="968"/>
      <c r="Y261" s="1145"/>
      <c r="Z261" s="1145"/>
      <c r="AA261" s="1145"/>
      <c r="AB261" s="1145"/>
      <c r="AC261" s="1145"/>
      <c r="AD261" s="1145"/>
    </row>
    <row r="262" spans="1:30" x14ac:dyDescent="0.2">
      <c r="A262" s="928">
        <v>5038</v>
      </c>
      <c r="B262" s="928" t="s">
        <v>740</v>
      </c>
      <c r="C262" s="1143">
        <v>43084500</v>
      </c>
      <c r="D262" s="1143">
        <v>50881279.039999999</v>
      </c>
      <c r="E262" s="1143"/>
      <c r="F262" s="1143">
        <f>D262+E262</f>
        <v>50881279.039999999</v>
      </c>
      <c r="G262" s="1143">
        <v>26418000</v>
      </c>
      <c r="H262" s="1143">
        <f>26418000+9682210</f>
        <v>36100210</v>
      </c>
      <c r="I262" s="1143">
        <v>36212510</v>
      </c>
      <c r="J262" s="1143">
        <v>34237762.189999998</v>
      </c>
      <c r="K262" s="1143"/>
      <c r="L262" s="1143">
        <f>J262+K262</f>
        <v>34237762.189999998</v>
      </c>
      <c r="M262" s="1144">
        <v>35669000</v>
      </c>
      <c r="N262" s="1144">
        <v>35669000</v>
      </c>
      <c r="O262" s="1144">
        <v>38678677</v>
      </c>
      <c r="P262" s="1143">
        <v>38579627.07</v>
      </c>
      <c r="Q262" s="1143"/>
      <c r="R262" s="1143">
        <f>P262+Q262</f>
        <v>38579627.07</v>
      </c>
      <c r="S262" s="1143">
        <v>37875000</v>
      </c>
      <c r="T262" s="1143">
        <v>37875000</v>
      </c>
      <c r="U262" s="1143">
        <v>42677174</v>
      </c>
      <c r="V262" s="1143">
        <v>42677095.119999997</v>
      </c>
      <c r="W262" s="1143"/>
      <c r="X262" s="1143">
        <f t="shared" si="65"/>
        <v>42677095.119999997</v>
      </c>
      <c r="Y262" s="1145">
        <v>34162000</v>
      </c>
      <c r="Z262" s="1145">
        <v>38032000</v>
      </c>
      <c r="AA262" s="1145">
        <v>46154749</v>
      </c>
      <c r="AB262" s="1145">
        <v>46154748.380000003</v>
      </c>
      <c r="AC262" s="1145"/>
      <c r="AD262" s="1145">
        <f>AB262+AC262</f>
        <v>46154748.380000003</v>
      </c>
    </row>
    <row r="263" spans="1:30" x14ac:dyDescent="0.2">
      <c r="A263" s="928"/>
      <c r="B263" s="928"/>
      <c r="C263" s="968"/>
      <c r="D263" s="968"/>
      <c r="E263" s="968"/>
      <c r="F263" s="968"/>
      <c r="G263" s="968"/>
      <c r="H263" s="968"/>
      <c r="I263" s="968"/>
      <c r="J263" s="968"/>
      <c r="K263" s="968"/>
      <c r="L263" s="968"/>
      <c r="M263" s="974"/>
      <c r="N263" s="974"/>
      <c r="O263" s="974"/>
      <c r="P263" s="968"/>
      <c r="Q263" s="968"/>
      <c r="R263" s="968"/>
      <c r="S263" s="968"/>
      <c r="T263" s="968"/>
      <c r="U263" s="968"/>
      <c r="V263" s="968"/>
      <c r="W263" s="968"/>
      <c r="X263" s="968"/>
      <c r="Y263" s="1145"/>
      <c r="Z263" s="1145"/>
      <c r="AA263" s="1145"/>
      <c r="AB263" s="1145"/>
      <c r="AC263" s="1145"/>
      <c r="AD263" s="1145"/>
    </row>
    <row r="264" spans="1:30" x14ac:dyDescent="0.2">
      <c r="A264" s="928"/>
      <c r="B264" s="928" t="s">
        <v>1509</v>
      </c>
      <c r="C264" s="968"/>
      <c r="D264" s="968"/>
      <c r="E264" s="968"/>
      <c r="F264" s="968"/>
      <c r="G264" s="968"/>
      <c r="H264" s="968"/>
      <c r="I264" s="968"/>
      <c r="J264" s="968"/>
      <c r="K264" s="968"/>
      <c r="L264" s="968"/>
      <c r="M264" s="974"/>
      <c r="N264" s="974"/>
      <c r="O264" s="974"/>
      <c r="P264" s="968"/>
      <c r="Q264" s="968"/>
      <c r="R264" s="968"/>
      <c r="S264" s="968"/>
      <c r="T264" s="968"/>
      <c r="U264" s="968"/>
      <c r="V264" s="968"/>
      <c r="W264" s="968"/>
      <c r="X264" s="968"/>
      <c r="Y264" s="1145"/>
      <c r="Z264" s="1145"/>
      <c r="AA264" s="1145"/>
      <c r="AB264" s="1145"/>
      <c r="AC264" s="1145"/>
      <c r="AD264" s="1145"/>
    </row>
    <row r="265" spans="1:30" x14ac:dyDescent="0.2">
      <c r="A265" s="928">
        <v>5012</v>
      </c>
      <c r="B265" s="928" t="s">
        <v>1221</v>
      </c>
      <c r="C265" s="968">
        <v>16662580</v>
      </c>
      <c r="D265" s="968">
        <v>18841703.75</v>
      </c>
      <c r="E265" s="968"/>
      <c r="F265" s="968">
        <f>D265+E265</f>
        <v>18841703.75</v>
      </c>
      <c r="G265" s="968">
        <v>18109580</v>
      </c>
      <c r="H265" s="968">
        <f>18109580+2717080</f>
        <v>20826660</v>
      </c>
      <c r="I265" s="968">
        <v>20826660</v>
      </c>
      <c r="J265" s="968">
        <v>20674924.140000001</v>
      </c>
      <c r="K265" s="968"/>
      <c r="L265" s="968">
        <f>J265+K265</f>
        <v>20674924.140000001</v>
      </c>
      <c r="M265" s="974">
        <v>20516687</v>
      </c>
      <c r="N265" s="974">
        <v>20516687</v>
      </c>
      <c r="O265" s="974">
        <v>21727175</v>
      </c>
      <c r="P265" s="968">
        <v>21727163.18</v>
      </c>
      <c r="Q265" s="968"/>
      <c r="R265" s="968">
        <f>P265+Q265</f>
        <v>21727163.18</v>
      </c>
      <c r="S265" s="968">
        <v>21186815</v>
      </c>
      <c r="T265" s="968">
        <v>21186815</v>
      </c>
      <c r="U265" s="968">
        <v>23312115</v>
      </c>
      <c r="V265" s="968">
        <v>23312082.84</v>
      </c>
      <c r="W265" s="968"/>
      <c r="X265" s="968">
        <f t="shared" si="65"/>
        <v>23312082.84</v>
      </c>
      <c r="Y265" s="1145">
        <v>23163110</v>
      </c>
      <c r="Z265" s="1145">
        <v>23163110</v>
      </c>
      <c r="AA265" s="1145">
        <v>26248418</v>
      </c>
      <c r="AB265" s="1145">
        <v>26248417.140000001</v>
      </c>
      <c r="AC265" s="1145"/>
      <c r="AD265" s="1145">
        <f>AB265+AC265</f>
        <v>26248417.140000001</v>
      </c>
    </row>
    <row r="266" spans="1:30" x14ac:dyDescent="0.2">
      <c r="A266" s="928">
        <v>5014</v>
      </c>
      <c r="B266" s="928" t="s">
        <v>1222</v>
      </c>
      <c r="C266" s="968">
        <v>7570430</v>
      </c>
      <c r="D266" s="968">
        <v>7173842.9800000004</v>
      </c>
      <c r="E266" s="968"/>
      <c r="F266" s="968">
        <f>D266+E266</f>
        <v>7173842.9800000004</v>
      </c>
      <c r="G266" s="968">
        <v>9000690</v>
      </c>
      <c r="H266" s="968">
        <f>9000690-646125</f>
        <v>8354565</v>
      </c>
      <c r="I266" s="968">
        <v>8309565</v>
      </c>
      <c r="J266" s="968">
        <v>8006277.6699999999</v>
      </c>
      <c r="K266" s="968"/>
      <c r="L266" s="968">
        <f>J266+K266</f>
        <v>8006277.6699999999</v>
      </c>
      <c r="M266" s="974">
        <v>9146784</v>
      </c>
      <c r="N266" s="974">
        <v>9146784</v>
      </c>
      <c r="O266" s="974">
        <v>10004884</v>
      </c>
      <c r="P266" s="968">
        <v>10004841.060000001</v>
      </c>
      <c r="Q266" s="968"/>
      <c r="R266" s="968">
        <f>P266+Q266</f>
        <v>10004841.060000001</v>
      </c>
      <c r="S266" s="968">
        <v>10194070</v>
      </c>
      <c r="T266" s="968">
        <v>10194070</v>
      </c>
      <c r="U266" s="968">
        <v>11261170</v>
      </c>
      <c r="V266" s="968">
        <v>11261089.720000001</v>
      </c>
      <c r="W266" s="968"/>
      <c r="X266" s="968">
        <f t="shared" ref="X266:X330" si="78">V266+W266</f>
        <v>11261089.720000001</v>
      </c>
      <c r="Y266" s="1145">
        <v>13792120</v>
      </c>
      <c r="Z266" s="1145">
        <v>13792120</v>
      </c>
      <c r="AA266" s="1145">
        <v>12132929</v>
      </c>
      <c r="AB266" s="1145">
        <v>12128928.869999999</v>
      </c>
      <c r="AC266" s="1145"/>
      <c r="AD266" s="1145">
        <f>AB266+AC266</f>
        <v>12128928.869999999</v>
      </c>
    </row>
    <row r="267" spans="1:30" x14ac:dyDescent="0.2">
      <c r="A267" s="928"/>
      <c r="B267" s="928"/>
      <c r="C267" s="1143">
        <f t="shared" ref="C267:I267" si="79">SUM(C265:C266)</f>
        <v>24233010</v>
      </c>
      <c r="D267" s="1143">
        <f t="shared" si="79"/>
        <v>26015546.73</v>
      </c>
      <c r="E267" s="1143">
        <f t="shared" si="79"/>
        <v>0</v>
      </c>
      <c r="F267" s="1143">
        <f t="shared" si="79"/>
        <v>26015546.73</v>
      </c>
      <c r="G267" s="1143">
        <f t="shared" si="79"/>
        <v>27110270</v>
      </c>
      <c r="H267" s="1143">
        <f t="shared" si="79"/>
        <v>29181225</v>
      </c>
      <c r="I267" s="1143">
        <f t="shared" si="79"/>
        <v>29136225</v>
      </c>
      <c r="J267" s="1143">
        <f t="shared" ref="J267:P267" si="80">SUM(J265:J266)</f>
        <v>28681201.810000002</v>
      </c>
      <c r="K267" s="1143">
        <f t="shared" si="80"/>
        <v>0</v>
      </c>
      <c r="L267" s="1143">
        <f t="shared" si="80"/>
        <v>28681201.810000002</v>
      </c>
      <c r="M267" s="1144">
        <f t="shared" si="80"/>
        <v>29663471</v>
      </c>
      <c r="N267" s="1144">
        <f>SUM(N265:N266)</f>
        <v>29663471</v>
      </c>
      <c r="O267" s="1144">
        <f t="shared" si="80"/>
        <v>31732059</v>
      </c>
      <c r="P267" s="1143">
        <f t="shared" si="80"/>
        <v>31732004.240000002</v>
      </c>
      <c r="Q267" s="1143">
        <f>SUM(Q265:Q266)</f>
        <v>0</v>
      </c>
      <c r="R267" s="1143">
        <f>SUM(R265:R266)</f>
        <v>31732004.240000002</v>
      </c>
      <c r="S267" s="1143">
        <f t="shared" ref="S267:AD267" si="81">SUM(S265:S266)</f>
        <v>31380885</v>
      </c>
      <c r="T267" s="1143">
        <f t="shared" si="81"/>
        <v>31380885</v>
      </c>
      <c r="U267" s="1143">
        <f t="shared" si="81"/>
        <v>34573285</v>
      </c>
      <c r="V267" s="1143">
        <f t="shared" si="81"/>
        <v>34573172.560000002</v>
      </c>
      <c r="W267" s="1143">
        <f t="shared" si="81"/>
        <v>0</v>
      </c>
      <c r="X267" s="1143">
        <f t="shared" si="81"/>
        <v>34573172.560000002</v>
      </c>
      <c r="Y267" s="1341">
        <f t="shared" si="81"/>
        <v>36955230</v>
      </c>
      <c r="Z267" s="1341">
        <f t="shared" si="81"/>
        <v>36955230</v>
      </c>
      <c r="AA267" s="1341">
        <f t="shared" si="81"/>
        <v>38381347</v>
      </c>
      <c r="AB267" s="1341">
        <f t="shared" si="81"/>
        <v>38377346.009999998</v>
      </c>
      <c r="AC267" s="1341">
        <f t="shared" si="81"/>
        <v>0</v>
      </c>
      <c r="AD267" s="1341">
        <f t="shared" si="81"/>
        <v>38377346.009999998</v>
      </c>
    </row>
    <row r="268" spans="1:30" x14ac:dyDescent="0.2">
      <c r="A268" s="928"/>
      <c r="B268" s="928"/>
      <c r="C268" s="968"/>
      <c r="D268" s="968"/>
      <c r="E268" s="968"/>
      <c r="F268" s="968"/>
      <c r="G268" s="968"/>
      <c r="H268" s="968"/>
      <c r="I268" s="968"/>
      <c r="J268" s="968"/>
      <c r="K268" s="968"/>
      <c r="L268" s="968"/>
      <c r="M268" s="974"/>
      <c r="N268" s="974"/>
      <c r="O268" s="974"/>
      <c r="P268" s="968"/>
      <c r="Q268" s="968"/>
      <c r="R268" s="968"/>
      <c r="S268" s="968"/>
      <c r="T268" s="968"/>
      <c r="U268" s="968"/>
      <c r="V268" s="968"/>
      <c r="W268" s="968"/>
      <c r="X268" s="968"/>
      <c r="Y268" s="1145"/>
      <c r="Z268" s="1145"/>
      <c r="AA268" s="1145"/>
      <c r="AB268" s="1145"/>
      <c r="AC268" s="1145"/>
      <c r="AD268" s="1145"/>
    </row>
    <row r="269" spans="1:30" x14ac:dyDescent="0.2">
      <c r="A269" s="928"/>
      <c r="B269" s="928" t="s">
        <v>1510</v>
      </c>
      <c r="C269" s="968"/>
      <c r="D269" s="968"/>
      <c r="E269" s="968"/>
      <c r="F269" s="968"/>
      <c r="G269" s="968"/>
      <c r="H269" s="968"/>
      <c r="I269" s="968"/>
      <c r="J269" s="968"/>
      <c r="K269" s="968"/>
      <c r="L269" s="968"/>
      <c r="M269" s="974"/>
      <c r="N269" s="974"/>
      <c r="O269" s="974"/>
      <c r="P269" s="968"/>
      <c r="Q269" s="968"/>
      <c r="R269" s="968"/>
      <c r="S269" s="968"/>
      <c r="T269" s="968"/>
      <c r="U269" s="968"/>
      <c r="V269" s="968"/>
      <c r="W269" s="968"/>
      <c r="X269" s="968"/>
      <c r="Y269" s="1145"/>
      <c r="Z269" s="1145"/>
      <c r="AA269" s="1145"/>
      <c r="AB269" s="1145"/>
      <c r="AC269" s="1145"/>
      <c r="AD269" s="1145"/>
    </row>
    <row r="270" spans="1:30" x14ac:dyDescent="0.2">
      <c r="A270" s="928">
        <v>5008</v>
      </c>
      <c r="B270" s="928" t="s">
        <v>1219</v>
      </c>
      <c r="C270" s="968">
        <v>2443095</v>
      </c>
      <c r="D270" s="968">
        <v>2428833</v>
      </c>
      <c r="E270" s="968"/>
      <c r="F270" s="968">
        <f t="shared" ref="F270:F275" si="82">D270+E270</f>
        <v>2428833</v>
      </c>
      <c r="G270" s="968">
        <v>2952895</v>
      </c>
      <c r="H270" s="968">
        <f>2952895-44190</f>
        <v>2908705</v>
      </c>
      <c r="I270" s="968">
        <v>2908705</v>
      </c>
      <c r="J270" s="968">
        <v>2533976.19</v>
      </c>
      <c r="K270" s="968"/>
      <c r="L270" s="968">
        <f t="shared" ref="L270:L275" si="83">J270+K270</f>
        <v>2533976.19</v>
      </c>
      <c r="M270" s="974">
        <v>2212380</v>
      </c>
      <c r="N270" s="974">
        <v>2212380</v>
      </c>
      <c r="O270" s="974">
        <v>2441580</v>
      </c>
      <c r="P270" s="968">
        <v>2441511</v>
      </c>
      <c r="Q270" s="968"/>
      <c r="R270" s="968">
        <f t="shared" ref="R270:R275" si="84">P270+Q270</f>
        <v>2441511</v>
      </c>
      <c r="S270" s="968">
        <v>2352415</v>
      </c>
      <c r="T270" s="968">
        <v>2352415</v>
      </c>
      <c r="U270" s="968">
        <v>2333415</v>
      </c>
      <c r="V270" s="968">
        <v>2333394</v>
      </c>
      <c r="W270" s="968"/>
      <c r="X270" s="968">
        <f t="shared" si="78"/>
        <v>2333394</v>
      </c>
      <c r="Y270" s="1145">
        <v>2322210</v>
      </c>
      <c r="Z270" s="1145">
        <v>2322210</v>
      </c>
      <c r="AA270" s="1145">
        <v>2322210</v>
      </c>
      <c r="AB270" s="1145">
        <v>2301738</v>
      </c>
      <c r="AC270" s="1145"/>
      <c r="AD270" s="1145">
        <f t="shared" ref="AD270:AD275" si="85">AB270+AC270</f>
        <v>2301738</v>
      </c>
    </row>
    <row r="271" spans="1:30" x14ac:dyDescent="0.2">
      <c r="A271" s="928">
        <v>5010</v>
      </c>
      <c r="B271" s="928" t="s">
        <v>1220</v>
      </c>
      <c r="C271" s="968">
        <v>1764230</v>
      </c>
      <c r="D271" s="968">
        <v>1341790.23</v>
      </c>
      <c r="E271" s="968"/>
      <c r="F271" s="968">
        <f t="shared" si="82"/>
        <v>1341790.23</v>
      </c>
      <c r="G271" s="968">
        <v>1877695</v>
      </c>
      <c r="H271" s="968">
        <f>1877695-2715</f>
        <v>1874980</v>
      </c>
      <c r="I271" s="968">
        <v>1874980</v>
      </c>
      <c r="J271" s="968">
        <v>1275795.57</v>
      </c>
      <c r="K271" s="968"/>
      <c r="L271" s="968">
        <f t="shared" si="83"/>
        <v>1275795.57</v>
      </c>
      <c r="M271" s="974">
        <v>1668697</v>
      </c>
      <c r="N271" s="974">
        <v>1668697</v>
      </c>
      <c r="O271" s="974">
        <v>1253497</v>
      </c>
      <c r="P271" s="968">
        <v>60998</v>
      </c>
      <c r="Q271" s="968"/>
      <c r="R271" s="968">
        <f t="shared" si="84"/>
        <v>60998</v>
      </c>
      <c r="S271" s="968">
        <v>1597430</v>
      </c>
      <c r="T271" s="968">
        <v>1597430</v>
      </c>
      <c r="U271" s="968">
        <v>68630</v>
      </c>
      <c r="V271" s="968">
        <v>68550</v>
      </c>
      <c r="W271" s="968"/>
      <c r="X271" s="968">
        <f t="shared" si="78"/>
        <v>68550</v>
      </c>
      <c r="Y271" s="1145">
        <v>1495940</v>
      </c>
      <c r="Z271" s="1145">
        <v>1495940</v>
      </c>
      <c r="AA271" s="1145">
        <v>1495940</v>
      </c>
      <c r="AB271" s="1145">
        <v>166691</v>
      </c>
      <c r="AC271" s="1145"/>
      <c r="AD271" s="1145">
        <f t="shared" si="85"/>
        <v>166691</v>
      </c>
    </row>
    <row r="272" spans="1:30" x14ac:dyDescent="0.2">
      <c r="A272" s="928">
        <v>5018</v>
      </c>
      <c r="B272" s="928" t="s">
        <v>1223</v>
      </c>
      <c r="C272" s="968">
        <v>764000</v>
      </c>
      <c r="D272" s="968">
        <v>677205.88</v>
      </c>
      <c r="E272" s="968"/>
      <c r="F272" s="968">
        <f t="shared" si="82"/>
        <v>677205.88</v>
      </c>
      <c r="G272" s="968">
        <v>809840</v>
      </c>
      <c r="H272" s="968">
        <f>809840-164800</f>
        <v>645040</v>
      </c>
      <c r="I272" s="968">
        <v>645040</v>
      </c>
      <c r="J272" s="968">
        <v>645006.51</v>
      </c>
      <c r="K272" s="968"/>
      <c r="L272" s="968">
        <f t="shared" si="83"/>
        <v>645006.51</v>
      </c>
      <c r="M272" s="974">
        <v>694200</v>
      </c>
      <c r="N272" s="974">
        <v>694200</v>
      </c>
      <c r="O272" s="974">
        <v>814700</v>
      </c>
      <c r="P272" s="968">
        <v>814643.16</v>
      </c>
      <c r="Q272" s="968"/>
      <c r="R272" s="968">
        <f t="shared" si="84"/>
        <v>814643.16</v>
      </c>
      <c r="S272" s="968"/>
      <c r="T272" s="968"/>
      <c r="U272" s="968">
        <v>934100</v>
      </c>
      <c r="V272" s="968">
        <v>934084.84</v>
      </c>
      <c r="W272" s="968"/>
      <c r="X272" s="968">
        <f t="shared" si="78"/>
        <v>934084.84</v>
      </c>
      <c r="Y272" s="1145"/>
      <c r="Z272" s="1145">
        <v>0</v>
      </c>
      <c r="AA272" s="1145">
        <v>1366948</v>
      </c>
      <c r="AB272" s="1145">
        <v>1366947.54</v>
      </c>
      <c r="AC272" s="1145"/>
      <c r="AD272" s="1145">
        <f t="shared" si="85"/>
        <v>1366947.54</v>
      </c>
    </row>
    <row r="273" spans="1:30" x14ac:dyDescent="0.2">
      <c r="A273" s="928">
        <v>5022</v>
      </c>
      <c r="B273" s="928" t="s">
        <v>1224</v>
      </c>
      <c r="C273" s="968">
        <v>4087165</v>
      </c>
      <c r="D273" s="968">
        <v>4776944.4129999997</v>
      </c>
      <c r="E273" s="968"/>
      <c r="F273" s="968">
        <f t="shared" si="82"/>
        <v>4776944.4129999997</v>
      </c>
      <c r="G273" s="968">
        <v>4332400</v>
      </c>
      <c r="H273" s="968">
        <f>4332400+1150570</f>
        <v>5482970</v>
      </c>
      <c r="I273" s="968">
        <v>5482970</v>
      </c>
      <c r="J273" s="968">
        <v>4978941.08</v>
      </c>
      <c r="K273" s="968"/>
      <c r="L273" s="968">
        <f t="shared" si="83"/>
        <v>4978941.08</v>
      </c>
      <c r="M273" s="974">
        <v>5365187</v>
      </c>
      <c r="N273" s="974">
        <v>5365187</v>
      </c>
      <c r="O273" s="974">
        <v>5667287</v>
      </c>
      <c r="P273" s="968">
        <v>5667208.7000000002</v>
      </c>
      <c r="Q273" s="968"/>
      <c r="R273" s="968">
        <f t="shared" si="84"/>
        <v>5667208.7000000002</v>
      </c>
      <c r="S273" s="968">
        <v>5910000</v>
      </c>
      <c r="T273" s="968">
        <v>5910000</v>
      </c>
      <c r="U273" s="968">
        <v>6519325</v>
      </c>
      <c r="V273" s="968">
        <v>6519290.1399999997</v>
      </c>
      <c r="W273" s="968"/>
      <c r="X273" s="968">
        <f t="shared" si="78"/>
        <v>6519290.1399999997</v>
      </c>
      <c r="Y273" s="1145">
        <v>7223455</v>
      </c>
      <c r="Z273" s="1145">
        <v>7223455</v>
      </c>
      <c r="AA273" s="1145">
        <v>7382958</v>
      </c>
      <c r="AB273" s="1145">
        <v>7382957.7999999998</v>
      </c>
      <c r="AC273" s="1145"/>
      <c r="AD273" s="1145">
        <f t="shared" si="85"/>
        <v>7382957.7999999998</v>
      </c>
    </row>
    <row r="274" spans="1:30" x14ac:dyDescent="0.2">
      <c r="A274" s="928">
        <v>5026</v>
      </c>
      <c r="B274" s="928" t="s">
        <v>1225</v>
      </c>
      <c r="C274" s="968">
        <v>62800</v>
      </c>
      <c r="D274" s="968">
        <v>51636</v>
      </c>
      <c r="E274" s="968"/>
      <c r="F274" s="968">
        <f t="shared" si="82"/>
        <v>51636</v>
      </c>
      <c r="G274" s="968">
        <v>66570</v>
      </c>
      <c r="H274" s="968">
        <v>66570</v>
      </c>
      <c r="I274" s="968">
        <v>66570</v>
      </c>
      <c r="J274" s="968">
        <v>9326.16</v>
      </c>
      <c r="K274" s="968"/>
      <c r="L274" s="968">
        <f t="shared" si="83"/>
        <v>9326.16</v>
      </c>
      <c r="M274" s="974">
        <v>11300</v>
      </c>
      <c r="N274" s="974">
        <v>11300</v>
      </c>
      <c r="O274" s="974">
        <v>37200</v>
      </c>
      <c r="P274" s="968">
        <v>37119.199999999997</v>
      </c>
      <c r="Q274" s="968"/>
      <c r="R274" s="968">
        <f t="shared" si="84"/>
        <v>37119.199999999997</v>
      </c>
      <c r="S274" s="968">
        <v>6950</v>
      </c>
      <c r="T274" s="968">
        <v>6950</v>
      </c>
      <c r="U274" s="968">
        <v>47980</v>
      </c>
      <c r="V274" s="968">
        <v>47974.2</v>
      </c>
      <c r="W274" s="968"/>
      <c r="X274" s="968">
        <f t="shared" si="78"/>
        <v>47974.2</v>
      </c>
      <c r="Y274" s="1145">
        <v>59230</v>
      </c>
      <c r="Z274" s="1145">
        <v>59230</v>
      </c>
      <c r="AA274" s="1145">
        <v>81507</v>
      </c>
      <c r="AB274" s="1145">
        <v>81507</v>
      </c>
      <c r="AC274" s="1145"/>
      <c r="AD274" s="1145">
        <f t="shared" si="85"/>
        <v>81507</v>
      </c>
    </row>
    <row r="275" spans="1:30" x14ac:dyDescent="0.2">
      <c r="A275" s="928">
        <v>5030</v>
      </c>
      <c r="B275" s="928" t="s">
        <v>1226</v>
      </c>
      <c r="C275" s="968">
        <v>7000</v>
      </c>
      <c r="D275" s="968">
        <v>80287.56</v>
      </c>
      <c r="E275" s="968"/>
      <c r="F275" s="968">
        <f t="shared" si="82"/>
        <v>80287.56</v>
      </c>
      <c r="G275" s="968">
        <v>7420</v>
      </c>
      <c r="H275" s="968">
        <f>7420+78830</f>
        <v>86250</v>
      </c>
      <c r="I275" s="968">
        <v>86250</v>
      </c>
      <c r="J275" s="968">
        <v>85480.83</v>
      </c>
      <c r="K275" s="968"/>
      <c r="L275" s="968">
        <f t="shared" si="83"/>
        <v>85480.83</v>
      </c>
      <c r="M275" s="974">
        <v>86905</v>
      </c>
      <c r="N275" s="974">
        <v>86905</v>
      </c>
      <c r="O275" s="974">
        <v>86905</v>
      </c>
      <c r="P275" s="968">
        <v>86413.5</v>
      </c>
      <c r="Q275" s="968"/>
      <c r="R275" s="968">
        <f t="shared" si="84"/>
        <v>86413.5</v>
      </c>
      <c r="S275" s="968">
        <v>92670</v>
      </c>
      <c r="T275" s="968">
        <v>92670</v>
      </c>
      <c r="U275" s="968">
        <v>90870</v>
      </c>
      <c r="V275" s="968">
        <v>90865.32</v>
      </c>
      <c r="W275" s="968"/>
      <c r="X275" s="968">
        <f t="shared" si="78"/>
        <v>90865.32</v>
      </c>
      <c r="Y275" s="1145">
        <v>97260</v>
      </c>
      <c r="Z275" s="1145">
        <v>97260</v>
      </c>
      <c r="AA275" s="1145">
        <v>97260</v>
      </c>
      <c r="AB275" s="1145">
        <v>95427.6</v>
      </c>
      <c r="AC275" s="1145"/>
      <c r="AD275" s="1145">
        <f t="shared" si="85"/>
        <v>95427.6</v>
      </c>
    </row>
    <row r="276" spans="1:30" x14ac:dyDescent="0.2">
      <c r="A276" s="928"/>
      <c r="B276" s="928"/>
      <c r="C276" s="1143">
        <f t="shared" ref="C276:I276" si="86">SUM(C270:C275)</f>
        <v>9128290</v>
      </c>
      <c r="D276" s="1143">
        <f t="shared" si="86"/>
        <v>9356697.0830000006</v>
      </c>
      <c r="E276" s="1143">
        <f t="shared" si="86"/>
        <v>0</v>
      </c>
      <c r="F276" s="1143">
        <f t="shared" si="86"/>
        <v>9356697.0830000006</v>
      </c>
      <c r="G276" s="1143">
        <f t="shared" si="86"/>
        <v>10046820</v>
      </c>
      <c r="H276" s="1143">
        <f t="shared" si="86"/>
        <v>11064515</v>
      </c>
      <c r="I276" s="1143">
        <f t="shared" si="86"/>
        <v>11064515</v>
      </c>
      <c r="J276" s="1143">
        <f t="shared" ref="J276:P276" si="87">SUM(J270:J275)</f>
        <v>9528526.3399999999</v>
      </c>
      <c r="K276" s="1143">
        <f t="shared" si="87"/>
        <v>0</v>
      </c>
      <c r="L276" s="1143">
        <f t="shared" si="87"/>
        <v>9528526.3399999999</v>
      </c>
      <c r="M276" s="1144">
        <f t="shared" si="87"/>
        <v>10038669</v>
      </c>
      <c r="N276" s="1144">
        <f>SUM(N270:N275)</f>
        <v>10038669</v>
      </c>
      <c r="O276" s="1144">
        <f t="shared" si="87"/>
        <v>10301169</v>
      </c>
      <c r="P276" s="1143">
        <f t="shared" si="87"/>
        <v>9107893.5599999987</v>
      </c>
      <c r="Q276" s="1143">
        <f>SUM(Q270:Q275)</f>
        <v>0</v>
      </c>
      <c r="R276" s="1143">
        <f>SUM(R270:R275)</f>
        <v>9107893.5599999987</v>
      </c>
      <c r="S276" s="1143">
        <f t="shared" ref="S276:AD276" si="88">SUM(S270:S275)</f>
        <v>9959465</v>
      </c>
      <c r="T276" s="1143">
        <f t="shared" si="88"/>
        <v>9959465</v>
      </c>
      <c r="U276" s="1143">
        <f t="shared" si="88"/>
        <v>9994320</v>
      </c>
      <c r="V276" s="1143">
        <f t="shared" si="88"/>
        <v>9994158.5</v>
      </c>
      <c r="W276" s="1143">
        <f t="shared" si="88"/>
        <v>0</v>
      </c>
      <c r="X276" s="1143">
        <f t="shared" si="88"/>
        <v>9994158.5</v>
      </c>
      <c r="Y276" s="1341">
        <f t="shared" si="88"/>
        <v>11198095</v>
      </c>
      <c r="Z276" s="1341">
        <f t="shared" si="88"/>
        <v>11198095</v>
      </c>
      <c r="AA276" s="1341">
        <f t="shared" si="88"/>
        <v>12746823</v>
      </c>
      <c r="AB276" s="1341">
        <f t="shared" si="88"/>
        <v>11395268.939999999</v>
      </c>
      <c r="AC276" s="1341">
        <f t="shared" si="88"/>
        <v>0</v>
      </c>
      <c r="AD276" s="1341">
        <f t="shared" si="88"/>
        <v>11395268.939999999</v>
      </c>
    </row>
    <row r="277" spans="1:30" x14ac:dyDescent="0.2">
      <c r="A277" s="928"/>
      <c r="B277" s="928"/>
      <c r="C277" s="968"/>
      <c r="D277" s="968"/>
      <c r="E277" s="968"/>
      <c r="F277" s="968"/>
      <c r="G277" s="968"/>
      <c r="H277" s="968"/>
      <c r="I277" s="968"/>
      <c r="J277" s="968"/>
      <c r="K277" s="968"/>
      <c r="L277" s="968"/>
      <c r="M277" s="974"/>
      <c r="N277" s="974"/>
      <c r="O277" s="974"/>
      <c r="P277" s="968"/>
      <c r="Q277" s="968"/>
      <c r="R277" s="968"/>
      <c r="S277" s="968"/>
      <c r="T277" s="968"/>
      <c r="U277" s="968"/>
      <c r="V277" s="968"/>
      <c r="W277" s="968"/>
      <c r="X277" s="968"/>
      <c r="Y277" s="1145"/>
      <c r="Z277" s="1145"/>
      <c r="AA277" s="1145"/>
      <c r="AB277" s="1145"/>
      <c r="AC277" s="1145"/>
      <c r="AD277" s="1145"/>
    </row>
    <row r="278" spans="1:30" x14ac:dyDescent="0.2">
      <c r="A278" s="928">
        <v>3100</v>
      </c>
      <c r="B278" s="928" t="s">
        <v>1231</v>
      </c>
      <c r="C278" s="968"/>
      <c r="D278" s="968"/>
      <c r="E278" s="968"/>
      <c r="F278" s="968"/>
      <c r="G278" s="968"/>
      <c r="H278" s="968"/>
      <c r="I278" s="968"/>
      <c r="J278" s="968"/>
      <c r="K278" s="968"/>
      <c r="L278" s="968"/>
      <c r="M278" s="974"/>
      <c r="N278" s="974"/>
      <c r="O278" s="974"/>
      <c r="P278" s="968"/>
      <c r="Q278" s="968"/>
      <c r="R278" s="968"/>
      <c r="S278" s="968"/>
      <c r="T278" s="968"/>
      <c r="U278" s="968"/>
      <c r="V278" s="968"/>
      <c r="W278" s="968"/>
      <c r="X278" s="968"/>
      <c r="Y278" s="1145"/>
      <c r="Z278" s="1145"/>
      <c r="AA278" s="1145"/>
      <c r="AB278" s="1145"/>
      <c r="AC278" s="1145"/>
      <c r="AD278" s="1145"/>
    </row>
    <row r="279" spans="1:30" x14ac:dyDescent="0.2">
      <c r="A279" s="928"/>
      <c r="B279" s="928"/>
      <c r="C279" s="968"/>
      <c r="D279" s="968"/>
      <c r="E279" s="968"/>
      <c r="F279" s="968"/>
      <c r="G279" s="968"/>
      <c r="H279" s="968"/>
      <c r="I279" s="968"/>
      <c r="J279" s="968"/>
      <c r="K279" s="968"/>
      <c r="L279" s="968"/>
      <c r="M279" s="974"/>
      <c r="N279" s="974"/>
      <c r="O279" s="974"/>
      <c r="P279" s="968"/>
      <c r="Q279" s="968"/>
      <c r="R279" s="968"/>
      <c r="S279" s="968"/>
      <c r="T279" s="968"/>
      <c r="U279" s="968"/>
      <c r="V279" s="968"/>
      <c r="W279" s="968"/>
      <c r="X279" s="968"/>
      <c r="Y279" s="1145"/>
      <c r="Z279" s="1145"/>
      <c r="AA279" s="1145"/>
      <c r="AB279" s="1145"/>
      <c r="AC279" s="1145"/>
      <c r="AD279" s="1145"/>
    </row>
    <row r="280" spans="1:30" x14ac:dyDescent="0.2">
      <c r="A280" s="928">
        <v>5201</v>
      </c>
      <c r="B280" s="928" t="s">
        <v>1232</v>
      </c>
      <c r="C280" s="968">
        <v>15666230</v>
      </c>
      <c r="D280" s="968">
        <v>15609857.529999999</v>
      </c>
      <c r="E280" s="968"/>
      <c r="F280" s="968">
        <f t="shared" ref="F280:F287" si="89">D280+E280</f>
        <v>15609857.529999999</v>
      </c>
      <c r="G280" s="968">
        <v>17936080</v>
      </c>
      <c r="H280" s="968">
        <f>17936080+607610</f>
        <v>18543690</v>
      </c>
      <c r="I280" s="968">
        <v>18013050</v>
      </c>
      <c r="J280" s="968">
        <v>16994361.300000001</v>
      </c>
      <c r="K280" s="968"/>
      <c r="L280" s="968">
        <f t="shared" ref="L280:L287" si="90">J280+K280</f>
        <v>16994361.300000001</v>
      </c>
      <c r="M280" s="974">
        <v>13989204</v>
      </c>
      <c r="N280" s="974">
        <v>13989204</v>
      </c>
      <c r="O280" s="974">
        <v>18580904</v>
      </c>
      <c r="P280" s="968">
        <v>18580896.690000001</v>
      </c>
      <c r="Q280" s="968"/>
      <c r="R280" s="968">
        <f t="shared" ref="R280:R287" si="91">P280+Q280</f>
        <v>18580896.690000001</v>
      </c>
      <c r="S280" s="968">
        <v>13964350</v>
      </c>
      <c r="T280" s="968">
        <v>13964350</v>
      </c>
      <c r="U280" s="968">
        <v>19392750</v>
      </c>
      <c r="V280" s="968">
        <v>19392681.260000002</v>
      </c>
      <c r="W280" s="968"/>
      <c r="X280" s="968">
        <f t="shared" si="78"/>
        <v>19392681.260000002</v>
      </c>
      <c r="Y280" s="1145">
        <v>16412360</v>
      </c>
      <c r="Z280" s="1145">
        <v>16412360</v>
      </c>
      <c r="AA280" s="1145">
        <v>22234184</v>
      </c>
      <c r="AB280" s="1145">
        <v>22234183.530000001</v>
      </c>
      <c r="AC280" s="1145"/>
      <c r="AD280" s="1145">
        <f t="shared" ref="AD280:AD287" si="92">AB280+AC280</f>
        <v>22234183.530000001</v>
      </c>
    </row>
    <row r="281" spans="1:30" x14ac:dyDescent="0.2">
      <c r="A281" s="928">
        <v>5201</v>
      </c>
      <c r="B281" s="928" t="s">
        <v>1484</v>
      </c>
      <c r="C281" s="968">
        <v>-1261440</v>
      </c>
      <c r="D281" s="968">
        <v>-1207961.82</v>
      </c>
      <c r="E281" s="968"/>
      <c r="F281" s="968">
        <f t="shared" si="89"/>
        <v>-1207961.82</v>
      </c>
      <c r="G281" s="968">
        <v>-1261440</v>
      </c>
      <c r="H281" s="968">
        <v>-1261440</v>
      </c>
      <c r="I281" s="968"/>
      <c r="J281" s="968">
        <v>-1181214.72</v>
      </c>
      <c r="K281" s="968"/>
      <c r="L281" s="968">
        <f t="shared" si="90"/>
        <v>-1181214.72</v>
      </c>
      <c r="M281" s="974"/>
      <c r="N281" s="974"/>
      <c r="O281" s="974"/>
      <c r="P281" s="968">
        <v>-973906.02</v>
      </c>
      <c r="Q281" s="968"/>
      <c r="R281" s="968">
        <f t="shared" si="91"/>
        <v>-973906.02</v>
      </c>
      <c r="S281" s="968"/>
      <c r="T281" s="968"/>
      <c r="U281" s="968"/>
      <c r="V281" s="968"/>
      <c r="W281" s="968"/>
      <c r="X281" s="968">
        <f t="shared" si="78"/>
        <v>0</v>
      </c>
      <c r="Y281" s="1145"/>
      <c r="Z281" s="1145"/>
      <c r="AA281" s="1145"/>
      <c r="AB281" s="1145"/>
      <c r="AC281" s="1145"/>
      <c r="AD281" s="1145">
        <f t="shared" si="92"/>
        <v>0</v>
      </c>
    </row>
    <row r="282" spans="1:30" x14ac:dyDescent="0.2">
      <c r="A282" s="928">
        <v>5202</v>
      </c>
      <c r="B282" s="928" t="s">
        <v>1233</v>
      </c>
      <c r="C282" s="968">
        <v>51116960</v>
      </c>
      <c r="D282" s="968">
        <v>43209450.359999999</v>
      </c>
      <c r="E282" s="968"/>
      <c r="F282" s="968">
        <f t="shared" si="89"/>
        <v>43209450.359999999</v>
      </c>
      <c r="G282" s="968">
        <v>58848180</v>
      </c>
      <c r="H282" s="968">
        <f>58848180-10317600</f>
        <v>48530580</v>
      </c>
      <c r="I282" s="968">
        <v>46054740</v>
      </c>
      <c r="J282" s="968">
        <v>45282186.5</v>
      </c>
      <c r="K282" s="968"/>
      <c r="L282" s="968">
        <f t="shared" si="90"/>
        <v>45282186.5</v>
      </c>
      <c r="M282" s="974">
        <v>56508810</v>
      </c>
      <c r="N282" s="974">
        <v>56508810</v>
      </c>
      <c r="O282" s="974">
        <v>51867110</v>
      </c>
      <c r="P282" s="968">
        <v>49945910.759999998</v>
      </c>
      <c r="Q282" s="968"/>
      <c r="R282" s="968">
        <f t="shared" si="91"/>
        <v>49945910.759999998</v>
      </c>
      <c r="S282" s="968">
        <v>64991345</v>
      </c>
      <c r="T282" s="968">
        <v>64991345</v>
      </c>
      <c r="U282" s="968">
        <v>54612545</v>
      </c>
      <c r="V282" s="968">
        <v>54612450.600000001</v>
      </c>
      <c r="W282" s="968"/>
      <c r="X282" s="968">
        <f t="shared" si="78"/>
        <v>54612450.600000001</v>
      </c>
      <c r="Y282" s="1145">
        <v>75184709</v>
      </c>
      <c r="Z282" s="1145">
        <v>75184709</v>
      </c>
      <c r="AA282" s="1145">
        <v>65062141</v>
      </c>
      <c r="AB282" s="1145">
        <v>65062140.640000001</v>
      </c>
      <c r="AC282" s="1145"/>
      <c r="AD282" s="1145">
        <f t="shared" si="92"/>
        <v>65062140.640000001</v>
      </c>
    </row>
    <row r="283" spans="1:30" x14ac:dyDescent="0.2">
      <c r="A283" s="928">
        <v>5202</v>
      </c>
      <c r="B283" s="928" t="s">
        <v>1485</v>
      </c>
      <c r="C283" s="968">
        <v>-1958605</v>
      </c>
      <c r="D283" s="968">
        <v>-1722416.62</v>
      </c>
      <c r="E283" s="968"/>
      <c r="F283" s="968">
        <f t="shared" si="89"/>
        <v>-1722416.62</v>
      </c>
      <c r="G283" s="968">
        <v>-2073840</v>
      </c>
      <c r="H283" s="968">
        <v>-2073840</v>
      </c>
      <c r="I283" s="968"/>
      <c r="J283" s="1145">
        <v>-1800538.5999999996</v>
      </c>
      <c r="K283" s="968"/>
      <c r="L283" s="968">
        <f t="shared" si="90"/>
        <v>-1800538.5999999996</v>
      </c>
      <c r="M283" s="974"/>
      <c r="N283" s="974"/>
      <c r="O283" s="974"/>
      <c r="P283" s="968">
        <v>-2078548.77</v>
      </c>
      <c r="Q283" s="968"/>
      <c r="R283" s="968">
        <f t="shared" si="91"/>
        <v>-2078548.77</v>
      </c>
      <c r="S283" s="968"/>
      <c r="T283" s="968"/>
      <c r="U283" s="968"/>
      <c r="V283" s="968"/>
      <c r="W283" s="968"/>
      <c r="X283" s="968">
        <f t="shared" si="78"/>
        <v>0</v>
      </c>
      <c r="Y283" s="1145"/>
      <c r="Z283" s="1145"/>
      <c r="AA283" s="1145"/>
      <c r="AB283" s="1145"/>
      <c r="AC283" s="1145"/>
      <c r="AD283" s="1145">
        <f t="shared" si="92"/>
        <v>0</v>
      </c>
    </row>
    <row r="284" spans="1:30" x14ac:dyDescent="0.2">
      <c r="A284" s="928">
        <v>5204</v>
      </c>
      <c r="B284" s="928" t="s">
        <v>1234</v>
      </c>
      <c r="C284" s="968">
        <v>2189085</v>
      </c>
      <c r="D284" s="968">
        <v>1999890.41</v>
      </c>
      <c r="E284" s="968"/>
      <c r="F284" s="968">
        <f t="shared" si="89"/>
        <v>1999890.41</v>
      </c>
      <c r="G284" s="968">
        <v>2352845</v>
      </c>
      <c r="H284" s="968">
        <f>2352845-43580</f>
        <v>2309265</v>
      </c>
      <c r="I284" s="968">
        <v>2298885</v>
      </c>
      <c r="J284" s="968">
        <v>2019961.49</v>
      </c>
      <c r="K284" s="968"/>
      <c r="L284" s="968">
        <f t="shared" si="90"/>
        <v>2019961.49</v>
      </c>
      <c r="M284" s="974">
        <v>2224614</v>
      </c>
      <c r="N284" s="974">
        <v>2224614</v>
      </c>
      <c r="O284" s="974">
        <v>2410314</v>
      </c>
      <c r="P284" s="968">
        <v>2410230.77</v>
      </c>
      <c r="Q284" s="968"/>
      <c r="R284" s="968">
        <f t="shared" si="91"/>
        <v>2410230.77</v>
      </c>
      <c r="S284" s="968">
        <v>2406735</v>
      </c>
      <c r="T284" s="968">
        <v>2406735</v>
      </c>
      <c r="U284" s="968">
        <v>2559235</v>
      </c>
      <c r="V284" s="968">
        <v>2559211.13</v>
      </c>
      <c r="W284" s="968"/>
      <c r="X284" s="968">
        <f t="shared" si="78"/>
        <v>2559211.13</v>
      </c>
      <c r="Y284" s="1145">
        <v>2611895</v>
      </c>
      <c r="Z284" s="1145">
        <v>2611895</v>
      </c>
      <c r="AA284" s="1145">
        <v>2938266</v>
      </c>
      <c r="AB284" s="1145">
        <v>2938265.12</v>
      </c>
      <c r="AC284" s="1145"/>
      <c r="AD284" s="1145">
        <f t="shared" si="92"/>
        <v>2938265.12</v>
      </c>
    </row>
    <row r="285" spans="1:30" x14ac:dyDescent="0.2">
      <c r="A285" s="928">
        <v>5204</v>
      </c>
      <c r="B285" s="928" t="s">
        <v>1486</v>
      </c>
      <c r="C285" s="968">
        <v>-10490</v>
      </c>
      <c r="D285" s="968">
        <v>-6613.34</v>
      </c>
      <c r="E285" s="968"/>
      <c r="F285" s="968">
        <f t="shared" si="89"/>
        <v>-6613.34</v>
      </c>
      <c r="G285" s="968"/>
      <c r="H285" s="968"/>
      <c r="I285" s="968"/>
      <c r="J285" s="968">
        <v>-998.24</v>
      </c>
      <c r="K285" s="968"/>
      <c r="L285" s="968">
        <f t="shared" si="90"/>
        <v>-998.24</v>
      </c>
      <c r="M285" s="974"/>
      <c r="N285" s="974"/>
      <c r="O285" s="974"/>
      <c r="P285" s="968">
        <v>0</v>
      </c>
      <c r="Q285" s="968"/>
      <c r="R285" s="968">
        <f t="shared" si="91"/>
        <v>0</v>
      </c>
      <c r="S285" s="968"/>
      <c r="T285" s="968"/>
      <c r="U285" s="968"/>
      <c r="V285" s="968"/>
      <c r="W285" s="968"/>
      <c r="X285" s="968">
        <f t="shared" si="78"/>
        <v>0</v>
      </c>
      <c r="Y285" s="1145"/>
      <c r="Z285" s="1145"/>
      <c r="AA285" s="1145"/>
      <c r="AB285" s="1145"/>
      <c r="AC285" s="1145"/>
      <c r="AD285" s="1145">
        <f t="shared" si="92"/>
        <v>0</v>
      </c>
    </row>
    <row r="286" spans="1:30" x14ac:dyDescent="0.2">
      <c r="A286" s="928">
        <v>5206</v>
      </c>
      <c r="B286" s="928" t="s">
        <v>1235</v>
      </c>
      <c r="C286" s="968">
        <v>826980</v>
      </c>
      <c r="D286" s="968">
        <v>684121.82</v>
      </c>
      <c r="E286" s="968"/>
      <c r="F286" s="968">
        <f t="shared" si="89"/>
        <v>684121.82</v>
      </c>
      <c r="G286" s="968">
        <v>1064290</v>
      </c>
      <c r="H286" s="968">
        <f>1064290-59790</f>
        <v>1004500</v>
      </c>
      <c r="I286" s="968">
        <v>1004390</v>
      </c>
      <c r="J286" s="968">
        <v>722642.41</v>
      </c>
      <c r="K286" s="968"/>
      <c r="L286" s="968">
        <f t="shared" si="90"/>
        <v>722642.41</v>
      </c>
      <c r="M286" s="974">
        <v>915334</v>
      </c>
      <c r="N286" s="974">
        <v>915334</v>
      </c>
      <c r="O286" s="974">
        <v>902834</v>
      </c>
      <c r="P286" s="968">
        <v>0</v>
      </c>
      <c r="Q286" s="968"/>
      <c r="R286" s="968">
        <f t="shared" si="91"/>
        <v>0</v>
      </c>
      <c r="S286" s="968">
        <v>1076975</v>
      </c>
      <c r="T286" s="968">
        <v>1076975</v>
      </c>
      <c r="U286" s="968">
        <v>75</v>
      </c>
      <c r="V286" s="968"/>
      <c r="W286" s="968"/>
      <c r="X286" s="968">
        <f t="shared" si="78"/>
        <v>0</v>
      </c>
      <c r="Y286" s="1145">
        <v>1190852</v>
      </c>
      <c r="Z286" s="1145">
        <v>1190852</v>
      </c>
      <c r="AA286" s="1145">
        <v>1190852</v>
      </c>
      <c r="AB286" s="1145"/>
      <c r="AC286" s="1145"/>
      <c r="AD286" s="1145">
        <f t="shared" si="92"/>
        <v>0</v>
      </c>
    </row>
    <row r="287" spans="1:30" x14ac:dyDescent="0.2">
      <c r="A287" s="928">
        <v>5208</v>
      </c>
      <c r="B287" s="928" t="s">
        <v>1236</v>
      </c>
      <c r="C287" s="968">
        <v>90190</v>
      </c>
      <c r="D287" s="968">
        <v>82283.820000000007</v>
      </c>
      <c r="E287" s="968"/>
      <c r="F287" s="968">
        <f t="shared" si="89"/>
        <v>82283.820000000007</v>
      </c>
      <c r="G287" s="968">
        <v>126305</v>
      </c>
      <c r="H287" s="968">
        <f>126305+3000</f>
        <v>129305</v>
      </c>
      <c r="I287" s="968">
        <v>129305</v>
      </c>
      <c r="J287" s="968">
        <v>95059.35</v>
      </c>
      <c r="K287" s="968"/>
      <c r="L287" s="968">
        <f t="shared" si="90"/>
        <v>95059.35</v>
      </c>
      <c r="M287" s="974">
        <v>151731</v>
      </c>
      <c r="N287" s="974">
        <v>151731</v>
      </c>
      <c r="O287" s="974">
        <v>151731</v>
      </c>
      <c r="P287" s="968">
        <v>99525.05</v>
      </c>
      <c r="Q287" s="968"/>
      <c r="R287" s="968">
        <f t="shared" si="91"/>
        <v>99525.05</v>
      </c>
      <c r="S287" s="968">
        <v>161490</v>
      </c>
      <c r="T287" s="968">
        <v>161490</v>
      </c>
      <c r="U287" s="968">
        <v>107490</v>
      </c>
      <c r="V287" s="968">
        <v>107418.61</v>
      </c>
      <c r="W287" s="968"/>
      <c r="X287" s="968">
        <f t="shared" si="78"/>
        <v>107418.61</v>
      </c>
      <c r="Y287" s="1145">
        <v>161835</v>
      </c>
      <c r="Z287" s="1145">
        <v>161835</v>
      </c>
      <c r="AA287" s="1145">
        <v>161835</v>
      </c>
      <c r="AB287" s="1145">
        <v>137668.04999999999</v>
      </c>
      <c r="AC287" s="1145"/>
      <c r="AD287" s="1145">
        <f t="shared" si="92"/>
        <v>137668.04999999999</v>
      </c>
    </row>
    <row r="288" spans="1:30" x14ac:dyDescent="0.2">
      <c r="A288" s="928"/>
      <c r="B288" s="976" t="s">
        <v>1230</v>
      </c>
      <c r="C288" s="1143">
        <f t="shared" ref="C288:P288" si="93">SUM(C280:C287)</f>
        <v>66658910</v>
      </c>
      <c r="D288" s="1143">
        <f t="shared" si="93"/>
        <v>58648612.159999996</v>
      </c>
      <c r="E288" s="1143">
        <f t="shared" si="93"/>
        <v>0</v>
      </c>
      <c r="F288" s="1143">
        <f t="shared" si="93"/>
        <v>58648612.159999996</v>
      </c>
      <c r="G288" s="1143">
        <f t="shared" si="93"/>
        <v>76992420</v>
      </c>
      <c r="H288" s="1143">
        <f t="shared" si="93"/>
        <v>67182060</v>
      </c>
      <c r="I288" s="1143">
        <f t="shared" si="93"/>
        <v>67500370</v>
      </c>
      <c r="J288" s="1143">
        <f t="shared" si="93"/>
        <v>62131459.489999995</v>
      </c>
      <c r="K288" s="1143">
        <f t="shared" si="93"/>
        <v>0</v>
      </c>
      <c r="L288" s="1143">
        <f t="shared" si="93"/>
        <v>62131459.489999995</v>
      </c>
      <c r="M288" s="1144">
        <f t="shared" si="93"/>
        <v>73789693</v>
      </c>
      <c r="N288" s="1144">
        <f>SUM(N280:N287)</f>
        <v>73789693</v>
      </c>
      <c r="O288" s="1144">
        <f t="shared" si="93"/>
        <v>73912893</v>
      </c>
      <c r="P288" s="1143">
        <f t="shared" si="93"/>
        <v>67984108.480000004</v>
      </c>
      <c r="Q288" s="1143">
        <f>SUM(Q280:Q287)</f>
        <v>0</v>
      </c>
      <c r="R288" s="1143">
        <f>SUM(R280:R287)</f>
        <v>67984108.480000004</v>
      </c>
      <c r="S288" s="1143">
        <f t="shared" ref="S288:AD288" si="94">SUM(S280:S287)</f>
        <v>82600895</v>
      </c>
      <c r="T288" s="1143">
        <f t="shared" si="94"/>
        <v>82600895</v>
      </c>
      <c r="U288" s="1143">
        <f t="shared" si="94"/>
        <v>76672095</v>
      </c>
      <c r="V288" s="1143">
        <f t="shared" si="94"/>
        <v>76671761.599999994</v>
      </c>
      <c r="W288" s="1143">
        <f t="shared" si="94"/>
        <v>0</v>
      </c>
      <c r="X288" s="1143">
        <f t="shared" si="94"/>
        <v>76671761.599999994</v>
      </c>
      <c r="Y288" s="1341">
        <f t="shared" si="94"/>
        <v>95561651</v>
      </c>
      <c r="Z288" s="1341">
        <f t="shared" si="94"/>
        <v>95561651</v>
      </c>
      <c r="AA288" s="1341">
        <f t="shared" si="94"/>
        <v>91587278</v>
      </c>
      <c r="AB288" s="1341">
        <f t="shared" si="94"/>
        <v>90372257.340000004</v>
      </c>
      <c r="AC288" s="1341">
        <f t="shared" si="94"/>
        <v>0</v>
      </c>
      <c r="AD288" s="1341">
        <f t="shared" si="94"/>
        <v>90372257.340000004</v>
      </c>
    </row>
    <row r="289" spans="1:30" x14ac:dyDescent="0.2">
      <c r="A289" s="928"/>
      <c r="B289" s="928"/>
      <c r="C289" s="968"/>
      <c r="D289" s="968"/>
      <c r="E289" s="968"/>
      <c r="F289" s="968"/>
      <c r="G289" s="968"/>
      <c r="H289" s="968"/>
      <c r="I289" s="968"/>
      <c r="J289" s="968"/>
      <c r="K289" s="968"/>
      <c r="L289" s="968"/>
      <c r="M289" s="974"/>
      <c r="N289" s="974"/>
      <c r="O289" s="974"/>
      <c r="P289" s="968"/>
      <c r="Q289" s="968"/>
      <c r="R289" s="968"/>
      <c r="S289" s="968"/>
      <c r="T289" s="968"/>
      <c r="U289" s="968"/>
      <c r="V289" s="968"/>
      <c r="W289" s="968"/>
      <c r="X289" s="968"/>
      <c r="Y289" s="1145"/>
      <c r="Z289" s="1145"/>
      <c r="AA289" s="1145"/>
      <c r="AB289" s="1145"/>
      <c r="AC289" s="1145"/>
      <c r="AD289" s="1145"/>
    </row>
    <row r="290" spans="1:30" x14ac:dyDescent="0.2">
      <c r="A290" s="928"/>
      <c r="B290" s="928" t="s">
        <v>2940</v>
      </c>
      <c r="C290" s="968"/>
      <c r="D290" s="968"/>
      <c r="E290" s="968"/>
      <c r="F290" s="968"/>
      <c r="G290" s="968"/>
      <c r="H290" s="968"/>
      <c r="I290" s="968"/>
      <c r="J290" s="968"/>
      <c r="K290" s="968"/>
      <c r="L290" s="968"/>
      <c r="M290" s="974"/>
      <c r="N290" s="974"/>
      <c r="O290" s="974"/>
      <c r="P290" s="968"/>
      <c r="Q290" s="968"/>
      <c r="R290" s="968"/>
      <c r="S290" s="968"/>
      <c r="T290" s="968"/>
      <c r="U290" s="968"/>
      <c r="V290" s="968"/>
      <c r="W290" s="968"/>
      <c r="X290" s="968"/>
      <c r="Y290" s="1145"/>
      <c r="Z290" s="1145"/>
      <c r="AA290" s="1145"/>
      <c r="AB290" s="1145"/>
      <c r="AC290" s="1145"/>
      <c r="AD290" s="1145"/>
    </row>
    <row r="291" spans="1:30" x14ac:dyDescent="0.2">
      <c r="A291" s="928">
        <v>8503</v>
      </c>
      <c r="B291" s="928" t="s">
        <v>1357</v>
      </c>
      <c r="C291" s="968">
        <v>400000</v>
      </c>
      <c r="D291" s="968">
        <v>2994416.98</v>
      </c>
      <c r="E291" s="968"/>
      <c r="F291" s="968">
        <f>D291+E291</f>
        <v>2994416.98</v>
      </c>
      <c r="G291" s="968">
        <v>424000</v>
      </c>
      <c r="H291" s="968">
        <v>424000</v>
      </c>
      <c r="I291" s="968">
        <v>459000</v>
      </c>
      <c r="J291" s="968">
        <v>12703524.02</v>
      </c>
      <c r="K291" s="968"/>
      <c r="L291" s="968">
        <f>J291+K291</f>
        <v>12703524.02</v>
      </c>
      <c r="M291" s="974">
        <v>2600000</v>
      </c>
      <c r="N291" s="974">
        <v>2600000</v>
      </c>
      <c r="O291" s="974">
        <v>2654500</v>
      </c>
      <c r="P291" s="968">
        <f>619442.88+2035000</f>
        <v>2654442.88</v>
      </c>
      <c r="Q291" s="968"/>
      <c r="R291" s="968">
        <f>P291+Q291</f>
        <v>2654442.88</v>
      </c>
      <c r="S291" s="968">
        <v>2600000</v>
      </c>
      <c r="T291" s="968">
        <v>2600000</v>
      </c>
      <c r="U291" s="968">
        <v>2600000</v>
      </c>
      <c r="V291" s="968">
        <f>695431.35+593000+935000</f>
        <v>2223431.35</v>
      </c>
      <c r="W291" s="968"/>
      <c r="X291" s="968">
        <f t="shared" si="78"/>
        <v>2223431.35</v>
      </c>
      <c r="Y291" s="1145"/>
      <c r="Z291" s="1145"/>
      <c r="AA291" s="1145">
        <v>6064694</v>
      </c>
      <c r="AB291" s="1145">
        <v>6064693.3399999999</v>
      </c>
      <c r="AC291" s="1145"/>
      <c r="AD291" s="1145">
        <f>AB291+AC291</f>
        <v>6064693.3399999999</v>
      </c>
    </row>
    <row r="292" spans="1:30" x14ac:dyDescent="0.2">
      <c r="A292" s="928">
        <v>8505</v>
      </c>
      <c r="B292" s="928" t="s">
        <v>585</v>
      </c>
      <c r="C292" s="968">
        <v>3180000</v>
      </c>
      <c r="D292" s="968">
        <v>13718861.970000001</v>
      </c>
      <c r="E292" s="968"/>
      <c r="F292" s="968">
        <f>D292+E292</f>
        <v>13718861.970000001</v>
      </c>
      <c r="G292" s="968">
        <v>3370800</v>
      </c>
      <c r="H292" s="968">
        <v>3370800</v>
      </c>
      <c r="I292" s="968">
        <v>3370800</v>
      </c>
      <c r="J292" s="968">
        <v>7356494.6200000001</v>
      </c>
      <c r="K292" s="968"/>
      <c r="L292" s="968">
        <f>J292+K292</f>
        <v>7356494.6200000001</v>
      </c>
      <c r="M292" s="974">
        <v>3370800</v>
      </c>
      <c r="N292" s="974">
        <v>3370800</v>
      </c>
      <c r="O292" s="974">
        <v>16490300</v>
      </c>
      <c r="P292" s="968">
        <v>16490295.640000001</v>
      </c>
      <c r="Q292" s="968"/>
      <c r="R292" s="968">
        <f>P292+Q292</f>
        <v>16490295.640000001</v>
      </c>
      <c r="S292" s="968">
        <v>3370800</v>
      </c>
      <c r="T292" s="968">
        <v>3370800</v>
      </c>
      <c r="U292" s="968">
        <v>24568600</v>
      </c>
      <c r="V292" s="968">
        <v>24568531.91</v>
      </c>
      <c r="W292" s="968"/>
      <c r="X292" s="968">
        <f t="shared" si="78"/>
        <v>24568531.91</v>
      </c>
      <c r="Y292" s="1145"/>
      <c r="Z292" s="1145"/>
      <c r="AA292" s="1145">
        <v>3560000</v>
      </c>
      <c r="AB292" s="1145">
        <v>28821626.420000002</v>
      </c>
      <c r="AC292" s="1145"/>
      <c r="AD292" s="1145">
        <f>AB292+AC292</f>
        <v>28821626.420000002</v>
      </c>
    </row>
    <row r="293" spans="1:30" x14ac:dyDescent="0.2">
      <c r="A293" s="928">
        <v>8507</v>
      </c>
      <c r="B293" s="928" t="s">
        <v>1358</v>
      </c>
      <c r="C293" s="968">
        <v>660000</v>
      </c>
      <c r="D293" s="968">
        <v>317217</v>
      </c>
      <c r="E293" s="968"/>
      <c r="F293" s="968">
        <f>D293+E293</f>
        <v>317217</v>
      </c>
      <c r="G293" s="968">
        <v>699600</v>
      </c>
      <c r="H293" s="968">
        <v>699600</v>
      </c>
      <c r="I293" s="968">
        <v>699600</v>
      </c>
      <c r="J293" s="968">
        <v>2919369.51</v>
      </c>
      <c r="K293" s="968"/>
      <c r="L293" s="968">
        <f>J293+K293</f>
        <v>2919369.51</v>
      </c>
      <c r="M293" s="974">
        <v>700000</v>
      </c>
      <c r="N293" s="974">
        <v>700000</v>
      </c>
      <c r="O293" s="974">
        <v>700000</v>
      </c>
      <c r="P293" s="968">
        <v>-1133412</v>
      </c>
      <c r="Q293" s="968"/>
      <c r="R293" s="968">
        <f>P293+Q293</f>
        <v>-1133412</v>
      </c>
      <c r="S293" s="968">
        <v>700000</v>
      </c>
      <c r="T293" s="968">
        <v>700000</v>
      </c>
      <c r="U293" s="968">
        <v>1078800</v>
      </c>
      <c r="V293" s="968">
        <v>1078746.3999999999</v>
      </c>
      <c r="W293" s="968"/>
      <c r="X293" s="968">
        <f t="shared" si="78"/>
        <v>1078746.3999999999</v>
      </c>
      <c r="Y293" s="1145"/>
      <c r="Z293" s="1145"/>
      <c r="AA293" s="1145">
        <v>2399791</v>
      </c>
      <c r="AB293" s="1145">
        <v>2399791</v>
      </c>
      <c r="AC293" s="1145"/>
      <c r="AD293" s="1145">
        <f>AB293+AC293</f>
        <v>2399791</v>
      </c>
    </row>
    <row r="294" spans="1:30" x14ac:dyDescent="0.2">
      <c r="A294" s="928"/>
      <c r="B294" s="928"/>
      <c r="C294" s="1143">
        <f t="shared" ref="C294:K294" si="95">SUM(C291:C293)</f>
        <v>4240000</v>
      </c>
      <c r="D294" s="1143">
        <f t="shared" si="95"/>
        <v>17030495.950000003</v>
      </c>
      <c r="E294" s="1143">
        <f t="shared" si="95"/>
        <v>0</v>
      </c>
      <c r="F294" s="1143">
        <f t="shared" si="95"/>
        <v>17030495.950000003</v>
      </c>
      <c r="G294" s="1143">
        <f t="shared" si="95"/>
        <v>4494400</v>
      </c>
      <c r="H294" s="1143">
        <f t="shared" si="95"/>
        <v>4494400</v>
      </c>
      <c r="I294" s="1143">
        <f t="shared" si="95"/>
        <v>4529400</v>
      </c>
      <c r="J294" s="1143">
        <f t="shared" si="95"/>
        <v>22979388.149999999</v>
      </c>
      <c r="K294" s="1143">
        <f t="shared" si="95"/>
        <v>0</v>
      </c>
      <c r="L294" s="1143">
        <f t="shared" ref="L294:R294" si="96">SUM(L291:L293)</f>
        <v>22979388.149999999</v>
      </c>
      <c r="M294" s="1143">
        <f t="shared" si="96"/>
        <v>6670800</v>
      </c>
      <c r="N294" s="1144">
        <f t="shared" si="96"/>
        <v>6670800</v>
      </c>
      <c r="O294" s="1144">
        <f t="shared" si="96"/>
        <v>19844800</v>
      </c>
      <c r="P294" s="1144">
        <f t="shared" si="96"/>
        <v>18011326.52</v>
      </c>
      <c r="Q294" s="1144">
        <f t="shared" si="96"/>
        <v>0</v>
      </c>
      <c r="R294" s="1144">
        <f t="shared" si="96"/>
        <v>18011326.52</v>
      </c>
      <c r="S294" s="1144">
        <f t="shared" ref="S294:X294" si="97">SUM(S291:S293)</f>
        <v>6670800</v>
      </c>
      <c r="T294" s="1144">
        <f t="shared" si="97"/>
        <v>6670800</v>
      </c>
      <c r="U294" s="1144">
        <f t="shared" si="97"/>
        <v>28247400</v>
      </c>
      <c r="V294" s="1144">
        <f t="shared" si="97"/>
        <v>27870709.66</v>
      </c>
      <c r="W294" s="1144">
        <f t="shared" si="97"/>
        <v>0</v>
      </c>
      <c r="X294" s="1144">
        <f t="shared" si="97"/>
        <v>27870709.66</v>
      </c>
      <c r="Y294" s="1341">
        <f t="shared" ref="Y294:AD294" si="98">SUM(Y291:Y293)</f>
        <v>0</v>
      </c>
      <c r="Z294" s="1341">
        <f t="shared" si="98"/>
        <v>0</v>
      </c>
      <c r="AA294" s="1341">
        <f t="shared" si="98"/>
        <v>12024485</v>
      </c>
      <c r="AB294" s="1341">
        <f t="shared" si="98"/>
        <v>37286110.760000005</v>
      </c>
      <c r="AC294" s="1341">
        <f t="shared" si="98"/>
        <v>0</v>
      </c>
      <c r="AD294" s="1341">
        <f t="shared" si="98"/>
        <v>37286110.760000005</v>
      </c>
    </row>
    <row r="295" spans="1:30" x14ac:dyDescent="0.2">
      <c r="A295" s="928"/>
      <c r="B295" s="928"/>
      <c r="C295" s="968"/>
      <c r="D295" s="968"/>
      <c r="E295" s="968"/>
      <c r="F295" s="968"/>
      <c r="G295" s="968"/>
      <c r="H295" s="968"/>
      <c r="I295" s="968"/>
      <c r="J295" s="968"/>
      <c r="K295" s="968"/>
      <c r="L295" s="968"/>
      <c r="M295" s="974"/>
      <c r="N295" s="974"/>
      <c r="O295" s="974"/>
      <c r="P295" s="968"/>
      <c r="Q295" s="968"/>
      <c r="R295" s="968"/>
      <c r="S295" s="968"/>
      <c r="T295" s="968"/>
      <c r="U295" s="968"/>
      <c r="V295" s="968"/>
      <c r="W295" s="968"/>
      <c r="X295" s="968"/>
      <c r="Y295" s="1145"/>
      <c r="Z295" s="1145"/>
      <c r="AA295" s="1145"/>
      <c r="AB295" s="1145"/>
      <c r="AC295" s="1145"/>
      <c r="AD295" s="1145"/>
    </row>
    <row r="296" spans="1:30" x14ac:dyDescent="0.2">
      <c r="A296" s="928"/>
      <c r="B296" s="976" t="s">
        <v>1237</v>
      </c>
      <c r="C296" s="1143">
        <f t="shared" ref="C296:R296" si="99">C259+C262+C267+C276+C288+C294</f>
        <v>402624960</v>
      </c>
      <c r="D296" s="1143">
        <f t="shared" si="99"/>
        <v>399033020.14299995</v>
      </c>
      <c r="E296" s="1143">
        <f t="shared" si="99"/>
        <v>0</v>
      </c>
      <c r="F296" s="1143">
        <f t="shared" si="99"/>
        <v>399033020.14299995</v>
      </c>
      <c r="G296" s="1143">
        <f t="shared" si="99"/>
        <v>437054605</v>
      </c>
      <c r="H296" s="1143">
        <f t="shared" si="99"/>
        <v>402054605</v>
      </c>
      <c r="I296" s="1143">
        <f t="shared" si="99"/>
        <v>400556115</v>
      </c>
      <c r="J296" s="1143">
        <f t="shared" si="99"/>
        <v>412054661.97999996</v>
      </c>
      <c r="K296" s="1143">
        <f t="shared" si="99"/>
        <v>0</v>
      </c>
      <c r="L296" s="1143">
        <f t="shared" si="99"/>
        <v>412054661.97999996</v>
      </c>
      <c r="M296" s="1144">
        <f t="shared" si="99"/>
        <v>454670798</v>
      </c>
      <c r="N296" s="1144">
        <f t="shared" si="99"/>
        <v>454670798</v>
      </c>
      <c r="O296" s="1144">
        <f t="shared" si="99"/>
        <v>465359073</v>
      </c>
      <c r="P296" s="1143">
        <f t="shared" si="99"/>
        <v>455901875.14999998</v>
      </c>
      <c r="Q296" s="1143">
        <f t="shared" si="99"/>
        <v>677362.39</v>
      </c>
      <c r="R296" s="1143">
        <f t="shared" si="99"/>
        <v>456579237.53999996</v>
      </c>
      <c r="S296" s="1143">
        <f t="shared" ref="S296:X296" si="100">S259+S262+S267+S276+S288+S294</f>
        <v>510670800</v>
      </c>
      <c r="T296" s="1143">
        <f t="shared" si="100"/>
        <v>510670800</v>
      </c>
      <c r="U296" s="1143">
        <f t="shared" si="100"/>
        <v>520693538</v>
      </c>
      <c r="V296" s="1143">
        <f t="shared" si="100"/>
        <v>520315822.41000003</v>
      </c>
      <c r="W296" s="1143">
        <f t="shared" si="100"/>
        <v>0</v>
      </c>
      <c r="X296" s="1143">
        <f t="shared" si="100"/>
        <v>520315822.41000003</v>
      </c>
      <c r="Y296" s="1341">
        <f t="shared" ref="Y296:AD296" si="101">Y259+Y262+Y267+Y276+Y288+Y294</f>
        <v>571535731</v>
      </c>
      <c r="Z296" s="1341">
        <f t="shared" si="101"/>
        <v>574525731</v>
      </c>
      <c r="AA296" s="1341">
        <f t="shared" si="101"/>
        <v>581111186</v>
      </c>
      <c r="AB296" s="1341">
        <f t="shared" si="101"/>
        <v>598398758.71000004</v>
      </c>
      <c r="AC296" s="1341">
        <f t="shared" si="101"/>
        <v>0</v>
      </c>
      <c r="AD296" s="1341">
        <f t="shared" si="101"/>
        <v>598398758.71000004</v>
      </c>
    </row>
    <row r="297" spans="1:30" x14ac:dyDescent="0.2">
      <c r="A297" s="928"/>
      <c r="B297" s="928"/>
      <c r="C297" s="968"/>
      <c r="D297" s="968"/>
      <c r="E297" s="968"/>
      <c r="F297" s="968"/>
      <c r="G297" s="968"/>
      <c r="H297" s="968"/>
      <c r="I297" s="968"/>
      <c r="J297" s="968"/>
      <c r="K297" s="968"/>
      <c r="L297" s="968"/>
      <c r="M297" s="974"/>
      <c r="N297" s="974"/>
      <c r="O297" s="974"/>
      <c r="P297" s="968"/>
      <c r="Q297" s="968"/>
      <c r="R297" s="968"/>
      <c r="S297" s="968"/>
      <c r="T297" s="968"/>
      <c r="U297" s="968"/>
      <c r="V297" s="968"/>
      <c r="W297" s="968"/>
      <c r="X297" s="968">
        <f t="shared" si="78"/>
        <v>0</v>
      </c>
      <c r="Y297" s="1145"/>
      <c r="Z297" s="1145"/>
      <c r="AA297" s="1145"/>
      <c r="AB297" s="1145"/>
      <c r="AC297" s="1145"/>
      <c r="AD297" s="1145"/>
    </row>
    <row r="298" spans="1:30" x14ac:dyDescent="0.2">
      <c r="A298" s="928">
        <v>3400</v>
      </c>
      <c r="B298" s="928" t="s">
        <v>70</v>
      </c>
      <c r="C298" s="968"/>
      <c r="D298" s="968"/>
      <c r="E298" s="968"/>
      <c r="F298" s="968"/>
      <c r="G298" s="968"/>
      <c r="H298" s="968"/>
      <c r="I298" s="968"/>
      <c r="J298" s="968"/>
      <c r="K298" s="968"/>
      <c r="L298" s="968"/>
      <c r="M298" s="974"/>
      <c r="N298" s="974"/>
      <c r="O298" s="974"/>
      <c r="P298" s="968"/>
      <c r="Q298" s="968"/>
      <c r="R298" s="968"/>
      <c r="S298" s="968"/>
      <c r="T298" s="968"/>
      <c r="U298" s="968"/>
      <c r="V298" s="968"/>
      <c r="W298" s="968"/>
      <c r="X298" s="968">
        <f t="shared" si="78"/>
        <v>0</v>
      </c>
      <c r="Y298" s="1145"/>
      <c r="Z298" s="1145"/>
      <c r="AA298" s="1145"/>
      <c r="AB298" s="1145"/>
      <c r="AC298" s="1145"/>
      <c r="AD298" s="1145">
        <f t="shared" ref="AD298:AD320" si="102">AB298+AC298</f>
        <v>0</v>
      </c>
    </row>
    <row r="299" spans="1:30" x14ac:dyDescent="0.2">
      <c r="A299" s="928">
        <v>5001</v>
      </c>
      <c r="B299" s="928" t="s">
        <v>732</v>
      </c>
      <c r="C299" s="968"/>
      <c r="D299" s="968"/>
      <c r="E299" s="968"/>
      <c r="F299" s="968"/>
      <c r="G299" s="968"/>
      <c r="H299" s="968"/>
      <c r="I299" s="968"/>
      <c r="J299" s="968">
        <v>2160.1799999999998</v>
      </c>
      <c r="K299" s="968"/>
      <c r="L299" s="968">
        <f t="shared" ref="L299:L320" si="103">J299+K299</f>
        <v>2160.1799999999998</v>
      </c>
      <c r="M299" s="974"/>
      <c r="N299" s="974"/>
      <c r="O299" s="974"/>
      <c r="P299" s="968">
        <v>0</v>
      </c>
      <c r="Q299" s="968"/>
      <c r="R299" s="968">
        <f t="shared" ref="R299:R320" si="104">P299+Q299</f>
        <v>0</v>
      </c>
      <c r="S299" s="968"/>
      <c r="T299" s="968"/>
      <c r="U299" s="968"/>
      <c r="V299" s="968"/>
      <c r="W299" s="968"/>
      <c r="X299" s="968">
        <f t="shared" si="78"/>
        <v>0</v>
      </c>
      <c r="Y299" s="1145"/>
      <c r="Z299" s="1145"/>
      <c r="AA299" s="1145"/>
      <c r="AB299" s="1145"/>
      <c r="AC299" s="1145"/>
      <c r="AD299" s="1145">
        <f t="shared" si="102"/>
        <v>0</v>
      </c>
    </row>
    <row r="300" spans="1:30" x14ac:dyDescent="0.2">
      <c r="A300" s="928">
        <v>5028</v>
      </c>
      <c r="B300" s="928" t="s">
        <v>3579</v>
      </c>
      <c r="C300" s="968"/>
      <c r="D300" s="968"/>
      <c r="E300" s="968"/>
      <c r="F300" s="968"/>
      <c r="G300" s="968"/>
      <c r="H300" s="968"/>
      <c r="I300" s="968"/>
      <c r="J300" s="968"/>
      <c r="K300" s="968"/>
      <c r="L300" s="968"/>
      <c r="M300" s="974"/>
      <c r="N300" s="974"/>
      <c r="O300" s="974"/>
      <c r="P300" s="968"/>
      <c r="Q300" s="968"/>
      <c r="R300" s="968"/>
      <c r="S300" s="968">
        <v>274000</v>
      </c>
      <c r="T300" s="968">
        <v>274000</v>
      </c>
      <c r="U300" s="968">
        <v>400</v>
      </c>
      <c r="V300" s="968">
        <v>0</v>
      </c>
      <c r="W300" s="968"/>
      <c r="X300" s="968">
        <f t="shared" si="78"/>
        <v>0</v>
      </c>
      <c r="Y300" s="1145">
        <v>273600</v>
      </c>
      <c r="Z300" s="1145">
        <v>273600</v>
      </c>
      <c r="AA300" s="1145"/>
      <c r="AB300" s="1145"/>
      <c r="AC300" s="1145"/>
      <c r="AD300" s="1145">
        <f t="shared" si="102"/>
        <v>0</v>
      </c>
    </row>
    <row r="301" spans="1:30" x14ac:dyDescent="0.2">
      <c r="A301" s="928">
        <v>5201</v>
      </c>
      <c r="B301" s="928" t="s">
        <v>1484</v>
      </c>
      <c r="C301" s="968">
        <v>1261440</v>
      </c>
      <c r="D301" s="968">
        <v>1207961.82</v>
      </c>
      <c r="E301" s="968"/>
      <c r="F301" s="968">
        <f t="shared" ref="F301:F320" si="105">D301+E301</f>
        <v>1207961.82</v>
      </c>
      <c r="G301" s="968">
        <v>1261440</v>
      </c>
      <c r="H301" s="968">
        <v>1261440</v>
      </c>
      <c r="I301" s="968">
        <v>1261440</v>
      </c>
      <c r="J301" s="968">
        <v>1181214.72</v>
      </c>
      <c r="K301" s="968"/>
      <c r="L301" s="968">
        <f t="shared" si="103"/>
        <v>1181214.72</v>
      </c>
      <c r="M301" s="974">
        <v>1330560</v>
      </c>
      <c r="N301" s="974">
        <v>1330560</v>
      </c>
      <c r="O301" s="974">
        <v>973960</v>
      </c>
      <c r="P301" s="968">
        <v>973906.02</v>
      </c>
      <c r="Q301" s="968"/>
      <c r="R301" s="968"/>
      <c r="S301" s="968"/>
      <c r="T301" s="968"/>
      <c r="U301" s="968"/>
      <c r="V301" s="968"/>
      <c r="W301" s="968"/>
      <c r="X301" s="968">
        <f t="shared" si="78"/>
        <v>0</v>
      </c>
      <c r="Y301" s="1145"/>
      <c r="Z301" s="1145"/>
      <c r="AA301" s="1145"/>
      <c r="AB301" s="1145"/>
      <c r="AC301" s="1145"/>
      <c r="AD301" s="1145">
        <f t="shared" si="102"/>
        <v>0</v>
      </c>
    </row>
    <row r="302" spans="1:30" x14ac:dyDescent="0.2">
      <c r="A302" s="928">
        <v>5202</v>
      </c>
      <c r="B302" s="928" t="s">
        <v>1485</v>
      </c>
      <c r="C302" s="968">
        <v>1958605</v>
      </c>
      <c r="D302" s="968">
        <v>1722416.62</v>
      </c>
      <c r="E302" s="968"/>
      <c r="F302" s="968">
        <f t="shared" si="105"/>
        <v>1722416.62</v>
      </c>
      <c r="G302" s="968">
        <v>2073840</v>
      </c>
      <c r="H302" s="968">
        <v>2073840</v>
      </c>
      <c r="I302" s="968">
        <v>2073840</v>
      </c>
      <c r="J302" s="1145">
        <v>1800538.5999999996</v>
      </c>
      <c r="K302" s="968"/>
      <c r="L302" s="968">
        <f t="shared" si="103"/>
        <v>1800538.5999999996</v>
      </c>
      <c r="M302" s="974">
        <v>2285050</v>
      </c>
      <c r="N302" s="974">
        <v>2285050</v>
      </c>
      <c r="O302" s="974">
        <v>2078550</v>
      </c>
      <c r="P302" s="968">
        <v>2078548.77</v>
      </c>
      <c r="Q302" s="968"/>
      <c r="R302" s="968">
        <f t="shared" si="104"/>
        <v>2078548.77</v>
      </c>
      <c r="S302" s="968"/>
      <c r="T302" s="968"/>
      <c r="U302" s="968"/>
      <c r="V302" s="968"/>
      <c r="W302" s="968"/>
      <c r="X302" s="968">
        <f t="shared" si="78"/>
        <v>0</v>
      </c>
      <c r="Y302" s="1145"/>
      <c r="Z302" s="1145"/>
      <c r="AA302" s="1145"/>
      <c r="AB302" s="1145"/>
      <c r="AC302" s="1145"/>
      <c r="AD302" s="1145">
        <f t="shared" si="102"/>
        <v>0</v>
      </c>
    </row>
    <row r="303" spans="1:30" x14ac:dyDescent="0.2">
      <c r="A303" s="928">
        <v>5203</v>
      </c>
      <c r="B303" s="928" t="s">
        <v>1484</v>
      </c>
      <c r="C303" s="968"/>
      <c r="D303" s="968"/>
      <c r="E303" s="968"/>
      <c r="F303" s="968"/>
      <c r="G303" s="968"/>
      <c r="H303" s="968"/>
      <c r="I303" s="968"/>
      <c r="J303" s="1145"/>
      <c r="K303" s="968"/>
      <c r="L303" s="968"/>
      <c r="M303" s="974"/>
      <c r="N303" s="974"/>
      <c r="O303" s="974"/>
      <c r="P303" s="968"/>
      <c r="Q303" s="968"/>
      <c r="R303" s="968">
        <v>973906.02</v>
      </c>
      <c r="S303" s="968">
        <v>443470</v>
      </c>
      <c r="T303" s="968">
        <v>443470</v>
      </c>
      <c r="U303" s="968">
        <v>460010</v>
      </c>
      <c r="V303" s="968">
        <v>460002.09</v>
      </c>
      <c r="W303" s="968"/>
      <c r="X303" s="968">
        <f t="shared" si="78"/>
        <v>460002.09</v>
      </c>
      <c r="Y303" s="1145">
        <v>465650</v>
      </c>
      <c r="Z303" s="1145">
        <v>465650</v>
      </c>
      <c r="AA303" s="1145">
        <v>530805</v>
      </c>
      <c r="AB303" s="1145">
        <v>530804.03</v>
      </c>
      <c r="AC303" s="1145"/>
      <c r="AD303" s="1145">
        <f t="shared" si="102"/>
        <v>530804.03</v>
      </c>
    </row>
    <row r="304" spans="1:30" x14ac:dyDescent="0.2">
      <c r="A304" s="928">
        <v>5204</v>
      </c>
      <c r="B304" s="928" t="s">
        <v>1486</v>
      </c>
      <c r="C304" s="968">
        <v>10490</v>
      </c>
      <c r="D304" s="968">
        <v>6613.34</v>
      </c>
      <c r="E304" s="968"/>
      <c r="F304" s="968">
        <f t="shared" si="105"/>
        <v>6613.34</v>
      </c>
      <c r="G304" s="968"/>
      <c r="H304" s="968"/>
      <c r="I304" s="968">
        <v>10490</v>
      </c>
      <c r="J304" s="968">
        <v>998.24</v>
      </c>
      <c r="K304" s="968"/>
      <c r="L304" s="968">
        <f t="shared" si="103"/>
        <v>998.24</v>
      </c>
      <c r="M304" s="974"/>
      <c r="N304" s="974"/>
      <c r="O304" s="974"/>
      <c r="P304" s="968">
        <v>0</v>
      </c>
      <c r="Q304" s="968"/>
      <c r="R304" s="968">
        <f t="shared" si="104"/>
        <v>0</v>
      </c>
      <c r="S304" s="968"/>
      <c r="T304" s="968"/>
      <c r="U304" s="968"/>
      <c r="V304" s="968"/>
      <c r="W304" s="968"/>
      <c r="X304" s="968">
        <f t="shared" si="78"/>
        <v>0</v>
      </c>
      <c r="Y304" s="1145"/>
      <c r="Z304" s="1145"/>
      <c r="AA304" s="1145"/>
      <c r="AB304" s="1145"/>
      <c r="AC304" s="1145"/>
      <c r="AD304" s="1145">
        <f t="shared" si="102"/>
        <v>0</v>
      </c>
    </row>
    <row r="305" spans="1:30" x14ac:dyDescent="0.2">
      <c r="A305" s="928">
        <v>5205</v>
      </c>
      <c r="B305" s="928" t="s">
        <v>1485</v>
      </c>
      <c r="C305" s="968"/>
      <c r="D305" s="968"/>
      <c r="E305" s="968"/>
      <c r="F305" s="968"/>
      <c r="G305" s="968"/>
      <c r="H305" s="968"/>
      <c r="I305" s="968"/>
      <c r="J305" s="968"/>
      <c r="K305" s="968"/>
      <c r="L305" s="968"/>
      <c r="M305" s="974"/>
      <c r="N305" s="974"/>
      <c r="O305" s="974"/>
      <c r="P305" s="968"/>
      <c r="Q305" s="968"/>
      <c r="R305" s="968"/>
      <c r="S305" s="968">
        <v>2243860</v>
      </c>
      <c r="T305" s="968">
        <v>2243860</v>
      </c>
      <c r="U305" s="968">
        <v>2453520</v>
      </c>
      <c r="V305" s="968">
        <v>2453516.9</v>
      </c>
      <c r="W305" s="968"/>
      <c r="X305" s="968">
        <f t="shared" si="78"/>
        <v>2453516.9</v>
      </c>
      <c r="Y305" s="1145">
        <v>2243250</v>
      </c>
      <c r="Z305" s="1145">
        <v>2243250</v>
      </c>
      <c r="AA305" s="1145">
        <v>2628397</v>
      </c>
      <c r="AB305" s="1145">
        <v>2628396.96</v>
      </c>
      <c r="AC305" s="1145"/>
      <c r="AD305" s="1145">
        <f t="shared" si="102"/>
        <v>2628396.96</v>
      </c>
    </row>
    <row r="306" spans="1:30" x14ac:dyDescent="0.2">
      <c r="A306" s="928">
        <v>5800</v>
      </c>
      <c r="B306" s="928" t="s">
        <v>1238</v>
      </c>
      <c r="C306" s="968">
        <v>523225</v>
      </c>
      <c r="D306" s="968">
        <v>241065.9</v>
      </c>
      <c r="E306" s="968"/>
      <c r="F306" s="968">
        <f t="shared" si="105"/>
        <v>241065.9</v>
      </c>
      <c r="G306" s="968">
        <v>550055</v>
      </c>
      <c r="H306" s="968">
        <v>550055</v>
      </c>
      <c r="I306" s="968">
        <v>550055</v>
      </c>
      <c r="J306" s="968">
        <v>495713.28000000003</v>
      </c>
      <c r="K306" s="968"/>
      <c r="L306" s="968">
        <f t="shared" si="103"/>
        <v>495713.28000000003</v>
      </c>
      <c r="M306" s="974">
        <v>582115</v>
      </c>
      <c r="N306" s="974">
        <v>582115</v>
      </c>
      <c r="O306" s="974">
        <v>548815</v>
      </c>
      <c r="P306" s="968">
        <v>548719.99</v>
      </c>
      <c r="Q306" s="968">
        <v>-15181.75</v>
      </c>
      <c r="R306" s="968">
        <f t="shared" si="104"/>
        <v>533538.24</v>
      </c>
      <c r="S306" s="968">
        <v>569900</v>
      </c>
      <c r="T306" s="968">
        <v>569900</v>
      </c>
      <c r="U306" s="968">
        <v>573910</v>
      </c>
      <c r="V306" s="968">
        <v>573903.26</v>
      </c>
      <c r="W306" s="968"/>
      <c r="X306" s="968">
        <f t="shared" si="78"/>
        <v>573903.26</v>
      </c>
      <c r="Y306" s="1145">
        <v>604095</v>
      </c>
      <c r="Z306" s="1145">
        <v>604095</v>
      </c>
      <c r="AA306" s="1145">
        <v>604095</v>
      </c>
      <c r="AB306" s="1145">
        <v>571837.13</v>
      </c>
      <c r="AC306" s="1145"/>
      <c r="AD306" s="1145">
        <f t="shared" si="102"/>
        <v>571837.13</v>
      </c>
    </row>
    <row r="307" spans="1:30" x14ac:dyDescent="0.2">
      <c r="A307" s="928">
        <v>5802</v>
      </c>
      <c r="B307" s="928" t="s">
        <v>1239</v>
      </c>
      <c r="C307" s="968">
        <v>8918820</v>
      </c>
      <c r="D307" s="968">
        <v>10860732.9</v>
      </c>
      <c r="E307" s="968"/>
      <c r="F307" s="968">
        <f t="shared" si="105"/>
        <v>10860732.9</v>
      </c>
      <c r="G307" s="968">
        <v>9401830</v>
      </c>
      <c r="H307" s="968">
        <v>9401830</v>
      </c>
      <c r="I307" s="968">
        <v>9401830</v>
      </c>
      <c r="J307" s="968">
        <v>10194297.23</v>
      </c>
      <c r="K307" s="968"/>
      <c r="L307" s="968">
        <f t="shared" si="103"/>
        <v>10194297.23</v>
      </c>
      <c r="M307" s="974">
        <v>10623615</v>
      </c>
      <c r="N307" s="974">
        <v>10623615</v>
      </c>
      <c r="O307" s="974">
        <v>12606415</v>
      </c>
      <c r="P307" s="968">
        <v>12606315.9</v>
      </c>
      <c r="Q307" s="968">
        <v>-307342.15000000002</v>
      </c>
      <c r="R307" s="968">
        <f t="shared" si="104"/>
        <v>12298973.75</v>
      </c>
      <c r="S307" s="968">
        <v>10550775</v>
      </c>
      <c r="T307" s="968">
        <v>10550775</v>
      </c>
      <c r="U307" s="968">
        <v>11078915</v>
      </c>
      <c r="V307" s="968">
        <v>11078909.35</v>
      </c>
      <c r="W307" s="968"/>
      <c r="X307" s="968">
        <f t="shared" si="78"/>
        <v>11078909.35</v>
      </c>
      <c r="Y307" s="1145">
        <v>10202600</v>
      </c>
      <c r="Z307" s="1145">
        <v>10202600</v>
      </c>
      <c r="AA307" s="1145">
        <v>11527468</v>
      </c>
      <c r="AB307" s="1145">
        <v>11527467.970000001</v>
      </c>
      <c r="AC307" s="1145"/>
      <c r="AD307" s="1145">
        <f t="shared" si="102"/>
        <v>11527467.970000001</v>
      </c>
    </row>
    <row r="308" spans="1:30" x14ac:dyDescent="0.2">
      <c r="A308" s="928">
        <v>5804</v>
      </c>
      <c r="B308" s="928" t="s">
        <v>1240</v>
      </c>
      <c r="C308" s="968">
        <v>1945315</v>
      </c>
      <c r="D308" s="968">
        <v>1218518.77</v>
      </c>
      <c r="E308" s="968"/>
      <c r="F308" s="968">
        <f t="shared" si="105"/>
        <v>1218518.77</v>
      </c>
      <c r="G308" s="968">
        <v>2045935</v>
      </c>
      <c r="H308" s="968">
        <v>2045935</v>
      </c>
      <c r="I308" s="968">
        <v>2045935</v>
      </c>
      <c r="J308" s="968">
        <v>2096135.97</v>
      </c>
      <c r="K308" s="968"/>
      <c r="L308" s="968">
        <f t="shared" si="103"/>
        <v>2096135.97</v>
      </c>
      <c r="M308" s="974">
        <v>2167495</v>
      </c>
      <c r="N308" s="974">
        <v>2167495</v>
      </c>
      <c r="O308" s="974">
        <v>2100995</v>
      </c>
      <c r="P308" s="968">
        <v>2100970.25</v>
      </c>
      <c r="Q308" s="968">
        <v>-397468.95</v>
      </c>
      <c r="R308" s="968">
        <f t="shared" si="104"/>
        <v>1703501.3</v>
      </c>
      <c r="S308" s="968">
        <v>2099580</v>
      </c>
      <c r="T308" s="968">
        <v>2099580</v>
      </c>
      <c r="U308" s="968">
        <v>2790920</v>
      </c>
      <c r="V308" s="968">
        <v>2790917.03</v>
      </c>
      <c r="W308" s="968"/>
      <c r="X308" s="968">
        <f t="shared" si="78"/>
        <v>2790917.03</v>
      </c>
      <c r="Y308" s="1145">
        <v>2248940</v>
      </c>
      <c r="Z308" s="1145">
        <v>2248940</v>
      </c>
      <c r="AA308" s="1145">
        <v>2944740</v>
      </c>
      <c r="AB308" s="1145">
        <v>2944739.6</v>
      </c>
      <c r="AC308" s="1145"/>
      <c r="AD308" s="1145">
        <f t="shared" si="102"/>
        <v>2944739.6</v>
      </c>
    </row>
    <row r="309" spans="1:30" x14ac:dyDescent="0.2">
      <c r="A309" s="928">
        <v>5806</v>
      </c>
      <c r="B309" s="928" t="s">
        <v>1241</v>
      </c>
      <c r="C309" s="968">
        <v>1254110</v>
      </c>
      <c r="D309" s="968">
        <v>736257.86</v>
      </c>
      <c r="E309" s="968"/>
      <c r="F309" s="968">
        <f t="shared" si="105"/>
        <v>736257.86</v>
      </c>
      <c r="G309" s="968">
        <v>1320525</v>
      </c>
      <c r="H309" s="968">
        <v>1320525</v>
      </c>
      <c r="I309" s="968">
        <v>1320525</v>
      </c>
      <c r="J309" s="968">
        <v>1148537.6299999999</v>
      </c>
      <c r="K309" s="968"/>
      <c r="L309" s="968">
        <f t="shared" si="103"/>
        <v>1148537.6299999999</v>
      </c>
      <c r="M309" s="974">
        <v>1397225</v>
      </c>
      <c r="N309" s="974">
        <v>1397225</v>
      </c>
      <c r="O309" s="974">
        <v>1335225</v>
      </c>
      <c r="P309" s="968">
        <v>1335177.3899999999</v>
      </c>
      <c r="Q309" s="968"/>
      <c r="R309" s="968">
        <f t="shared" si="104"/>
        <v>1335177.3899999999</v>
      </c>
      <c r="S309" s="968">
        <v>1305905</v>
      </c>
      <c r="T309" s="968">
        <v>1305905</v>
      </c>
      <c r="U309" s="968">
        <v>1597950</v>
      </c>
      <c r="V309" s="968">
        <v>1597949.88</v>
      </c>
      <c r="W309" s="968"/>
      <c r="X309" s="968">
        <f t="shared" si="78"/>
        <v>1597949.88</v>
      </c>
      <c r="Y309" s="1145">
        <v>1440245</v>
      </c>
      <c r="Z309" s="1145">
        <v>1440245</v>
      </c>
      <c r="AA309" s="1145">
        <v>1811912</v>
      </c>
      <c r="AB309" s="1145">
        <v>1811911.96</v>
      </c>
      <c r="AC309" s="1145"/>
      <c r="AD309" s="1145">
        <f t="shared" si="102"/>
        <v>1811911.96</v>
      </c>
    </row>
    <row r="310" spans="1:30" x14ac:dyDescent="0.2">
      <c r="A310" s="928">
        <v>5808</v>
      </c>
      <c r="B310" s="928" t="s">
        <v>1242</v>
      </c>
      <c r="C310" s="968">
        <v>415895</v>
      </c>
      <c r="D310" s="968">
        <v>224675.22</v>
      </c>
      <c r="E310" s="968"/>
      <c r="F310" s="968">
        <f t="shared" si="105"/>
        <v>224675.22</v>
      </c>
      <c r="G310" s="968">
        <v>437375</v>
      </c>
      <c r="H310" s="968">
        <v>437375</v>
      </c>
      <c r="I310" s="968">
        <v>437375</v>
      </c>
      <c r="J310" s="968">
        <v>393305.52</v>
      </c>
      <c r="K310" s="968"/>
      <c r="L310" s="968">
        <f t="shared" si="103"/>
        <v>393305.52</v>
      </c>
      <c r="M310" s="974">
        <v>463220</v>
      </c>
      <c r="N310" s="974">
        <v>463220</v>
      </c>
      <c r="O310" s="974">
        <v>448420</v>
      </c>
      <c r="P310" s="968">
        <v>448393.92</v>
      </c>
      <c r="Q310" s="968">
        <v>-11903.22</v>
      </c>
      <c r="R310" s="968">
        <f t="shared" si="104"/>
        <v>436490.7</v>
      </c>
      <c r="S310" s="968">
        <v>432910</v>
      </c>
      <c r="T310" s="968">
        <v>432910</v>
      </c>
      <c r="U310" s="968">
        <v>432910</v>
      </c>
      <c r="V310" s="968">
        <v>432572.21</v>
      </c>
      <c r="W310" s="1337"/>
      <c r="X310" s="968">
        <f t="shared" si="78"/>
        <v>432572.21</v>
      </c>
      <c r="Y310" s="1145">
        <v>459110</v>
      </c>
      <c r="Z310" s="1145">
        <v>459110</v>
      </c>
      <c r="AA310" s="1145">
        <v>459110</v>
      </c>
      <c r="AB310" s="1145">
        <v>455529.76</v>
      </c>
      <c r="AC310" s="1145"/>
      <c r="AD310" s="1145">
        <f t="shared" si="102"/>
        <v>455529.76</v>
      </c>
    </row>
    <row r="311" spans="1:30" x14ac:dyDescent="0.2">
      <c r="A311" s="928">
        <v>5810</v>
      </c>
      <c r="B311" s="928" t="s">
        <v>1243</v>
      </c>
      <c r="C311" s="968">
        <v>671760</v>
      </c>
      <c r="D311" s="968">
        <v>871553.52</v>
      </c>
      <c r="E311" s="968"/>
      <c r="F311" s="968">
        <f t="shared" si="105"/>
        <v>871553.52</v>
      </c>
      <c r="G311" s="968">
        <v>704880</v>
      </c>
      <c r="H311" s="968">
        <v>704880</v>
      </c>
      <c r="I311" s="968">
        <v>704880</v>
      </c>
      <c r="J311" s="968">
        <v>824751.54</v>
      </c>
      <c r="K311" s="968"/>
      <c r="L311" s="968">
        <f t="shared" si="103"/>
        <v>824751.54</v>
      </c>
      <c r="M311" s="974">
        <v>793345</v>
      </c>
      <c r="N311" s="974">
        <v>793345</v>
      </c>
      <c r="O311" s="974">
        <v>856445</v>
      </c>
      <c r="P311" s="968">
        <v>856370.32</v>
      </c>
      <c r="Q311" s="968">
        <v>74654.679999999993</v>
      </c>
      <c r="R311" s="968">
        <f t="shared" si="104"/>
        <v>931025</v>
      </c>
      <c r="S311" s="968">
        <v>1314685</v>
      </c>
      <c r="T311" s="968">
        <v>1314685</v>
      </c>
      <c r="U311" s="968">
        <v>1297655</v>
      </c>
      <c r="V311" s="968">
        <v>1297645.17</v>
      </c>
      <c r="W311" s="968"/>
      <c r="X311" s="968">
        <f t="shared" si="78"/>
        <v>1297645.17</v>
      </c>
      <c r="Y311" s="1145">
        <v>1314685</v>
      </c>
      <c r="Z311" s="1145">
        <v>1314685</v>
      </c>
      <c r="AA311" s="1145">
        <v>1314685</v>
      </c>
      <c r="AB311" s="1145">
        <v>1306089.76</v>
      </c>
      <c r="AC311" s="1145"/>
      <c r="AD311" s="1145">
        <f t="shared" si="102"/>
        <v>1306089.76</v>
      </c>
    </row>
    <row r="312" spans="1:30" x14ac:dyDescent="0.2">
      <c r="A312" s="928">
        <v>5812</v>
      </c>
      <c r="B312" s="928" t="s">
        <v>1244</v>
      </c>
      <c r="C312" s="968">
        <v>35965</v>
      </c>
      <c r="D312" s="968">
        <v>19770</v>
      </c>
      <c r="E312" s="968"/>
      <c r="F312" s="968">
        <f t="shared" si="105"/>
        <v>19770</v>
      </c>
      <c r="G312" s="968">
        <v>37750</v>
      </c>
      <c r="H312" s="968">
        <v>37750</v>
      </c>
      <c r="I312" s="968">
        <v>37750</v>
      </c>
      <c r="J312" s="968">
        <v>39828</v>
      </c>
      <c r="K312" s="968"/>
      <c r="L312" s="968">
        <f t="shared" si="103"/>
        <v>39828</v>
      </c>
      <c r="M312" s="974">
        <v>39830</v>
      </c>
      <c r="N312" s="974">
        <v>39830</v>
      </c>
      <c r="O312" s="974">
        <v>40330</v>
      </c>
      <c r="P312" s="968">
        <v>40326</v>
      </c>
      <c r="Q312" s="968"/>
      <c r="R312" s="968">
        <f t="shared" si="104"/>
        <v>40326</v>
      </c>
      <c r="S312" s="968">
        <v>41820</v>
      </c>
      <c r="T312" s="968">
        <v>41820</v>
      </c>
      <c r="U312" s="968">
        <v>36005</v>
      </c>
      <c r="V312" s="968">
        <v>32452.32</v>
      </c>
      <c r="W312" s="968"/>
      <c r="X312" s="968">
        <f t="shared" si="78"/>
        <v>32452.32</v>
      </c>
      <c r="Y312" s="1145">
        <v>41820</v>
      </c>
      <c r="Z312" s="1145">
        <v>41820</v>
      </c>
      <c r="AA312" s="1145">
        <v>41820</v>
      </c>
      <c r="AB312" s="1145">
        <v>32117.759999999998</v>
      </c>
      <c r="AC312" s="1145"/>
      <c r="AD312" s="1145">
        <f t="shared" si="102"/>
        <v>32117.759999999998</v>
      </c>
    </row>
    <row r="313" spans="1:30" x14ac:dyDescent="0.2">
      <c r="A313" s="928">
        <v>5814</v>
      </c>
      <c r="B313" s="928" t="s">
        <v>1245</v>
      </c>
      <c r="C313" s="968">
        <v>89760</v>
      </c>
      <c r="D313" s="968">
        <v>101020</v>
      </c>
      <c r="E313" s="968"/>
      <c r="F313" s="968">
        <f t="shared" si="105"/>
        <v>101020</v>
      </c>
      <c r="G313" s="968">
        <v>94200</v>
      </c>
      <c r="H313" s="968">
        <v>94200</v>
      </c>
      <c r="I313" s="968">
        <v>94200</v>
      </c>
      <c r="J313" s="968">
        <v>174561.86</v>
      </c>
      <c r="K313" s="968"/>
      <c r="L313" s="968">
        <f t="shared" si="103"/>
        <v>174561.86</v>
      </c>
      <c r="M313" s="974">
        <v>99360</v>
      </c>
      <c r="N313" s="974">
        <v>99360</v>
      </c>
      <c r="O313" s="974">
        <v>187760</v>
      </c>
      <c r="P313" s="968">
        <v>187689</v>
      </c>
      <c r="Q313" s="968">
        <v>-20121</v>
      </c>
      <c r="R313" s="968">
        <f t="shared" si="104"/>
        <v>167568</v>
      </c>
      <c r="S313" s="968">
        <v>104340</v>
      </c>
      <c r="T313" s="968">
        <v>104340</v>
      </c>
      <c r="U313" s="968">
        <v>125210</v>
      </c>
      <c r="V313" s="968">
        <v>125208</v>
      </c>
      <c r="W313" s="968"/>
      <c r="X313" s="968">
        <f t="shared" si="78"/>
        <v>125208</v>
      </c>
      <c r="Y313" s="1145">
        <v>125210</v>
      </c>
      <c r="Z313" s="1145">
        <v>125210</v>
      </c>
      <c r="AA313" s="1145">
        <v>125210</v>
      </c>
      <c r="AB313" s="1145">
        <v>125208</v>
      </c>
      <c r="AC313" s="1145"/>
      <c r="AD313" s="1145">
        <f t="shared" si="102"/>
        <v>125208</v>
      </c>
    </row>
    <row r="314" spans="1:30" x14ac:dyDescent="0.2">
      <c r="A314" s="928">
        <v>5836</v>
      </c>
      <c r="B314" s="928" t="s">
        <v>1245</v>
      </c>
      <c r="C314" s="968">
        <v>67180</v>
      </c>
      <c r="D314" s="968">
        <v>0</v>
      </c>
      <c r="E314" s="968"/>
      <c r="F314" s="968">
        <f t="shared" si="105"/>
        <v>0</v>
      </c>
      <c r="G314" s="968">
        <v>70490</v>
      </c>
      <c r="H314" s="968">
        <v>70490</v>
      </c>
      <c r="I314" s="968">
        <v>70490</v>
      </c>
      <c r="J314" s="968">
        <v>0</v>
      </c>
      <c r="K314" s="968"/>
      <c r="L314" s="968">
        <f t="shared" si="103"/>
        <v>0</v>
      </c>
      <c r="M314" s="974">
        <v>74375</v>
      </c>
      <c r="N314" s="974">
        <v>74375</v>
      </c>
      <c r="O314" s="974">
        <v>75</v>
      </c>
      <c r="P314" s="968">
        <v>0</v>
      </c>
      <c r="Q314" s="968"/>
      <c r="R314" s="968">
        <f t="shared" si="104"/>
        <v>0</v>
      </c>
      <c r="S314" s="968">
        <v>125210</v>
      </c>
      <c r="T314" s="968">
        <v>125210</v>
      </c>
      <c r="U314" s="968">
        <v>146080</v>
      </c>
      <c r="V314" s="968">
        <v>146076</v>
      </c>
      <c r="W314" s="968"/>
      <c r="X314" s="968">
        <f t="shared" si="78"/>
        <v>146076</v>
      </c>
      <c r="Y314" s="1145">
        <v>104340</v>
      </c>
      <c r="Z314" s="1145">
        <v>104340</v>
      </c>
      <c r="AA314" s="1145">
        <v>146076</v>
      </c>
      <c r="AB314" s="1145">
        <v>146076</v>
      </c>
      <c r="AC314" s="1145"/>
      <c r="AD314" s="1145">
        <f t="shared" si="102"/>
        <v>146076</v>
      </c>
    </row>
    <row r="315" spans="1:30" x14ac:dyDescent="0.2">
      <c r="A315" s="928">
        <v>5838</v>
      </c>
      <c r="B315" s="928" t="s">
        <v>1246</v>
      </c>
      <c r="C315" s="968">
        <v>17955</v>
      </c>
      <c r="D315" s="968">
        <v>10916</v>
      </c>
      <c r="E315" s="968"/>
      <c r="F315" s="968">
        <f t="shared" si="105"/>
        <v>10916</v>
      </c>
      <c r="G315" s="968">
        <v>18840</v>
      </c>
      <c r="H315" s="968">
        <v>18840</v>
      </c>
      <c r="I315" s="968">
        <v>18840</v>
      </c>
      <c r="J315" s="968">
        <v>19356</v>
      </c>
      <c r="K315" s="968"/>
      <c r="L315" s="968">
        <f t="shared" si="103"/>
        <v>19356</v>
      </c>
      <c r="M315" s="974">
        <v>19870</v>
      </c>
      <c r="N315" s="974">
        <v>19870</v>
      </c>
      <c r="O315" s="974">
        <v>25370</v>
      </c>
      <c r="P315" s="968">
        <v>25359</v>
      </c>
      <c r="Q315" s="968"/>
      <c r="R315" s="968">
        <f t="shared" si="104"/>
        <v>25359</v>
      </c>
      <c r="S315" s="968">
        <v>20870</v>
      </c>
      <c r="T315" s="968">
        <v>20870</v>
      </c>
      <c r="U315" s="968">
        <v>41820</v>
      </c>
      <c r="V315" s="968">
        <v>41820</v>
      </c>
      <c r="W315" s="968"/>
      <c r="X315" s="968">
        <f t="shared" si="78"/>
        <v>41820</v>
      </c>
      <c r="Y315" s="1145">
        <v>20870</v>
      </c>
      <c r="Z315" s="1145">
        <v>20870</v>
      </c>
      <c r="AA315" s="1145">
        <v>41820</v>
      </c>
      <c r="AB315" s="1145">
        <v>41820</v>
      </c>
      <c r="AC315" s="1145"/>
      <c r="AD315" s="1145">
        <f t="shared" si="102"/>
        <v>41820</v>
      </c>
    </row>
    <row r="316" spans="1:30" x14ac:dyDescent="0.2">
      <c r="A316" s="928">
        <v>5840</v>
      </c>
      <c r="B316" s="928" t="s">
        <v>1247</v>
      </c>
      <c r="C316" s="968">
        <v>2229705</v>
      </c>
      <c r="D316" s="968">
        <v>2755214.17</v>
      </c>
      <c r="E316" s="968"/>
      <c r="F316" s="968">
        <f t="shared" si="105"/>
        <v>2755214.17</v>
      </c>
      <c r="G316" s="968">
        <v>2350460</v>
      </c>
      <c r="H316" s="968">
        <v>2350460</v>
      </c>
      <c r="I316" s="968">
        <v>2350460</v>
      </c>
      <c r="J316" s="968">
        <v>2352878.31</v>
      </c>
      <c r="K316" s="968"/>
      <c r="L316" s="968">
        <f t="shared" si="103"/>
        <v>2352878.31</v>
      </c>
      <c r="M316" s="974">
        <v>2655905</v>
      </c>
      <c r="N316" s="974">
        <v>2655905</v>
      </c>
      <c r="O316" s="974">
        <v>2084805</v>
      </c>
      <c r="P316" s="968">
        <v>2084796.07</v>
      </c>
      <c r="Q316" s="968">
        <v>131073.69</v>
      </c>
      <c r="R316" s="968">
        <f t="shared" si="104"/>
        <v>2215869.7600000002</v>
      </c>
      <c r="S316" s="968">
        <v>4129495</v>
      </c>
      <c r="T316" s="968">
        <v>4129495</v>
      </c>
      <c r="U316" s="968">
        <v>2913415</v>
      </c>
      <c r="V316" s="968">
        <v>2913412.37</v>
      </c>
      <c r="W316" s="968"/>
      <c r="X316" s="968">
        <f t="shared" si="78"/>
        <v>2913412.37</v>
      </c>
      <c r="Y316" s="1145">
        <v>4376765</v>
      </c>
      <c r="Z316" s="1145">
        <v>4376765</v>
      </c>
      <c r="AA316" s="1145">
        <v>4376765</v>
      </c>
      <c r="AB316" s="1145">
        <v>3325241.02</v>
      </c>
      <c r="AC316" s="1145"/>
      <c r="AD316" s="1145">
        <f t="shared" si="102"/>
        <v>3325241.02</v>
      </c>
    </row>
    <row r="317" spans="1:30" x14ac:dyDescent="0.2">
      <c r="A317" s="928">
        <v>5842</v>
      </c>
      <c r="B317" s="928" t="s">
        <v>1248</v>
      </c>
      <c r="C317" s="968">
        <v>130805</v>
      </c>
      <c r="D317" s="968">
        <v>93025.02</v>
      </c>
      <c r="E317" s="968"/>
      <c r="F317" s="968">
        <f t="shared" si="105"/>
        <v>93025.02</v>
      </c>
      <c r="G317" s="968">
        <v>137515</v>
      </c>
      <c r="H317" s="968">
        <v>137515</v>
      </c>
      <c r="I317" s="968">
        <v>137515</v>
      </c>
      <c r="J317" s="968">
        <v>191166.42</v>
      </c>
      <c r="K317" s="968"/>
      <c r="L317" s="968">
        <f t="shared" si="103"/>
        <v>191166.42</v>
      </c>
      <c r="M317" s="974">
        <v>145530</v>
      </c>
      <c r="N317" s="974">
        <v>145530</v>
      </c>
      <c r="O317" s="974">
        <v>198830</v>
      </c>
      <c r="P317" s="968">
        <v>198736.29</v>
      </c>
      <c r="Q317" s="968"/>
      <c r="R317" s="968">
        <f t="shared" si="104"/>
        <v>198736.29</v>
      </c>
      <c r="S317" s="968">
        <v>218465</v>
      </c>
      <c r="T317" s="968">
        <v>218465</v>
      </c>
      <c r="U317" s="968">
        <v>220115</v>
      </c>
      <c r="V317" s="968">
        <v>220111.29</v>
      </c>
      <c r="W317" s="968"/>
      <c r="X317" s="968">
        <f t="shared" si="78"/>
        <v>220111.29</v>
      </c>
      <c r="Y317" s="1145">
        <v>231570</v>
      </c>
      <c r="Z317" s="1145">
        <v>231570</v>
      </c>
      <c r="AA317" s="1145">
        <v>231570</v>
      </c>
      <c r="AB317" s="1145">
        <v>230478</v>
      </c>
      <c r="AC317" s="1145"/>
      <c r="AD317" s="1145">
        <f t="shared" si="102"/>
        <v>230478</v>
      </c>
    </row>
    <row r="318" spans="1:30" x14ac:dyDescent="0.2">
      <c r="A318" s="928">
        <v>5844</v>
      </c>
      <c r="B318" s="928" t="s">
        <v>1249</v>
      </c>
      <c r="C318" s="968">
        <v>486330</v>
      </c>
      <c r="D318" s="968">
        <v>458757.68</v>
      </c>
      <c r="E318" s="968"/>
      <c r="F318" s="968">
        <f t="shared" si="105"/>
        <v>458757.68</v>
      </c>
      <c r="G318" s="968">
        <v>511485</v>
      </c>
      <c r="H318" s="968">
        <v>511485</v>
      </c>
      <c r="I318" s="968">
        <v>511485</v>
      </c>
      <c r="J318" s="968">
        <v>853911.87</v>
      </c>
      <c r="K318" s="968"/>
      <c r="L318" s="968">
        <f t="shared" si="103"/>
        <v>853911.87</v>
      </c>
      <c r="M318" s="974">
        <v>541875</v>
      </c>
      <c r="N318" s="974">
        <v>541875</v>
      </c>
      <c r="O318" s="974">
        <v>1075875</v>
      </c>
      <c r="P318" s="968">
        <v>1075837.51</v>
      </c>
      <c r="Q318" s="968">
        <v>-131073.69</v>
      </c>
      <c r="R318" s="968">
        <f t="shared" si="104"/>
        <v>944763.82000000007</v>
      </c>
      <c r="S318" s="968">
        <v>819240</v>
      </c>
      <c r="T318" s="968">
        <v>819240</v>
      </c>
      <c r="U318" s="968">
        <v>644470</v>
      </c>
      <c r="V318" s="968">
        <v>644464.4</v>
      </c>
      <c r="W318" s="968"/>
      <c r="X318" s="968">
        <f t="shared" si="78"/>
        <v>644464.4</v>
      </c>
      <c r="Y318" s="1145">
        <v>868395</v>
      </c>
      <c r="Z318" s="1145">
        <v>868395</v>
      </c>
      <c r="AA318" s="1145">
        <v>868395</v>
      </c>
      <c r="AB318" s="1145">
        <v>679909.35</v>
      </c>
      <c r="AC318" s="1145"/>
      <c r="AD318" s="1145">
        <f t="shared" si="102"/>
        <v>679909.35</v>
      </c>
    </row>
    <row r="319" spans="1:30" x14ac:dyDescent="0.2">
      <c r="A319" s="928">
        <v>5846</v>
      </c>
      <c r="B319" s="928" t="s">
        <v>1249</v>
      </c>
      <c r="C319" s="968">
        <v>313530</v>
      </c>
      <c r="D319" s="968">
        <v>0</v>
      </c>
      <c r="E319" s="968"/>
      <c r="F319" s="968">
        <f t="shared" si="105"/>
        <v>0</v>
      </c>
      <c r="G319" s="968">
        <v>330130</v>
      </c>
      <c r="H319" s="968">
        <v>330130</v>
      </c>
      <c r="I319" s="968">
        <v>330130</v>
      </c>
      <c r="J319" s="968">
        <v>0</v>
      </c>
      <c r="K319" s="968"/>
      <c r="L319" s="968">
        <f t="shared" si="103"/>
        <v>0</v>
      </c>
      <c r="M319" s="974">
        <v>349305</v>
      </c>
      <c r="N319" s="974">
        <v>349305</v>
      </c>
      <c r="O319" s="974">
        <v>5</v>
      </c>
      <c r="P319" s="968">
        <v>0</v>
      </c>
      <c r="Q319" s="968"/>
      <c r="R319" s="968">
        <f t="shared" si="104"/>
        <v>0</v>
      </c>
      <c r="S319" s="968">
        <v>540705</v>
      </c>
      <c r="T319" s="968">
        <v>540705</v>
      </c>
      <c r="U319" s="968">
        <v>421915</v>
      </c>
      <c r="V319" s="968">
        <v>421905.38</v>
      </c>
      <c r="W319" s="968"/>
      <c r="X319" s="968">
        <f t="shared" si="78"/>
        <v>421905.38</v>
      </c>
      <c r="Y319" s="1145">
        <v>573150</v>
      </c>
      <c r="Z319" s="1145">
        <v>573150</v>
      </c>
      <c r="AA319" s="1145">
        <v>510464</v>
      </c>
      <c r="AB319" s="1145">
        <v>477613.8</v>
      </c>
      <c r="AC319" s="1145"/>
      <c r="AD319" s="1145">
        <f t="shared" si="102"/>
        <v>477613.8</v>
      </c>
    </row>
    <row r="320" spans="1:30" x14ac:dyDescent="0.2">
      <c r="A320" s="928">
        <v>5848</v>
      </c>
      <c r="B320" s="928" t="s">
        <v>1250</v>
      </c>
      <c r="C320" s="968">
        <v>103975</v>
      </c>
      <c r="D320" s="968">
        <v>86232.65</v>
      </c>
      <c r="E320" s="968"/>
      <c r="F320" s="968">
        <f t="shared" si="105"/>
        <v>86232.65</v>
      </c>
      <c r="G320" s="968">
        <v>109345</v>
      </c>
      <c r="H320" s="968">
        <v>109345</v>
      </c>
      <c r="I320" s="968">
        <v>109345</v>
      </c>
      <c r="J320" s="968">
        <v>152933.1</v>
      </c>
      <c r="K320" s="968"/>
      <c r="L320" s="968">
        <f t="shared" si="103"/>
        <v>152933.1</v>
      </c>
      <c r="M320" s="974">
        <v>115805</v>
      </c>
      <c r="N320" s="974">
        <v>115805</v>
      </c>
      <c r="O320" s="974">
        <v>159005</v>
      </c>
      <c r="P320" s="968">
        <v>158989.04999999999</v>
      </c>
      <c r="Q320" s="968"/>
      <c r="R320" s="968">
        <f t="shared" si="104"/>
        <v>158989.04999999999</v>
      </c>
      <c r="S320" s="968">
        <v>174770</v>
      </c>
      <c r="T320" s="968">
        <v>174770</v>
      </c>
      <c r="U320" s="968">
        <v>174780</v>
      </c>
      <c r="V320" s="968">
        <v>174770.01</v>
      </c>
      <c r="W320" s="968"/>
      <c r="X320" s="968">
        <f t="shared" si="78"/>
        <v>174770.01</v>
      </c>
      <c r="Y320" s="1145">
        <v>185255</v>
      </c>
      <c r="Z320" s="1145">
        <v>185255</v>
      </c>
      <c r="AA320" s="1145">
        <v>185255</v>
      </c>
      <c r="AB320" s="1145">
        <v>184382.27</v>
      </c>
      <c r="AC320" s="1145"/>
      <c r="AD320" s="1145">
        <f t="shared" si="102"/>
        <v>184382.27</v>
      </c>
    </row>
    <row r="321" spans="1:30" x14ac:dyDescent="0.2">
      <c r="A321" s="928"/>
      <c r="B321" s="976" t="s">
        <v>1089</v>
      </c>
      <c r="C321" s="1143">
        <f t="shared" ref="C321:I321" si="106">SUM(C301:C320)</f>
        <v>20434865</v>
      </c>
      <c r="D321" s="1143">
        <f t="shared" si="106"/>
        <v>20614731.469999995</v>
      </c>
      <c r="E321" s="1143">
        <f t="shared" si="106"/>
        <v>0</v>
      </c>
      <c r="F321" s="1143">
        <f t="shared" si="106"/>
        <v>20614731.469999995</v>
      </c>
      <c r="G321" s="1143">
        <f t="shared" si="106"/>
        <v>21456095</v>
      </c>
      <c r="H321" s="1143">
        <f t="shared" si="106"/>
        <v>21456095</v>
      </c>
      <c r="I321" s="1143">
        <f t="shared" si="106"/>
        <v>21466585</v>
      </c>
      <c r="J321" s="1143">
        <f>SUM(J299:J320)</f>
        <v>21922288.470000003</v>
      </c>
      <c r="K321" s="1143">
        <f t="shared" ref="K321:P321" si="107">SUM(K299:K320)</f>
        <v>0</v>
      </c>
      <c r="L321" s="1143">
        <f t="shared" si="107"/>
        <v>21922288.470000003</v>
      </c>
      <c r="M321" s="1144">
        <f t="shared" si="107"/>
        <v>23684480</v>
      </c>
      <c r="N321" s="1144">
        <f>SUM(N299:N320)</f>
        <v>23684480</v>
      </c>
      <c r="O321" s="1144">
        <f t="shared" si="107"/>
        <v>24720880</v>
      </c>
      <c r="P321" s="1143">
        <f t="shared" si="107"/>
        <v>24720135.480000004</v>
      </c>
      <c r="Q321" s="1143">
        <f>SUM(Q299:Q320)</f>
        <v>-677362.39000000013</v>
      </c>
      <c r="R321" s="1143">
        <f>SUM(R299:R320)</f>
        <v>24042773.090000004</v>
      </c>
      <c r="S321" s="1143">
        <f t="shared" ref="S321:AD321" si="108">SUM(S299:S320)</f>
        <v>25410000</v>
      </c>
      <c r="T321" s="1143">
        <f t="shared" si="108"/>
        <v>25410000</v>
      </c>
      <c r="U321" s="1143">
        <f t="shared" si="108"/>
        <v>25410000</v>
      </c>
      <c r="V321" s="1143">
        <f t="shared" si="108"/>
        <v>25405635.66</v>
      </c>
      <c r="W321" s="1143">
        <f t="shared" si="108"/>
        <v>0</v>
      </c>
      <c r="X321" s="1143">
        <f t="shared" si="108"/>
        <v>25405635.66</v>
      </c>
      <c r="Y321" s="1341">
        <f t="shared" si="108"/>
        <v>25779550</v>
      </c>
      <c r="Z321" s="1341">
        <f t="shared" si="108"/>
        <v>25779550</v>
      </c>
      <c r="AA321" s="1341">
        <f t="shared" si="108"/>
        <v>28348587</v>
      </c>
      <c r="AB321" s="1341">
        <f t="shared" si="108"/>
        <v>27019623.370000008</v>
      </c>
      <c r="AC321" s="1341">
        <f t="shared" si="108"/>
        <v>0</v>
      </c>
      <c r="AD321" s="1341">
        <f t="shared" si="108"/>
        <v>27019623.370000008</v>
      </c>
    </row>
    <row r="322" spans="1:30" x14ac:dyDescent="0.2">
      <c r="A322" s="928"/>
      <c r="B322" s="928"/>
      <c r="C322" s="968"/>
      <c r="D322" s="968"/>
      <c r="E322" s="968"/>
      <c r="F322" s="968"/>
      <c r="G322" s="968"/>
      <c r="H322" s="968"/>
      <c r="I322" s="968"/>
      <c r="J322" s="968"/>
      <c r="K322" s="968"/>
      <c r="L322" s="968"/>
      <c r="M322" s="974"/>
      <c r="N322" s="974"/>
      <c r="O322" s="974"/>
      <c r="P322" s="968"/>
      <c r="Q322" s="968"/>
      <c r="R322" s="968"/>
      <c r="S322" s="968"/>
      <c r="T322" s="968"/>
      <c r="U322" s="968"/>
      <c r="V322" s="968"/>
      <c r="W322" s="968"/>
      <c r="X322" s="968"/>
      <c r="Y322" s="1145"/>
      <c r="Z322" s="1145"/>
      <c r="AA322" s="1145"/>
      <c r="AB322" s="1145"/>
      <c r="AC322" s="1145"/>
      <c r="AD322" s="1145"/>
    </row>
    <row r="323" spans="1:30" x14ac:dyDescent="0.2">
      <c r="A323" s="928">
        <v>3500</v>
      </c>
      <c r="B323" s="928" t="s">
        <v>1251</v>
      </c>
      <c r="C323" s="968"/>
      <c r="D323" s="968"/>
      <c r="E323" s="968"/>
      <c r="F323" s="968"/>
      <c r="G323" s="968"/>
      <c r="H323" s="968"/>
      <c r="I323" s="968"/>
      <c r="J323" s="968"/>
      <c r="K323" s="968"/>
      <c r="L323" s="968"/>
      <c r="M323" s="974"/>
      <c r="N323" s="974"/>
      <c r="O323" s="974"/>
      <c r="P323" s="968"/>
      <c r="Q323" s="968"/>
      <c r="R323" s="968"/>
      <c r="S323" s="968"/>
      <c r="T323" s="968"/>
      <c r="U323" s="968"/>
      <c r="V323" s="968"/>
      <c r="W323" s="968"/>
      <c r="X323" s="968"/>
      <c r="Y323" s="1145"/>
      <c r="Z323" s="1145"/>
      <c r="AA323" s="1145"/>
      <c r="AB323" s="1145"/>
      <c r="AC323" s="1145"/>
      <c r="AD323" s="1145"/>
    </row>
    <row r="324" spans="1:30" x14ac:dyDescent="0.2">
      <c r="A324" s="928"/>
      <c r="B324" s="928"/>
      <c r="C324" s="968"/>
      <c r="D324" s="968"/>
      <c r="E324" s="968"/>
      <c r="F324" s="968"/>
      <c r="G324" s="968"/>
      <c r="H324" s="968"/>
      <c r="I324" s="968"/>
      <c r="J324" s="968"/>
      <c r="K324" s="968"/>
      <c r="L324" s="968"/>
      <c r="M324" s="974"/>
      <c r="N324" s="974"/>
      <c r="O324" s="974"/>
      <c r="P324" s="968"/>
      <c r="Q324" s="968"/>
      <c r="R324" s="968"/>
      <c r="S324" s="968"/>
      <c r="T324" s="968"/>
      <c r="U324" s="968"/>
      <c r="V324" s="968"/>
      <c r="W324" s="968"/>
      <c r="X324" s="968"/>
      <c r="Y324" s="1145"/>
      <c r="Z324" s="1145"/>
      <c r="AA324" s="1145"/>
      <c r="AB324" s="1145"/>
      <c r="AC324" s="1145"/>
      <c r="AD324" s="1145"/>
    </row>
    <row r="325" spans="1:30" x14ac:dyDescent="0.2">
      <c r="A325" s="928">
        <v>6001</v>
      </c>
      <c r="B325" s="928" t="s">
        <v>1252</v>
      </c>
      <c r="C325" s="968">
        <v>15000000</v>
      </c>
      <c r="D325" s="968">
        <f>13021223.23+22490203</f>
        <v>35511426.230000004</v>
      </c>
      <c r="E325" s="968">
        <v>2680566.6</v>
      </c>
      <c r="F325" s="968">
        <f>D325+E325</f>
        <v>38191992.830000006</v>
      </c>
      <c r="G325" s="968">
        <v>40000000</v>
      </c>
      <c r="H325" s="968">
        <v>40000000</v>
      </c>
      <c r="I325" s="968">
        <v>40000000</v>
      </c>
      <c r="J325" s="968">
        <v>53486067</v>
      </c>
      <c r="K325" s="968"/>
      <c r="L325" s="968">
        <f>J325+K325</f>
        <v>53486067</v>
      </c>
      <c r="M325" s="974">
        <v>40000000</v>
      </c>
      <c r="N325" s="974">
        <v>40000000</v>
      </c>
      <c r="O325" s="974">
        <v>40000000</v>
      </c>
      <c r="P325" s="968">
        <f>180154437.43+0.14+14536585.7</f>
        <v>194691023.26999998</v>
      </c>
      <c r="Q325" s="968">
        <f>19596731-20420279</f>
        <v>-823548</v>
      </c>
      <c r="R325" s="968">
        <f>P325+Q325</f>
        <v>193867475.26999998</v>
      </c>
      <c r="S325" s="968">
        <v>50000000</v>
      </c>
      <c r="T325" s="968">
        <v>50000000</v>
      </c>
      <c r="U325" s="968">
        <v>50000000</v>
      </c>
      <c r="V325" s="968">
        <f>121335559.04-6739508+14726109.76</f>
        <v>129322160.80000001</v>
      </c>
      <c r="W325" s="968">
        <v>1091895</v>
      </c>
      <c r="X325" s="968">
        <f t="shared" si="78"/>
        <v>130414055.80000001</v>
      </c>
      <c r="Y325" s="1145">
        <v>50000000</v>
      </c>
      <c r="Z325" s="1145">
        <v>50000000</v>
      </c>
      <c r="AA325" s="1145">
        <v>50000000</v>
      </c>
      <c r="AB325" s="1145">
        <f>2000+74713838.76+4463166.4-3448074.62+977497.68</f>
        <v>76708428.220000014</v>
      </c>
      <c r="AC325" s="1145"/>
      <c r="AD325" s="1145">
        <f>AB325+AC325</f>
        <v>76708428.220000014</v>
      </c>
    </row>
    <row r="326" spans="1:30" x14ac:dyDescent="0.2">
      <c r="A326" s="928">
        <v>6002</v>
      </c>
      <c r="B326" s="928" t="s">
        <v>3212</v>
      </c>
      <c r="C326" s="968"/>
      <c r="D326" s="968"/>
      <c r="E326" s="968"/>
      <c r="F326" s="968"/>
      <c r="G326" s="968"/>
      <c r="H326" s="968"/>
      <c r="I326" s="968"/>
      <c r="J326" s="968"/>
      <c r="K326" s="968"/>
      <c r="L326" s="968"/>
      <c r="M326" s="974"/>
      <c r="N326" s="974"/>
      <c r="O326" s="974"/>
      <c r="P326" s="968"/>
      <c r="Q326" s="968"/>
      <c r="R326" s="968"/>
      <c r="S326" s="968"/>
      <c r="T326" s="968"/>
      <c r="U326" s="968"/>
      <c r="V326" s="968"/>
      <c r="W326" s="968"/>
      <c r="X326" s="968"/>
      <c r="Y326" s="1145"/>
      <c r="Z326" s="1145"/>
      <c r="AA326" s="1145"/>
      <c r="AB326" s="1145"/>
      <c r="AC326" s="1145"/>
      <c r="AD326" s="1145">
        <f>AB326+AC326</f>
        <v>0</v>
      </c>
    </row>
    <row r="327" spans="1:30" x14ac:dyDescent="0.2">
      <c r="A327" s="928"/>
      <c r="B327" s="976" t="s">
        <v>1230</v>
      </c>
      <c r="C327" s="1143">
        <f t="shared" ref="C327:P327" si="109">SUM(C325)</f>
        <v>15000000</v>
      </c>
      <c r="D327" s="1143">
        <f t="shared" si="109"/>
        <v>35511426.230000004</v>
      </c>
      <c r="E327" s="1143">
        <f t="shared" si="109"/>
        <v>2680566.6</v>
      </c>
      <c r="F327" s="1143">
        <f t="shared" si="109"/>
        <v>38191992.830000006</v>
      </c>
      <c r="G327" s="1143">
        <f t="shared" si="109"/>
        <v>40000000</v>
      </c>
      <c r="H327" s="1143">
        <f t="shared" si="109"/>
        <v>40000000</v>
      </c>
      <c r="I327" s="1143">
        <f t="shared" si="109"/>
        <v>40000000</v>
      </c>
      <c r="J327" s="1143">
        <f t="shared" si="109"/>
        <v>53486067</v>
      </c>
      <c r="K327" s="1143">
        <f t="shared" si="109"/>
        <v>0</v>
      </c>
      <c r="L327" s="1143">
        <f t="shared" si="109"/>
        <v>53486067</v>
      </c>
      <c r="M327" s="1144">
        <f t="shared" si="109"/>
        <v>40000000</v>
      </c>
      <c r="N327" s="1144">
        <f>SUM(N325)</f>
        <v>40000000</v>
      </c>
      <c r="O327" s="1144">
        <f t="shared" si="109"/>
        <v>40000000</v>
      </c>
      <c r="P327" s="1143">
        <f t="shared" si="109"/>
        <v>194691023.26999998</v>
      </c>
      <c r="Q327" s="1143">
        <f>SUM(Q325)</f>
        <v>-823548</v>
      </c>
      <c r="R327" s="1143">
        <f>SUM(R325)</f>
        <v>193867475.26999998</v>
      </c>
      <c r="S327" s="1143">
        <f t="shared" ref="S327:AD327" si="110">SUM(S325)</f>
        <v>50000000</v>
      </c>
      <c r="T327" s="1143">
        <f t="shared" si="110"/>
        <v>50000000</v>
      </c>
      <c r="U327" s="1143">
        <f t="shared" si="110"/>
        <v>50000000</v>
      </c>
      <c r="V327" s="1143">
        <f t="shared" si="110"/>
        <v>129322160.80000001</v>
      </c>
      <c r="W327" s="1143">
        <f t="shared" si="110"/>
        <v>1091895</v>
      </c>
      <c r="X327" s="1143">
        <f t="shared" si="110"/>
        <v>130414055.80000001</v>
      </c>
      <c r="Y327" s="1341">
        <f>SUM(Y325+Y326)</f>
        <v>50000000</v>
      </c>
      <c r="Z327" s="1341">
        <f>SUM(Z325+Z326)</f>
        <v>50000000</v>
      </c>
      <c r="AA327" s="1341">
        <f>SUM(AA325+AA326)</f>
        <v>50000000</v>
      </c>
      <c r="AB327" s="1341">
        <f>SUM(AB325+AB326)</f>
        <v>76708428.220000014</v>
      </c>
      <c r="AC327" s="1341">
        <f>SUM(AC325+AC326)</f>
        <v>0</v>
      </c>
      <c r="AD327" s="1341">
        <f t="shared" si="110"/>
        <v>76708428.220000014</v>
      </c>
    </row>
    <row r="328" spans="1:30" x14ac:dyDescent="0.2">
      <c r="A328" s="928"/>
      <c r="B328" s="928"/>
      <c r="C328" s="968"/>
      <c r="D328" s="968"/>
      <c r="E328" s="968"/>
      <c r="F328" s="968"/>
      <c r="G328" s="968"/>
      <c r="H328" s="968"/>
      <c r="I328" s="968"/>
      <c r="J328" s="968"/>
      <c r="K328" s="968"/>
      <c r="L328" s="968"/>
      <c r="M328" s="974"/>
      <c r="N328" s="974"/>
      <c r="O328" s="974"/>
      <c r="P328" s="968"/>
      <c r="Q328" s="968"/>
      <c r="R328" s="968"/>
      <c r="S328" s="968"/>
      <c r="T328" s="968"/>
      <c r="U328" s="968"/>
      <c r="V328" s="968"/>
      <c r="W328" s="968"/>
      <c r="X328" s="968"/>
      <c r="Y328" s="1145"/>
      <c r="Z328" s="1145"/>
      <c r="AA328" s="1145"/>
      <c r="AB328" s="1145"/>
      <c r="AC328" s="1145"/>
      <c r="AD328" s="1145"/>
    </row>
    <row r="329" spans="1:30" x14ac:dyDescent="0.2">
      <c r="A329" s="928">
        <v>7991</v>
      </c>
      <c r="B329" s="928" t="s">
        <v>1506</v>
      </c>
      <c r="C329" s="968"/>
      <c r="D329" s="968"/>
      <c r="E329" s="968"/>
      <c r="F329" s="968"/>
      <c r="G329" s="968"/>
      <c r="H329" s="968"/>
      <c r="I329" s="968"/>
      <c r="J329" s="968">
        <v>1178072.52</v>
      </c>
      <c r="K329" s="968"/>
      <c r="L329" s="968">
        <f>J329+K329</f>
        <v>1178072.52</v>
      </c>
      <c r="M329" s="974">
        <v>967000</v>
      </c>
      <c r="N329" s="974">
        <v>967000</v>
      </c>
      <c r="O329" s="974">
        <f>4967000-2000000</f>
        <v>2967000</v>
      </c>
      <c r="P329" s="968">
        <v>2880094.55</v>
      </c>
      <c r="Q329" s="968"/>
      <c r="R329" s="968">
        <f>P329+Q329</f>
        <v>2880094.55</v>
      </c>
      <c r="S329" s="968"/>
      <c r="T329" s="968"/>
      <c r="U329" s="968"/>
      <c r="V329" s="968"/>
      <c r="W329" s="968"/>
      <c r="X329" s="968">
        <f t="shared" si="78"/>
        <v>0</v>
      </c>
      <c r="Y329" s="1145"/>
      <c r="Z329" s="1145"/>
      <c r="AA329" s="1145"/>
      <c r="AB329" s="1145"/>
      <c r="AC329" s="1145"/>
      <c r="AD329" s="1145"/>
    </row>
    <row r="330" spans="1:30" s="459" customFormat="1" x14ac:dyDescent="0.2">
      <c r="A330" s="976"/>
      <c r="B330" s="976" t="s">
        <v>1230</v>
      </c>
      <c r="C330" s="1143"/>
      <c r="D330" s="1143"/>
      <c r="E330" s="1143"/>
      <c r="F330" s="1143"/>
      <c r="G330" s="1143"/>
      <c r="H330" s="1143"/>
      <c r="I330" s="1143"/>
      <c r="J330" s="1143">
        <f>SUM(J329)</f>
        <v>1178072.52</v>
      </c>
      <c r="K330" s="1143">
        <f t="shared" ref="K330:P330" si="111">SUM(K329)</f>
        <v>0</v>
      </c>
      <c r="L330" s="1143">
        <f t="shared" si="111"/>
        <v>1178072.52</v>
      </c>
      <c r="M330" s="1144">
        <f t="shared" si="111"/>
        <v>967000</v>
      </c>
      <c r="N330" s="1144">
        <f>SUM(N329)</f>
        <v>967000</v>
      </c>
      <c r="O330" s="1144">
        <f t="shared" si="111"/>
        <v>2967000</v>
      </c>
      <c r="P330" s="1143">
        <f t="shared" si="111"/>
        <v>2880094.55</v>
      </c>
      <c r="Q330" s="1143">
        <f>SUM(Q329)</f>
        <v>0</v>
      </c>
      <c r="R330" s="1143">
        <f>SUM(R329)</f>
        <v>2880094.55</v>
      </c>
      <c r="S330" s="1143"/>
      <c r="T330" s="1143"/>
      <c r="U330" s="1143"/>
      <c r="V330" s="1143"/>
      <c r="W330" s="1143"/>
      <c r="X330" s="1143">
        <f t="shared" si="78"/>
        <v>0</v>
      </c>
      <c r="Y330" s="1341"/>
      <c r="Z330" s="1341"/>
      <c r="AA330" s="1341"/>
      <c r="AB330" s="1341"/>
      <c r="AC330" s="1341"/>
      <c r="AD330" s="1341"/>
    </row>
    <row r="331" spans="1:30" x14ac:dyDescent="0.2">
      <c r="A331" s="928"/>
      <c r="B331" s="928"/>
      <c r="C331" s="968"/>
      <c r="D331" s="968"/>
      <c r="E331" s="968"/>
      <c r="F331" s="968"/>
      <c r="G331" s="968"/>
      <c r="H331" s="968"/>
      <c r="I331" s="968"/>
      <c r="J331" s="968"/>
      <c r="K331" s="968"/>
      <c r="L331" s="968"/>
      <c r="M331" s="974"/>
      <c r="N331" s="974"/>
      <c r="O331" s="974"/>
      <c r="P331" s="968"/>
      <c r="Q331" s="968"/>
      <c r="R331" s="968"/>
      <c r="S331" s="968"/>
      <c r="T331" s="968"/>
      <c r="U331" s="968"/>
      <c r="V331" s="968"/>
      <c r="W331" s="968"/>
      <c r="X331" s="968"/>
      <c r="Y331" s="1145"/>
      <c r="Z331" s="1145"/>
      <c r="AA331" s="1145"/>
      <c r="AB331" s="1145"/>
      <c r="AC331" s="1145"/>
      <c r="AD331" s="1145"/>
    </row>
    <row r="332" spans="1:30" x14ac:dyDescent="0.2">
      <c r="A332" s="928">
        <v>3700</v>
      </c>
      <c r="B332" s="928" t="s">
        <v>1253</v>
      </c>
      <c r="C332" s="968"/>
      <c r="D332" s="968"/>
      <c r="E332" s="968"/>
      <c r="F332" s="968"/>
      <c r="G332" s="968"/>
      <c r="H332" s="968"/>
      <c r="I332" s="968"/>
      <c r="J332" s="968"/>
      <c r="K332" s="968"/>
      <c r="L332" s="968"/>
      <c r="M332" s="974"/>
      <c r="N332" s="974"/>
      <c r="O332" s="974"/>
      <c r="P332" s="968"/>
      <c r="Q332" s="968"/>
      <c r="R332" s="968"/>
      <c r="S332" s="968"/>
      <c r="T332" s="968"/>
      <c r="U332" s="968"/>
      <c r="V332" s="968"/>
      <c r="W332" s="968"/>
      <c r="X332" s="968"/>
      <c r="Y332" s="1145"/>
      <c r="Z332" s="1145"/>
      <c r="AA332" s="1145"/>
      <c r="AB332" s="1145"/>
      <c r="AC332" s="1145"/>
      <c r="AD332" s="1145"/>
    </row>
    <row r="333" spans="1:30" x14ac:dyDescent="0.2">
      <c r="A333" s="928"/>
      <c r="B333" s="928"/>
      <c r="C333" s="968"/>
      <c r="D333" s="968"/>
      <c r="E333" s="968"/>
      <c r="F333" s="968"/>
      <c r="G333" s="968"/>
      <c r="H333" s="968"/>
      <c r="I333" s="968"/>
      <c r="J333" s="968"/>
      <c r="K333" s="968"/>
      <c r="L333" s="968"/>
      <c r="M333" s="974"/>
      <c r="N333" s="974"/>
      <c r="O333" s="974"/>
      <c r="P333" s="968"/>
      <c r="Q333" s="968"/>
      <c r="R333" s="968"/>
      <c r="S333" s="968"/>
      <c r="T333" s="968"/>
      <c r="U333" s="968"/>
      <c r="V333" s="968"/>
      <c r="W333" s="968"/>
      <c r="X333" s="968"/>
      <c r="Y333" s="1145"/>
      <c r="Z333" s="1145"/>
      <c r="AA333" s="1145"/>
      <c r="AB333" s="1145"/>
      <c r="AC333" s="1145"/>
      <c r="AD333" s="1145"/>
    </row>
    <row r="334" spans="1:30" x14ac:dyDescent="0.2">
      <c r="A334" s="928">
        <v>6401</v>
      </c>
      <c r="B334" s="928" t="s">
        <v>583</v>
      </c>
      <c r="C334" s="968">
        <v>119455000</v>
      </c>
      <c r="D334" s="968">
        <v>231254347.65000001</v>
      </c>
      <c r="E334" s="968"/>
      <c r="F334" s="968">
        <f>D334+E334</f>
        <v>231254347.65000001</v>
      </c>
      <c r="G334" s="968">
        <v>186997210</v>
      </c>
      <c r="H334" s="968">
        <f>186997210+89002790</f>
        <v>276000000</v>
      </c>
      <c r="I334" s="968">
        <v>276000000</v>
      </c>
      <c r="J334" s="968">
        <v>267116883.78999999</v>
      </c>
      <c r="K334" s="968">
        <f>-548617.25-2125074.14+621472.87+35518.61</f>
        <v>-2016699.91</v>
      </c>
      <c r="L334" s="968">
        <f>J334+K334</f>
        <v>265100183.88</v>
      </c>
      <c r="M334" s="974">
        <v>232700000</v>
      </c>
      <c r="N334" s="974">
        <v>232700000</v>
      </c>
      <c r="O334" s="974">
        <v>232700000</v>
      </c>
      <c r="P334" s="968">
        <f>354755832.82+59528428.29+22744384.72+6674298.52+12428035.73-432686.75-6914865.85+823374.23</f>
        <v>449606801.71000004</v>
      </c>
      <c r="Q334" s="968">
        <f>-665610.61+8753576.75-7077812.08-1000000</f>
        <v>10154.05999999959</v>
      </c>
      <c r="R334" s="968">
        <f>P334+Q334</f>
        <v>449616955.77000004</v>
      </c>
      <c r="S334" s="968">
        <v>265999966</v>
      </c>
      <c r="T334" s="968">
        <f>265999966-61000000</f>
        <v>204999966</v>
      </c>
      <c r="U334" s="968">
        <f>265999966-61000000</f>
        <v>204999966</v>
      </c>
      <c r="V334" s="968">
        <f>593178678.55-50919031.15</f>
        <v>542259647.39999998</v>
      </c>
      <c r="W334" s="968">
        <v>4372424.72</v>
      </c>
      <c r="X334" s="968">
        <f>V334+W334</f>
        <v>546632072.12</v>
      </c>
      <c r="Y334" s="1145">
        <v>205000000</v>
      </c>
      <c r="Z334" s="1145">
        <v>205000000</v>
      </c>
      <c r="AA334" s="1145">
        <v>205000000</v>
      </c>
      <c r="AB334" s="1145">
        <f>538860309.35+37295.09-64776820.69-197482.81-3.24+61444.6+1225447.74</f>
        <v>475210190.04000008</v>
      </c>
      <c r="AC334" s="1145"/>
      <c r="AD334" s="1145">
        <f>AB334+AC334</f>
        <v>475210190.04000008</v>
      </c>
    </row>
    <row r="335" spans="1:30" x14ac:dyDescent="0.2">
      <c r="A335" s="928"/>
      <c r="B335" s="976" t="s">
        <v>1089</v>
      </c>
      <c r="C335" s="1143">
        <f t="shared" ref="C335:Q335" si="112">SUM(C334)</f>
        <v>119455000</v>
      </c>
      <c r="D335" s="1143">
        <f t="shared" si="112"/>
        <v>231254347.65000001</v>
      </c>
      <c r="E335" s="1143">
        <f t="shared" si="112"/>
        <v>0</v>
      </c>
      <c r="F335" s="1143">
        <f t="shared" si="112"/>
        <v>231254347.65000001</v>
      </c>
      <c r="G335" s="1143">
        <f t="shared" si="112"/>
        <v>186997210</v>
      </c>
      <c r="H335" s="1143">
        <f t="shared" si="112"/>
        <v>276000000</v>
      </c>
      <c r="I335" s="1143">
        <f>SUM(I334)</f>
        <v>276000000</v>
      </c>
      <c r="J335" s="1143">
        <f t="shared" si="112"/>
        <v>267116883.78999999</v>
      </c>
      <c r="K335" s="1143">
        <f t="shared" si="112"/>
        <v>-2016699.91</v>
      </c>
      <c r="L335" s="1143">
        <f t="shared" si="112"/>
        <v>265100183.88</v>
      </c>
      <c r="M335" s="1144">
        <f t="shared" si="112"/>
        <v>232700000</v>
      </c>
      <c r="N335" s="1144">
        <f>SUM(N334)</f>
        <v>232700000</v>
      </c>
      <c r="O335" s="1144">
        <f t="shared" si="112"/>
        <v>232700000</v>
      </c>
      <c r="P335" s="1143">
        <f t="shared" si="112"/>
        <v>449606801.71000004</v>
      </c>
      <c r="Q335" s="1143">
        <f t="shared" si="112"/>
        <v>10154.05999999959</v>
      </c>
      <c r="R335" s="1143">
        <f t="shared" ref="R335:W335" si="113">SUM(R334)</f>
        <v>449616955.77000004</v>
      </c>
      <c r="S335" s="1143">
        <f t="shared" si="113"/>
        <v>265999966</v>
      </c>
      <c r="T335" s="1143">
        <f t="shared" si="113"/>
        <v>204999966</v>
      </c>
      <c r="U335" s="1143">
        <f t="shared" si="113"/>
        <v>204999966</v>
      </c>
      <c r="V335" s="1143">
        <f t="shared" si="113"/>
        <v>542259647.39999998</v>
      </c>
      <c r="W335" s="1143">
        <f t="shared" si="113"/>
        <v>4372424.72</v>
      </c>
      <c r="X335" s="1143">
        <f>X334</f>
        <v>546632072.12</v>
      </c>
      <c r="Y335" s="1341">
        <f t="shared" ref="Y335:AD335" si="114">Y334</f>
        <v>205000000</v>
      </c>
      <c r="Z335" s="1341">
        <f t="shared" si="114"/>
        <v>205000000</v>
      </c>
      <c r="AA335" s="1341">
        <f t="shared" si="114"/>
        <v>205000000</v>
      </c>
      <c r="AB335" s="1341">
        <f t="shared" si="114"/>
        <v>475210190.04000008</v>
      </c>
      <c r="AC335" s="1341">
        <f t="shared" si="114"/>
        <v>0</v>
      </c>
      <c r="AD335" s="1341">
        <f t="shared" si="114"/>
        <v>475210190.04000008</v>
      </c>
    </row>
    <row r="336" spans="1:30" x14ac:dyDescent="0.2">
      <c r="A336" s="928"/>
      <c r="B336" s="928"/>
      <c r="C336" s="968"/>
      <c r="D336" s="968"/>
      <c r="E336" s="968"/>
      <c r="F336" s="968"/>
      <c r="G336" s="968"/>
      <c r="H336" s="968"/>
      <c r="I336" s="968"/>
      <c r="J336" s="968"/>
      <c r="K336" s="968"/>
      <c r="L336" s="968"/>
      <c r="M336" s="974"/>
      <c r="N336" s="974"/>
      <c r="O336" s="974"/>
      <c r="P336" s="968"/>
      <c r="Q336" s="968"/>
      <c r="R336" s="968"/>
      <c r="S336" s="968"/>
      <c r="T336" s="968"/>
      <c r="U336" s="968"/>
      <c r="V336" s="968"/>
      <c r="W336" s="968"/>
      <c r="X336" s="968"/>
      <c r="Y336" s="1145"/>
      <c r="Z336" s="1145"/>
      <c r="AA336" s="1145"/>
      <c r="AB336" s="1145"/>
      <c r="AC336" s="1145"/>
      <c r="AD336" s="1145"/>
    </row>
    <row r="337" spans="1:30" x14ac:dyDescent="0.2">
      <c r="A337" s="928">
        <v>3900</v>
      </c>
      <c r="B337" s="928" t="s">
        <v>1254</v>
      </c>
      <c r="C337" s="968"/>
      <c r="D337" s="968"/>
      <c r="E337" s="968"/>
      <c r="F337" s="968"/>
      <c r="G337" s="968"/>
      <c r="H337" s="968"/>
      <c r="I337" s="968"/>
      <c r="J337" s="968"/>
      <c r="K337" s="968"/>
      <c r="L337" s="968"/>
      <c r="M337" s="974"/>
      <c r="N337" s="974"/>
      <c r="O337" s="974"/>
      <c r="P337" s="968"/>
      <c r="Q337" s="968"/>
      <c r="R337" s="968"/>
      <c r="S337" s="968"/>
      <c r="T337" s="968"/>
      <c r="U337" s="968"/>
      <c r="V337" s="968"/>
      <c r="W337" s="968"/>
      <c r="X337" s="968"/>
      <c r="Y337" s="1145"/>
      <c r="Z337" s="1145"/>
      <c r="AA337" s="1145"/>
      <c r="AB337" s="1145"/>
      <c r="AC337" s="1145"/>
      <c r="AD337" s="1145"/>
    </row>
    <row r="338" spans="1:30" x14ac:dyDescent="0.2">
      <c r="A338" s="928"/>
      <c r="B338" s="928"/>
      <c r="C338" s="968"/>
      <c r="D338" s="968"/>
      <c r="E338" s="968"/>
      <c r="F338" s="968"/>
      <c r="G338" s="968"/>
      <c r="H338" s="968"/>
      <c r="I338" s="968"/>
      <c r="J338" s="968"/>
      <c r="K338" s="968"/>
      <c r="L338" s="968"/>
      <c r="M338" s="974"/>
      <c r="N338" s="974"/>
      <c r="O338" s="974"/>
      <c r="P338" s="968"/>
      <c r="Q338" s="968"/>
      <c r="R338" s="968"/>
      <c r="S338" s="968"/>
      <c r="T338" s="968"/>
      <c r="U338" s="968"/>
      <c r="V338" s="968"/>
      <c r="W338" s="968"/>
      <c r="X338" s="968"/>
      <c r="Y338" s="1145"/>
      <c r="Z338" s="1145"/>
      <c r="AA338" s="1145"/>
      <c r="AB338" s="1145"/>
      <c r="AC338" s="1145"/>
      <c r="AD338" s="1145"/>
    </row>
    <row r="339" spans="1:30" x14ac:dyDescent="0.2">
      <c r="A339" s="928">
        <v>6601</v>
      </c>
      <c r="B339" s="928" t="s">
        <v>1255</v>
      </c>
      <c r="C339" s="968">
        <v>32214100</v>
      </c>
      <c r="D339" s="968">
        <v>29426803.32</v>
      </c>
      <c r="E339" s="968"/>
      <c r="F339" s="968">
        <f>D339+E339</f>
        <v>29426803.32</v>
      </c>
      <c r="G339" s="968">
        <v>31486400</v>
      </c>
      <c r="H339" s="968">
        <v>31486400</v>
      </c>
      <c r="I339" s="968">
        <v>31486400</v>
      </c>
      <c r="J339" s="968">
        <v>29594115.18</v>
      </c>
      <c r="K339" s="968">
        <v>64193.752581885201</v>
      </c>
      <c r="L339" s="968">
        <f>J339+K339</f>
        <v>29658308.932581887</v>
      </c>
      <c r="M339" s="974">
        <v>27155000</v>
      </c>
      <c r="N339" s="974">
        <v>27155000</v>
      </c>
      <c r="O339" s="974">
        <f>36426000+728000</f>
        <v>37154000</v>
      </c>
      <c r="P339" s="968">
        <f>26317073.07+10108905.99+728004.97</f>
        <v>37153984.030000001</v>
      </c>
      <c r="Q339" s="968"/>
      <c r="R339" s="968">
        <f>P339+Q339+197928</f>
        <v>37351912.030000001</v>
      </c>
      <c r="S339" s="968">
        <v>23747000</v>
      </c>
      <c r="T339" s="968">
        <v>23747000</v>
      </c>
      <c r="U339" s="968">
        <v>38372000</v>
      </c>
      <c r="V339" s="968">
        <f>25264535.95+13106579.89</f>
        <v>38371115.840000004</v>
      </c>
      <c r="W339" s="968">
        <v>-184469.59</v>
      </c>
      <c r="X339" s="968">
        <f>V339+W339</f>
        <v>38186646.25</v>
      </c>
      <c r="Y339" s="1145">
        <v>37000000</v>
      </c>
      <c r="Z339" s="1145">
        <v>38428000</v>
      </c>
      <c r="AA339" s="1145">
        <v>35585363</v>
      </c>
      <c r="AB339" s="1145">
        <v>33955930.579999998</v>
      </c>
      <c r="AC339" s="1145"/>
      <c r="AD339" s="1145">
        <f>AB339+AC339</f>
        <v>33955930.579999998</v>
      </c>
    </row>
    <row r="340" spans="1:30" x14ac:dyDescent="0.2">
      <c r="A340" s="928">
        <v>6604</v>
      </c>
      <c r="B340" s="928" t="s">
        <v>1256</v>
      </c>
      <c r="C340" s="968">
        <v>0</v>
      </c>
      <c r="D340" s="968">
        <v>0</v>
      </c>
      <c r="E340" s="968"/>
      <c r="F340" s="968">
        <f>D340+E340</f>
        <v>0</v>
      </c>
      <c r="G340" s="968"/>
      <c r="H340" s="968"/>
      <c r="I340" s="968"/>
      <c r="J340" s="968">
        <v>0</v>
      </c>
      <c r="K340" s="968"/>
      <c r="L340" s="968">
        <f>J340+K340</f>
        <v>0</v>
      </c>
      <c r="M340" s="974"/>
      <c r="N340" s="974"/>
      <c r="O340" s="974"/>
      <c r="P340" s="968">
        <v>0</v>
      </c>
      <c r="Q340" s="968"/>
      <c r="R340" s="968">
        <f>P340+Q340</f>
        <v>0</v>
      </c>
      <c r="S340" s="968"/>
      <c r="T340" s="968"/>
      <c r="U340" s="968"/>
      <c r="V340" s="968">
        <v>0</v>
      </c>
      <c r="W340" s="968"/>
      <c r="X340" s="968">
        <f>V340+W340</f>
        <v>0</v>
      </c>
      <c r="Y340" s="1145"/>
      <c r="Z340" s="1145"/>
      <c r="AA340" s="1145"/>
      <c r="AB340" s="1145">
        <v>0</v>
      </c>
      <c r="AC340" s="1145"/>
      <c r="AD340" s="1145">
        <f>AB340+AC340</f>
        <v>0</v>
      </c>
    </row>
    <row r="341" spans="1:30" x14ac:dyDescent="0.2">
      <c r="A341" s="928"/>
      <c r="B341" s="976" t="s">
        <v>1230</v>
      </c>
      <c r="C341" s="1143">
        <f t="shared" ref="C341:P341" si="115">SUM(C339:C340)</f>
        <v>32214100</v>
      </c>
      <c r="D341" s="1143">
        <f t="shared" si="115"/>
        <v>29426803.32</v>
      </c>
      <c r="E341" s="1143">
        <f t="shared" si="115"/>
        <v>0</v>
      </c>
      <c r="F341" s="1143">
        <f t="shared" si="115"/>
        <v>29426803.32</v>
      </c>
      <c r="G341" s="1143">
        <f t="shared" si="115"/>
        <v>31486400</v>
      </c>
      <c r="H341" s="1143">
        <f>SUM(H339:H340)</f>
        <v>31486400</v>
      </c>
      <c r="I341" s="1143">
        <f>SUM(I339:I340)</f>
        <v>31486400</v>
      </c>
      <c r="J341" s="1143">
        <f t="shared" si="115"/>
        <v>29594115.18</v>
      </c>
      <c r="K341" s="1143">
        <f t="shared" si="115"/>
        <v>64193.752581885201</v>
      </c>
      <c r="L341" s="1143">
        <f t="shared" si="115"/>
        <v>29658308.932581887</v>
      </c>
      <c r="M341" s="1144">
        <f t="shared" si="115"/>
        <v>27155000</v>
      </c>
      <c r="N341" s="1144">
        <f>SUM(N339:N340)</f>
        <v>27155000</v>
      </c>
      <c r="O341" s="1144">
        <f t="shared" si="115"/>
        <v>37154000</v>
      </c>
      <c r="P341" s="1143">
        <f t="shared" si="115"/>
        <v>37153984.030000001</v>
      </c>
      <c r="Q341" s="1143">
        <f>SUM(Q339:Q340)</f>
        <v>0</v>
      </c>
      <c r="R341" s="1143">
        <f>SUM(R339:R340)</f>
        <v>37351912.030000001</v>
      </c>
      <c r="S341" s="1143">
        <f t="shared" ref="S341:AD341" si="116">SUM(S339:S340)</f>
        <v>23747000</v>
      </c>
      <c r="T341" s="1143">
        <f t="shared" si="116"/>
        <v>23747000</v>
      </c>
      <c r="U341" s="1143">
        <f t="shared" si="116"/>
        <v>38372000</v>
      </c>
      <c r="V341" s="1143">
        <f t="shared" si="116"/>
        <v>38371115.840000004</v>
      </c>
      <c r="W341" s="1143">
        <f t="shared" si="116"/>
        <v>-184469.59</v>
      </c>
      <c r="X341" s="1143">
        <f t="shared" si="116"/>
        <v>38186646.25</v>
      </c>
      <c r="Y341" s="1341">
        <f t="shared" si="116"/>
        <v>37000000</v>
      </c>
      <c r="Z341" s="1341">
        <f t="shared" si="116"/>
        <v>38428000</v>
      </c>
      <c r="AA341" s="1341">
        <f t="shared" si="116"/>
        <v>35585363</v>
      </c>
      <c r="AB341" s="1341">
        <f t="shared" si="116"/>
        <v>33955930.579999998</v>
      </c>
      <c r="AC341" s="1341">
        <f t="shared" si="116"/>
        <v>0</v>
      </c>
      <c r="AD341" s="1341">
        <f t="shared" si="116"/>
        <v>33955930.579999998</v>
      </c>
    </row>
    <row r="342" spans="1:30" x14ac:dyDescent="0.2">
      <c r="A342" s="928"/>
      <c r="B342" s="928"/>
      <c r="C342" s="968"/>
      <c r="D342" s="968"/>
      <c r="E342" s="968"/>
      <c r="F342" s="968"/>
      <c r="G342" s="968"/>
      <c r="H342" s="968"/>
      <c r="I342" s="968"/>
      <c r="J342" s="968"/>
      <c r="K342" s="968"/>
      <c r="L342" s="968"/>
      <c r="M342" s="974"/>
      <c r="N342" s="974"/>
      <c r="O342" s="974"/>
      <c r="P342" s="968"/>
      <c r="Q342" s="968"/>
      <c r="R342" s="968"/>
      <c r="S342" s="968"/>
      <c r="T342" s="968"/>
      <c r="U342" s="968"/>
      <c r="V342" s="968"/>
      <c r="W342" s="968"/>
      <c r="X342" s="968"/>
      <c r="Y342" s="1145"/>
      <c r="Z342" s="1145"/>
      <c r="AA342" s="1145"/>
      <c r="AB342" s="1145"/>
      <c r="AC342" s="1145"/>
      <c r="AD342" s="1145"/>
    </row>
    <row r="343" spans="1:30" x14ac:dyDescent="0.2">
      <c r="A343" s="928">
        <v>4100</v>
      </c>
      <c r="B343" s="928" t="s">
        <v>76</v>
      </c>
      <c r="C343" s="968"/>
      <c r="D343" s="968"/>
      <c r="E343" s="968"/>
      <c r="F343" s="968"/>
      <c r="G343" s="968"/>
      <c r="H343" s="968"/>
      <c r="I343" s="968"/>
      <c r="J343" s="968"/>
      <c r="K343" s="968"/>
      <c r="L343" s="968"/>
      <c r="M343" s="974"/>
      <c r="N343" s="974"/>
      <c r="O343" s="974"/>
      <c r="P343" s="968"/>
      <c r="Q343" s="968"/>
      <c r="R343" s="968"/>
      <c r="S343" s="968"/>
      <c r="T343" s="968"/>
      <c r="U343" s="968"/>
      <c r="V343" s="968"/>
      <c r="W343" s="968"/>
      <c r="X343" s="968"/>
      <c r="Y343" s="1145"/>
      <c r="Z343" s="1145"/>
      <c r="AA343" s="1145"/>
      <c r="AB343" s="1145"/>
      <c r="AC343" s="1145"/>
      <c r="AD343" s="1145"/>
    </row>
    <row r="344" spans="1:30" x14ac:dyDescent="0.2">
      <c r="A344" s="928"/>
      <c r="B344" s="928"/>
      <c r="C344" s="968"/>
      <c r="D344" s="968"/>
      <c r="E344" s="968"/>
      <c r="F344" s="968"/>
      <c r="G344" s="968"/>
      <c r="H344" s="968"/>
      <c r="I344" s="968"/>
      <c r="J344" s="968"/>
      <c r="K344" s="968"/>
      <c r="L344" s="968"/>
      <c r="M344" s="974"/>
      <c r="N344" s="974"/>
      <c r="O344" s="974"/>
      <c r="P344" s="968"/>
      <c r="Q344" s="968"/>
      <c r="R344" s="968"/>
      <c r="S344" s="968"/>
      <c r="T344" s="968"/>
      <c r="U344" s="968"/>
      <c r="V344" s="968"/>
      <c r="W344" s="968"/>
      <c r="X344" s="968"/>
      <c r="Y344" s="1145"/>
      <c r="Z344" s="1145"/>
      <c r="AA344" s="1145"/>
      <c r="AB344" s="1145"/>
      <c r="AC344" s="1145"/>
      <c r="AD344" s="1145"/>
    </row>
    <row r="345" spans="1:30" x14ac:dyDescent="0.2">
      <c r="A345" s="928">
        <v>7001</v>
      </c>
      <c r="B345" s="928" t="s">
        <v>1257</v>
      </c>
      <c r="C345" s="968">
        <v>413000000</v>
      </c>
      <c r="D345" s="968">
        <v>402771978.31999999</v>
      </c>
      <c r="E345" s="968"/>
      <c r="F345" s="968">
        <f>D345+E345</f>
        <v>402771978.31999999</v>
      </c>
      <c r="G345" s="968">
        <v>460546000</v>
      </c>
      <c r="H345" s="968">
        <v>460546000</v>
      </c>
      <c r="I345" s="968">
        <v>460546000</v>
      </c>
      <c r="J345" s="968">
        <v>455813129.81</v>
      </c>
      <c r="K345" s="968"/>
      <c r="L345" s="968">
        <f>J345+K345</f>
        <v>455813129.81</v>
      </c>
      <c r="M345" s="974">
        <v>500000000</v>
      </c>
      <c r="N345" s="974">
        <v>500000000</v>
      </c>
      <c r="O345" s="974">
        <v>493410000</v>
      </c>
      <c r="P345" s="968">
        <v>477745013.56999999</v>
      </c>
      <c r="Q345" s="968"/>
      <c r="R345" s="968">
        <f>P345+Q345</f>
        <v>477745013.56999999</v>
      </c>
      <c r="S345" s="968">
        <v>540000000</v>
      </c>
      <c r="T345" s="968">
        <v>540000000</v>
      </c>
      <c r="U345" s="968">
        <f>537625000-18000000</f>
        <v>519625000</v>
      </c>
      <c r="V345" s="968">
        <v>517688732.06</v>
      </c>
      <c r="W345" s="968"/>
      <c r="X345" s="968">
        <f>V345+W345</f>
        <v>517688732.06</v>
      </c>
      <c r="Y345" s="1145">
        <v>602000000</v>
      </c>
      <c r="Z345" s="1145">
        <v>597000000</v>
      </c>
      <c r="AA345" s="1145">
        <v>591441192</v>
      </c>
      <c r="AB345" s="1145">
        <v>591292281.17999995</v>
      </c>
      <c r="AC345" s="1145"/>
      <c r="AD345" s="1145">
        <f>AB345+AC345</f>
        <v>591292281.17999995</v>
      </c>
    </row>
    <row r="346" spans="1:30" x14ac:dyDescent="0.2">
      <c r="A346" s="928">
        <v>7005</v>
      </c>
      <c r="B346" s="928" t="s">
        <v>762</v>
      </c>
      <c r="C346" s="968">
        <v>67404000</v>
      </c>
      <c r="D346" s="968">
        <v>75509665.590000004</v>
      </c>
      <c r="E346" s="968"/>
      <c r="F346" s="968">
        <f>D346+E346</f>
        <v>75509665.590000004</v>
      </c>
      <c r="G346" s="968">
        <v>75440000</v>
      </c>
      <c r="H346" s="968">
        <f>75440000+5560000</f>
        <v>81000000</v>
      </c>
      <c r="I346" s="968">
        <v>124200000</v>
      </c>
      <c r="J346" s="968">
        <v>81259277.269999996</v>
      </c>
      <c r="K346" s="968"/>
      <c r="L346" s="968">
        <f>J346+K346</f>
        <v>81259277.269999996</v>
      </c>
      <c r="M346" s="974">
        <v>97500000</v>
      </c>
      <c r="N346" s="974">
        <f>97500000-1500000</f>
        <v>96000000</v>
      </c>
      <c r="O346" s="974">
        <v>96232040</v>
      </c>
      <c r="P346" s="968">
        <v>95596808.109999999</v>
      </c>
      <c r="Q346" s="968"/>
      <c r="R346" s="968">
        <f>P346+Q346</f>
        <v>95596808.109999999</v>
      </c>
      <c r="S346" s="968">
        <v>103000000</v>
      </c>
      <c r="T346" s="968">
        <v>103000000</v>
      </c>
      <c r="U346" s="968">
        <v>96621770</v>
      </c>
      <c r="V346" s="968">
        <f>95784607.17+43345.83</f>
        <v>95827953</v>
      </c>
      <c r="W346" s="968"/>
      <c r="X346" s="968">
        <f>V346+W346</f>
        <v>95827953</v>
      </c>
      <c r="Y346" s="1145">
        <v>100936000</v>
      </c>
      <c r="Z346" s="1145">
        <v>100936000</v>
      </c>
      <c r="AA346" s="1145">
        <v>95830527</v>
      </c>
      <c r="AB346" s="1145">
        <v>95366396.209999993</v>
      </c>
      <c r="AC346" s="1145"/>
      <c r="AD346" s="1145">
        <f>AB346+AC346</f>
        <v>95366396.209999993</v>
      </c>
    </row>
    <row r="347" spans="1:30" x14ac:dyDescent="0.2">
      <c r="A347" s="928">
        <v>7007</v>
      </c>
      <c r="B347" s="928" t="s">
        <v>1258</v>
      </c>
      <c r="C347" s="968">
        <v>41613000</v>
      </c>
      <c r="D347" s="968">
        <v>40514894.479999997</v>
      </c>
      <c r="E347" s="968"/>
      <c r="F347" s="968">
        <f>D347+E347</f>
        <v>40514894.479999997</v>
      </c>
      <c r="G347" s="968">
        <v>44296000</v>
      </c>
      <c r="H347" s="968">
        <f>44296000+1704000</f>
        <v>46000000</v>
      </c>
      <c r="I347" s="968"/>
      <c r="J347" s="968">
        <v>44228544.729999997</v>
      </c>
      <c r="K347" s="968"/>
      <c r="L347" s="968">
        <f>J347+K347</f>
        <v>44228544.729999997</v>
      </c>
      <c r="M347" s="974">
        <v>60500000</v>
      </c>
      <c r="N347" s="974">
        <f>60500000-2000000-3000000-4000000</f>
        <v>51500000</v>
      </c>
      <c r="O347" s="974">
        <v>51267960</v>
      </c>
      <c r="P347" s="968">
        <v>45811019.689999998</v>
      </c>
      <c r="Q347" s="968"/>
      <c r="R347" s="968">
        <f>P347+Q347</f>
        <v>45811019.689999998</v>
      </c>
      <c r="S347" s="968">
        <v>55000000</v>
      </c>
      <c r="T347" s="968">
        <v>55000000</v>
      </c>
      <c r="U347" s="968">
        <v>61378230</v>
      </c>
      <c r="V347" s="968">
        <v>61378220.759999998</v>
      </c>
      <c r="W347" s="968"/>
      <c r="X347" s="968">
        <f>V347+W347</f>
        <v>61378220.759999998</v>
      </c>
      <c r="Y347" s="1145">
        <v>64064000</v>
      </c>
      <c r="Z347" s="1145">
        <v>57564000</v>
      </c>
      <c r="AA347" s="1145">
        <v>61619473</v>
      </c>
      <c r="AB347" s="1145">
        <v>61619472.899999999</v>
      </c>
      <c r="AC347" s="1145"/>
      <c r="AD347" s="1145">
        <f>AB347+AC347</f>
        <v>61619472.899999999</v>
      </c>
    </row>
    <row r="348" spans="1:30" x14ac:dyDescent="0.2">
      <c r="A348" s="928"/>
      <c r="B348" s="976" t="s">
        <v>1089</v>
      </c>
      <c r="C348" s="1143">
        <f t="shared" ref="C348:P348" si="117">SUM(C345:C347)</f>
        <v>522017000</v>
      </c>
      <c r="D348" s="1143">
        <f t="shared" si="117"/>
        <v>518796538.38999999</v>
      </c>
      <c r="E348" s="1143">
        <f t="shared" si="117"/>
        <v>0</v>
      </c>
      <c r="F348" s="1143">
        <f t="shared" si="117"/>
        <v>518796538.38999999</v>
      </c>
      <c r="G348" s="1143">
        <f t="shared" si="117"/>
        <v>580282000</v>
      </c>
      <c r="H348" s="1143">
        <f t="shared" si="117"/>
        <v>587546000</v>
      </c>
      <c r="I348" s="1143">
        <f t="shared" si="117"/>
        <v>584746000</v>
      </c>
      <c r="J348" s="1143">
        <f t="shared" si="117"/>
        <v>581300951.81000006</v>
      </c>
      <c r="K348" s="1143">
        <f t="shared" si="117"/>
        <v>0</v>
      </c>
      <c r="L348" s="1143">
        <f t="shared" si="117"/>
        <v>581300951.81000006</v>
      </c>
      <c r="M348" s="1144">
        <f t="shared" si="117"/>
        <v>658000000</v>
      </c>
      <c r="N348" s="1144">
        <f>SUM(N345:N347)</f>
        <v>647500000</v>
      </c>
      <c r="O348" s="1144">
        <f t="shared" si="117"/>
        <v>640910000</v>
      </c>
      <c r="P348" s="1143">
        <f t="shared" si="117"/>
        <v>619152841.36999989</v>
      </c>
      <c r="Q348" s="1143">
        <f>SUM(Q345:Q347)</f>
        <v>0</v>
      </c>
      <c r="R348" s="1143">
        <f>SUM(R345:R347)</f>
        <v>619152841.36999989</v>
      </c>
      <c r="S348" s="1143">
        <f t="shared" ref="S348:AD348" si="118">SUM(S345:S347)</f>
        <v>698000000</v>
      </c>
      <c r="T348" s="1143">
        <f t="shared" si="118"/>
        <v>698000000</v>
      </c>
      <c r="U348" s="1143">
        <f t="shared" si="118"/>
        <v>677625000</v>
      </c>
      <c r="V348" s="1143">
        <f t="shared" si="118"/>
        <v>674894905.81999993</v>
      </c>
      <c r="W348" s="1143">
        <f t="shared" si="118"/>
        <v>0</v>
      </c>
      <c r="X348" s="1143">
        <f t="shared" si="118"/>
        <v>674894905.81999993</v>
      </c>
      <c r="Y348" s="1341">
        <f t="shared" si="118"/>
        <v>767000000</v>
      </c>
      <c r="Z348" s="1341">
        <f t="shared" si="118"/>
        <v>755500000</v>
      </c>
      <c r="AA348" s="1341">
        <f t="shared" si="118"/>
        <v>748891192</v>
      </c>
      <c r="AB348" s="1341">
        <f t="shared" si="118"/>
        <v>748278150.28999996</v>
      </c>
      <c r="AC348" s="1341">
        <f t="shared" si="118"/>
        <v>0</v>
      </c>
      <c r="AD348" s="1341">
        <f t="shared" si="118"/>
        <v>748278150.28999996</v>
      </c>
    </row>
    <row r="349" spans="1:30" x14ac:dyDescent="0.2">
      <c r="A349" s="928"/>
      <c r="B349" s="928"/>
      <c r="C349" s="968"/>
      <c r="D349" s="968"/>
      <c r="E349" s="968"/>
      <c r="F349" s="968"/>
      <c r="G349" s="968"/>
      <c r="H349" s="968"/>
      <c r="I349" s="968"/>
      <c r="J349" s="968"/>
      <c r="K349" s="968"/>
      <c r="L349" s="968"/>
      <c r="M349" s="974"/>
      <c r="N349" s="974"/>
      <c r="O349" s="974"/>
      <c r="P349" s="968"/>
      <c r="Q349" s="968"/>
      <c r="R349" s="968"/>
      <c r="S349" s="968"/>
      <c r="T349" s="968"/>
      <c r="U349" s="968"/>
      <c r="V349" s="968"/>
      <c r="W349" s="968"/>
      <c r="X349" s="968"/>
      <c r="Y349" s="1145"/>
      <c r="Z349" s="1145"/>
      <c r="AA349" s="1145"/>
      <c r="AB349" s="1145"/>
      <c r="AC349" s="1145"/>
      <c r="AD349" s="1145"/>
    </row>
    <row r="350" spans="1:30" x14ac:dyDescent="0.2">
      <c r="A350" s="928">
        <v>4110</v>
      </c>
      <c r="B350" s="928" t="s">
        <v>1259</v>
      </c>
      <c r="C350" s="968"/>
      <c r="D350" s="968"/>
      <c r="E350" s="968"/>
      <c r="F350" s="968"/>
      <c r="G350" s="968"/>
      <c r="H350" s="968"/>
      <c r="I350" s="968"/>
      <c r="J350" s="968"/>
      <c r="K350" s="968"/>
      <c r="L350" s="968"/>
      <c r="M350" s="974"/>
      <c r="N350" s="974"/>
      <c r="O350" s="974"/>
      <c r="P350" s="968"/>
      <c r="Q350" s="968"/>
      <c r="R350" s="968"/>
      <c r="S350" s="968"/>
      <c r="T350" s="968"/>
      <c r="U350" s="968"/>
      <c r="V350" s="968"/>
      <c r="W350" s="968"/>
      <c r="X350" s="968"/>
      <c r="Y350" s="1145"/>
      <c r="Z350" s="1145"/>
      <c r="AA350" s="1145"/>
      <c r="AB350" s="1145"/>
      <c r="AC350" s="1145"/>
      <c r="AD350" s="1145"/>
    </row>
    <row r="351" spans="1:30" x14ac:dyDescent="0.2">
      <c r="A351" s="928"/>
      <c r="B351" s="928"/>
      <c r="C351" s="968"/>
      <c r="D351" s="968"/>
      <c r="E351" s="968"/>
      <c r="F351" s="968"/>
      <c r="G351" s="968"/>
      <c r="H351" s="968"/>
      <c r="I351" s="968"/>
      <c r="J351" s="968"/>
      <c r="K351" s="968"/>
      <c r="L351" s="968"/>
      <c r="M351" s="974"/>
      <c r="N351" s="974"/>
      <c r="O351" s="974"/>
      <c r="P351" s="968"/>
      <c r="Q351" s="968"/>
      <c r="R351" s="968"/>
      <c r="S351" s="968"/>
      <c r="T351" s="968"/>
      <c r="U351" s="968"/>
      <c r="V351" s="968"/>
      <c r="W351" s="968"/>
      <c r="X351" s="968"/>
      <c r="Y351" s="1145"/>
      <c r="Z351" s="1145"/>
      <c r="AA351" s="1145"/>
      <c r="AB351" s="1145"/>
      <c r="AC351" s="1145"/>
      <c r="AD351" s="1145"/>
    </row>
    <row r="352" spans="1:30" x14ac:dyDescent="0.2">
      <c r="A352" s="928">
        <v>7201</v>
      </c>
      <c r="B352" s="928" t="s">
        <v>1260</v>
      </c>
      <c r="C352" s="968">
        <v>3000</v>
      </c>
      <c r="D352" s="968">
        <v>0</v>
      </c>
      <c r="E352" s="968"/>
      <c r="F352" s="968">
        <f>D352+E352</f>
        <v>0</v>
      </c>
      <c r="G352" s="968">
        <v>3180</v>
      </c>
      <c r="H352" s="968">
        <v>3180</v>
      </c>
      <c r="I352" s="968">
        <v>3180</v>
      </c>
      <c r="J352" s="968">
        <v>0</v>
      </c>
      <c r="K352" s="968"/>
      <c r="L352" s="968">
        <f t="shared" ref="L352:L382" si="119">J352+K352</f>
        <v>0</v>
      </c>
      <c r="M352" s="974">
        <v>3180</v>
      </c>
      <c r="N352" s="974">
        <v>3180</v>
      </c>
      <c r="O352" s="974">
        <v>3180</v>
      </c>
      <c r="P352" s="968">
        <v>0</v>
      </c>
      <c r="Q352" s="968"/>
      <c r="R352" s="968">
        <f t="shared" ref="R352:R383" si="120">P352+Q352</f>
        <v>0</v>
      </c>
      <c r="S352" s="968">
        <v>20000</v>
      </c>
      <c r="T352" s="968">
        <v>20000</v>
      </c>
      <c r="U352" s="968">
        <v>20000</v>
      </c>
      <c r="V352" s="968"/>
      <c r="W352" s="968"/>
      <c r="X352" s="968">
        <f t="shared" ref="X352:X383" si="121">V352+W352</f>
        <v>0</v>
      </c>
      <c r="Y352" s="1145"/>
      <c r="Z352" s="1145"/>
      <c r="AA352" s="1145"/>
      <c r="AB352" s="1145"/>
      <c r="AC352" s="1145"/>
      <c r="AD352" s="1145">
        <f t="shared" ref="AD352:AD403" si="122">AB352+AC352</f>
        <v>0</v>
      </c>
    </row>
    <row r="353" spans="1:30" x14ac:dyDescent="0.2">
      <c r="A353" s="928">
        <v>7204</v>
      </c>
      <c r="B353" s="928" t="s">
        <v>264</v>
      </c>
      <c r="C353" s="968">
        <v>200000</v>
      </c>
      <c r="D353" s="968">
        <v>0</v>
      </c>
      <c r="E353" s="968"/>
      <c r="F353" s="968">
        <f>D353+E353</f>
        <v>0</v>
      </c>
      <c r="G353" s="968">
        <v>212000</v>
      </c>
      <c r="H353" s="968">
        <v>212000</v>
      </c>
      <c r="I353" s="968">
        <v>212000</v>
      </c>
      <c r="J353" s="968">
        <v>191928.53</v>
      </c>
      <c r="K353" s="968"/>
      <c r="L353" s="968">
        <f t="shared" si="119"/>
        <v>191928.53</v>
      </c>
      <c r="M353" s="974">
        <v>212000</v>
      </c>
      <c r="N353" s="974">
        <v>212000</v>
      </c>
      <c r="O353" s="974">
        <v>212000</v>
      </c>
      <c r="P353" s="968">
        <v>49936.09</v>
      </c>
      <c r="Q353" s="968"/>
      <c r="R353" s="968">
        <f t="shared" si="120"/>
        <v>49936.09</v>
      </c>
      <c r="S353" s="968">
        <v>200000</v>
      </c>
      <c r="T353" s="968">
        <v>200000</v>
      </c>
      <c r="U353" s="968">
        <f>130000-130000</f>
        <v>0</v>
      </c>
      <c r="V353" s="968"/>
      <c r="W353" s="968"/>
      <c r="X353" s="968">
        <f t="shared" si="121"/>
        <v>0</v>
      </c>
      <c r="Y353" s="1145">
        <v>100000</v>
      </c>
      <c r="Z353" s="1145"/>
      <c r="AA353" s="1145"/>
      <c r="AB353" s="1145"/>
      <c r="AC353" s="1145"/>
      <c r="AD353" s="1145">
        <f t="shared" si="122"/>
        <v>0</v>
      </c>
    </row>
    <row r="354" spans="1:30" x14ac:dyDescent="0.2">
      <c r="A354" s="928">
        <v>7206</v>
      </c>
      <c r="B354" s="928" t="s">
        <v>239</v>
      </c>
      <c r="C354" s="968">
        <v>52500</v>
      </c>
      <c r="D354" s="968">
        <v>42161.34</v>
      </c>
      <c r="E354" s="968"/>
      <c r="F354" s="968">
        <f>D354+E354</f>
        <v>42161.34</v>
      </c>
      <c r="G354" s="968">
        <v>55650</v>
      </c>
      <c r="H354" s="968">
        <v>55650</v>
      </c>
      <c r="I354" s="968">
        <v>55650</v>
      </c>
      <c r="J354" s="968">
        <v>19512.5</v>
      </c>
      <c r="K354" s="968"/>
      <c r="L354" s="968">
        <f t="shared" si="119"/>
        <v>19512.5</v>
      </c>
      <c r="M354" s="974">
        <v>55650</v>
      </c>
      <c r="N354" s="974">
        <v>55650</v>
      </c>
      <c r="O354" s="974">
        <v>55650</v>
      </c>
      <c r="P354" s="968">
        <v>28000</v>
      </c>
      <c r="Q354" s="968"/>
      <c r="R354" s="968">
        <f t="shared" si="120"/>
        <v>28000</v>
      </c>
      <c r="S354" s="968">
        <v>50000</v>
      </c>
      <c r="T354" s="968">
        <v>50000</v>
      </c>
      <c r="U354" s="968">
        <v>50000</v>
      </c>
      <c r="V354" s="968">
        <v>36225.980000000003</v>
      </c>
      <c r="W354" s="968"/>
      <c r="X354" s="968">
        <f t="shared" si="121"/>
        <v>36225.980000000003</v>
      </c>
      <c r="Y354" s="1145">
        <v>52900</v>
      </c>
      <c r="Z354" s="1145">
        <v>22900</v>
      </c>
      <c r="AA354" s="1145">
        <v>22900</v>
      </c>
      <c r="AB354" s="1145">
        <v>1320</v>
      </c>
      <c r="AC354" s="1145"/>
      <c r="AD354" s="1145">
        <f t="shared" si="122"/>
        <v>1320</v>
      </c>
    </row>
    <row r="355" spans="1:30" x14ac:dyDescent="0.2">
      <c r="A355" s="928">
        <v>7208</v>
      </c>
      <c r="B355" s="928" t="s">
        <v>1261</v>
      </c>
      <c r="C355" s="968">
        <v>7186178</v>
      </c>
      <c r="D355" s="968">
        <v>5167730.84</v>
      </c>
      <c r="E355" s="968"/>
      <c r="F355" s="968">
        <f>D355+E355</f>
        <v>5167730.84</v>
      </c>
      <c r="G355" s="968">
        <v>4846352</v>
      </c>
      <c r="H355" s="968">
        <f>4846352+1500000</f>
        <v>6346352</v>
      </c>
      <c r="I355" s="968">
        <v>7196352</v>
      </c>
      <c r="J355" s="968">
        <f>7762068.05+439140</f>
        <v>8201208.0499999998</v>
      </c>
      <c r="K355" s="968"/>
      <c r="L355" s="968">
        <f t="shared" si="119"/>
        <v>8201208.0499999998</v>
      </c>
      <c r="M355" s="974">
        <v>7626652</v>
      </c>
      <c r="N355" s="974">
        <f>7626652+800000+54800+600000+350000+300000</f>
        <v>9731452</v>
      </c>
      <c r="O355" s="974">
        <v>11856452</v>
      </c>
      <c r="P355" s="968">
        <f>11198388.69+49656.52</f>
        <v>11248045.209999999</v>
      </c>
      <c r="Q355" s="968"/>
      <c r="R355" s="968">
        <f t="shared" si="120"/>
        <v>11248045.209999999</v>
      </c>
      <c r="S355" s="968">
        <v>12558000</v>
      </c>
      <c r="T355" s="968">
        <v>12558000</v>
      </c>
      <c r="U355" s="968">
        <f>14945178+130000</f>
        <v>15075178</v>
      </c>
      <c r="V355" s="968">
        <f>14945168.66+44113.09+58752</f>
        <v>15048033.75</v>
      </c>
      <c r="W355" s="968"/>
      <c r="X355" s="968">
        <f t="shared" si="121"/>
        <v>15048033.75</v>
      </c>
      <c r="Y355" s="1145">
        <v>17258364</v>
      </c>
      <c r="Z355" s="1145">
        <v>17918364</v>
      </c>
      <c r="AA355" s="1145">
        <v>19432304</v>
      </c>
      <c r="AB355" s="1145">
        <v>19404311.600000001</v>
      </c>
      <c r="AC355" s="1145"/>
      <c r="AD355" s="1145">
        <f t="shared" si="122"/>
        <v>19404311.600000001</v>
      </c>
    </row>
    <row r="356" spans="1:30" x14ac:dyDescent="0.2">
      <c r="A356" s="928">
        <v>7209</v>
      </c>
      <c r="B356" s="928" t="s">
        <v>2959</v>
      </c>
      <c r="C356" s="968"/>
      <c r="D356" s="968"/>
      <c r="E356" s="968"/>
      <c r="F356" s="968"/>
      <c r="G356" s="968">
        <v>153648</v>
      </c>
      <c r="H356" s="968">
        <v>153648</v>
      </c>
      <c r="I356" s="968">
        <v>153648</v>
      </c>
      <c r="J356" s="968">
        <v>97304.24</v>
      </c>
      <c r="K356" s="968"/>
      <c r="L356" s="968">
        <f t="shared" si="119"/>
        <v>97304.24</v>
      </c>
      <c r="M356" s="974">
        <v>153648</v>
      </c>
      <c r="N356" s="974">
        <f>153648+150200</f>
        <v>303848</v>
      </c>
      <c r="O356" s="974">
        <v>303848</v>
      </c>
      <c r="P356" s="968">
        <v>199549.54</v>
      </c>
      <c r="Q356" s="968"/>
      <c r="R356" s="968">
        <f t="shared" si="120"/>
        <v>199549.54</v>
      </c>
      <c r="S356" s="968">
        <v>330000</v>
      </c>
      <c r="T356" s="968">
        <v>330000</v>
      </c>
      <c r="U356" s="968">
        <v>90000</v>
      </c>
      <c r="V356" s="968">
        <v>88195.86</v>
      </c>
      <c r="W356" s="968"/>
      <c r="X356" s="968">
        <f t="shared" si="121"/>
        <v>88195.86</v>
      </c>
      <c r="Y356" s="1145">
        <v>349140</v>
      </c>
      <c r="Z356" s="1145">
        <v>349140</v>
      </c>
      <c r="AA356" s="1145">
        <v>299140</v>
      </c>
      <c r="AB356" s="1145">
        <v>285391.77</v>
      </c>
      <c r="AC356" s="1145"/>
      <c r="AD356" s="1145">
        <f t="shared" si="122"/>
        <v>285391.77</v>
      </c>
    </row>
    <row r="357" spans="1:30" x14ac:dyDescent="0.2">
      <c r="A357" s="928">
        <v>7212</v>
      </c>
      <c r="B357" s="928" t="s">
        <v>1262</v>
      </c>
      <c r="C357" s="968">
        <v>10000</v>
      </c>
      <c r="D357" s="968">
        <v>0</v>
      </c>
      <c r="E357" s="968"/>
      <c r="F357" s="968">
        <f t="shared" ref="F357:F382" si="123">D357+E357</f>
        <v>0</v>
      </c>
      <c r="G357" s="968"/>
      <c r="H357" s="968"/>
      <c r="I357" s="968"/>
      <c r="J357" s="968">
        <v>0</v>
      </c>
      <c r="K357" s="968"/>
      <c r="L357" s="968">
        <f t="shared" si="119"/>
        <v>0</v>
      </c>
      <c r="M357" s="974"/>
      <c r="N357" s="974"/>
      <c r="O357" s="974"/>
      <c r="P357" s="968">
        <v>0</v>
      </c>
      <c r="Q357" s="968"/>
      <c r="R357" s="968">
        <f t="shared" si="120"/>
        <v>0</v>
      </c>
      <c r="S357" s="968"/>
      <c r="T357" s="968"/>
      <c r="U357" s="968"/>
      <c r="V357" s="968"/>
      <c r="W357" s="968"/>
      <c r="X357" s="968">
        <f t="shared" si="121"/>
        <v>0</v>
      </c>
      <c r="Y357" s="1145"/>
      <c r="Z357" s="1145"/>
      <c r="AA357" s="1145"/>
      <c r="AB357" s="1145"/>
      <c r="AC357" s="1145"/>
      <c r="AD357" s="1145">
        <f t="shared" si="122"/>
        <v>0</v>
      </c>
    </row>
    <row r="358" spans="1:30" x14ac:dyDescent="0.2">
      <c r="A358" s="928">
        <v>7213</v>
      </c>
      <c r="B358" s="928" t="s">
        <v>1263</v>
      </c>
      <c r="C358" s="968">
        <v>5000</v>
      </c>
      <c r="D358" s="968">
        <v>0</v>
      </c>
      <c r="E358" s="968"/>
      <c r="F358" s="968">
        <f t="shared" si="123"/>
        <v>0</v>
      </c>
      <c r="G358" s="968"/>
      <c r="H358" s="968"/>
      <c r="I358" s="968"/>
      <c r="J358" s="968">
        <v>0</v>
      </c>
      <c r="K358" s="968"/>
      <c r="L358" s="968">
        <f t="shared" si="119"/>
        <v>0</v>
      </c>
      <c r="M358" s="974"/>
      <c r="N358" s="974"/>
      <c r="O358" s="974"/>
      <c r="P358" s="968">
        <v>0</v>
      </c>
      <c r="Q358" s="968"/>
      <c r="R358" s="968">
        <f t="shared" si="120"/>
        <v>0</v>
      </c>
      <c r="S358" s="968"/>
      <c r="T358" s="968"/>
      <c r="U358" s="968"/>
      <c r="V358" s="968"/>
      <c r="W358" s="968"/>
      <c r="X358" s="968">
        <f t="shared" si="121"/>
        <v>0</v>
      </c>
      <c r="Y358" s="1145"/>
      <c r="Z358" s="1145"/>
      <c r="AA358" s="1145"/>
      <c r="AB358" s="1145"/>
      <c r="AC358" s="1145"/>
      <c r="AD358" s="1145">
        <f t="shared" si="122"/>
        <v>0</v>
      </c>
    </row>
    <row r="359" spans="1:30" x14ac:dyDescent="0.2">
      <c r="A359" s="928">
        <v>7214</v>
      </c>
      <c r="B359" s="928" t="s">
        <v>704</v>
      </c>
      <c r="C359" s="968">
        <v>100000</v>
      </c>
      <c r="D359" s="968">
        <v>57364</v>
      </c>
      <c r="E359" s="968"/>
      <c r="F359" s="968">
        <f t="shared" si="123"/>
        <v>57364</v>
      </c>
      <c r="G359" s="968">
        <v>106000</v>
      </c>
      <c r="H359" s="968">
        <v>106000</v>
      </c>
      <c r="I359" s="968">
        <v>106000</v>
      </c>
      <c r="J359" s="968">
        <v>85398.67</v>
      </c>
      <c r="K359" s="968"/>
      <c r="L359" s="968">
        <f t="shared" si="119"/>
        <v>85398.67</v>
      </c>
      <c r="M359" s="974">
        <v>106000</v>
      </c>
      <c r="N359" s="974">
        <v>106000</v>
      </c>
      <c r="O359" s="974">
        <v>106000</v>
      </c>
      <c r="P359" s="968">
        <v>9980.2000000000007</v>
      </c>
      <c r="Q359" s="968"/>
      <c r="R359" s="968">
        <f t="shared" si="120"/>
        <v>9980.2000000000007</v>
      </c>
      <c r="S359" s="968">
        <v>110000</v>
      </c>
      <c r="T359" s="968">
        <v>110000</v>
      </c>
      <c r="U359" s="968">
        <v>110000</v>
      </c>
      <c r="V359" s="968">
        <v>98945.33</v>
      </c>
      <c r="W359" s="968"/>
      <c r="X359" s="968">
        <f t="shared" si="121"/>
        <v>98945.33</v>
      </c>
      <c r="Y359" s="1145">
        <v>20000</v>
      </c>
      <c r="Z359" s="1145">
        <v>10000</v>
      </c>
      <c r="AA359" s="1145">
        <v>10000</v>
      </c>
      <c r="AB359" s="1145"/>
      <c r="AC359" s="1145"/>
      <c r="AD359" s="1145">
        <f t="shared" si="122"/>
        <v>0</v>
      </c>
    </row>
    <row r="360" spans="1:30" x14ac:dyDescent="0.2">
      <c r="A360" s="928">
        <v>7216</v>
      </c>
      <c r="B360" s="928" t="s">
        <v>1264</v>
      </c>
      <c r="C360" s="968">
        <v>2000000</v>
      </c>
      <c r="D360" s="968">
        <v>1630290.74</v>
      </c>
      <c r="E360" s="968"/>
      <c r="F360" s="968">
        <f t="shared" si="123"/>
        <v>1630290.74</v>
      </c>
      <c r="G360" s="968">
        <v>4000000</v>
      </c>
      <c r="H360" s="968">
        <v>4000000</v>
      </c>
      <c r="I360" s="968">
        <v>4000000</v>
      </c>
      <c r="J360" s="968">
        <v>3966554.7</v>
      </c>
      <c r="K360" s="968"/>
      <c r="L360" s="968">
        <f t="shared" si="119"/>
        <v>3966554.7</v>
      </c>
      <c r="M360" s="974">
        <v>4000000</v>
      </c>
      <c r="N360" s="974">
        <f>4000000+2000000</f>
        <v>6000000</v>
      </c>
      <c r="O360" s="974">
        <v>5600000</v>
      </c>
      <c r="P360" s="968">
        <v>5599526.6500000004</v>
      </c>
      <c r="Q360" s="968"/>
      <c r="R360" s="968">
        <f t="shared" si="120"/>
        <v>5599526.6500000004</v>
      </c>
      <c r="S360" s="968">
        <v>8300000</v>
      </c>
      <c r="T360" s="968">
        <v>8300000</v>
      </c>
      <c r="U360" s="968">
        <f>8273339+200000</f>
        <v>8473339</v>
      </c>
      <c r="V360" s="1146">
        <f>8258338.55+14990.8+200000</f>
        <v>8473329.3499999996</v>
      </c>
      <c r="W360" s="968"/>
      <c r="X360" s="968">
        <f t="shared" si="121"/>
        <v>8473329.3499999996</v>
      </c>
      <c r="Y360" s="1145">
        <v>8781400</v>
      </c>
      <c r="Z360" s="1145">
        <v>8401400</v>
      </c>
      <c r="AA360" s="1145">
        <v>11179601</v>
      </c>
      <c r="AB360" s="1145">
        <v>10568844.93</v>
      </c>
      <c r="AC360" s="1145"/>
      <c r="AD360" s="1145">
        <f t="shared" si="122"/>
        <v>10568844.93</v>
      </c>
    </row>
    <row r="361" spans="1:30" x14ac:dyDescent="0.2">
      <c r="A361" s="928">
        <v>7218</v>
      </c>
      <c r="B361" s="928" t="s">
        <v>1265</v>
      </c>
      <c r="C361" s="968">
        <v>15550000</v>
      </c>
      <c r="D361" s="968">
        <v>15681502.619999999</v>
      </c>
      <c r="E361" s="968"/>
      <c r="F361" s="968">
        <f t="shared" si="123"/>
        <v>15681502.619999999</v>
      </c>
      <c r="G361" s="968">
        <v>13652800</v>
      </c>
      <c r="H361" s="968">
        <v>13652800</v>
      </c>
      <c r="I361" s="968">
        <v>14052800</v>
      </c>
      <c r="J361" s="968">
        <f>14359054.62+1499378.39</f>
        <v>15858433.01</v>
      </c>
      <c r="K361" s="968"/>
      <c r="L361" s="968">
        <f t="shared" si="119"/>
        <v>15858433.01</v>
      </c>
      <c r="M361" s="974">
        <v>13652800</v>
      </c>
      <c r="N361" s="974">
        <v>13652800</v>
      </c>
      <c r="O361" s="974">
        <v>13652800</v>
      </c>
      <c r="P361" s="968">
        <v>13488875.199999999</v>
      </c>
      <c r="Q361" s="968"/>
      <c r="R361" s="968">
        <f t="shared" si="120"/>
        <v>13488875.199999999</v>
      </c>
      <c r="S361" s="968">
        <v>20641000</v>
      </c>
      <c r="T361" s="968">
        <v>20641000</v>
      </c>
      <c r="U361" s="968">
        <f>20641000-2500000</f>
        <v>18141000</v>
      </c>
      <c r="V361" s="968">
        <v>18057384.309999999</v>
      </c>
      <c r="W361" s="968"/>
      <c r="X361" s="968">
        <f t="shared" si="121"/>
        <v>18057384.309999999</v>
      </c>
      <c r="Y361" s="1145">
        <v>15678178</v>
      </c>
      <c r="Z361" s="1145">
        <v>18978178</v>
      </c>
      <c r="AA361" s="1145">
        <v>20629522</v>
      </c>
      <c r="AB361" s="1145">
        <v>20629521.969999999</v>
      </c>
      <c r="AC361" s="1145"/>
      <c r="AD361" s="1145">
        <f t="shared" si="122"/>
        <v>20629521.969999999</v>
      </c>
    </row>
    <row r="362" spans="1:30" x14ac:dyDescent="0.2">
      <c r="A362" s="928">
        <v>7220</v>
      </c>
      <c r="B362" s="928" t="s">
        <v>1266</v>
      </c>
      <c r="C362" s="968">
        <v>26960000</v>
      </c>
      <c r="D362" s="968">
        <v>24652880.809999999</v>
      </c>
      <c r="E362" s="968"/>
      <c r="F362" s="968">
        <f t="shared" si="123"/>
        <v>24652880.809999999</v>
      </c>
      <c r="G362" s="968">
        <v>21044000</v>
      </c>
      <c r="H362" s="968">
        <f>21044000+2000000</f>
        <v>23044000</v>
      </c>
      <c r="I362" s="968">
        <v>22389000</v>
      </c>
      <c r="J362" s="968">
        <f>29439559.61-463010+3991755.75+21314.67</f>
        <v>32989620.030000001</v>
      </c>
      <c r="K362" s="968">
        <v>-2228853.33</v>
      </c>
      <c r="L362" s="968">
        <f t="shared" si="119"/>
        <v>30760766.700000003</v>
      </c>
      <c r="M362" s="974">
        <v>22350400</v>
      </c>
      <c r="N362" s="974">
        <v>22350400</v>
      </c>
      <c r="O362" s="974">
        <v>28852100</v>
      </c>
      <c r="P362" s="968">
        <f>22909409.92+5942610.33</f>
        <v>28852020.25</v>
      </c>
      <c r="Q362" s="968"/>
      <c r="R362" s="968">
        <f t="shared" si="120"/>
        <v>28852020.25</v>
      </c>
      <c r="S362" s="968">
        <v>26519000</v>
      </c>
      <c r="T362" s="968">
        <v>26519000</v>
      </c>
      <c r="U362" s="968">
        <v>26171636</v>
      </c>
      <c r="V362" s="968">
        <f>24291213.11+347715.79</f>
        <v>24638928.899999999</v>
      </c>
      <c r="W362" s="968"/>
      <c r="X362" s="968">
        <f t="shared" si="121"/>
        <v>24638928.899999999</v>
      </c>
      <c r="Y362" s="1145">
        <v>28057102</v>
      </c>
      <c r="Z362" s="1145">
        <v>31957102</v>
      </c>
      <c r="AA362" s="1145">
        <v>36046179</v>
      </c>
      <c r="AB362" s="1145">
        <v>35810970.140000001</v>
      </c>
      <c r="AC362" s="1145"/>
      <c r="AD362" s="1145">
        <f t="shared" si="122"/>
        <v>35810970.140000001</v>
      </c>
    </row>
    <row r="363" spans="1:30" x14ac:dyDescent="0.2">
      <c r="A363" s="928">
        <v>7222</v>
      </c>
      <c r="B363" s="928" t="s">
        <v>1267</v>
      </c>
      <c r="C363" s="968">
        <v>10000</v>
      </c>
      <c r="D363" s="968">
        <v>0</v>
      </c>
      <c r="E363" s="968"/>
      <c r="F363" s="968">
        <f t="shared" si="123"/>
        <v>0</v>
      </c>
      <c r="G363" s="968">
        <v>10600</v>
      </c>
      <c r="H363" s="968">
        <v>10600</v>
      </c>
      <c r="I363" s="968">
        <v>10600</v>
      </c>
      <c r="J363" s="968">
        <v>0</v>
      </c>
      <c r="K363" s="968"/>
      <c r="L363" s="968">
        <f t="shared" si="119"/>
        <v>0</v>
      </c>
      <c r="M363" s="974">
        <v>10600</v>
      </c>
      <c r="N363" s="974">
        <v>10600</v>
      </c>
      <c r="O363" s="974">
        <v>10600</v>
      </c>
      <c r="P363" s="968">
        <v>0</v>
      </c>
      <c r="Q363" s="968"/>
      <c r="R363" s="968">
        <f t="shared" si="120"/>
        <v>0</v>
      </c>
      <c r="S363" s="968">
        <v>10000</v>
      </c>
      <c r="T363" s="968">
        <v>10000</v>
      </c>
      <c r="U363" s="968">
        <v>10000</v>
      </c>
      <c r="V363" s="968"/>
      <c r="W363" s="968"/>
      <c r="X363" s="968">
        <f t="shared" si="121"/>
        <v>0</v>
      </c>
      <c r="Y363" s="1145"/>
      <c r="Z363" s="1145"/>
      <c r="AA363" s="1145"/>
      <c r="AB363" s="1145"/>
      <c r="AC363" s="1145"/>
      <c r="AD363" s="1145">
        <f t="shared" si="122"/>
        <v>0</v>
      </c>
    </row>
    <row r="364" spans="1:30" x14ac:dyDescent="0.2">
      <c r="A364" s="928">
        <v>7224</v>
      </c>
      <c r="B364" s="928" t="s">
        <v>240</v>
      </c>
      <c r="C364" s="968">
        <v>10000</v>
      </c>
      <c r="D364" s="968">
        <v>0</v>
      </c>
      <c r="E364" s="968"/>
      <c r="F364" s="968">
        <f t="shared" si="123"/>
        <v>0</v>
      </c>
      <c r="G364" s="968">
        <v>75000</v>
      </c>
      <c r="H364" s="968">
        <v>75000</v>
      </c>
      <c r="I364" s="968">
        <v>75000</v>
      </c>
      <c r="J364" s="968">
        <v>46385.78</v>
      </c>
      <c r="K364" s="968"/>
      <c r="L364" s="968">
        <f t="shared" si="119"/>
        <v>46385.78</v>
      </c>
      <c r="M364" s="974">
        <v>75000</v>
      </c>
      <c r="N364" s="974">
        <v>75000</v>
      </c>
      <c r="O364" s="974">
        <v>75000</v>
      </c>
      <c r="P364" s="968">
        <v>0</v>
      </c>
      <c r="Q364" s="968"/>
      <c r="R364" s="968">
        <f t="shared" si="120"/>
        <v>0</v>
      </c>
      <c r="S364" s="968">
        <v>78000</v>
      </c>
      <c r="T364" s="968">
        <v>78000</v>
      </c>
      <c r="U364" s="968">
        <v>78000</v>
      </c>
      <c r="V364" s="968"/>
      <c r="W364" s="968"/>
      <c r="X364" s="968">
        <f t="shared" si="121"/>
        <v>0</v>
      </c>
      <c r="Y364" s="1145"/>
      <c r="Z364" s="1145"/>
      <c r="AA364" s="1145"/>
      <c r="AB364" s="1145"/>
      <c r="AC364" s="1145"/>
      <c r="AD364" s="1145">
        <f t="shared" si="122"/>
        <v>0</v>
      </c>
    </row>
    <row r="365" spans="1:30" x14ac:dyDescent="0.2">
      <c r="A365" s="928">
        <v>7226</v>
      </c>
      <c r="B365" s="928" t="s">
        <v>1268</v>
      </c>
      <c r="C365" s="968">
        <v>986750</v>
      </c>
      <c r="D365" s="968">
        <v>538079.48</v>
      </c>
      <c r="E365" s="968"/>
      <c r="F365" s="968">
        <f t="shared" si="123"/>
        <v>538079.48</v>
      </c>
      <c r="G365" s="968">
        <v>1045955</v>
      </c>
      <c r="H365" s="968">
        <v>1045955</v>
      </c>
      <c r="I365" s="968">
        <v>1015955</v>
      </c>
      <c r="J365" s="968">
        <v>1008233.8</v>
      </c>
      <c r="K365" s="968"/>
      <c r="L365" s="968">
        <f t="shared" si="119"/>
        <v>1008233.8</v>
      </c>
      <c r="M365" s="974">
        <v>1045955</v>
      </c>
      <c r="N365" s="974">
        <v>1045955</v>
      </c>
      <c r="O365" s="974">
        <v>1045955</v>
      </c>
      <c r="P365" s="968">
        <v>942910</v>
      </c>
      <c r="Q365" s="968"/>
      <c r="R365" s="968">
        <f t="shared" si="120"/>
        <v>942910</v>
      </c>
      <c r="S365" s="968">
        <v>1048000</v>
      </c>
      <c r="T365" s="968">
        <v>1048000</v>
      </c>
      <c r="U365" s="968">
        <v>1031000</v>
      </c>
      <c r="V365" s="968">
        <v>1012066.8</v>
      </c>
      <c r="W365" s="968"/>
      <c r="X365" s="968">
        <f t="shared" si="121"/>
        <v>1012066.8</v>
      </c>
      <c r="Y365" s="1145">
        <v>1108784</v>
      </c>
      <c r="Z365" s="1145">
        <v>1108784</v>
      </c>
      <c r="AA365" s="1145">
        <v>1108784</v>
      </c>
      <c r="AB365" s="1145">
        <v>956407.64</v>
      </c>
      <c r="AC365" s="1145"/>
      <c r="AD365" s="1145">
        <f t="shared" si="122"/>
        <v>956407.64</v>
      </c>
    </row>
    <row r="366" spans="1:30" x14ac:dyDescent="0.2">
      <c r="A366" s="928">
        <v>7228</v>
      </c>
      <c r="B366" s="928" t="s">
        <v>1269</v>
      </c>
      <c r="C366" s="968">
        <v>140000</v>
      </c>
      <c r="D366" s="968">
        <v>143622.34</v>
      </c>
      <c r="E366" s="968"/>
      <c r="F366" s="968">
        <f t="shared" si="123"/>
        <v>143622.34</v>
      </c>
      <c r="G366" s="968">
        <v>148400</v>
      </c>
      <c r="H366" s="968">
        <v>148400</v>
      </c>
      <c r="I366" s="968">
        <v>148400</v>
      </c>
      <c r="J366" s="968">
        <v>147485</v>
      </c>
      <c r="K366" s="968"/>
      <c r="L366" s="968">
        <f t="shared" si="119"/>
        <v>147485</v>
      </c>
      <c r="M366" s="974">
        <v>148400</v>
      </c>
      <c r="N366" s="974">
        <v>148400</v>
      </c>
      <c r="O366" s="974">
        <v>148400</v>
      </c>
      <c r="P366" s="968">
        <v>14500.8</v>
      </c>
      <c r="Q366" s="968"/>
      <c r="R366" s="968">
        <f t="shared" si="120"/>
        <v>14500.8</v>
      </c>
      <c r="S366" s="968">
        <v>150000</v>
      </c>
      <c r="T366" s="968">
        <v>150000</v>
      </c>
      <c r="U366" s="968">
        <v>152000</v>
      </c>
      <c r="V366" s="968">
        <v>133182</v>
      </c>
      <c r="W366" s="968"/>
      <c r="X366" s="968">
        <f t="shared" si="121"/>
        <v>133182</v>
      </c>
      <c r="Y366" s="1145">
        <v>158700</v>
      </c>
      <c r="Z366" s="1145">
        <v>158700</v>
      </c>
      <c r="AA366" s="1145">
        <v>158700</v>
      </c>
      <c r="AB366" s="1145">
        <v>158641</v>
      </c>
      <c r="AC366" s="1145"/>
      <c r="AD366" s="1145">
        <f t="shared" si="122"/>
        <v>158641</v>
      </c>
    </row>
    <row r="367" spans="1:30" x14ac:dyDescent="0.2">
      <c r="A367" s="928">
        <v>7230</v>
      </c>
      <c r="B367" s="928" t="s">
        <v>1270</v>
      </c>
      <c r="C367" s="968">
        <v>50500</v>
      </c>
      <c r="D367" s="968">
        <v>16760.57</v>
      </c>
      <c r="E367" s="968"/>
      <c r="F367" s="968">
        <f t="shared" si="123"/>
        <v>16760.57</v>
      </c>
      <c r="G367" s="968">
        <v>56400</v>
      </c>
      <c r="H367" s="968">
        <v>56400</v>
      </c>
      <c r="I367" s="968">
        <v>56400</v>
      </c>
      <c r="J367" s="968">
        <v>14410.7</v>
      </c>
      <c r="K367" s="968"/>
      <c r="L367" s="968">
        <f t="shared" si="119"/>
        <v>14410.7</v>
      </c>
      <c r="M367" s="974">
        <v>56400</v>
      </c>
      <c r="N367" s="974">
        <v>56400</v>
      </c>
      <c r="O367" s="974">
        <v>56400</v>
      </c>
      <c r="P367" s="968">
        <v>170</v>
      </c>
      <c r="Q367" s="968"/>
      <c r="R367" s="968">
        <f t="shared" si="120"/>
        <v>170</v>
      </c>
      <c r="S367" s="968">
        <v>45000</v>
      </c>
      <c r="T367" s="968">
        <v>45000</v>
      </c>
      <c r="U367" s="968">
        <v>45000</v>
      </c>
      <c r="V367" s="968">
        <v>250</v>
      </c>
      <c r="W367" s="968"/>
      <c r="X367" s="968">
        <f t="shared" si="121"/>
        <v>250</v>
      </c>
      <c r="Y367" s="1145">
        <v>18312</v>
      </c>
      <c r="Z367" s="1145">
        <v>3700</v>
      </c>
      <c r="AA367" s="1145">
        <v>3200</v>
      </c>
      <c r="AB367" s="1145">
        <v>620.91999999999996</v>
      </c>
      <c r="AC367" s="1145"/>
      <c r="AD367" s="1145">
        <f t="shared" si="122"/>
        <v>620.91999999999996</v>
      </c>
    </row>
    <row r="368" spans="1:30" x14ac:dyDescent="0.2">
      <c r="A368" s="928">
        <v>7236</v>
      </c>
      <c r="B368" s="928" t="s">
        <v>247</v>
      </c>
      <c r="C368" s="968">
        <v>3159100</v>
      </c>
      <c r="D368" s="968">
        <v>1511168.75</v>
      </c>
      <c r="E368" s="968"/>
      <c r="F368" s="968">
        <f t="shared" si="123"/>
        <v>1511168.75</v>
      </c>
      <c r="G368" s="968">
        <v>3161000</v>
      </c>
      <c r="H368" s="968">
        <v>3161000</v>
      </c>
      <c r="I368" s="968">
        <v>2221000</v>
      </c>
      <c r="J368" s="968">
        <v>2024496.25</v>
      </c>
      <c r="K368" s="968"/>
      <c r="L368" s="968">
        <f t="shared" si="119"/>
        <v>2024496.25</v>
      </c>
      <c r="M368" s="974">
        <v>3664400</v>
      </c>
      <c r="N368" s="974">
        <v>3664400</v>
      </c>
      <c r="O368" s="974">
        <v>3320400</v>
      </c>
      <c r="P368" s="968">
        <v>2625563.62</v>
      </c>
      <c r="Q368" s="968"/>
      <c r="R368" s="968">
        <f t="shared" si="120"/>
        <v>2625563.62</v>
      </c>
      <c r="S368" s="968">
        <v>3821000</v>
      </c>
      <c r="T368" s="968">
        <v>3821000</v>
      </c>
      <c r="U368" s="968">
        <v>2000178</v>
      </c>
      <c r="V368" s="968">
        <f>1813191.7+184450</f>
        <v>1997641.7</v>
      </c>
      <c r="W368" s="968"/>
      <c r="X368" s="968">
        <f t="shared" si="121"/>
        <v>1997641.7</v>
      </c>
      <c r="Y368" s="1145">
        <v>3357094</v>
      </c>
      <c r="Z368" s="1145">
        <v>2788514</v>
      </c>
      <c r="AA368" s="1145">
        <v>2540484</v>
      </c>
      <c r="AB368" s="1145">
        <v>2361232.31</v>
      </c>
      <c r="AC368" s="1145"/>
      <c r="AD368" s="1145">
        <f t="shared" si="122"/>
        <v>2361232.31</v>
      </c>
    </row>
    <row r="369" spans="1:30" x14ac:dyDescent="0.2">
      <c r="A369" s="928">
        <v>7240</v>
      </c>
      <c r="B369" s="928" t="s">
        <v>238</v>
      </c>
      <c r="C369" s="968">
        <v>287000</v>
      </c>
      <c r="D369" s="968">
        <v>139605.88</v>
      </c>
      <c r="E369" s="968"/>
      <c r="F369" s="968">
        <f t="shared" si="123"/>
        <v>139605.88</v>
      </c>
      <c r="G369" s="968">
        <v>304220</v>
      </c>
      <c r="H369" s="968">
        <v>304220</v>
      </c>
      <c r="I369" s="968">
        <v>304220</v>
      </c>
      <c r="J369" s="968">
        <v>230255.77</v>
      </c>
      <c r="K369" s="968"/>
      <c r="L369" s="968">
        <f t="shared" si="119"/>
        <v>230255.77</v>
      </c>
      <c r="M369" s="974">
        <v>304220</v>
      </c>
      <c r="N369" s="974">
        <v>304220</v>
      </c>
      <c r="O369" s="974">
        <v>304220</v>
      </c>
      <c r="P369" s="968">
        <v>54891.85</v>
      </c>
      <c r="Q369" s="968"/>
      <c r="R369" s="968">
        <f t="shared" si="120"/>
        <v>54891.85</v>
      </c>
      <c r="S369" s="968">
        <v>310000</v>
      </c>
      <c r="T369" s="968">
        <v>310000</v>
      </c>
      <c r="U369" s="968">
        <f>298000-90000</f>
        <v>208000</v>
      </c>
      <c r="V369" s="968">
        <v>131846.75</v>
      </c>
      <c r="W369" s="968"/>
      <c r="X369" s="968">
        <f t="shared" si="121"/>
        <v>131846.75</v>
      </c>
      <c r="Y369" s="1145">
        <v>211600</v>
      </c>
      <c r="Z369" s="1145">
        <v>111600</v>
      </c>
      <c r="AA369" s="1145">
        <v>110300</v>
      </c>
      <c r="AB369" s="1145">
        <v>110250.25</v>
      </c>
      <c r="AC369" s="1145"/>
      <c r="AD369" s="1145">
        <f t="shared" si="122"/>
        <v>110250.25</v>
      </c>
    </row>
    <row r="370" spans="1:30" x14ac:dyDescent="0.2">
      <c r="A370" s="928">
        <v>7244</v>
      </c>
      <c r="B370" s="928" t="s">
        <v>248</v>
      </c>
      <c r="C370" s="968">
        <v>3216730</v>
      </c>
      <c r="D370" s="968">
        <v>3340378.19</v>
      </c>
      <c r="E370" s="968"/>
      <c r="F370" s="968">
        <f t="shared" si="123"/>
        <v>3340378.19</v>
      </c>
      <c r="G370" s="968">
        <v>2409735</v>
      </c>
      <c r="H370" s="968">
        <v>2409735</v>
      </c>
      <c r="I370" s="968">
        <v>2409735</v>
      </c>
      <c r="J370" s="968">
        <v>3234312.4</v>
      </c>
      <c r="K370" s="968"/>
      <c r="L370" s="968">
        <f t="shared" si="119"/>
        <v>3234312.4</v>
      </c>
      <c r="M370" s="974">
        <v>2409735</v>
      </c>
      <c r="N370" s="974">
        <v>2409735</v>
      </c>
      <c r="O370" s="974">
        <v>2409735</v>
      </c>
      <c r="P370" s="968">
        <v>2213474.9500000002</v>
      </c>
      <c r="Q370" s="968"/>
      <c r="R370" s="968">
        <f t="shared" si="120"/>
        <v>2213474.9500000002</v>
      </c>
      <c r="S370" s="968">
        <v>2541000</v>
      </c>
      <c r="T370" s="968">
        <v>2541000</v>
      </c>
      <c r="U370" s="968">
        <f>2584200+770000</f>
        <v>3354200</v>
      </c>
      <c r="V370" s="968">
        <f>2584194.46+751888.01</f>
        <v>3336082.4699999997</v>
      </c>
      <c r="W370" s="968"/>
      <c r="X370" s="968">
        <f t="shared" si="121"/>
        <v>3336082.4699999997</v>
      </c>
      <c r="Y370" s="1145">
        <v>2500000</v>
      </c>
      <c r="Z370" s="1145">
        <v>3500000</v>
      </c>
      <c r="AA370" s="1145">
        <v>3273000</v>
      </c>
      <c r="AB370" s="1145">
        <v>3272740.43</v>
      </c>
      <c r="AC370" s="1145"/>
      <c r="AD370" s="1145">
        <f t="shared" si="122"/>
        <v>3272740.43</v>
      </c>
    </row>
    <row r="371" spans="1:30" x14ac:dyDescent="0.2">
      <c r="A371" s="928">
        <v>7246</v>
      </c>
      <c r="B371" s="928" t="s">
        <v>251</v>
      </c>
      <c r="C371" s="968">
        <v>422000</v>
      </c>
      <c r="D371" s="968">
        <v>434862.63</v>
      </c>
      <c r="E371" s="968"/>
      <c r="F371" s="968">
        <f t="shared" si="123"/>
        <v>434862.63</v>
      </c>
      <c r="G371" s="968">
        <v>447320</v>
      </c>
      <c r="H371" s="968">
        <v>447320</v>
      </c>
      <c r="I371" s="968">
        <v>447320</v>
      </c>
      <c r="J371" s="968">
        <v>419145.76</v>
      </c>
      <c r="K371" s="968"/>
      <c r="L371" s="968">
        <f t="shared" si="119"/>
        <v>419145.76</v>
      </c>
      <c r="M371" s="974">
        <v>447320</v>
      </c>
      <c r="N371" s="974">
        <v>447320</v>
      </c>
      <c r="O371" s="974">
        <v>447320</v>
      </c>
      <c r="P371" s="968">
        <v>343623.37</v>
      </c>
      <c r="Q371" s="968"/>
      <c r="R371" s="968">
        <f t="shared" si="120"/>
        <v>343623.37</v>
      </c>
      <c r="S371" s="968">
        <v>450000</v>
      </c>
      <c r="T371" s="968">
        <v>450000</v>
      </c>
      <c r="U371" s="968">
        <v>450000</v>
      </c>
      <c r="V371" s="968">
        <v>408975.41</v>
      </c>
      <c r="W371" s="968"/>
      <c r="X371" s="968">
        <f t="shared" si="121"/>
        <v>408975.41</v>
      </c>
      <c r="Y371" s="1145">
        <v>450000</v>
      </c>
      <c r="Z371" s="1145">
        <v>1450000</v>
      </c>
      <c r="AA371" s="1145">
        <v>1182481</v>
      </c>
      <c r="AB371" s="1145">
        <v>1123936.9099999999</v>
      </c>
      <c r="AC371" s="1145"/>
      <c r="AD371" s="1145">
        <f t="shared" si="122"/>
        <v>1123936.9099999999</v>
      </c>
    </row>
    <row r="372" spans="1:30" x14ac:dyDescent="0.2">
      <c r="A372" s="928">
        <v>7248</v>
      </c>
      <c r="B372" s="928" t="s">
        <v>253</v>
      </c>
      <c r="C372" s="968">
        <v>8925</v>
      </c>
      <c r="D372" s="968">
        <v>6300</v>
      </c>
      <c r="E372" s="968"/>
      <c r="F372" s="968">
        <f t="shared" si="123"/>
        <v>6300</v>
      </c>
      <c r="G372" s="968">
        <v>15000</v>
      </c>
      <c r="H372" s="968">
        <v>15000</v>
      </c>
      <c r="I372" s="968">
        <v>15000</v>
      </c>
      <c r="J372" s="968">
        <v>0</v>
      </c>
      <c r="K372" s="968"/>
      <c r="L372" s="968">
        <f t="shared" si="119"/>
        <v>0</v>
      </c>
      <c r="M372" s="974"/>
      <c r="N372" s="974"/>
      <c r="O372" s="974"/>
      <c r="P372" s="968">
        <v>0</v>
      </c>
      <c r="Q372" s="968"/>
      <c r="R372" s="968">
        <f t="shared" si="120"/>
        <v>0</v>
      </c>
      <c r="S372" s="968"/>
      <c r="T372" s="968"/>
      <c r="U372" s="968"/>
      <c r="V372" s="968"/>
      <c r="W372" s="968"/>
      <c r="X372" s="968">
        <f t="shared" si="121"/>
        <v>0</v>
      </c>
      <c r="Y372" s="1145"/>
      <c r="Z372" s="1145"/>
      <c r="AA372" s="1145"/>
      <c r="AB372" s="1145"/>
      <c r="AC372" s="1145"/>
      <c r="AD372" s="1145">
        <f t="shared" si="122"/>
        <v>0</v>
      </c>
    </row>
    <row r="373" spans="1:30" x14ac:dyDescent="0.2">
      <c r="A373" s="928">
        <v>7250</v>
      </c>
      <c r="B373" s="928" t="s">
        <v>1271</v>
      </c>
      <c r="C373" s="968">
        <v>980250</v>
      </c>
      <c r="D373" s="968">
        <v>469820.44</v>
      </c>
      <c r="E373" s="968"/>
      <c r="F373" s="968">
        <f t="shared" si="123"/>
        <v>469820.44</v>
      </c>
      <c r="G373" s="968">
        <v>1263835</v>
      </c>
      <c r="H373" s="968">
        <v>1263835</v>
      </c>
      <c r="I373" s="968">
        <v>489835</v>
      </c>
      <c r="J373" s="968">
        <v>329542.05</v>
      </c>
      <c r="K373" s="968"/>
      <c r="L373" s="968">
        <f t="shared" si="119"/>
        <v>329542.05</v>
      </c>
      <c r="M373" s="974">
        <v>1263835</v>
      </c>
      <c r="N373" s="974">
        <f>1263835-290000-100000</f>
        <v>873835</v>
      </c>
      <c r="O373" s="974">
        <v>887835</v>
      </c>
      <c r="P373" s="968">
        <f>481587.72+22226.95</f>
        <v>503814.67</v>
      </c>
      <c r="Q373" s="968"/>
      <c r="R373" s="968">
        <f t="shared" si="120"/>
        <v>503814.67</v>
      </c>
      <c r="S373" s="968">
        <v>886900</v>
      </c>
      <c r="T373" s="968">
        <f>886900+600000</f>
        <v>1486900</v>
      </c>
      <c r="U373" s="968">
        <f>4536080-1500000</f>
        <v>3036080</v>
      </c>
      <c r="V373" s="968">
        <v>3021715.9</v>
      </c>
      <c r="W373" s="968"/>
      <c r="X373" s="968">
        <f t="shared" si="121"/>
        <v>3021715.9</v>
      </c>
      <c r="Y373" s="1145">
        <v>1596025</v>
      </c>
      <c r="Z373" s="1145">
        <v>1115454</v>
      </c>
      <c r="AA373" s="1145">
        <v>2108396</v>
      </c>
      <c r="AB373" s="1145">
        <v>1915759.44</v>
      </c>
      <c r="AC373" s="1145"/>
      <c r="AD373" s="1145">
        <f t="shared" si="122"/>
        <v>1915759.44</v>
      </c>
    </row>
    <row r="374" spans="1:30" x14ac:dyDescent="0.2">
      <c r="A374" s="928">
        <v>7252</v>
      </c>
      <c r="B374" s="928" t="s">
        <v>1272</v>
      </c>
      <c r="C374" s="968">
        <v>4951700</v>
      </c>
      <c r="D374" s="968">
        <v>4089344.74</v>
      </c>
      <c r="E374" s="968"/>
      <c r="F374" s="968">
        <f t="shared" si="123"/>
        <v>4089344.74</v>
      </c>
      <c r="G374" s="968">
        <v>4316765</v>
      </c>
      <c r="H374" s="968">
        <v>4316765</v>
      </c>
      <c r="I374" s="968">
        <v>4336765</v>
      </c>
      <c r="J374" s="968">
        <f>4968908.92+131373.93</f>
        <v>5100282.8499999996</v>
      </c>
      <c r="K374" s="968"/>
      <c r="L374" s="968">
        <f t="shared" si="119"/>
        <v>5100282.8499999996</v>
      </c>
      <c r="M374" s="974">
        <v>4320965</v>
      </c>
      <c r="N374" s="974">
        <v>4320965</v>
      </c>
      <c r="O374" s="974">
        <v>4517765</v>
      </c>
      <c r="P374" s="968">
        <v>4517670.3600000003</v>
      </c>
      <c r="Q374" s="968"/>
      <c r="R374" s="968">
        <f t="shared" si="120"/>
        <v>4517670.3600000003</v>
      </c>
      <c r="S374" s="968">
        <v>4537900</v>
      </c>
      <c r="T374" s="968">
        <v>4537900</v>
      </c>
      <c r="U374" s="968">
        <f>3432315+1260000</f>
        <v>4692315</v>
      </c>
      <c r="V374" s="968">
        <f>2825952.36+22400+100000+1742834</f>
        <v>4691186.3599999994</v>
      </c>
      <c r="W374" s="968"/>
      <c r="X374" s="968">
        <f t="shared" si="121"/>
        <v>4691186.3599999994</v>
      </c>
      <c r="Y374" s="1145">
        <v>4805463</v>
      </c>
      <c r="Z374" s="1145">
        <v>4508153</v>
      </c>
      <c r="AA374" s="1145">
        <v>4303358</v>
      </c>
      <c r="AB374" s="1145">
        <v>4202149.6500000004</v>
      </c>
      <c r="AC374" s="1145"/>
      <c r="AD374" s="1145">
        <f t="shared" si="122"/>
        <v>4202149.6500000004</v>
      </c>
    </row>
    <row r="375" spans="1:30" x14ac:dyDescent="0.2">
      <c r="A375" s="928">
        <v>7254</v>
      </c>
      <c r="B375" s="928" t="s">
        <v>306</v>
      </c>
      <c r="C375" s="968">
        <v>60000</v>
      </c>
      <c r="D375" s="968">
        <v>54990.83</v>
      </c>
      <c r="E375" s="968"/>
      <c r="F375" s="968">
        <f t="shared" si="123"/>
        <v>54990.83</v>
      </c>
      <c r="G375" s="968">
        <v>63600</v>
      </c>
      <c r="H375" s="968">
        <v>63600</v>
      </c>
      <c r="I375" s="968">
        <v>63600</v>
      </c>
      <c r="J375" s="968">
        <v>56208.62</v>
      </c>
      <c r="K375" s="968"/>
      <c r="L375" s="968">
        <f t="shared" si="119"/>
        <v>56208.62</v>
      </c>
      <c r="M375" s="974">
        <v>63600</v>
      </c>
      <c r="N375" s="974">
        <v>63600</v>
      </c>
      <c r="O375" s="974">
        <v>63600</v>
      </c>
      <c r="P375" s="968">
        <v>46452.04</v>
      </c>
      <c r="Q375" s="968"/>
      <c r="R375" s="968">
        <f t="shared" si="120"/>
        <v>46452.04</v>
      </c>
      <c r="S375" s="968">
        <v>80000</v>
      </c>
      <c r="T375" s="968">
        <v>80000</v>
      </c>
      <c r="U375" s="968">
        <f>80000</f>
        <v>80000</v>
      </c>
      <c r="V375" s="968">
        <v>65810.19</v>
      </c>
      <c r="W375" s="968"/>
      <c r="X375" s="968">
        <f t="shared" si="121"/>
        <v>65810.19</v>
      </c>
      <c r="Y375" s="1145">
        <v>84640</v>
      </c>
      <c r="Z375" s="1145">
        <v>84640</v>
      </c>
      <c r="AA375" s="1145">
        <v>72712</v>
      </c>
      <c r="AB375" s="1145">
        <v>72711.63</v>
      </c>
      <c r="AC375" s="1145"/>
      <c r="AD375" s="1145">
        <f t="shared" si="122"/>
        <v>72711.63</v>
      </c>
    </row>
    <row r="376" spans="1:30" x14ac:dyDescent="0.2">
      <c r="A376" s="928">
        <v>7256</v>
      </c>
      <c r="B376" s="928" t="s">
        <v>260</v>
      </c>
      <c r="C376" s="968">
        <v>26350</v>
      </c>
      <c r="D376" s="968">
        <v>4193.51</v>
      </c>
      <c r="E376" s="968"/>
      <c r="F376" s="968">
        <f t="shared" si="123"/>
        <v>4193.51</v>
      </c>
      <c r="G376" s="968">
        <v>27930</v>
      </c>
      <c r="H376" s="968">
        <v>27930</v>
      </c>
      <c r="I376" s="968">
        <v>27930</v>
      </c>
      <c r="J376" s="968">
        <v>3852.72</v>
      </c>
      <c r="K376" s="968"/>
      <c r="L376" s="968">
        <f t="shared" si="119"/>
        <v>3852.72</v>
      </c>
      <c r="M376" s="974">
        <v>27930</v>
      </c>
      <c r="N376" s="974">
        <v>27930</v>
      </c>
      <c r="O376" s="974">
        <v>27930</v>
      </c>
      <c r="P376" s="968">
        <v>4249.93</v>
      </c>
      <c r="Q376" s="968"/>
      <c r="R376" s="968">
        <f t="shared" si="120"/>
        <v>4249.93</v>
      </c>
      <c r="S376" s="968">
        <v>25200</v>
      </c>
      <c r="T376" s="968">
        <v>25200</v>
      </c>
      <c r="U376" s="968">
        <v>25200</v>
      </c>
      <c r="V376" s="968">
        <v>515.97</v>
      </c>
      <c r="W376" s="968"/>
      <c r="X376" s="968">
        <f t="shared" si="121"/>
        <v>515.97</v>
      </c>
      <c r="Y376" s="1145">
        <v>1058</v>
      </c>
      <c r="Z376" s="1145">
        <v>1058</v>
      </c>
      <c r="AA376" s="1145">
        <v>1058</v>
      </c>
      <c r="AB376" s="1145"/>
      <c r="AC376" s="1145"/>
      <c r="AD376" s="1145">
        <f t="shared" si="122"/>
        <v>0</v>
      </c>
    </row>
    <row r="377" spans="1:30" x14ac:dyDescent="0.2">
      <c r="A377" s="928">
        <v>7258</v>
      </c>
      <c r="B377" s="928" t="s">
        <v>1273</v>
      </c>
      <c r="C377" s="968">
        <v>106000</v>
      </c>
      <c r="D377" s="968">
        <v>92836.75</v>
      </c>
      <c r="E377" s="968"/>
      <c r="F377" s="968">
        <f t="shared" si="123"/>
        <v>92836.75</v>
      </c>
      <c r="G377" s="968">
        <v>112360</v>
      </c>
      <c r="H377" s="968">
        <v>112360</v>
      </c>
      <c r="I377" s="968">
        <v>112360</v>
      </c>
      <c r="J377" s="968">
        <v>104264.44</v>
      </c>
      <c r="K377" s="968"/>
      <c r="L377" s="968">
        <f t="shared" si="119"/>
        <v>104264.44</v>
      </c>
      <c r="M377" s="974">
        <v>112360</v>
      </c>
      <c r="N377" s="974">
        <v>112360</v>
      </c>
      <c r="O377" s="974">
        <v>112360</v>
      </c>
      <c r="P377" s="968">
        <v>112360</v>
      </c>
      <c r="Q377" s="968"/>
      <c r="R377" s="968">
        <f t="shared" si="120"/>
        <v>112360</v>
      </c>
      <c r="S377" s="968">
        <v>105000</v>
      </c>
      <c r="T377" s="968">
        <v>105000</v>
      </c>
      <c r="U377" s="968">
        <v>1914</v>
      </c>
      <c r="V377" s="968">
        <v>672.22</v>
      </c>
      <c r="W377" s="968"/>
      <c r="X377" s="968">
        <f t="shared" si="121"/>
        <v>672.22</v>
      </c>
      <c r="Y377" s="1145">
        <v>111090</v>
      </c>
      <c r="Z377" s="1145">
        <v>111090</v>
      </c>
      <c r="AA377" s="1145">
        <v>111090</v>
      </c>
      <c r="AB377" s="1145">
        <v>93000.26</v>
      </c>
      <c r="AC377" s="1145"/>
      <c r="AD377" s="1145">
        <f t="shared" si="122"/>
        <v>93000.26</v>
      </c>
    </row>
    <row r="378" spans="1:30" x14ac:dyDescent="0.2">
      <c r="A378" s="928">
        <v>7260</v>
      </c>
      <c r="B378" s="928" t="s">
        <v>263</v>
      </c>
      <c r="C378" s="968">
        <v>68250</v>
      </c>
      <c r="D378" s="968">
        <v>312651.82</v>
      </c>
      <c r="E378" s="968"/>
      <c r="F378" s="968">
        <f t="shared" si="123"/>
        <v>312651.82</v>
      </c>
      <c r="G378" s="968">
        <v>72345</v>
      </c>
      <c r="H378" s="968">
        <v>72345</v>
      </c>
      <c r="I378" s="968">
        <v>72345</v>
      </c>
      <c r="J378" s="968">
        <v>72345</v>
      </c>
      <c r="K378" s="968"/>
      <c r="L378" s="968">
        <f t="shared" si="119"/>
        <v>72345</v>
      </c>
      <c r="M378" s="974">
        <v>72345</v>
      </c>
      <c r="N378" s="974">
        <v>72345</v>
      </c>
      <c r="O378" s="974">
        <v>72345</v>
      </c>
      <c r="P378" s="968">
        <v>72345</v>
      </c>
      <c r="Q378" s="968"/>
      <c r="R378" s="968">
        <f t="shared" si="120"/>
        <v>72345</v>
      </c>
      <c r="S378" s="968">
        <v>75000</v>
      </c>
      <c r="T378" s="968">
        <v>75000</v>
      </c>
      <c r="U378" s="968">
        <v>0</v>
      </c>
      <c r="V378" s="968"/>
      <c r="W378" s="968"/>
      <c r="X378" s="968">
        <f t="shared" si="121"/>
        <v>0</v>
      </c>
      <c r="Y378" s="1145">
        <v>79350</v>
      </c>
      <c r="Z378" s="1145"/>
      <c r="AA378" s="1145"/>
      <c r="AB378" s="1145"/>
      <c r="AC378" s="1145"/>
      <c r="AD378" s="1145">
        <f t="shared" si="122"/>
        <v>0</v>
      </c>
    </row>
    <row r="379" spans="1:30" x14ac:dyDescent="0.2">
      <c r="A379" s="928">
        <v>7262</v>
      </c>
      <c r="B379" s="928" t="s">
        <v>262</v>
      </c>
      <c r="C379" s="968">
        <v>78750</v>
      </c>
      <c r="D379" s="968">
        <v>0</v>
      </c>
      <c r="E379" s="968"/>
      <c r="F379" s="968">
        <f t="shared" si="123"/>
        <v>0</v>
      </c>
      <c r="G379" s="968">
        <v>83475</v>
      </c>
      <c r="H379" s="968">
        <v>83475</v>
      </c>
      <c r="I379" s="968">
        <v>83475</v>
      </c>
      <c r="J379" s="968">
        <v>51023.73</v>
      </c>
      <c r="K379" s="968"/>
      <c r="L379" s="968">
        <f t="shared" si="119"/>
        <v>51023.73</v>
      </c>
      <c r="M379" s="974">
        <v>83475</v>
      </c>
      <c r="N379" s="974">
        <v>83475</v>
      </c>
      <c r="O379" s="974">
        <v>83475</v>
      </c>
      <c r="P379" s="968">
        <v>0</v>
      </c>
      <c r="Q379" s="968"/>
      <c r="R379" s="968">
        <f t="shared" si="120"/>
        <v>0</v>
      </c>
      <c r="S379" s="968">
        <v>55000</v>
      </c>
      <c r="T379" s="968">
        <v>55000</v>
      </c>
      <c r="U379" s="968">
        <v>0</v>
      </c>
      <c r="V379" s="968"/>
      <c r="W379" s="968"/>
      <c r="X379" s="968">
        <f t="shared" si="121"/>
        <v>0</v>
      </c>
      <c r="Y379" s="1145"/>
      <c r="Z379" s="1145"/>
      <c r="AA379" s="1145"/>
      <c r="AB379" s="1145"/>
      <c r="AC379" s="1145"/>
      <c r="AD379" s="1145">
        <f t="shared" si="122"/>
        <v>0</v>
      </c>
    </row>
    <row r="380" spans="1:30" x14ac:dyDescent="0.2">
      <c r="A380" s="928">
        <v>7266</v>
      </c>
      <c r="B380" s="928" t="s">
        <v>257</v>
      </c>
      <c r="C380" s="968">
        <v>144000</v>
      </c>
      <c r="D380" s="968">
        <v>107238.14</v>
      </c>
      <c r="E380" s="968"/>
      <c r="F380" s="968">
        <f t="shared" si="123"/>
        <v>107238.14</v>
      </c>
      <c r="G380" s="968">
        <v>152640</v>
      </c>
      <c r="H380" s="968">
        <v>152640</v>
      </c>
      <c r="I380" s="968">
        <v>152640</v>
      </c>
      <c r="J380" s="968">
        <v>36781.599999999999</v>
      </c>
      <c r="K380" s="968"/>
      <c r="L380" s="968">
        <f t="shared" si="119"/>
        <v>36781.599999999999</v>
      </c>
      <c r="M380" s="974">
        <v>1952640</v>
      </c>
      <c r="N380" s="974">
        <v>1952640</v>
      </c>
      <c r="O380" s="974">
        <v>1952640</v>
      </c>
      <c r="P380" s="968">
        <v>1119539.9099999999</v>
      </c>
      <c r="Q380" s="968"/>
      <c r="R380" s="968">
        <f t="shared" si="120"/>
        <v>1119539.9099999999</v>
      </c>
      <c r="S380" s="968">
        <v>1966000</v>
      </c>
      <c r="T380" s="968">
        <v>1966000</v>
      </c>
      <c r="U380" s="968">
        <v>966000</v>
      </c>
      <c r="V380" s="968">
        <v>868323.89</v>
      </c>
      <c r="W380" s="968"/>
      <c r="X380" s="968">
        <f t="shared" si="121"/>
        <v>868323.89</v>
      </c>
      <c r="Y380" s="1145">
        <v>2440028</v>
      </c>
      <c r="Z380" s="1145">
        <v>1010200</v>
      </c>
      <c r="AA380" s="1145">
        <v>1010200</v>
      </c>
      <c r="AB380" s="1145">
        <v>520637.2</v>
      </c>
      <c r="AC380" s="1145"/>
      <c r="AD380" s="1145">
        <f t="shared" si="122"/>
        <v>520637.2</v>
      </c>
    </row>
    <row r="381" spans="1:30" x14ac:dyDescent="0.2">
      <c r="A381" s="928">
        <v>7268</v>
      </c>
      <c r="B381" s="928" t="s">
        <v>1274</v>
      </c>
      <c r="C381" s="968">
        <v>18261500</v>
      </c>
      <c r="D381" s="968">
        <v>14631598.1</v>
      </c>
      <c r="E381" s="968"/>
      <c r="F381" s="968">
        <f t="shared" si="123"/>
        <v>14631598.1</v>
      </c>
      <c r="G381" s="968">
        <v>3330190</v>
      </c>
      <c r="H381" s="968">
        <v>3330190</v>
      </c>
      <c r="I381" s="968">
        <v>3330190</v>
      </c>
      <c r="J381" s="968">
        <f>10786782.05+5843875.6+2.67</f>
        <v>16630660.32</v>
      </c>
      <c r="K381" s="968"/>
      <c r="L381" s="968">
        <f t="shared" si="119"/>
        <v>16630660.32</v>
      </c>
      <c r="M381" s="974">
        <v>3330190</v>
      </c>
      <c r="N381" s="974">
        <f>3330190+3000000</f>
        <v>6330190</v>
      </c>
      <c r="O381" s="974">
        <v>8478090</v>
      </c>
      <c r="P381" s="968">
        <f>5600179.47+2877846</f>
        <v>8478025.4699999988</v>
      </c>
      <c r="Q381" s="968"/>
      <c r="R381" s="968">
        <f t="shared" si="120"/>
        <v>8478025.4699999988</v>
      </c>
      <c r="S381" s="968">
        <v>11923000</v>
      </c>
      <c r="T381" s="968">
        <v>11923000</v>
      </c>
      <c r="U381" s="968">
        <f>11815528-200000+4750000</f>
        <v>16365528</v>
      </c>
      <c r="V381" s="968">
        <f>11481583.38+3529672.4+865901.39+237594.41+220002.04</f>
        <v>16334753.620000001</v>
      </c>
      <c r="W381" s="968"/>
      <c r="X381" s="968">
        <f t="shared" si="121"/>
        <v>16334753.620000001</v>
      </c>
      <c r="Y381" s="1145">
        <v>12614534</v>
      </c>
      <c r="Z381" s="1145">
        <v>11982064</v>
      </c>
      <c r="AA381" s="1145">
        <v>11962064</v>
      </c>
      <c r="AB381" s="1145">
        <f>11883917.31-23500</f>
        <v>11860417.310000001</v>
      </c>
      <c r="AC381" s="1145"/>
      <c r="AD381" s="1145">
        <f t="shared" si="122"/>
        <v>11860417.310000001</v>
      </c>
    </row>
    <row r="382" spans="1:30" x14ac:dyDescent="0.2">
      <c r="A382" s="928">
        <v>7270</v>
      </c>
      <c r="B382" s="928" t="s">
        <v>308</v>
      </c>
      <c r="C382" s="968">
        <v>2500000</v>
      </c>
      <c r="D382" s="968">
        <v>2657527.4300000002</v>
      </c>
      <c r="E382" s="968"/>
      <c r="F382" s="968">
        <f t="shared" si="123"/>
        <v>2657527.4300000002</v>
      </c>
      <c r="G382" s="968">
        <v>3180000</v>
      </c>
      <c r="H382" s="968">
        <f>3180000+800000</f>
        <v>3980000</v>
      </c>
      <c r="I382" s="968">
        <v>3980000</v>
      </c>
      <c r="J382" s="968">
        <v>7933388.29</v>
      </c>
      <c r="K382" s="968"/>
      <c r="L382" s="968">
        <f t="shared" si="119"/>
        <v>7933388.29</v>
      </c>
      <c r="M382" s="974">
        <v>3980000</v>
      </c>
      <c r="N382" s="974">
        <v>3980000</v>
      </c>
      <c r="O382" s="974">
        <v>3980000</v>
      </c>
      <c r="P382" s="968">
        <v>3864943.56</v>
      </c>
      <c r="Q382" s="968"/>
      <c r="R382" s="968">
        <f t="shared" si="120"/>
        <v>3864943.56</v>
      </c>
      <c r="S382" s="968">
        <v>4500000</v>
      </c>
      <c r="T382" s="968">
        <v>4500000</v>
      </c>
      <c r="U382" s="968">
        <v>4500000</v>
      </c>
      <c r="V382" s="968">
        <v>4499164.47</v>
      </c>
      <c r="W382" s="968"/>
      <c r="X382" s="968">
        <f t="shared" si="121"/>
        <v>4499164.47</v>
      </c>
      <c r="Y382" s="1145">
        <v>4761000</v>
      </c>
      <c r="Z382" s="1145">
        <v>4761000</v>
      </c>
      <c r="AA382" s="1145">
        <v>4661000</v>
      </c>
      <c r="AB382" s="1145">
        <v>4622157.43</v>
      </c>
      <c r="AC382" s="1145"/>
      <c r="AD382" s="1145">
        <f t="shared" si="122"/>
        <v>4622157.43</v>
      </c>
    </row>
    <row r="383" spans="1:30" x14ac:dyDescent="0.2">
      <c r="A383" s="928">
        <v>7271</v>
      </c>
      <c r="B383" s="928" t="s">
        <v>791</v>
      </c>
      <c r="C383" s="968"/>
      <c r="D383" s="968"/>
      <c r="E383" s="968"/>
      <c r="F383" s="968"/>
      <c r="G383" s="968"/>
      <c r="H383" s="968"/>
      <c r="I383" s="968"/>
      <c r="J383" s="968"/>
      <c r="K383" s="968"/>
      <c r="L383" s="968"/>
      <c r="M383" s="974">
        <v>4614000</v>
      </c>
      <c r="N383" s="974">
        <v>4614000</v>
      </c>
      <c r="O383" s="974">
        <v>4614000</v>
      </c>
      <c r="P383" s="968">
        <f>4430372.43+183627.57</f>
        <v>4614000</v>
      </c>
      <c r="Q383" s="968"/>
      <c r="R383" s="968">
        <f t="shared" si="120"/>
        <v>4614000</v>
      </c>
      <c r="S383" s="968">
        <v>3960000</v>
      </c>
      <c r="T383" s="968">
        <v>3960000</v>
      </c>
      <c r="U383" s="968">
        <v>3960044</v>
      </c>
      <c r="V383" s="968">
        <v>3960000</v>
      </c>
      <c r="W383" s="968"/>
      <c r="X383" s="968">
        <f t="shared" si="121"/>
        <v>3960000</v>
      </c>
      <c r="Y383" s="1145">
        <v>1904000</v>
      </c>
      <c r="Z383" s="1145">
        <v>4160000</v>
      </c>
      <c r="AA383" s="1145">
        <v>4160000</v>
      </c>
      <c r="AB383" s="1145">
        <v>3484097.25</v>
      </c>
      <c r="AC383" s="1145"/>
      <c r="AD383" s="1145">
        <f t="shared" si="122"/>
        <v>3484097.25</v>
      </c>
    </row>
    <row r="384" spans="1:30" x14ac:dyDescent="0.2">
      <c r="A384" s="928">
        <v>7274</v>
      </c>
      <c r="B384" s="928" t="s">
        <v>581</v>
      </c>
      <c r="C384" s="968">
        <v>2935000</v>
      </c>
      <c r="D384" s="968">
        <v>3054033.16</v>
      </c>
      <c r="E384" s="968"/>
      <c r="F384" s="968">
        <f t="shared" ref="F384:F402" si="124">D384+E384</f>
        <v>3054033.16</v>
      </c>
      <c r="G384" s="968">
        <v>3337100</v>
      </c>
      <c r="H384" s="968">
        <f>3337100+1000000</f>
        <v>4337100</v>
      </c>
      <c r="I384" s="968">
        <v>4515480</v>
      </c>
      <c r="J384" s="968">
        <v>5984999.7599999998</v>
      </c>
      <c r="K384" s="968"/>
      <c r="L384" s="968">
        <f t="shared" ref="L384:L402" si="125">J384+K384</f>
        <v>5984999.7599999998</v>
      </c>
      <c r="M384" s="974">
        <v>5337100</v>
      </c>
      <c r="N384" s="974">
        <f>5337100+4000000</f>
        <v>9337100</v>
      </c>
      <c r="O384" s="974">
        <v>7321100</v>
      </c>
      <c r="P384" s="968">
        <v>7321096.6299999999</v>
      </c>
      <c r="Q384" s="968"/>
      <c r="R384" s="968">
        <f t="shared" ref="R384:R403" si="126">P384+Q384</f>
        <v>7321096.6299999999</v>
      </c>
      <c r="S384" s="968">
        <v>9104000</v>
      </c>
      <c r="T384" s="968">
        <v>9104000</v>
      </c>
      <c r="U384" s="968">
        <f>7035069-400000</f>
        <v>6635069</v>
      </c>
      <c r="V384" s="968">
        <v>6615725.71</v>
      </c>
      <c r="W384" s="968"/>
      <c r="X384" s="968">
        <f t="shared" ref="X384:X403" si="127">V384+W384</f>
        <v>6615725.71</v>
      </c>
      <c r="Y384" s="1145">
        <v>10448538</v>
      </c>
      <c r="Z384" s="1145">
        <v>13182846</v>
      </c>
      <c r="AA384" s="1145">
        <v>9608482</v>
      </c>
      <c r="AB384" s="1145">
        <v>9478233.7699999996</v>
      </c>
      <c r="AC384" s="1145"/>
      <c r="AD384" s="1145">
        <f t="shared" si="122"/>
        <v>9478233.7699999996</v>
      </c>
    </row>
    <row r="385" spans="1:30" x14ac:dyDescent="0.2">
      <c r="A385" s="928">
        <v>7278</v>
      </c>
      <c r="B385" s="928" t="s">
        <v>305</v>
      </c>
      <c r="C385" s="968">
        <v>3500000</v>
      </c>
      <c r="D385" s="968">
        <v>2343044.83</v>
      </c>
      <c r="E385" s="968"/>
      <c r="F385" s="968">
        <f t="shared" si="124"/>
        <v>2343044.83</v>
      </c>
      <c r="G385" s="968">
        <v>3850000</v>
      </c>
      <c r="H385" s="968">
        <v>3850000</v>
      </c>
      <c r="I385" s="968">
        <v>3150000</v>
      </c>
      <c r="J385" s="968">
        <v>3333237.01</v>
      </c>
      <c r="K385" s="968"/>
      <c r="L385" s="968">
        <f t="shared" si="125"/>
        <v>3333237.01</v>
      </c>
      <c r="M385" s="974">
        <v>2050000</v>
      </c>
      <c r="N385" s="974">
        <v>2050000</v>
      </c>
      <c r="O385" s="974">
        <v>2050000</v>
      </c>
      <c r="P385" s="968">
        <v>1723381.4</v>
      </c>
      <c r="Q385" s="968"/>
      <c r="R385" s="968">
        <f t="shared" si="126"/>
        <v>1723381.4</v>
      </c>
      <c r="S385" s="968">
        <v>2200000</v>
      </c>
      <c r="T385" s="968">
        <v>2200000</v>
      </c>
      <c r="U385" s="968">
        <f>1600000-500000</f>
        <v>1100000</v>
      </c>
      <c r="V385" s="968">
        <v>1088597.5</v>
      </c>
      <c r="W385" s="968"/>
      <c r="X385" s="968">
        <f t="shared" si="127"/>
        <v>1088597.5</v>
      </c>
      <c r="Y385" s="1145">
        <v>2000000</v>
      </c>
      <c r="Z385" s="1145">
        <v>1700000</v>
      </c>
      <c r="AA385" s="1145">
        <v>1830000</v>
      </c>
      <c r="AB385" s="1145">
        <v>1825666.11</v>
      </c>
      <c r="AC385" s="1145"/>
      <c r="AD385" s="1145">
        <f t="shared" si="122"/>
        <v>1825666.11</v>
      </c>
    </row>
    <row r="386" spans="1:30" x14ac:dyDescent="0.2">
      <c r="A386" s="928">
        <v>7280</v>
      </c>
      <c r="B386" s="928" t="s">
        <v>307</v>
      </c>
      <c r="C386" s="968">
        <v>2120000</v>
      </c>
      <c r="D386" s="968">
        <v>1974041.21</v>
      </c>
      <c r="E386" s="968"/>
      <c r="F386" s="968">
        <f t="shared" si="124"/>
        <v>1974041.21</v>
      </c>
      <c r="G386" s="968">
        <v>2500000</v>
      </c>
      <c r="H386" s="968">
        <v>2500000</v>
      </c>
      <c r="I386" s="968">
        <v>2200000</v>
      </c>
      <c r="J386" s="968">
        <v>1438976.31</v>
      </c>
      <c r="K386" s="968"/>
      <c r="L386" s="968">
        <f t="shared" si="125"/>
        <v>1438976.31</v>
      </c>
      <c r="M386" s="974">
        <v>2500000</v>
      </c>
      <c r="N386" s="974">
        <v>2500000</v>
      </c>
      <c r="O386" s="974">
        <v>2500000</v>
      </c>
      <c r="P386" s="968">
        <v>2495333.29</v>
      </c>
      <c r="Q386" s="968"/>
      <c r="R386" s="968">
        <f t="shared" si="126"/>
        <v>2495333.29</v>
      </c>
      <c r="S386" s="968">
        <v>2625000</v>
      </c>
      <c r="T386" s="968">
        <v>2625000</v>
      </c>
      <c r="U386" s="968">
        <f>2625000-470000</f>
        <v>2155000</v>
      </c>
      <c r="V386" s="968">
        <v>2148364.42</v>
      </c>
      <c r="W386" s="968"/>
      <c r="X386" s="968">
        <f t="shared" si="127"/>
        <v>2148364.42</v>
      </c>
      <c r="Y386" s="1145">
        <v>2777250</v>
      </c>
      <c r="Z386" s="1145">
        <v>2777250</v>
      </c>
      <c r="AA386" s="1145">
        <v>3095250</v>
      </c>
      <c r="AB386" s="1145">
        <v>3019484.13</v>
      </c>
      <c r="AC386" s="1145"/>
      <c r="AD386" s="1145">
        <f t="shared" si="122"/>
        <v>3019484.13</v>
      </c>
    </row>
    <row r="387" spans="1:30" x14ac:dyDescent="0.2">
      <c r="A387" s="928">
        <v>7282</v>
      </c>
      <c r="B387" s="928" t="s">
        <v>1275</v>
      </c>
      <c r="C387" s="968">
        <v>2000000</v>
      </c>
      <c r="D387" s="968">
        <v>1377216.51</v>
      </c>
      <c r="E387" s="968"/>
      <c r="F387" s="968">
        <f t="shared" si="124"/>
        <v>1377216.51</v>
      </c>
      <c r="G387" s="968">
        <v>2120000</v>
      </c>
      <c r="H387" s="968">
        <v>2120000</v>
      </c>
      <c r="I387" s="968">
        <v>2120000</v>
      </c>
      <c r="J387" s="968">
        <v>1717256.24</v>
      </c>
      <c r="K387" s="968"/>
      <c r="L387" s="968">
        <f t="shared" si="125"/>
        <v>1717256.24</v>
      </c>
      <c r="M387" s="974">
        <v>2120000</v>
      </c>
      <c r="N387" s="974">
        <v>2120000</v>
      </c>
      <c r="O387" s="974">
        <v>998100</v>
      </c>
      <c r="P387" s="968">
        <v>998071.91</v>
      </c>
      <c r="Q387" s="968"/>
      <c r="R387" s="968">
        <f t="shared" si="126"/>
        <v>998071.91</v>
      </c>
      <c r="S387" s="968">
        <v>2332000</v>
      </c>
      <c r="T387" s="968">
        <v>2332000</v>
      </c>
      <c r="U387" s="968">
        <v>2239320</v>
      </c>
      <c r="V387" s="968">
        <v>2239312.5099999998</v>
      </c>
      <c r="W387" s="968"/>
      <c r="X387" s="968">
        <f t="shared" si="127"/>
        <v>2239312.5099999998</v>
      </c>
      <c r="Y387" s="1145">
        <v>2467256</v>
      </c>
      <c r="Z387" s="1145">
        <v>2467256</v>
      </c>
      <c r="AA387" s="1145">
        <v>2467256</v>
      </c>
      <c r="AB387" s="1145">
        <v>2404317.7400000002</v>
      </c>
      <c r="AC387" s="1145"/>
      <c r="AD387" s="1145">
        <f t="shared" si="122"/>
        <v>2404317.7400000002</v>
      </c>
    </row>
    <row r="388" spans="1:30" x14ac:dyDescent="0.2">
      <c r="A388" s="928">
        <v>7284</v>
      </c>
      <c r="B388" s="928" t="s">
        <v>702</v>
      </c>
      <c r="C388" s="968">
        <v>4000</v>
      </c>
      <c r="D388" s="968">
        <v>3513.15</v>
      </c>
      <c r="E388" s="968"/>
      <c r="F388" s="968">
        <f t="shared" si="124"/>
        <v>3513.15</v>
      </c>
      <c r="G388" s="968">
        <v>4240</v>
      </c>
      <c r="H388" s="968">
        <v>4240</v>
      </c>
      <c r="I388" s="968">
        <v>4240</v>
      </c>
      <c r="J388" s="968">
        <v>3577.84</v>
      </c>
      <c r="K388" s="968"/>
      <c r="L388" s="968">
        <f t="shared" si="125"/>
        <v>3577.84</v>
      </c>
      <c r="M388" s="974">
        <v>4240</v>
      </c>
      <c r="N388" s="974">
        <v>4240</v>
      </c>
      <c r="O388" s="974">
        <v>4240</v>
      </c>
      <c r="P388" s="968">
        <v>0</v>
      </c>
      <c r="Q388" s="968"/>
      <c r="R388" s="968">
        <f t="shared" si="126"/>
        <v>0</v>
      </c>
      <c r="S388" s="968">
        <v>5000</v>
      </c>
      <c r="T388" s="968">
        <v>5000</v>
      </c>
      <c r="U388" s="968">
        <v>5000</v>
      </c>
      <c r="V388" s="968"/>
      <c r="W388" s="968"/>
      <c r="X388" s="968">
        <f t="shared" si="127"/>
        <v>0</v>
      </c>
      <c r="Y388" s="1145"/>
      <c r="Z388" s="1145"/>
      <c r="AA388" s="1145"/>
      <c r="AB388" s="1145"/>
      <c r="AC388" s="1145"/>
      <c r="AD388" s="1145">
        <f t="shared" si="122"/>
        <v>0</v>
      </c>
    </row>
    <row r="389" spans="1:30" x14ac:dyDescent="0.2">
      <c r="A389" s="928">
        <v>7288</v>
      </c>
      <c r="B389" s="928" t="s">
        <v>246</v>
      </c>
      <c r="C389" s="968">
        <v>18450</v>
      </c>
      <c r="D389" s="968">
        <v>11559.26</v>
      </c>
      <c r="E389" s="968"/>
      <c r="F389" s="968">
        <f t="shared" si="124"/>
        <v>11559.26</v>
      </c>
      <c r="G389" s="968">
        <v>19555</v>
      </c>
      <c r="H389" s="968">
        <v>19555</v>
      </c>
      <c r="I389" s="968">
        <v>19555</v>
      </c>
      <c r="J389" s="968">
        <v>7235.66</v>
      </c>
      <c r="K389" s="968"/>
      <c r="L389" s="968">
        <f t="shared" si="125"/>
        <v>7235.66</v>
      </c>
      <c r="M389" s="974">
        <v>19555</v>
      </c>
      <c r="N389" s="974">
        <v>19555</v>
      </c>
      <c r="O389" s="974">
        <v>19555</v>
      </c>
      <c r="P389" s="968">
        <v>14951.39</v>
      </c>
      <c r="Q389" s="968"/>
      <c r="R389" s="968">
        <f t="shared" si="126"/>
        <v>14951.39</v>
      </c>
      <c r="S389" s="968">
        <v>20000</v>
      </c>
      <c r="T389" s="968">
        <v>20000</v>
      </c>
      <c r="U389" s="968">
        <v>20000</v>
      </c>
      <c r="V389" s="968">
        <v>8531.16</v>
      </c>
      <c r="W389" s="968"/>
      <c r="X389" s="968">
        <f t="shared" si="127"/>
        <v>8531.16</v>
      </c>
      <c r="Y389" s="1145">
        <v>21160</v>
      </c>
      <c r="Z389" s="1145">
        <v>24160</v>
      </c>
      <c r="AA389" s="1145">
        <v>24160</v>
      </c>
      <c r="AB389" s="1145">
        <v>15093.32</v>
      </c>
      <c r="AC389" s="1145"/>
      <c r="AD389" s="1145">
        <f t="shared" si="122"/>
        <v>15093.32</v>
      </c>
    </row>
    <row r="390" spans="1:30" x14ac:dyDescent="0.2">
      <c r="A390" s="928">
        <v>7290</v>
      </c>
      <c r="B390" s="928" t="s">
        <v>1276</v>
      </c>
      <c r="C390" s="968">
        <v>860000</v>
      </c>
      <c r="D390" s="968">
        <v>677483.58</v>
      </c>
      <c r="E390" s="968"/>
      <c r="F390" s="968">
        <f t="shared" si="124"/>
        <v>677483.58</v>
      </c>
      <c r="G390" s="968">
        <v>911600</v>
      </c>
      <c r="H390" s="968">
        <v>911600</v>
      </c>
      <c r="I390" s="968">
        <v>911600</v>
      </c>
      <c r="J390" s="968">
        <v>744000.78</v>
      </c>
      <c r="K390" s="968"/>
      <c r="L390" s="968">
        <f t="shared" si="125"/>
        <v>744000.78</v>
      </c>
      <c r="M390" s="974">
        <v>1548405</v>
      </c>
      <c r="N390" s="974">
        <f>1548405+1500000</f>
        <v>3048405</v>
      </c>
      <c r="O390" s="974">
        <f>1548405+1500000</f>
        <v>3048405</v>
      </c>
      <c r="P390" s="968">
        <v>2744656.84</v>
      </c>
      <c r="Q390" s="968"/>
      <c r="R390" s="968">
        <f t="shared" si="126"/>
        <v>2744656.84</v>
      </c>
      <c r="S390" s="968">
        <v>3000000</v>
      </c>
      <c r="T390" s="968">
        <v>3000000</v>
      </c>
      <c r="U390" s="968">
        <v>2983393</v>
      </c>
      <c r="V390" s="968">
        <v>2929884.29</v>
      </c>
      <c r="W390" s="968"/>
      <c r="X390" s="968">
        <f t="shared" si="127"/>
        <v>2929884.29</v>
      </c>
      <c r="Y390" s="1145">
        <v>3174000</v>
      </c>
      <c r="Z390" s="1145">
        <v>3174000</v>
      </c>
      <c r="AA390" s="1145">
        <v>3174000</v>
      </c>
      <c r="AB390" s="1145">
        <v>3174000</v>
      </c>
      <c r="AC390" s="1145"/>
      <c r="AD390" s="1145">
        <f t="shared" si="122"/>
        <v>3174000</v>
      </c>
    </row>
    <row r="391" spans="1:30" x14ac:dyDescent="0.2">
      <c r="A391" s="928">
        <v>7292</v>
      </c>
      <c r="B391" s="928" t="s">
        <v>1277</v>
      </c>
      <c r="C391" s="968">
        <v>1100000</v>
      </c>
      <c r="D391" s="968">
        <v>996355.46</v>
      </c>
      <c r="E391" s="968"/>
      <c r="F391" s="968">
        <f t="shared" si="124"/>
        <v>996355.46</v>
      </c>
      <c r="G391" s="968">
        <v>1060000</v>
      </c>
      <c r="H391" s="968">
        <v>1060000</v>
      </c>
      <c r="I391" s="968">
        <v>960000</v>
      </c>
      <c r="J391" s="968">
        <v>810069.1</v>
      </c>
      <c r="K391" s="968"/>
      <c r="L391" s="968">
        <f t="shared" si="125"/>
        <v>810069.1</v>
      </c>
      <c r="M391" s="974"/>
      <c r="N391" s="974"/>
      <c r="O391" s="974"/>
      <c r="P391" s="968">
        <v>0</v>
      </c>
      <c r="Q391" s="968"/>
      <c r="R391" s="968">
        <f t="shared" si="126"/>
        <v>0</v>
      </c>
      <c r="S391" s="968"/>
      <c r="T391" s="968"/>
      <c r="U391" s="968"/>
      <c r="V391" s="968"/>
      <c r="W391" s="968"/>
      <c r="X391" s="968">
        <f t="shared" si="127"/>
        <v>0</v>
      </c>
      <c r="Y391" s="1145"/>
      <c r="Z391" s="1145"/>
      <c r="AA391" s="1145"/>
      <c r="AB391" s="1145"/>
      <c r="AC391" s="1145"/>
      <c r="AD391" s="1145">
        <f t="shared" si="122"/>
        <v>0</v>
      </c>
    </row>
    <row r="392" spans="1:30" x14ac:dyDescent="0.2">
      <c r="A392" s="928">
        <v>7296</v>
      </c>
      <c r="B392" s="928" t="s">
        <v>312</v>
      </c>
      <c r="C392" s="968">
        <v>11800204</v>
      </c>
      <c r="D392" s="968">
        <v>10630763.5</v>
      </c>
      <c r="E392" s="968"/>
      <c r="F392" s="968">
        <f t="shared" si="124"/>
        <v>10630763.5</v>
      </c>
      <c r="G392" s="968">
        <v>6162000</v>
      </c>
      <c r="H392" s="968">
        <v>6162000</v>
      </c>
      <c r="I392" s="968">
        <v>6862000</v>
      </c>
      <c r="J392" s="968">
        <v>6450882.21</v>
      </c>
      <c r="K392" s="968"/>
      <c r="L392" s="968">
        <f t="shared" si="125"/>
        <v>6450882.21</v>
      </c>
      <c r="M392" s="974">
        <v>6862000</v>
      </c>
      <c r="N392" s="974">
        <v>6862000</v>
      </c>
      <c r="O392" s="974">
        <v>6862000</v>
      </c>
      <c r="P392" s="968">
        <v>6143245.8700000001</v>
      </c>
      <c r="Q392" s="968"/>
      <c r="R392" s="968">
        <f t="shared" si="126"/>
        <v>6143245.8700000001</v>
      </c>
      <c r="S392" s="968">
        <v>7200000</v>
      </c>
      <c r="T392" s="968">
        <v>7200000</v>
      </c>
      <c r="U392" s="968">
        <f>7200000-1800000</f>
        <v>5400000</v>
      </c>
      <c r="V392" s="968">
        <f>5095502.34+291025.73</f>
        <v>5386528.0700000003</v>
      </c>
      <c r="W392" s="968"/>
      <c r="X392" s="968">
        <f t="shared" si="127"/>
        <v>5386528.0700000003</v>
      </c>
      <c r="Y392" s="1145">
        <v>8000000</v>
      </c>
      <c r="Z392" s="1145">
        <v>8000000</v>
      </c>
      <c r="AA392" s="1145">
        <v>8020000</v>
      </c>
      <c r="AB392" s="1145">
        <v>7892119.1500000004</v>
      </c>
      <c r="AC392" s="1145"/>
      <c r="AD392" s="1145">
        <f t="shared" si="122"/>
        <v>7892119.1500000004</v>
      </c>
    </row>
    <row r="393" spans="1:30" x14ac:dyDescent="0.2">
      <c r="A393" s="928">
        <v>7298</v>
      </c>
      <c r="B393" s="928" t="s">
        <v>703</v>
      </c>
      <c r="C393" s="968">
        <v>30000</v>
      </c>
      <c r="D393" s="968">
        <v>30473.68</v>
      </c>
      <c r="E393" s="968"/>
      <c r="F393" s="968">
        <f t="shared" si="124"/>
        <v>30473.68</v>
      </c>
      <c r="G393" s="968">
        <v>33000</v>
      </c>
      <c r="H393" s="968">
        <v>33000</v>
      </c>
      <c r="I393" s="968">
        <v>33000</v>
      </c>
      <c r="J393" s="968">
        <v>0</v>
      </c>
      <c r="K393" s="968"/>
      <c r="L393" s="968">
        <f t="shared" si="125"/>
        <v>0</v>
      </c>
      <c r="M393" s="974">
        <v>33000</v>
      </c>
      <c r="N393" s="974">
        <v>33000</v>
      </c>
      <c r="O393" s="974">
        <v>23000</v>
      </c>
      <c r="P393" s="968">
        <v>0</v>
      </c>
      <c r="Q393" s="968"/>
      <c r="R393" s="968">
        <f t="shared" si="126"/>
        <v>0</v>
      </c>
      <c r="S393" s="968">
        <v>33000</v>
      </c>
      <c r="T393" s="968">
        <v>33000</v>
      </c>
      <c r="U393" s="968">
        <v>18000</v>
      </c>
      <c r="V393" s="968"/>
      <c r="W393" s="968"/>
      <c r="X393" s="968">
        <f t="shared" si="127"/>
        <v>0</v>
      </c>
      <c r="Y393" s="1145">
        <v>180000</v>
      </c>
      <c r="Z393" s="1145">
        <v>100000</v>
      </c>
      <c r="AA393" s="1145">
        <v>35000</v>
      </c>
      <c r="AB393" s="1145"/>
      <c r="AC393" s="1145"/>
      <c r="AD393" s="1145">
        <f t="shared" si="122"/>
        <v>0</v>
      </c>
    </row>
    <row r="394" spans="1:30" x14ac:dyDescent="0.2">
      <c r="A394" s="928">
        <v>7400</v>
      </c>
      <c r="B394" s="928" t="s">
        <v>3918</v>
      </c>
      <c r="C394" s="968"/>
      <c r="D394" s="968"/>
      <c r="E394" s="968"/>
      <c r="F394" s="968"/>
      <c r="G394" s="968"/>
      <c r="H394" s="968"/>
      <c r="I394" s="968"/>
      <c r="J394" s="968"/>
      <c r="K394" s="968"/>
      <c r="L394" s="968"/>
      <c r="M394" s="974"/>
      <c r="N394" s="974"/>
      <c r="O394" s="974"/>
      <c r="P394" s="968"/>
      <c r="Q394" s="968"/>
      <c r="R394" s="968"/>
      <c r="S394" s="968"/>
      <c r="T394" s="968"/>
      <c r="U394" s="968"/>
      <c r="V394" s="968"/>
      <c r="W394" s="968"/>
      <c r="X394" s="968"/>
      <c r="Y394" s="1145"/>
      <c r="Z394" s="1145">
        <v>7957000</v>
      </c>
      <c r="AA394" s="1145">
        <v>7959684</v>
      </c>
      <c r="AB394" s="1145">
        <v>7959683.8300000001</v>
      </c>
      <c r="AC394" s="1145"/>
      <c r="AD394" s="1145">
        <f t="shared" si="122"/>
        <v>7959683.8300000001</v>
      </c>
    </row>
    <row r="395" spans="1:30" x14ac:dyDescent="0.2">
      <c r="A395" s="928">
        <v>7401</v>
      </c>
      <c r="B395" s="928" t="s">
        <v>3919</v>
      </c>
      <c r="C395" s="968"/>
      <c r="D395" s="968"/>
      <c r="E395" s="968"/>
      <c r="F395" s="968"/>
      <c r="G395" s="968"/>
      <c r="H395" s="968"/>
      <c r="I395" s="968"/>
      <c r="J395" s="968"/>
      <c r="K395" s="968"/>
      <c r="L395" s="968"/>
      <c r="M395" s="974"/>
      <c r="N395" s="974"/>
      <c r="O395" s="974"/>
      <c r="P395" s="968"/>
      <c r="Q395" s="968"/>
      <c r="R395" s="968"/>
      <c r="S395" s="968"/>
      <c r="T395" s="968"/>
      <c r="U395" s="968"/>
      <c r="V395" s="968"/>
      <c r="W395" s="968"/>
      <c r="X395" s="968"/>
      <c r="Y395" s="1145"/>
      <c r="Z395" s="1145">
        <v>4897053</v>
      </c>
      <c r="AA395" s="1145">
        <v>4745791</v>
      </c>
      <c r="AB395" s="1145">
        <v>4731536.8600000003</v>
      </c>
      <c r="AC395" s="1145"/>
      <c r="AD395" s="1145">
        <f t="shared" si="122"/>
        <v>4731536.8600000003</v>
      </c>
    </row>
    <row r="396" spans="1:30" x14ac:dyDescent="0.2">
      <c r="A396" s="928">
        <v>7406</v>
      </c>
      <c r="B396" s="928" t="s">
        <v>962</v>
      </c>
      <c r="C396" s="968">
        <v>1810000</v>
      </c>
      <c r="D396" s="968">
        <v>1438079.17</v>
      </c>
      <c r="E396" s="968"/>
      <c r="F396" s="968">
        <f t="shared" si="124"/>
        <v>1438079.17</v>
      </c>
      <c r="G396" s="968">
        <v>1095400</v>
      </c>
      <c r="H396" s="968">
        <f>1095400-1021200</f>
        <v>74200</v>
      </c>
      <c r="I396" s="968">
        <v>74200</v>
      </c>
      <c r="J396" s="968">
        <v>41024.730000000003</v>
      </c>
      <c r="K396" s="968"/>
      <c r="L396" s="968">
        <f t="shared" si="125"/>
        <v>41024.730000000003</v>
      </c>
      <c r="M396" s="974">
        <v>889500</v>
      </c>
      <c r="N396" s="974">
        <v>889500</v>
      </c>
      <c r="O396" s="974">
        <v>827500</v>
      </c>
      <c r="P396" s="968">
        <v>705008.21</v>
      </c>
      <c r="Q396" s="968">
        <v>-705008.21</v>
      </c>
      <c r="R396" s="968">
        <f t="shared" si="126"/>
        <v>0</v>
      </c>
      <c r="S396" s="968">
        <v>906000</v>
      </c>
      <c r="T396" s="968">
        <v>906000</v>
      </c>
      <c r="U396" s="968">
        <v>1509437</v>
      </c>
      <c r="V396" s="968">
        <v>1259023.3899999999</v>
      </c>
      <c r="W396" s="968"/>
      <c r="X396" s="968">
        <f t="shared" si="127"/>
        <v>1259023.3899999999</v>
      </c>
      <c r="Y396" s="1145"/>
      <c r="Z396" s="1145"/>
      <c r="AA396" s="1145">
        <v>1035948</v>
      </c>
      <c r="AB396" s="1145">
        <v>1011465.33</v>
      </c>
      <c r="AC396" s="1145"/>
      <c r="AD396" s="1145">
        <f t="shared" si="122"/>
        <v>1011465.33</v>
      </c>
    </row>
    <row r="397" spans="1:30" x14ac:dyDescent="0.2">
      <c r="A397" s="928">
        <v>7408</v>
      </c>
      <c r="B397" s="928" t="s">
        <v>1283</v>
      </c>
      <c r="C397" s="968">
        <v>2174650</v>
      </c>
      <c r="D397" s="968">
        <v>2345055.37</v>
      </c>
      <c r="E397" s="968"/>
      <c r="F397" s="968">
        <f t="shared" si="124"/>
        <v>2345055.37</v>
      </c>
      <c r="G397" s="968">
        <v>2327980</v>
      </c>
      <c r="H397" s="968">
        <f>2327980-703500</f>
        <v>1624480</v>
      </c>
      <c r="I397" s="968">
        <v>954480</v>
      </c>
      <c r="J397" s="968">
        <v>798013.24</v>
      </c>
      <c r="K397" s="968"/>
      <c r="L397" s="968">
        <f t="shared" si="125"/>
        <v>798013.24</v>
      </c>
      <c r="M397" s="974">
        <v>1620500</v>
      </c>
      <c r="N397" s="974">
        <v>1620500</v>
      </c>
      <c r="O397" s="974">
        <v>1626500</v>
      </c>
      <c r="P397" s="968">
        <v>1549650.67</v>
      </c>
      <c r="Q397" s="968">
        <v>-1549650.67</v>
      </c>
      <c r="R397" s="968">
        <f t="shared" si="126"/>
        <v>0</v>
      </c>
      <c r="S397" s="968">
        <v>991000</v>
      </c>
      <c r="T397" s="968">
        <v>991000</v>
      </c>
      <c r="U397" s="968">
        <v>2129445</v>
      </c>
      <c r="V397" s="968">
        <v>2129397.7200000002</v>
      </c>
      <c r="W397" s="968"/>
      <c r="X397" s="968">
        <f t="shared" si="127"/>
        <v>2129397.7200000002</v>
      </c>
      <c r="Y397" s="1145"/>
      <c r="Z397" s="1145"/>
      <c r="AA397" s="1145">
        <v>2751478</v>
      </c>
      <c r="AB397" s="1145">
        <v>2483498.34</v>
      </c>
      <c r="AC397" s="1145"/>
      <c r="AD397" s="1145">
        <f t="shared" si="122"/>
        <v>2483498.34</v>
      </c>
    </row>
    <row r="398" spans="1:30" x14ac:dyDescent="0.2">
      <c r="A398" s="928">
        <v>7412</v>
      </c>
      <c r="B398" s="928" t="s">
        <v>988</v>
      </c>
      <c r="C398" s="968">
        <v>6318200</v>
      </c>
      <c r="D398" s="968">
        <v>7118182.2000000002</v>
      </c>
      <c r="E398" s="968"/>
      <c r="F398" s="968">
        <f t="shared" si="124"/>
        <v>7118182.2000000002</v>
      </c>
      <c r="G398" s="968">
        <v>6735450</v>
      </c>
      <c r="H398" s="968">
        <f>6735450+800000-1180200</f>
        <v>6355250</v>
      </c>
      <c r="I398" s="968">
        <v>5850870</v>
      </c>
      <c r="J398" s="968">
        <v>5735782.0599999996</v>
      </c>
      <c r="K398" s="968"/>
      <c r="L398" s="968">
        <f t="shared" si="125"/>
        <v>5735782.0599999996</v>
      </c>
      <c r="M398" s="974">
        <v>6047000</v>
      </c>
      <c r="N398" s="974">
        <f>6047000-450000</f>
        <v>5597000</v>
      </c>
      <c r="O398" s="974">
        <v>5347000</v>
      </c>
      <c r="P398" s="968">
        <f>4625177.03-183627.57</f>
        <v>4441549.46</v>
      </c>
      <c r="Q398" s="968">
        <v>-4441549.46</v>
      </c>
      <c r="R398" s="968">
        <f t="shared" si="126"/>
        <v>0</v>
      </c>
      <c r="S398" s="968">
        <v>5919000</v>
      </c>
      <c r="T398" s="968">
        <v>5919000</v>
      </c>
      <c r="U398" s="968">
        <v>5041000</v>
      </c>
      <c r="V398" s="968">
        <v>4467261.12</v>
      </c>
      <c r="W398" s="968"/>
      <c r="X398" s="968">
        <f t="shared" si="127"/>
        <v>4467261.12</v>
      </c>
      <c r="Y398" s="1145"/>
      <c r="Z398" s="1145"/>
      <c r="AA398" s="1145">
        <v>6186340</v>
      </c>
      <c r="AB398" s="1145">
        <v>5994874.6799999997</v>
      </c>
      <c r="AC398" s="1145"/>
      <c r="AD398" s="1145">
        <f t="shared" si="122"/>
        <v>5994874.6799999997</v>
      </c>
    </row>
    <row r="399" spans="1:30" x14ac:dyDescent="0.2">
      <c r="A399" s="928">
        <v>7421</v>
      </c>
      <c r="B399" s="928" t="s">
        <v>674</v>
      </c>
      <c r="C399" s="968">
        <v>4329800</v>
      </c>
      <c r="D399" s="968">
        <v>5679926.0999999996</v>
      </c>
      <c r="E399" s="968"/>
      <c r="F399" s="968">
        <f t="shared" si="124"/>
        <v>5679926.0999999996</v>
      </c>
      <c r="G399" s="968">
        <v>4494400</v>
      </c>
      <c r="H399" s="968">
        <f>4494400+2500000</f>
        <v>6994400</v>
      </c>
      <c r="I399" s="968">
        <v>7294400</v>
      </c>
      <c r="J399" s="968">
        <v>7294400</v>
      </c>
      <c r="K399" s="968">
        <v>538572</v>
      </c>
      <c r="L399" s="968">
        <f t="shared" si="125"/>
        <v>7832972</v>
      </c>
      <c r="M399" s="974">
        <v>7294600</v>
      </c>
      <c r="N399" s="974">
        <v>7294600</v>
      </c>
      <c r="O399" s="974">
        <v>11894600</v>
      </c>
      <c r="P399" s="968">
        <v>10315734.32</v>
      </c>
      <c r="Q399" s="968">
        <v>-10315734.32</v>
      </c>
      <c r="R399" s="968">
        <f t="shared" si="126"/>
        <v>0</v>
      </c>
      <c r="S399" s="968">
        <v>7900000</v>
      </c>
      <c r="T399" s="968">
        <v>7900000</v>
      </c>
      <c r="U399" s="968">
        <v>10368650</v>
      </c>
      <c r="V399" s="968">
        <v>10368629.57</v>
      </c>
      <c r="W399" s="968"/>
      <c r="X399" s="968">
        <f t="shared" si="127"/>
        <v>10368629.57</v>
      </c>
      <c r="Y399" s="1145"/>
      <c r="Z399" s="1145"/>
      <c r="AA399" s="1145">
        <v>10000000</v>
      </c>
      <c r="AB399" s="1145">
        <v>9988824.7100000009</v>
      </c>
      <c r="AC399" s="1145"/>
      <c r="AD399" s="1145">
        <f t="shared" si="122"/>
        <v>9988824.7100000009</v>
      </c>
    </row>
    <row r="400" spans="1:30" x14ac:dyDescent="0.2">
      <c r="A400" s="928">
        <v>7423</v>
      </c>
      <c r="B400" s="928" t="s">
        <v>961</v>
      </c>
      <c r="C400" s="968">
        <v>2720000</v>
      </c>
      <c r="D400" s="968">
        <v>2862265.08</v>
      </c>
      <c r="E400" s="968"/>
      <c r="F400" s="968">
        <f t="shared" si="124"/>
        <v>2862265.08</v>
      </c>
      <c r="G400" s="968">
        <v>2883200</v>
      </c>
      <c r="H400" s="968">
        <v>2883200</v>
      </c>
      <c r="I400" s="968">
        <v>2883200</v>
      </c>
      <c r="J400" s="968">
        <v>2825144.56</v>
      </c>
      <c r="K400" s="968"/>
      <c r="L400" s="968">
        <f t="shared" si="125"/>
        <v>2825144.56</v>
      </c>
      <c r="M400" s="974">
        <v>2883400</v>
      </c>
      <c r="N400" s="974">
        <v>2883400</v>
      </c>
      <c r="O400" s="974">
        <v>3883400</v>
      </c>
      <c r="P400" s="968">
        <v>3387275.03</v>
      </c>
      <c r="Q400" s="968">
        <v>-3387275.03</v>
      </c>
      <c r="R400" s="968">
        <f t="shared" si="126"/>
        <v>0</v>
      </c>
      <c r="S400" s="968">
        <v>3020000</v>
      </c>
      <c r="T400" s="968">
        <v>3020000</v>
      </c>
      <c r="U400" s="968">
        <v>2985000</v>
      </c>
      <c r="V400" s="968">
        <v>2977171.57</v>
      </c>
      <c r="W400" s="968"/>
      <c r="X400" s="968">
        <f t="shared" si="127"/>
        <v>2977171.57</v>
      </c>
      <c r="Y400" s="1145"/>
      <c r="Z400" s="1145"/>
      <c r="AA400" s="1145">
        <v>3051000</v>
      </c>
      <c r="AB400" s="1145">
        <v>3050999.24</v>
      </c>
      <c r="AC400" s="1145"/>
      <c r="AD400" s="1145">
        <f t="shared" si="122"/>
        <v>3050999.24</v>
      </c>
    </row>
    <row r="401" spans="1:30" x14ac:dyDescent="0.2">
      <c r="A401" s="928">
        <v>7435</v>
      </c>
      <c r="B401" s="928" t="s">
        <v>1290</v>
      </c>
      <c r="C401" s="968">
        <v>14844220</v>
      </c>
      <c r="D401" s="968">
        <v>14885247.210000001</v>
      </c>
      <c r="E401" s="968"/>
      <c r="F401" s="968">
        <f t="shared" si="124"/>
        <v>14885247.210000001</v>
      </c>
      <c r="G401" s="968">
        <v>9310000</v>
      </c>
      <c r="H401" s="968">
        <v>9310000</v>
      </c>
      <c r="I401" s="968">
        <v>9310000</v>
      </c>
      <c r="J401" s="968">
        <v>9309875.4900000002</v>
      </c>
      <c r="K401" s="968"/>
      <c r="L401" s="968">
        <f t="shared" si="125"/>
        <v>9309875.4900000002</v>
      </c>
      <c r="M401" s="974">
        <v>9010000</v>
      </c>
      <c r="N401" s="974">
        <v>9010000</v>
      </c>
      <c r="O401" s="974">
        <f>6850000-699600</f>
        <v>6150400</v>
      </c>
      <c r="P401" s="968">
        <f>4721752.63-50187.5</f>
        <v>4671565.13</v>
      </c>
      <c r="Q401" s="968">
        <v>-4671565.13</v>
      </c>
      <c r="R401" s="968">
        <f t="shared" si="126"/>
        <v>0</v>
      </c>
      <c r="S401" s="968">
        <v>9450000</v>
      </c>
      <c r="T401" s="968">
        <v>9450000</v>
      </c>
      <c r="U401" s="968">
        <v>8350000</v>
      </c>
      <c r="V401" s="968">
        <v>8260713.54</v>
      </c>
      <c r="W401" s="968"/>
      <c r="X401" s="968">
        <f t="shared" si="127"/>
        <v>8260713.54</v>
      </c>
      <c r="Y401" s="1145"/>
      <c r="Z401" s="1145"/>
      <c r="AA401" s="1145">
        <v>9998100</v>
      </c>
      <c r="AB401" s="1145">
        <v>9941635.6999999993</v>
      </c>
      <c r="AC401" s="1145"/>
      <c r="AD401" s="1145">
        <f t="shared" si="122"/>
        <v>9941635.6999999993</v>
      </c>
    </row>
    <row r="402" spans="1:30" x14ac:dyDescent="0.2">
      <c r="A402" s="928">
        <v>7891</v>
      </c>
      <c r="B402" s="928" t="s">
        <v>973</v>
      </c>
      <c r="C402" s="968">
        <v>556500</v>
      </c>
      <c r="D402" s="968">
        <v>1282299.29</v>
      </c>
      <c r="E402" s="968"/>
      <c r="F402" s="968">
        <f t="shared" si="124"/>
        <v>1282299.29</v>
      </c>
      <c r="G402" s="968">
        <v>612000</v>
      </c>
      <c r="H402" s="968">
        <v>612000</v>
      </c>
      <c r="I402" s="968">
        <v>1003800</v>
      </c>
      <c r="J402" s="968">
        <v>990390.85</v>
      </c>
      <c r="K402" s="968"/>
      <c r="L402" s="968">
        <f t="shared" si="125"/>
        <v>990390.85</v>
      </c>
      <c r="M402" s="974">
        <v>612000</v>
      </c>
      <c r="N402" s="974">
        <v>612000</v>
      </c>
      <c r="O402" s="974">
        <v>1566500</v>
      </c>
      <c r="P402" s="968">
        <v>1266889.1000000001</v>
      </c>
      <c r="Q402" s="968">
        <v>-1266889.1000000001</v>
      </c>
      <c r="R402" s="968">
        <f t="shared" si="126"/>
        <v>0</v>
      </c>
      <c r="S402" s="968">
        <v>1000000</v>
      </c>
      <c r="T402" s="968">
        <v>1000000</v>
      </c>
      <c r="U402" s="968">
        <v>744290</v>
      </c>
      <c r="V402" s="968">
        <v>744287.09</v>
      </c>
      <c r="W402" s="968"/>
      <c r="X402" s="968">
        <f t="shared" si="127"/>
        <v>744287.09</v>
      </c>
      <c r="Y402" s="1145"/>
      <c r="Z402" s="1145"/>
      <c r="AA402" s="1145">
        <v>408000</v>
      </c>
      <c r="AB402" s="1145">
        <v>150352.4</v>
      </c>
      <c r="AC402" s="1145"/>
      <c r="AD402" s="1145">
        <f t="shared" si="122"/>
        <v>150352.4</v>
      </c>
    </row>
    <row r="403" spans="1:30" x14ac:dyDescent="0.2">
      <c r="A403" s="928">
        <v>7900</v>
      </c>
      <c r="B403" s="928" t="s">
        <v>3171</v>
      </c>
      <c r="C403" s="968"/>
      <c r="D403" s="968"/>
      <c r="E403" s="968"/>
      <c r="F403" s="968"/>
      <c r="G403" s="968"/>
      <c r="H403" s="968"/>
      <c r="I403" s="968"/>
      <c r="J403" s="968"/>
      <c r="K403" s="968"/>
      <c r="L403" s="968"/>
      <c r="M403" s="974"/>
      <c r="N403" s="974">
        <f>1500000+2500000+4948000</f>
        <v>8948000</v>
      </c>
      <c r="O403" s="974">
        <v>5753800</v>
      </c>
      <c r="P403" s="968">
        <v>5495558.96</v>
      </c>
      <c r="Q403" s="968"/>
      <c r="R403" s="968">
        <f t="shared" si="126"/>
        <v>5495558.96</v>
      </c>
      <c r="S403" s="968">
        <v>9000000</v>
      </c>
      <c r="T403" s="968">
        <v>9000000</v>
      </c>
      <c r="U403" s="968">
        <f>9000000-3000000</f>
        <v>6000000</v>
      </c>
      <c r="V403" s="968">
        <v>5866291.1799999997</v>
      </c>
      <c r="W403" s="968"/>
      <c r="X403" s="968">
        <f t="shared" si="127"/>
        <v>5866291.1799999997</v>
      </c>
      <c r="Y403" s="1145">
        <v>8232000</v>
      </c>
      <c r="Z403" s="1145">
        <v>6491000</v>
      </c>
      <c r="AA403" s="1145">
        <v>5165000</v>
      </c>
      <c r="AB403" s="1145">
        <v>4944568.63</v>
      </c>
      <c r="AC403" s="1145"/>
      <c r="AD403" s="1145">
        <f t="shared" si="122"/>
        <v>4944568.63</v>
      </c>
    </row>
    <row r="404" spans="1:30" x14ac:dyDescent="0.2">
      <c r="A404" s="928"/>
      <c r="B404" s="976" t="s">
        <v>1089</v>
      </c>
      <c r="C404" s="1143">
        <f t="shared" ref="C404:K404" si="128">SUM(C352:C402)</f>
        <v>144655507</v>
      </c>
      <c r="D404" s="1143">
        <f t="shared" si="128"/>
        <v>132492448.71000002</v>
      </c>
      <c r="E404" s="1143">
        <f t="shared" si="128"/>
        <v>0</v>
      </c>
      <c r="F404" s="1143">
        <f t="shared" si="128"/>
        <v>132492448.71000002</v>
      </c>
      <c r="G404" s="1143">
        <f t="shared" si="128"/>
        <v>111806325</v>
      </c>
      <c r="H404" s="1143">
        <f t="shared" si="128"/>
        <v>117501425</v>
      </c>
      <c r="I404" s="1143">
        <f t="shared" si="128"/>
        <v>115668225</v>
      </c>
      <c r="J404" s="1143">
        <f t="shared" si="128"/>
        <v>146337900.65000001</v>
      </c>
      <c r="K404" s="1143">
        <f t="shared" si="128"/>
        <v>-1690281.33</v>
      </c>
      <c r="L404" s="1143">
        <f>SUM(L352:L403)</f>
        <v>144647619.31999999</v>
      </c>
      <c r="M404" s="1143">
        <f t="shared" ref="M404:AD404" si="129">SUM(M352:M403)</f>
        <v>124975000</v>
      </c>
      <c r="N404" s="1143">
        <f t="shared" si="129"/>
        <v>145838000</v>
      </c>
      <c r="O404" s="1143">
        <f t="shared" si="129"/>
        <v>153126200</v>
      </c>
      <c r="P404" s="1143">
        <f>SUM(P352:P403)</f>
        <v>142278436.88000003</v>
      </c>
      <c r="Q404" s="1143">
        <f t="shared" si="129"/>
        <v>-26337671.920000002</v>
      </c>
      <c r="R404" s="1143">
        <f t="shared" si="129"/>
        <v>115940764.96000002</v>
      </c>
      <c r="S404" s="1143">
        <f t="shared" si="129"/>
        <v>170000000</v>
      </c>
      <c r="T404" s="1143">
        <f t="shared" si="129"/>
        <v>170600000</v>
      </c>
      <c r="U404" s="1143">
        <f t="shared" si="129"/>
        <v>166770216</v>
      </c>
      <c r="V404" s="1143">
        <f t="shared" si="129"/>
        <v>163392950.06999999</v>
      </c>
      <c r="W404" s="1143">
        <f t="shared" si="129"/>
        <v>0</v>
      </c>
      <c r="X404" s="1143">
        <f t="shared" si="129"/>
        <v>163392950.06999999</v>
      </c>
      <c r="Y404" s="1341">
        <f t="shared" si="129"/>
        <v>143798966</v>
      </c>
      <c r="Z404" s="1341">
        <f t="shared" si="129"/>
        <v>165262606</v>
      </c>
      <c r="AA404" s="1341">
        <f t="shared" si="129"/>
        <v>203941962</v>
      </c>
      <c r="AB404" s="1341">
        <f t="shared" si="129"/>
        <v>199521473.98000008</v>
      </c>
      <c r="AC404" s="1341">
        <f t="shared" si="129"/>
        <v>0</v>
      </c>
      <c r="AD404" s="1341">
        <f t="shared" si="129"/>
        <v>199521473.98000008</v>
      </c>
    </row>
    <row r="405" spans="1:30" x14ac:dyDescent="0.2">
      <c r="A405" s="928"/>
      <c r="B405" s="928"/>
      <c r="C405" s="968"/>
      <c r="D405" s="968"/>
      <c r="E405" s="968"/>
      <c r="F405" s="968"/>
      <c r="G405" s="968"/>
      <c r="H405" s="968"/>
      <c r="I405" s="968"/>
      <c r="J405" s="968"/>
      <c r="K405" s="968"/>
      <c r="L405" s="968"/>
      <c r="M405" s="974"/>
      <c r="N405" s="974"/>
      <c r="O405" s="974"/>
      <c r="P405" s="968"/>
      <c r="Q405" s="968"/>
      <c r="R405" s="968"/>
      <c r="S405" s="968"/>
      <c r="T405" s="968"/>
      <c r="U405" s="968"/>
      <c r="V405" s="968"/>
      <c r="W405" s="968"/>
      <c r="X405" s="968"/>
      <c r="Y405" s="1145"/>
      <c r="Z405" s="1145"/>
      <c r="AA405" s="1145"/>
      <c r="AB405" s="1145"/>
      <c r="AC405" s="1145"/>
      <c r="AD405" s="1145"/>
    </row>
    <row r="406" spans="1:30" x14ac:dyDescent="0.2">
      <c r="A406" s="928">
        <v>4300</v>
      </c>
      <c r="B406" s="928" t="s">
        <v>1278</v>
      </c>
      <c r="C406" s="968"/>
      <c r="D406" s="968"/>
      <c r="E406" s="968"/>
      <c r="F406" s="968"/>
      <c r="G406" s="968"/>
      <c r="H406" s="968"/>
      <c r="I406" s="968"/>
      <c r="J406" s="968"/>
      <c r="K406" s="968"/>
      <c r="L406" s="968"/>
      <c r="M406" s="974"/>
      <c r="N406" s="974"/>
      <c r="O406" s="974"/>
      <c r="P406" s="968"/>
      <c r="Q406" s="968"/>
      <c r="R406" s="968"/>
      <c r="S406" s="968"/>
      <c r="T406" s="968"/>
      <c r="U406" s="968"/>
      <c r="V406" s="968"/>
      <c r="W406" s="968"/>
      <c r="X406" s="968"/>
      <c r="Y406" s="1145"/>
      <c r="Z406" s="1145"/>
      <c r="AA406" s="1145"/>
      <c r="AB406" s="1145"/>
      <c r="AC406" s="1145"/>
      <c r="AD406" s="1145"/>
    </row>
    <row r="407" spans="1:30" x14ac:dyDescent="0.2">
      <c r="A407" s="928"/>
      <c r="B407" s="928"/>
      <c r="C407" s="968"/>
      <c r="D407" s="968"/>
      <c r="E407" s="968"/>
      <c r="F407" s="968"/>
      <c r="G407" s="968"/>
      <c r="H407" s="968"/>
      <c r="I407" s="968"/>
      <c r="J407" s="968"/>
      <c r="K407" s="968"/>
      <c r="L407" s="968"/>
      <c r="M407" s="974"/>
      <c r="N407" s="974"/>
      <c r="O407" s="974"/>
      <c r="P407" s="968"/>
      <c r="Q407" s="968"/>
      <c r="R407" s="968"/>
      <c r="S407" s="968"/>
      <c r="T407" s="968"/>
      <c r="U407" s="968"/>
      <c r="V407" s="968"/>
      <c r="W407" s="968"/>
      <c r="X407" s="968"/>
      <c r="Y407" s="1145"/>
      <c r="Z407" s="1145"/>
      <c r="AA407" s="1145"/>
      <c r="AB407" s="1145"/>
      <c r="AC407" s="1145"/>
      <c r="AD407" s="1145"/>
    </row>
    <row r="408" spans="1:30" x14ac:dyDescent="0.2">
      <c r="A408" s="928">
        <v>7603</v>
      </c>
      <c r="B408" s="928" t="s">
        <v>3065</v>
      </c>
      <c r="C408" s="968">
        <v>400000</v>
      </c>
      <c r="D408" s="968">
        <v>240000</v>
      </c>
      <c r="E408" s="968"/>
      <c r="F408" s="968">
        <f>D408+E408</f>
        <v>240000</v>
      </c>
      <c r="G408" s="968">
        <v>240000</v>
      </c>
      <c r="H408" s="968">
        <v>240000</v>
      </c>
      <c r="I408" s="968">
        <v>240000</v>
      </c>
      <c r="J408" s="968">
        <v>240000</v>
      </c>
      <c r="K408" s="968"/>
      <c r="L408" s="968">
        <f>J408+K408</f>
        <v>240000</v>
      </c>
      <c r="M408" s="974">
        <v>240000</v>
      </c>
      <c r="N408" s="974">
        <v>240000</v>
      </c>
      <c r="O408" s="974">
        <v>240000</v>
      </c>
      <c r="P408" s="968">
        <f>60000+180000</f>
        <v>240000</v>
      </c>
      <c r="Q408" s="968"/>
      <c r="R408" s="968">
        <f>P408+Q408</f>
        <v>240000</v>
      </c>
      <c r="S408" s="968">
        <v>240000</v>
      </c>
      <c r="T408" s="968">
        <v>240000</v>
      </c>
      <c r="U408" s="968">
        <v>240000</v>
      </c>
      <c r="V408" s="968">
        <v>240000</v>
      </c>
      <c r="W408" s="968"/>
      <c r="X408" s="968">
        <f t="shared" ref="X408:X469" si="130">V408+W408</f>
        <v>240000</v>
      </c>
      <c r="Y408" s="1145">
        <v>480000</v>
      </c>
      <c r="Z408" s="1145">
        <v>480000</v>
      </c>
      <c r="AA408" s="1145">
        <v>480000</v>
      </c>
      <c r="AB408" s="1145">
        <v>480000</v>
      </c>
      <c r="AC408" s="1145"/>
      <c r="AD408" s="1145">
        <f>AB408+AC408</f>
        <v>480000</v>
      </c>
    </row>
    <row r="409" spans="1:30" x14ac:dyDescent="0.2">
      <c r="A409" s="928">
        <v>7614</v>
      </c>
      <c r="B409" s="928" t="s">
        <v>1279</v>
      </c>
      <c r="C409" s="968">
        <v>5882000</v>
      </c>
      <c r="D409" s="968">
        <v>5881694.5</v>
      </c>
      <c r="E409" s="968"/>
      <c r="F409" s="968">
        <f>D409+E409</f>
        <v>5881694.5</v>
      </c>
      <c r="G409" s="968">
        <v>3000000</v>
      </c>
      <c r="H409" s="968">
        <f>3000000+2300000</f>
        <v>5300000</v>
      </c>
      <c r="I409" s="968">
        <v>5300000</v>
      </c>
      <c r="J409" s="968">
        <v>5300000</v>
      </c>
      <c r="K409" s="968"/>
      <c r="L409" s="968">
        <f>J409+K409</f>
        <v>5300000</v>
      </c>
      <c r="M409" s="974">
        <v>4900000</v>
      </c>
      <c r="N409" s="974">
        <f>4900000+1800000</f>
        <v>6700000</v>
      </c>
      <c r="O409" s="974">
        <f>4900000+1800000</f>
        <v>6700000</v>
      </c>
      <c r="P409" s="968">
        <v>6700000</v>
      </c>
      <c r="Q409" s="968"/>
      <c r="R409" s="968">
        <f>P409+Q409</f>
        <v>6700000</v>
      </c>
      <c r="S409" s="968">
        <v>5000000</v>
      </c>
      <c r="T409" s="968">
        <f>5000000+1500000</f>
        <v>6500000</v>
      </c>
      <c r="U409" s="968">
        <f>5000000+1500000</f>
        <v>6500000</v>
      </c>
      <c r="V409" s="968">
        <v>6500000</v>
      </c>
      <c r="W409" s="968"/>
      <c r="X409" s="968">
        <f t="shared" si="130"/>
        <v>6500000</v>
      </c>
      <c r="Y409" s="1145">
        <v>6000000</v>
      </c>
      <c r="Z409" s="1145">
        <v>16700000</v>
      </c>
      <c r="AA409" s="1145">
        <v>16700000</v>
      </c>
      <c r="AB409" s="1145">
        <v>16700000</v>
      </c>
      <c r="AC409" s="1145"/>
      <c r="AD409" s="1145">
        <f>AB409+AC409</f>
        <v>16700000</v>
      </c>
    </row>
    <row r="410" spans="1:30" x14ac:dyDescent="0.2">
      <c r="A410" s="928"/>
      <c r="B410" s="976" t="s">
        <v>1089</v>
      </c>
      <c r="C410" s="1143">
        <f t="shared" ref="C410:P410" si="131">SUM(C408:C409)</f>
        <v>6282000</v>
      </c>
      <c r="D410" s="1143">
        <f t="shared" si="131"/>
        <v>6121694.5</v>
      </c>
      <c r="E410" s="1143">
        <f t="shared" si="131"/>
        <v>0</v>
      </c>
      <c r="F410" s="1143">
        <f t="shared" si="131"/>
        <v>6121694.5</v>
      </c>
      <c r="G410" s="1143">
        <f t="shared" si="131"/>
        <v>3240000</v>
      </c>
      <c r="H410" s="1143">
        <f t="shared" si="131"/>
        <v>5540000</v>
      </c>
      <c r="I410" s="1143">
        <f>SUM(I408:I409)</f>
        <v>5540000</v>
      </c>
      <c r="J410" s="1143">
        <f t="shared" si="131"/>
        <v>5540000</v>
      </c>
      <c r="K410" s="1143">
        <f t="shared" si="131"/>
        <v>0</v>
      </c>
      <c r="L410" s="1143">
        <f t="shared" si="131"/>
        <v>5540000</v>
      </c>
      <c r="M410" s="1144">
        <f t="shared" si="131"/>
        <v>5140000</v>
      </c>
      <c r="N410" s="1144">
        <f>SUM(N408:N409)</f>
        <v>6940000</v>
      </c>
      <c r="O410" s="1144">
        <f t="shared" si="131"/>
        <v>6940000</v>
      </c>
      <c r="P410" s="1143">
        <f t="shared" si="131"/>
        <v>6940000</v>
      </c>
      <c r="Q410" s="1143">
        <f>SUM(Q408:Q409)</f>
        <v>0</v>
      </c>
      <c r="R410" s="1143">
        <f>SUM(R408:R409)</f>
        <v>6940000</v>
      </c>
      <c r="S410" s="1143">
        <f t="shared" ref="S410:AD410" si="132">SUM(S408:S409)</f>
        <v>5240000</v>
      </c>
      <c r="T410" s="1143">
        <f t="shared" si="132"/>
        <v>6740000</v>
      </c>
      <c r="U410" s="1143">
        <f t="shared" si="132"/>
        <v>6740000</v>
      </c>
      <c r="V410" s="1143">
        <f t="shared" si="132"/>
        <v>6740000</v>
      </c>
      <c r="W410" s="1143">
        <f t="shared" si="132"/>
        <v>0</v>
      </c>
      <c r="X410" s="1143">
        <f t="shared" si="132"/>
        <v>6740000</v>
      </c>
      <c r="Y410" s="1341">
        <f t="shared" si="132"/>
        <v>6480000</v>
      </c>
      <c r="Z410" s="1341">
        <f t="shared" si="132"/>
        <v>17180000</v>
      </c>
      <c r="AA410" s="1341">
        <f t="shared" si="132"/>
        <v>17180000</v>
      </c>
      <c r="AB410" s="1341">
        <f t="shared" si="132"/>
        <v>17180000</v>
      </c>
      <c r="AC410" s="1341">
        <f t="shared" si="132"/>
        <v>0</v>
      </c>
      <c r="AD410" s="1341">
        <f t="shared" si="132"/>
        <v>17180000</v>
      </c>
    </row>
    <row r="411" spans="1:30" x14ac:dyDescent="0.2">
      <c r="A411" s="928"/>
      <c r="B411" s="928"/>
      <c r="C411" s="968"/>
      <c r="D411" s="968"/>
      <c r="E411" s="968"/>
      <c r="F411" s="968"/>
      <c r="G411" s="968"/>
      <c r="H411" s="968"/>
      <c r="I411" s="968"/>
      <c r="J411" s="968"/>
      <c r="K411" s="968"/>
      <c r="L411" s="968"/>
      <c r="M411" s="974"/>
      <c r="N411" s="974"/>
      <c r="O411" s="974"/>
      <c r="P411" s="968"/>
      <c r="Q411" s="968"/>
      <c r="R411" s="968"/>
      <c r="S411" s="968"/>
      <c r="T411" s="968"/>
      <c r="U411" s="968"/>
      <c r="V411" s="968"/>
      <c r="W411" s="968"/>
      <c r="X411" s="968"/>
      <c r="Y411" s="1145"/>
      <c r="Z411" s="1145"/>
      <c r="AA411" s="1145"/>
      <c r="AB411" s="1145"/>
      <c r="AC411" s="1145"/>
      <c r="AD411" s="1145"/>
    </row>
    <row r="412" spans="1:30" x14ac:dyDescent="0.2">
      <c r="A412" s="928">
        <v>4200</v>
      </c>
      <c r="B412" s="928" t="s">
        <v>1280</v>
      </c>
      <c r="C412" s="968"/>
      <c r="D412" s="968"/>
      <c r="E412" s="968"/>
      <c r="F412" s="968"/>
      <c r="G412" s="968"/>
      <c r="H412" s="968"/>
      <c r="I412" s="968"/>
      <c r="J412" s="968"/>
      <c r="K412" s="968"/>
      <c r="L412" s="968"/>
      <c r="M412" s="974"/>
      <c r="N412" s="974"/>
      <c r="O412" s="974"/>
      <c r="P412" s="968"/>
      <c r="Q412" s="968"/>
      <c r="R412" s="968"/>
      <c r="S412" s="968"/>
      <c r="T412" s="968"/>
      <c r="U412" s="968"/>
      <c r="V412" s="968"/>
      <c r="W412" s="968"/>
      <c r="X412" s="968"/>
      <c r="Y412" s="1145"/>
      <c r="Z412" s="1145"/>
      <c r="AA412" s="1145"/>
      <c r="AB412" s="1145"/>
      <c r="AC412" s="1145"/>
      <c r="AD412" s="1145"/>
    </row>
    <row r="413" spans="1:30" x14ac:dyDescent="0.2">
      <c r="A413" s="928"/>
      <c r="B413" s="928"/>
      <c r="C413" s="968"/>
      <c r="D413" s="968"/>
      <c r="E413" s="968"/>
      <c r="F413" s="968"/>
      <c r="G413" s="968"/>
      <c r="H413" s="968"/>
      <c r="I413" s="968"/>
      <c r="J413" s="968"/>
      <c r="K413" s="968"/>
      <c r="L413" s="968"/>
      <c r="M413" s="974"/>
      <c r="N413" s="974"/>
      <c r="O413" s="974"/>
      <c r="P413" s="968"/>
      <c r="Q413" s="968"/>
      <c r="R413" s="968"/>
      <c r="S413" s="968"/>
      <c r="T413" s="968"/>
      <c r="U413" s="968"/>
      <c r="V413" s="968"/>
      <c r="W413" s="968"/>
      <c r="X413" s="968"/>
      <c r="Y413" s="1145"/>
      <c r="Z413" s="1145"/>
      <c r="AA413" s="1145"/>
      <c r="AB413" s="1145"/>
      <c r="AC413" s="1145"/>
      <c r="AD413" s="1145"/>
    </row>
    <row r="414" spans="1:30" x14ac:dyDescent="0.2">
      <c r="A414" s="928">
        <v>2328</v>
      </c>
      <c r="B414" s="928" t="s">
        <v>1281</v>
      </c>
      <c r="C414" s="968">
        <v>0</v>
      </c>
      <c r="D414" s="968">
        <v>1823511.3</v>
      </c>
      <c r="E414" s="968"/>
      <c r="F414" s="968">
        <f t="shared" ref="F414:F431" si="133">D414+E414</f>
        <v>1823511.3</v>
      </c>
      <c r="G414" s="968">
        <v>0</v>
      </c>
      <c r="H414" s="968">
        <v>0</v>
      </c>
      <c r="I414" s="968"/>
      <c r="J414" s="968">
        <v>0</v>
      </c>
      <c r="K414" s="968"/>
      <c r="L414" s="968">
        <f t="shared" ref="L414:L433" si="134">J414+K414</f>
        <v>0</v>
      </c>
      <c r="M414" s="974"/>
      <c r="N414" s="974"/>
      <c r="O414" s="974"/>
      <c r="P414" s="968">
        <v>0</v>
      </c>
      <c r="Q414" s="968"/>
      <c r="R414" s="968">
        <f t="shared" ref="R414:R433" si="135">P414+Q414</f>
        <v>0</v>
      </c>
      <c r="S414" s="968"/>
      <c r="T414" s="968"/>
      <c r="U414" s="968"/>
      <c r="V414" s="968"/>
      <c r="W414" s="968"/>
      <c r="X414" s="968">
        <f t="shared" si="130"/>
        <v>0</v>
      </c>
      <c r="Y414" s="1145"/>
      <c r="Z414" s="1145"/>
      <c r="AA414" s="1145"/>
      <c r="AB414" s="1145"/>
      <c r="AC414" s="1145"/>
      <c r="AD414" s="1145">
        <f t="shared" ref="AD414:AD433" si="136">AB414+AC414</f>
        <v>0</v>
      </c>
    </row>
    <row r="415" spans="1:30" x14ac:dyDescent="0.2">
      <c r="A415" s="928">
        <v>7405</v>
      </c>
      <c r="B415" s="928" t="s">
        <v>492</v>
      </c>
      <c r="C415" s="968">
        <v>2340000</v>
      </c>
      <c r="D415" s="968">
        <v>1458343.74</v>
      </c>
      <c r="E415" s="968"/>
      <c r="F415" s="968">
        <f t="shared" si="133"/>
        <v>1458343.74</v>
      </c>
      <c r="G415" s="968">
        <v>1200000</v>
      </c>
      <c r="H415" s="968">
        <f>1200000+1000000</f>
        <v>2200000</v>
      </c>
      <c r="I415" s="968">
        <v>2200000</v>
      </c>
      <c r="J415" s="968">
        <v>1016843.96</v>
      </c>
      <c r="K415" s="968"/>
      <c r="L415" s="968">
        <f t="shared" si="134"/>
        <v>1016843.96</v>
      </c>
      <c r="M415" s="974">
        <v>2200000</v>
      </c>
      <c r="N415" s="974">
        <v>2200000</v>
      </c>
      <c r="O415" s="974">
        <v>3660400</v>
      </c>
      <c r="P415" s="968">
        <v>3660351.02</v>
      </c>
      <c r="Q415" s="968"/>
      <c r="R415" s="968">
        <f t="shared" si="135"/>
        <v>3660351.02</v>
      </c>
      <c r="S415" s="1147">
        <v>10000000</v>
      </c>
      <c r="T415" s="1147">
        <v>10000000</v>
      </c>
      <c r="U415" s="1147">
        <v>10000000</v>
      </c>
      <c r="V415" s="968">
        <v>9396564.8499999996</v>
      </c>
      <c r="W415" s="968"/>
      <c r="X415" s="968">
        <f t="shared" si="130"/>
        <v>9396564.8499999996</v>
      </c>
      <c r="Y415" s="1145">
        <v>5000000</v>
      </c>
      <c r="Z415" s="1145">
        <v>4000000</v>
      </c>
      <c r="AA415" s="1145">
        <v>3699729</v>
      </c>
      <c r="AB415" s="1145">
        <f>3792452-750000</f>
        <v>3042452</v>
      </c>
      <c r="AC415" s="1145"/>
      <c r="AD415" s="1145">
        <f t="shared" si="136"/>
        <v>3042452</v>
      </c>
    </row>
    <row r="416" spans="1:30" x14ac:dyDescent="0.2">
      <c r="A416" s="928">
        <v>7406</v>
      </c>
      <c r="B416" s="928" t="s">
        <v>962</v>
      </c>
      <c r="C416" s="968"/>
      <c r="D416" s="968"/>
      <c r="E416" s="968"/>
      <c r="F416" s="968"/>
      <c r="G416" s="968"/>
      <c r="H416" s="968"/>
      <c r="I416" s="968"/>
      <c r="J416" s="968"/>
      <c r="K416" s="968"/>
      <c r="L416" s="968"/>
      <c r="M416" s="974"/>
      <c r="N416" s="974"/>
      <c r="O416" s="974"/>
      <c r="P416" s="968"/>
      <c r="Q416" s="968"/>
      <c r="R416" s="968"/>
      <c r="S416" s="1147"/>
      <c r="T416" s="1147"/>
      <c r="U416" s="1147"/>
      <c r="V416" s="968"/>
      <c r="W416" s="968"/>
      <c r="X416" s="968"/>
      <c r="Y416" s="1145">
        <v>958548</v>
      </c>
      <c r="Z416" s="1145">
        <v>1058548</v>
      </c>
      <c r="AB416" s="1145"/>
      <c r="AC416" s="1145"/>
      <c r="AD416" s="1145">
        <f t="shared" si="136"/>
        <v>0</v>
      </c>
    </row>
    <row r="417" spans="1:30" x14ac:dyDescent="0.2">
      <c r="A417" s="928">
        <v>7407</v>
      </c>
      <c r="B417" s="928" t="s">
        <v>1282</v>
      </c>
      <c r="C417" s="968">
        <v>1060000</v>
      </c>
      <c r="D417" s="968">
        <v>1616673.41</v>
      </c>
      <c r="E417" s="968"/>
      <c r="F417" s="968">
        <f t="shared" si="133"/>
        <v>1616673.41</v>
      </c>
      <c r="G417" s="968">
        <v>2063600</v>
      </c>
      <c r="H417" s="968">
        <f>2063600+1000000-63600</f>
        <v>3000000</v>
      </c>
      <c r="I417" s="968">
        <v>2948000</v>
      </c>
      <c r="J417" s="968">
        <v>2075015.75</v>
      </c>
      <c r="K417" s="968"/>
      <c r="L417" s="968">
        <f t="shared" si="134"/>
        <v>2075015.75</v>
      </c>
      <c r="M417" s="974">
        <v>1055000</v>
      </c>
      <c r="N417" s="974">
        <v>1055000</v>
      </c>
      <c r="O417" s="974">
        <v>2055000</v>
      </c>
      <c r="P417" s="968">
        <v>2001954.54</v>
      </c>
      <c r="Q417" s="968"/>
      <c r="R417" s="968">
        <f t="shared" si="135"/>
        <v>2001954.54</v>
      </c>
      <c r="S417" s="968">
        <v>3000000</v>
      </c>
      <c r="T417" s="968">
        <v>3000000</v>
      </c>
      <c r="U417" s="968">
        <v>2670000</v>
      </c>
      <c r="V417" s="968">
        <v>2650532.11</v>
      </c>
      <c r="W417" s="968"/>
      <c r="X417" s="968">
        <f t="shared" si="130"/>
        <v>2650532.11</v>
      </c>
      <c r="Y417" s="1145">
        <v>3000000</v>
      </c>
      <c r="Z417" s="1145">
        <v>4258000</v>
      </c>
      <c r="AA417" s="1145">
        <v>4312988</v>
      </c>
      <c r="AB417" s="1145">
        <v>4290859.8499999996</v>
      </c>
      <c r="AC417" s="1145"/>
      <c r="AD417" s="1145">
        <f t="shared" si="136"/>
        <v>4290859.8499999996</v>
      </c>
    </row>
    <row r="418" spans="1:30" x14ac:dyDescent="0.2">
      <c r="A418" s="928">
        <v>7408</v>
      </c>
      <c r="B418" s="928" t="s">
        <v>1283</v>
      </c>
      <c r="C418" s="968"/>
      <c r="D418" s="968"/>
      <c r="E418" s="968"/>
      <c r="F418" s="968"/>
      <c r="G418" s="968"/>
      <c r="H418" s="968"/>
      <c r="I418" s="968"/>
      <c r="J418" s="968"/>
      <c r="K418" s="968"/>
      <c r="L418" s="968"/>
      <c r="M418" s="974"/>
      <c r="N418" s="974"/>
      <c r="O418" s="974"/>
      <c r="P418" s="968"/>
      <c r="Q418" s="968"/>
      <c r="R418" s="968"/>
      <c r="S418" s="968"/>
      <c r="T418" s="968"/>
      <c r="U418" s="968"/>
      <c r="V418" s="968"/>
      <c r="W418" s="968"/>
      <c r="X418" s="968"/>
      <c r="Y418" s="1145">
        <v>1246478</v>
      </c>
      <c r="Z418" s="1145">
        <v>3438478</v>
      </c>
      <c r="AB418" s="1145"/>
      <c r="AC418" s="1145"/>
      <c r="AD418" s="1145">
        <f t="shared" si="136"/>
        <v>0</v>
      </c>
    </row>
    <row r="419" spans="1:30" x14ac:dyDescent="0.2">
      <c r="A419" s="928">
        <v>7409</v>
      </c>
      <c r="B419" s="928" t="s">
        <v>467</v>
      </c>
      <c r="C419" s="968">
        <v>125000</v>
      </c>
      <c r="D419" s="968">
        <v>110109.01</v>
      </c>
      <c r="E419" s="968"/>
      <c r="F419" s="968">
        <f t="shared" si="133"/>
        <v>110109.01</v>
      </c>
      <c r="G419" s="968">
        <v>184000</v>
      </c>
      <c r="H419" s="968">
        <v>184000</v>
      </c>
      <c r="I419" s="968">
        <v>184000</v>
      </c>
      <c r="J419" s="968">
        <v>0</v>
      </c>
      <c r="K419" s="968"/>
      <c r="L419" s="968">
        <f t="shared" si="134"/>
        <v>0</v>
      </c>
      <c r="M419" s="974"/>
      <c r="N419" s="974"/>
      <c r="O419" s="974"/>
      <c r="P419" s="968">
        <v>0</v>
      </c>
      <c r="Q419" s="968"/>
      <c r="R419" s="968">
        <f t="shared" si="135"/>
        <v>0</v>
      </c>
      <c r="S419" s="968"/>
      <c r="T419" s="968"/>
      <c r="U419" s="968"/>
      <c r="V419" s="968"/>
      <c r="W419" s="968"/>
      <c r="X419" s="968">
        <f t="shared" si="130"/>
        <v>0</v>
      </c>
      <c r="Y419" s="1145"/>
      <c r="Z419" s="1145"/>
      <c r="AA419" s="1145"/>
      <c r="AB419" s="1145"/>
      <c r="AC419" s="1145"/>
      <c r="AD419" s="1145">
        <f t="shared" si="136"/>
        <v>0</v>
      </c>
    </row>
    <row r="420" spans="1:30" x14ac:dyDescent="0.2">
      <c r="A420" s="928">
        <v>7410</v>
      </c>
      <c r="B420" s="928" t="s">
        <v>1284</v>
      </c>
      <c r="C420" s="968">
        <v>0</v>
      </c>
      <c r="D420" s="968">
        <v>0</v>
      </c>
      <c r="E420" s="968"/>
      <c r="F420" s="968">
        <f t="shared" si="133"/>
        <v>0</v>
      </c>
      <c r="G420" s="968">
        <v>1500000</v>
      </c>
      <c r="H420" s="968">
        <f>1500000+3200000</f>
        <v>4700000</v>
      </c>
      <c r="I420" s="968">
        <v>4700000</v>
      </c>
      <c r="J420" s="968">
        <v>5018836.9000000004</v>
      </c>
      <c r="K420" s="968"/>
      <c r="L420" s="968">
        <f t="shared" si="134"/>
        <v>5018836.9000000004</v>
      </c>
      <c r="M420" s="974">
        <v>4700000</v>
      </c>
      <c r="N420" s="974">
        <v>4700000</v>
      </c>
      <c r="O420" s="974">
        <v>4677600</v>
      </c>
      <c r="P420" s="968">
        <v>4677519.4800000004</v>
      </c>
      <c r="Q420" s="968"/>
      <c r="R420" s="968">
        <f t="shared" si="135"/>
        <v>4677519.4800000004</v>
      </c>
      <c r="S420" s="1147">
        <v>4999400</v>
      </c>
      <c r="T420" s="1147">
        <v>4999400</v>
      </c>
      <c r="U420" s="1147">
        <v>8999400</v>
      </c>
      <c r="V420" s="968">
        <v>8075950.7000000002</v>
      </c>
      <c r="W420" s="968"/>
      <c r="X420" s="968">
        <f t="shared" si="130"/>
        <v>8075950.7000000002</v>
      </c>
      <c r="Y420" s="1145">
        <v>9000000</v>
      </c>
      <c r="Z420" s="1145">
        <v>7000000</v>
      </c>
      <c r="AA420" s="1145">
        <v>9645097</v>
      </c>
      <c r="AB420" s="1145">
        <v>9645096.8399999999</v>
      </c>
      <c r="AC420" s="1145"/>
      <c r="AD420" s="1145">
        <f t="shared" si="136"/>
        <v>9645096.8399999999</v>
      </c>
    </row>
    <row r="421" spans="1:30" x14ac:dyDescent="0.2">
      <c r="A421" s="928">
        <v>7411</v>
      </c>
      <c r="B421" s="928" t="s">
        <v>1285</v>
      </c>
      <c r="C421" s="968">
        <v>1200000</v>
      </c>
      <c r="D421" s="968">
        <v>797207.8</v>
      </c>
      <c r="E421" s="968"/>
      <c r="F421" s="968">
        <f t="shared" si="133"/>
        <v>797207.8</v>
      </c>
      <c r="G421" s="968">
        <v>1272000</v>
      </c>
      <c r="H421" s="968">
        <v>1272000</v>
      </c>
      <c r="I421" s="968">
        <v>1272000</v>
      </c>
      <c r="J421" s="968">
        <v>994073.98</v>
      </c>
      <c r="K421" s="968"/>
      <c r="L421" s="968">
        <f t="shared" si="134"/>
        <v>994073.98</v>
      </c>
      <c r="M421" s="974">
        <v>1272000</v>
      </c>
      <c r="N421" s="974">
        <f>1272000</f>
        <v>1272000</v>
      </c>
      <c r="O421" s="974">
        <v>1272000</v>
      </c>
      <c r="P421" s="968">
        <v>1166635.19</v>
      </c>
      <c r="Q421" s="968"/>
      <c r="R421" s="968">
        <f t="shared" si="135"/>
        <v>1166635.19</v>
      </c>
      <c r="S421" s="968">
        <v>1400000</v>
      </c>
      <c r="T421" s="968">
        <v>1400000</v>
      </c>
      <c r="U421" s="968">
        <v>1400000</v>
      </c>
      <c r="V421" s="968">
        <v>1243974.8</v>
      </c>
      <c r="W421" s="968"/>
      <c r="X421" s="968">
        <f t="shared" si="130"/>
        <v>1243974.8</v>
      </c>
      <c r="Y421" s="1145">
        <v>1481000</v>
      </c>
      <c r="Z421" s="1145">
        <v>1481000</v>
      </c>
      <c r="AA421" s="1145">
        <v>1581271</v>
      </c>
      <c r="AB421" s="1145">
        <v>1581270.36</v>
      </c>
      <c r="AC421" s="1145"/>
      <c r="AD421" s="1145">
        <f t="shared" si="136"/>
        <v>1581270.36</v>
      </c>
    </row>
    <row r="422" spans="1:30" x14ac:dyDescent="0.2">
      <c r="A422" s="928">
        <v>7412</v>
      </c>
      <c r="B422" s="928" t="s">
        <v>988</v>
      </c>
      <c r="C422" s="968"/>
      <c r="D422" s="968"/>
      <c r="E422" s="968"/>
      <c r="F422" s="968"/>
      <c r="G422" s="968"/>
      <c r="H422" s="968"/>
      <c r="I422" s="968"/>
      <c r="J422" s="968"/>
      <c r="K422" s="968"/>
      <c r="L422" s="968"/>
      <c r="M422" s="974"/>
      <c r="N422" s="974"/>
      <c r="O422" s="974"/>
      <c r="P422" s="968"/>
      <c r="Q422" s="968"/>
      <c r="R422" s="968"/>
      <c r="S422" s="968"/>
      <c r="T422" s="968"/>
      <c r="U422" s="968"/>
      <c r="V422" s="968"/>
      <c r="W422" s="968"/>
      <c r="X422" s="968"/>
      <c r="Y422" s="1145">
        <v>6460302</v>
      </c>
      <c r="Z422" s="1145">
        <v>6201722</v>
      </c>
      <c r="AB422" s="1145"/>
      <c r="AC422" s="1145"/>
      <c r="AD422" s="1145">
        <f t="shared" si="136"/>
        <v>0</v>
      </c>
    </row>
    <row r="423" spans="1:30" x14ac:dyDescent="0.2">
      <c r="A423" s="928">
        <v>7413</v>
      </c>
      <c r="B423" s="928" t="s">
        <v>1286</v>
      </c>
      <c r="C423" s="968">
        <v>20400000</v>
      </c>
      <c r="D423" s="968">
        <v>21094619.550000001</v>
      </c>
      <c r="E423" s="968"/>
      <c r="F423" s="968">
        <f t="shared" si="133"/>
        <v>21094619.550000001</v>
      </c>
      <c r="G423" s="968">
        <v>28000000</v>
      </c>
      <c r="H423" s="968">
        <f>28000000+5000000</f>
        <v>33000000</v>
      </c>
      <c r="I423" s="968">
        <v>33000000</v>
      </c>
      <c r="J423" s="968">
        <v>30388177.16</v>
      </c>
      <c r="K423" s="968"/>
      <c r="L423" s="968">
        <f t="shared" si="134"/>
        <v>30388177.16</v>
      </c>
      <c r="M423" s="974">
        <v>33000000</v>
      </c>
      <c r="N423" s="974">
        <v>33000000</v>
      </c>
      <c r="O423" s="974">
        <v>33000000</v>
      </c>
      <c r="P423" s="968">
        <f>31010410.71+443984.4</f>
        <v>31454395.109999999</v>
      </c>
      <c r="Q423" s="968"/>
      <c r="R423" s="968">
        <f t="shared" si="135"/>
        <v>31454395.109999999</v>
      </c>
      <c r="S423" s="968">
        <v>35000000</v>
      </c>
      <c r="T423" s="968">
        <v>35000000</v>
      </c>
      <c r="U423" s="968">
        <v>31117350</v>
      </c>
      <c r="V423" s="968">
        <v>30819907.43</v>
      </c>
      <c r="W423" s="968"/>
      <c r="X423" s="968">
        <f t="shared" si="130"/>
        <v>30819907.43</v>
      </c>
      <c r="Y423" s="1145">
        <v>32000000</v>
      </c>
      <c r="Z423" s="1145">
        <v>32000000</v>
      </c>
      <c r="AA423" s="1145">
        <v>31705739</v>
      </c>
      <c r="AB423" s="1145">
        <v>31507902.280000001</v>
      </c>
      <c r="AC423" s="1145"/>
      <c r="AD423" s="1145">
        <f t="shared" si="136"/>
        <v>31507902.280000001</v>
      </c>
    </row>
    <row r="424" spans="1:30" x14ac:dyDescent="0.2">
      <c r="A424" s="928">
        <v>7415</v>
      </c>
      <c r="B424" s="928" t="s">
        <v>1287</v>
      </c>
      <c r="C424" s="968">
        <v>4539900</v>
      </c>
      <c r="D424" s="968">
        <v>6120086.6699999999</v>
      </c>
      <c r="E424" s="968"/>
      <c r="F424" s="968">
        <f t="shared" si="133"/>
        <v>6120086.6699999999</v>
      </c>
      <c r="G424" s="968">
        <v>4812295</v>
      </c>
      <c r="H424" s="968">
        <f>4812295-200000</f>
        <v>4612295</v>
      </c>
      <c r="I424" s="968">
        <v>4612295</v>
      </c>
      <c r="J424" s="968">
        <v>3933802.51</v>
      </c>
      <c r="K424" s="968"/>
      <c r="L424" s="968">
        <f t="shared" si="134"/>
        <v>3933802.51</v>
      </c>
      <c r="M424" s="974">
        <v>4612295</v>
      </c>
      <c r="N424" s="974">
        <v>4612295</v>
      </c>
      <c r="O424" s="974">
        <v>4834295</v>
      </c>
      <c r="P424" s="968">
        <v>4834269.49</v>
      </c>
      <c r="Q424" s="968"/>
      <c r="R424" s="968">
        <f t="shared" si="135"/>
        <v>4834269.49</v>
      </c>
      <c r="S424" s="968">
        <v>2283000</v>
      </c>
      <c r="T424" s="968">
        <v>2283000</v>
      </c>
      <c r="U424" s="968">
        <v>2672850</v>
      </c>
      <c r="V424" s="968">
        <v>2672849.31</v>
      </c>
      <c r="W424" s="968"/>
      <c r="X424" s="968">
        <f t="shared" si="130"/>
        <v>2672849.31</v>
      </c>
      <c r="Y424" s="1145">
        <v>4883000</v>
      </c>
      <c r="Z424" s="1145">
        <v>5883000</v>
      </c>
      <c r="AA424" s="1145">
        <v>3987146</v>
      </c>
      <c r="AB424" s="1145">
        <v>3916636.67</v>
      </c>
      <c r="AC424" s="1145"/>
      <c r="AD424" s="1145">
        <f t="shared" si="136"/>
        <v>3916636.67</v>
      </c>
    </row>
    <row r="425" spans="1:30" x14ac:dyDescent="0.2">
      <c r="A425" s="928">
        <v>7417</v>
      </c>
      <c r="B425" s="928" t="s">
        <v>1288</v>
      </c>
      <c r="C425" s="968">
        <v>4618000</v>
      </c>
      <c r="D425" s="968">
        <v>4699027.1399999997</v>
      </c>
      <c r="E425" s="968"/>
      <c r="F425" s="968">
        <f t="shared" si="133"/>
        <v>4699027.1399999997</v>
      </c>
      <c r="G425" s="968">
        <v>7806315</v>
      </c>
      <c r="H425" s="968">
        <f>7806315-1512000</f>
        <v>6294315</v>
      </c>
      <c r="I425" s="968">
        <v>5316785</v>
      </c>
      <c r="J425" s="968">
        <v>4015891.04</v>
      </c>
      <c r="K425" s="968"/>
      <c r="L425" s="968">
        <f t="shared" si="134"/>
        <v>4015891.04</v>
      </c>
      <c r="M425" s="974">
        <v>8704915</v>
      </c>
      <c r="N425" s="974">
        <f>8704915-350000-300000</f>
        <v>8054915</v>
      </c>
      <c r="O425" s="974">
        <v>2746415</v>
      </c>
      <c r="P425" s="968">
        <f>2210424.12+395702.32</f>
        <v>2606126.44</v>
      </c>
      <c r="Q425" s="968"/>
      <c r="R425" s="968">
        <f t="shared" si="135"/>
        <v>2606126.44</v>
      </c>
      <c r="S425" s="968">
        <v>2750000</v>
      </c>
      <c r="T425" s="968">
        <f>2750000-100000</f>
        <v>2650000</v>
      </c>
      <c r="U425" s="968">
        <f>2760000-1200000</f>
        <v>1560000</v>
      </c>
      <c r="V425" s="968">
        <v>1461162.85</v>
      </c>
      <c r="W425" s="968"/>
      <c r="X425" s="968">
        <f t="shared" si="130"/>
        <v>1461162.85</v>
      </c>
      <c r="Y425" s="1145">
        <v>5450000</v>
      </c>
      <c r="Z425" s="1145">
        <v>3555000</v>
      </c>
      <c r="AA425" s="1145">
        <v>2862000</v>
      </c>
      <c r="AB425" s="1145">
        <v>2666155.5099999998</v>
      </c>
      <c r="AC425" s="1145"/>
      <c r="AD425" s="1145">
        <f t="shared" si="136"/>
        <v>2666155.5099999998</v>
      </c>
    </row>
    <row r="426" spans="1:30" x14ac:dyDescent="0.2">
      <c r="A426" s="928">
        <v>7421</v>
      </c>
      <c r="B426" s="928" t="s">
        <v>674</v>
      </c>
      <c r="C426" s="968"/>
      <c r="D426" s="968"/>
      <c r="E426" s="968"/>
      <c r="F426" s="968"/>
      <c r="G426" s="968"/>
      <c r="H426" s="968"/>
      <c r="I426" s="968"/>
      <c r="J426" s="968"/>
      <c r="K426" s="968"/>
      <c r="L426" s="968"/>
      <c r="M426" s="974"/>
      <c r="N426" s="974"/>
      <c r="O426" s="974"/>
      <c r="P426" s="968"/>
      <c r="Q426" s="968"/>
      <c r="R426" s="968"/>
      <c r="S426" s="968"/>
      <c r="T426" s="968"/>
      <c r="U426" s="968"/>
      <c r="V426" s="968"/>
      <c r="W426" s="968"/>
      <c r="X426" s="968"/>
      <c r="Y426" s="1145">
        <v>10000000</v>
      </c>
      <c r="Z426" s="1145">
        <v>10000000</v>
      </c>
      <c r="AB426" s="1145"/>
      <c r="AC426" s="1145"/>
      <c r="AD426" s="1145">
        <f t="shared" si="136"/>
        <v>0</v>
      </c>
    </row>
    <row r="427" spans="1:30" x14ac:dyDescent="0.2">
      <c r="A427" s="928">
        <v>7423</v>
      </c>
      <c r="B427" s="928" t="s">
        <v>961</v>
      </c>
      <c r="C427" s="968"/>
      <c r="D427" s="968"/>
      <c r="E427" s="968"/>
      <c r="F427" s="968"/>
      <c r="G427" s="968"/>
      <c r="H427" s="968"/>
      <c r="I427" s="968"/>
      <c r="J427" s="968"/>
      <c r="K427" s="968"/>
      <c r="L427" s="968"/>
      <c r="M427" s="974"/>
      <c r="N427" s="974"/>
      <c r="O427" s="974"/>
      <c r="P427" s="968"/>
      <c r="Q427" s="968"/>
      <c r="R427" s="968"/>
      <c r="S427" s="968"/>
      <c r="T427" s="968"/>
      <c r="U427" s="968"/>
      <c r="V427" s="968"/>
      <c r="W427" s="968"/>
      <c r="X427" s="968"/>
      <c r="Y427" s="1145">
        <v>4000000</v>
      </c>
      <c r="Z427" s="1145">
        <v>4000000</v>
      </c>
      <c r="AB427" s="1145"/>
      <c r="AC427" s="1145"/>
      <c r="AD427" s="1145">
        <f t="shared" si="136"/>
        <v>0</v>
      </c>
    </row>
    <row r="428" spans="1:30" x14ac:dyDescent="0.2">
      <c r="A428" s="928">
        <v>7425</v>
      </c>
      <c r="B428" s="928" t="s">
        <v>982</v>
      </c>
      <c r="C428" s="968">
        <v>504000</v>
      </c>
      <c r="D428" s="968">
        <v>339338.8</v>
      </c>
      <c r="E428" s="968"/>
      <c r="F428" s="968">
        <f t="shared" si="133"/>
        <v>339338.8</v>
      </c>
      <c r="G428" s="968">
        <v>534240</v>
      </c>
      <c r="H428" s="968">
        <v>534240</v>
      </c>
      <c r="I428" s="968">
        <v>534240</v>
      </c>
      <c r="J428" s="968">
        <v>511464.75</v>
      </c>
      <c r="K428" s="968"/>
      <c r="L428" s="968">
        <f t="shared" si="134"/>
        <v>511464.75</v>
      </c>
      <c r="M428" s="974">
        <v>534240</v>
      </c>
      <c r="N428" s="974">
        <v>534240</v>
      </c>
      <c r="O428" s="974">
        <v>471335</v>
      </c>
      <c r="P428" s="968">
        <v>350088.95</v>
      </c>
      <c r="Q428" s="968"/>
      <c r="R428" s="968">
        <f t="shared" si="135"/>
        <v>350088.95</v>
      </c>
      <c r="S428" s="968">
        <v>561000</v>
      </c>
      <c r="T428" s="968">
        <v>561000</v>
      </c>
      <c r="U428" s="968">
        <v>561000</v>
      </c>
      <c r="V428" s="968">
        <v>523345</v>
      </c>
      <c r="W428" s="968"/>
      <c r="X428" s="968">
        <f t="shared" si="130"/>
        <v>523345</v>
      </c>
      <c r="Y428" s="1145">
        <v>561000</v>
      </c>
      <c r="Z428" s="1145">
        <v>561000</v>
      </c>
      <c r="AA428" s="1145">
        <v>561000</v>
      </c>
      <c r="AB428" s="1145">
        <v>556620.97</v>
      </c>
      <c r="AC428" s="1145"/>
      <c r="AD428" s="1145">
        <f t="shared" si="136"/>
        <v>556620.97</v>
      </c>
    </row>
    <row r="429" spans="1:30" x14ac:dyDescent="0.2">
      <c r="A429" s="928">
        <v>7427</v>
      </c>
      <c r="B429" s="928" t="s">
        <v>1289</v>
      </c>
      <c r="C429" s="968">
        <v>2755500</v>
      </c>
      <c r="D429" s="968">
        <v>26303.79</v>
      </c>
      <c r="E429" s="968"/>
      <c r="F429" s="968">
        <f t="shared" si="133"/>
        <v>26303.79</v>
      </c>
      <c r="G429" s="968">
        <v>2920830</v>
      </c>
      <c r="H429" s="968">
        <f>2920830-1557500</f>
        <v>1363330</v>
      </c>
      <c r="I429" s="968">
        <v>1363330</v>
      </c>
      <c r="J429" s="968">
        <v>0</v>
      </c>
      <c r="K429" s="968"/>
      <c r="L429" s="968">
        <f t="shared" si="134"/>
        <v>0</v>
      </c>
      <c r="M429" s="974">
        <v>1363330</v>
      </c>
      <c r="N429" s="974">
        <v>1363330</v>
      </c>
      <c r="O429" s="974">
        <v>1363330</v>
      </c>
      <c r="P429" s="968">
        <v>1276140.3899999999</v>
      </c>
      <c r="Q429" s="968"/>
      <c r="R429" s="968">
        <f t="shared" si="135"/>
        <v>1276140.3899999999</v>
      </c>
      <c r="S429" s="968">
        <v>1430000</v>
      </c>
      <c r="T429" s="968">
        <v>1430000</v>
      </c>
      <c r="U429" s="968">
        <v>1430000</v>
      </c>
      <c r="V429" s="968">
        <v>755376.51</v>
      </c>
      <c r="W429" s="968"/>
      <c r="X429" s="968">
        <f t="shared" si="130"/>
        <v>755376.51</v>
      </c>
      <c r="Y429" s="1145">
        <v>1350000</v>
      </c>
      <c r="Z429" s="1145">
        <v>2350000</v>
      </c>
      <c r="AA429" s="1145">
        <v>4499164</v>
      </c>
      <c r="AB429" s="1145">
        <v>4499163.37</v>
      </c>
      <c r="AC429" s="1145"/>
      <c r="AD429" s="1145">
        <f t="shared" si="136"/>
        <v>4499163.37</v>
      </c>
    </row>
    <row r="430" spans="1:30" x14ac:dyDescent="0.2">
      <c r="A430" s="928">
        <v>7429</v>
      </c>
      <c r="B430" s="928" t="s">
        <v>230</v>
      </c>
      <c r="C430" s="968">
        <v>200000</v>
      </c>
      <c r="D430" s="968">
        <v>8400</v>
      </c>
      <c r="E430" s="968"/>
      <c r="F430" s="968">
        <f t="shared" si="133"/>
        <v>8400</v>
      </c>
      <c r="G430" s="968">
        <v>212000</v>
      </c>
      <c r="H430" s="968">
        <f>212000-212000</f>
        <v>0</v>
      </c>
      <c r="I430" s="968"/>
      <c r="J430" s="968">
        <v>0</v>
      </c>
      <c r="K430" s="968"/>
      <c r="L430" s="968">
        <f t="shared" si="134"/>
        <v>0</v>
      </c>
      <c r="M430" s="974">
        <v>10000000</v>
      </c>
      <c r="N430" s="974">
        <v>10000000</v>
      </c>
      <c r="O430" s="974">
        <v>7839700</v>
      </c>
      <c r="P430" s="968">
        <v>7839613.79</v>
      </c>
      <c r="Q430" s="968"/>
      <c r="R430" s="968">
        <f t="shared" si="135"/>
        <v>7839613.79</v>
      </c>
      <c r="S430" s="968">
        <v>1000000</v>
      </c>
      <c r="T430" s="968">
        <v>1000000</v>
      </c>
      <c r="U430" s="968">
        <v>1050000</v>
      </c>
      <c r="V430" s="968">
        <v>1049308.3400000001</v>
      </c>
      <c r="W430" s="968"/>
      <c r="X430" s="968">
        <f t="shared" si="130"/>
        <v>1049308.3400000001</v>
      </c>
      <c r="Y430" s="1145">
        <v>1000000</v>
      </c>
      <c r="Z430" s="1145">
        <v>1000000</v>
      </c>
      <c r="AA430" s="1145">
        <v>800000</v>
      </c>
      <c r="AB430" s="1145">
        <v>706987.37</v>
      </c>
      <c r="AC430" s="1145"/>
      <c r="AD430" s="1145">
        <f t="shared" si="136"/>
        <v>706987.37</v>
      </c>
    </row>
    <row r="431" spans="1:30" x14ac:dyDescent="0.2">
      <c r="A431" s="928">
        <v>7431</v>
      </c>
      <c r="B431" s="928" t="s">
        <v>231</v>
      </c>
      <c r="C431" s="968">
        <v>450000</v>
      </c>
      <c r="D431" s="968">
        <v>415773.28</v>
      </c>
      <c r="E431" s="968"/>
      <c r="F431" s="968">
        <f t="shared" si="133"/>
        <v>415773.28</v>
      </c>
      <c r="G431" s="968">
        <v>500000</v>
      </c>
      <c r="H431" s="968">
        <v>500000</v>
      </c>
      <c r="I431" s="968">
        <v>500000</v>
      </c>
      <c r="J431" s="968">
        <v>401826.88</v>
      </c>
      <c r="K431" s="968"/>
      <c r="L431" s="968">
        <f t="shared" si="134"/>
        <v>401826.88</v>
      </c>
      <c r="M431" s="974">
        <v>500000</v>
      </c>
      <c r="N431" s="974">
        <v>500000</v>
      </c>
      <c r="O431" s="974">
        <v>500000</v>
      </c>
      <c r="P431" s="968">
        <v>434596.48</v>
      </c>
      <c r="Q431" s="968"/>
      <c r="R431" s="968">
        <f t="shared" si="135"/>
        <v>434596.48</v>
      </c>
      <c r="S431" s="968">
        <v>600000</v>
      </c>
      <c r="T431" s="968">
        <v>600000</v>
      </c>
      <c r="U431" s="968">
        <v>550000</v>
      </c>
      <c r="V431" s="968">
        <v>113057.02</v>
      </c>
      <c r="W431" s="968"/>
      <c r="X431" s="968">
        <f t="shared" si="130"/>
        <v>113057.02</v>
      </c>
      <c r="Y431" s="1145">
        <v>600000</v>
      </c>
      <c r="Z431" s="1145">
        <v>600000</v>
      </c>
      <c r="AA431" s="1145">
        <v>600000</v>
      </c>
      <c r="AB431" s="1145">
        <v>503629.11</v>
      </c>
      <c r="AC431" s="1145"/>
      <c r="AD431" s="1145">
        <f t="shared" si="136"/>
        <v>503629.11</v>
      </c>
    </row>
    <row r="432" spans="1:30" x14ac:dyDescent="0.2">
      <c r="A432" s="928">
        <v>7435</v>
      </c>
      <c r="B432" s="928" t="s">
        <v>1290</v>
      </c>
      <c r="C432" s="968"/>
      <c r="D432" s="968"/>
      <c r="E432" s="968"/>
      <c r="F432" s="968"/>
      <c r="G432" s="968"/>
      <c r="H432" s="968"/>
      <c r="I432" s="968"/>
      <c r="J432" s="968"/>
      <c r="K432" s="968"/>
      <c r="L432" s="968"/>
      <c r="M432" s="974"/>
      <c r="N432" s="974"/>
      <c r="O432" s="974"/>
      <c r="P432" s="968"/>
      <c r="Q432" s="968"/>
      <c r="R432" s="968"/>
      <c r="S432" s="968"/>
      <c r="T432" s="968"/>
      <c r="U432" s="968"/>
      <c r="V432" s="968"/>
      <c r="W432" s="968"/>
      <c r="X432" s="968"/>
      <c r="Y432" s="1145">
        <v>9998100</v>
      </c>
      <c r="Z432" s="1145">
        <v>9998100</v>
      </c>
      <c r="AB432" s="1145"/>
      <c r="AC432" s="1145"/>
      <c r="AD432" s="1145">
        <f t="shared" si="136"/>
        <v>0</v>
      </c>
    </row>
    <row r="433" spans="1:30" x14ac:dyDescent="0.2">
      <c r="A433" s="928">
        <v>7899</v>
      </c>
      <c r="B433" s="928" t="s">
        <v>1304</v>
      </c>
      <c r="C433" s="968"/>
      <c r="D433" s="968"/>
      <c r="E433" s="968"/>
      <c r="F433" s="968"/>
      <c r="G433" s="968">
        <v>1000000</v>
      </c>
      <c r="H433" s="968">
        <f>1000000+4600000</f>
        <v>5600000</v>
      </c>
      <c r="I433" s="968">
        <v>8817290</v>
      </c>
      <c r="J433" s="968">
        <v>8023944.0999999996</v>
      </c>
      <c r="K433" s="968"/>
      <c r="L433" s="968">
        <f t="shared" si="134"/>
        <v>8023944.0999999996</v>
      </c>
      <c r="M433" s="974">
        <v>8600000</v>
      </c>
      <c r="N433" s="974">
        <v>8600000</v>
      </c>
      <c r="O433" s="974">
        <v>7470065</v>
      </c>
      <c r="P433" s="968">
        <v>6478736.6200000001</v>
      </c>
      <c r="Q433" s="968"/>
      <c r="R433" s="968">
        <f t="shared" si="135"/>
        <v>6478736.6200000001</v>
      </c>
      <c r="S433" s="968">
        <v>12830600</v>
      </c>
      <c r="T433" s="968">
        <v>12830600</v>
      </c>
      <c r="U433" s="968">
        <f>12028000-2200000</f>
        <v>9828000</v>
      </c>
      <c r="V433" s="968">
        <f>8530384.94+1218814.97</f>
        <v>9749199.9100000001</v>
      </c>
      <c r="W433" s="968">
        <v>2421033.88</v>
      </c>
      <c r="X433" s="968">
        <f t="shared" si="130"/>
        <v>12170233.789999999</v>
      </c>
      <c r="Y433" s="1145">
        <v>13420000</v>
      </c>
      <c r="Z433" s="1145">
        <v>8846192</v>
      </c>
      <c r="AA433" s="1145">
        <v>6775592</v>
      </c>
      <c r="AB433" s="1145">
        <v>6010910.3700000001</v>
      </c>
      <c r="AC433" s="1145"/>
      <c r="AD433" s="1145">
        <f t="shared" si="136"/>
        <v>6010910.3700000001</v>
      </c>
    </row>
    <row r="434" spans="1:30" x14ac:dyDescent="0.2">
      <c r="A434" s="928"/>
      <c r="B434" s="976" t="s">
        <v>1230</v>
      </c>
      <c r="C434" s="1143">
        <f t="shared" ref="C434:AD434" si="137">SUM(C414:C433)</f>
        <v>38192400</v>
      </c>
      <c r="D434" s="1143">
        <f t="shared" si="137"/>
        <v>38509394.490000002</v>
      </c>
      <c r="E434" s="1143">
        <f t="shared" si="137"/>
        <v>0</v>
      </c>
      <c r="F434" s="1143">
        <f t="shared" si="137"/>
        <v>38509394.490000002</v>
      </c>
      <c r="G434" s="1143">
        <f t="shared" si="137"/>
        <v>52005280</v>
      </c>
      <c r="H434" s="1143">
        <f t="shared" si="137"/>
        <v>63260180</v>
      </c>
      <c r="I434" s="1143">
        <f t="shared" si="137"/>
        <v>65447940</v>
      </c>
      <c r="J434" s="1143">
        <f t="shared" si="137"/>
        <v>56379877.030000001</v>
      </c>
      <c r="K434" s="1143">
        <f t="shared" si="137"/>
        <v>0</v>
      </c>
      <c r="L434" s="1143">
        <f t="shared" si="137"/>
        <v>56379877.030000001</v>
      </c>
      <c r="M434" s="1144">
        <f t="shared" si="137"/>
        <v>76541780</v>
      </c>
      <c r="N434" s="1144">
        <f t="shared" si="137"/>
        <v>75891780</v>
      </c>
      <c r="O434" s="1144">
        <f t="shared" si="137"/>
        <v>69890140</v>
      </c>
      <c r="P434" s="1143">
        <f t="shared" si="137"/>
        <v>66780427.5</v>
      </c>
      <c r="Q434" s="1143">
        <f t="shared" si="137"/>
        <v>0</v>
      </c>
      <c r="R434" s="1143">
        <f t="shared" si="137"/>
        <v>66780427.5</v>
      </c>
      <c r="S434" s="1143">
        <f t="shared" si="137"/>
        <v>75854000</v>
      </c>
      <c r="T434" s="1143">
        <f t="shared" si="137"/>
        <v>75754000</v>
      </c>
      <c r="U434" s="1143">
        <f t="shared" si="137"/>
        <v>71838600</v>
      </c>
      <c r="V434" s="1143">
        <f t="shared" si="137"/>
        <v>68511228.830000013</v>
      </c>
      <c r="W434" s="1143">
        <f t="shared" si="137"/>
        <v>2421033.88</v>
      </c>
      <c r="X434" s="1143">
        <f t="shared" si="137"/>
        <v>70932262.710000008</v>
      </c>
      <c r="Y434" s="1341">
        <f t="shared" si="137"/>
        <v>110408428</v>
      </c>
      <c r="Z434" s="1341">
        <f t="shared" si="137"/>
        <v>106231040</v>
      </c>
      <c r="AA434" s="1341">
        <f t="shared" si="137"/>
        <v>71029726</v>
      </c>
      <c r="AB434" s="1341">
        <f t="shared" si="137"/>
        <v>68927684.699999988</v>
      </c>
      <c r="AC434" s="1341">
        <f t="shared" si="137"/>
        <v>0</v>
      </c>
      <c r="AD434" s="1341">
        <f t="shared" si="137"/>
        <v>68927684.699999988</v>
      </c>
    </row>
    <row r="435" spans="1:30" x14ac:dyDescent="0.2">
      <c r="A435" s="928"/>
      <c r="B435" s="928"/>
      <c r="C435" s="968"/>
      <c r="D435" s="968"/>
      <c r="E435" s="968"/>
      <c r="F435" s="968"/>
      <c r="G435" s="968"/>
      <c r="H435" s="968"/>
      <c r="I435" s="968"/>
      <c r="J435" s="968"/>
      <c r="K435" s="968"/>
      <c r="L435" s="968"/>
      <c r="M435" s="974"/>
      <c r="N435" s="974"/>
      <c r="O435" s="974"/>
      <c r="P435" s="968"/>
      <c r="Q435" s="968"/>
      <c r="R435" s="968"/>
      <c r="S435" s="968"/>
      <c r="T435" s="968"/>
      <c r="U435" s="968"/>
      <c r="V435" s="968"/>
      <c r="W435" s="968"/>
      <c r="X435" s="968"/>
      <c r="Y435" s="1145"/>
      <c r="Z435" s="1145"/>
      <c r="AA435" s="1145"/>
      <c r="AB435" s="1145"/>
      <c r="AC435" s="1145"/>
      <c r="AD435" s="1145"/>
    </row>
    <row r="436" spans="1:30" x14ac:dyDescent="0.2">
      <c r="A436" s="928">
        <v>4400</v>
      </c>
      <c r="B436" s="928" t="s">
        <v>1291</v>
      </c>
      <c r="C436" s="968"/>
      <c r="D436" s="968"/>
      <c r="E436" s="968"/>
      <c r="F436" s="968"/>
      <c r="G436" s="968"/>
      <c r="H436" s="968"/>
      <c r="I436" s="968"/>
      <c r="J436" s="968"/>
      <c r="K436" s="968"/>
      <c r="L436" s="968"/>
      <c r="M436" s="974"/>
      <c r="N436" s="974"/>
      <c r="O436" s="974"/>
      <c r="P436" s="968"/>
      <c r="Q436" s="968"/>
      <c r="R436" s="968"/>
      <c r="S436" s="968"/>
      <c r="T436" s="968"/>
      <c r="U436" s="968"/>
      <c r="V436" s="968"/>
      <c r="W436" s="968"/>
      <c r="X436" s="968"/>
      <c r="Y436" s="1145"/>
      <c r="Z436" s="1145"/>
      <c r="AA436" s="1145"/>
      <c r="AB436" s="1145"/>
      <c r="AC436" s="1145"/>
      <c r="AD436" s="1145"/>
    </row>
    <row r="437" spans="1:30" x14ac:dyDescent="0.2">
      <c r="A437" s="928"/>
      <c r="B437" s="928"/>
      <c r="C437" s="968"/>
      <c r="D437" s="968"/>
      <c r="E437" s="968"/>
      <c r="F437" s="968"/>
      <c r="G437" s="968"/>
      <c r="H437" s="968"/>
      <c r="I437" s="968"/>
      <c r="J437" s="968"/>
      <c r="K437" s="968"/>
      <c r="L437" s="968"/>
      <c r="M437" s="974"/>
      <c r="N437" s="974"/>
      <c r="O437" s="974"/>
      <c r="P437" s="968"/>
      <c r="Q437" s="968"/>
      <c r="R437" s="968"/>
      <c r="S437" s="968"/>
      <c r="T437" s="968"/>
      <c r="U437" s="968"/>
      <c r="V437" s="968"/>
      <c r="W437" s="968"/>
      <c r="X437" s="968"/>
      <c r="Y437" s="1145"/>
      <c r="Z437" s="1145"/>
      <c r="AA437" s="1145"/>
      <c r="AB437" s="1145"/>
      <c r="AC437" s="1145"/>
      <c r="AD437" s="1145"/>
    </row>
    <row r="438" spans="1:30" x14ac:dyDescent="0.2">
      <c r="A438" s="928">
        <v>2802</v>
      </c>
      <c r="B438" s="928" t="s">
        <v>497</v>
      </c>
      <c r="C438" s="968">
        <v>5565000</v>
      </c>
      <c r="D438" s="968">
        <v>9966851.9399999995</v>
      </c>
      <c r="E438" s="968"/>
      <c r="F438" s="968">
        <f t="shared" ref="F438:F473" si="138">D438+E438</f>
        <v>9966851.9399999995</v>
      </c>
      <c r="G438" s="968">
        <v>15413000</v>
      </c>
      <c r="H438" s="968">
        <v>15413000</v>
      </c>
      <c r="I438" s="968">
        <v>15413000</v>
      </c>
      <c r="J438" s="968">
        <v>7624884.6100000003</v>
      </c>
      <c r="K438" s="968"/>
      <c r="L438" s="968">
        <f t="shared" ref="L438:L494" si="139">J438+K438</f>
        <v>7624884.6100000003</v>
      </c>
      <c r="M438" s="974">
        <v>7562000</v>
      </c>
      <c r="N438" s="974">
        <v>7562000</v>
      </c>
      <c r="O438" s="974">
        <v>7562000</v>
      </c>
      <c r="P438" s="968">
        <v>7277767.4199999999</v>
      </c>
      <c r="Q438" s="968"/>
      <c r="R438" s="968">
        <f t="shared" ref="R438:R494" si="140">P438+Q438</f>
        <v>7277767.4199999999</v>
      </c>
      <c r="S438" s="968">
        <v>8000000</v>
      </c>
      <c r="T438" s="968">
        <v>8000000</v>
      </c>
      <c r="U438" s="968">
        <v>7639500</v>
      </c>
      <c r="V438" s="968">
        <v>7639400.4699999997</v>
      </c>
      <c r="W438" s="968"/>
      <c r="X438" s="968">
        <f t="shared" si="130"/>
        <v>7639400.4699999997</v>
      </c>
      <c r="Y438" s="1145">
        <v>8400000</v>
      </c>
      <c r="Z438" s="1145">
        <v>8400000</v>
      </c>
      <c r="AA438" s="1145">
        <v>13491315</v>
      </c>
      <c r="AB438" s="1145">
        <f>13491314.79</f>
        <v>13491314.789999999</v>
      </c>
      <c r="AC438" s="1145"/>
      <c r="AD438" s="1145">
        <f t="shared" ref="AD438:AD503" si="141">AB438+AC438</f>
        <v>13491314.789999999</v>
      </c>
    </row>
    <row r="439" spans="1:30" x14ac:dyDescent="0.2">
      <c r="A439" s="928">
        <v>2804</v>
      </c>
      <c r="B439" s="928" t="s">
        <v>1292</v>
      </c>
      <c r="C439" s="968">
        <v>5925000</v>
      </c>
      <c r="D439" s="968">
        <v>5567530.75</v>
      </c>
      <c r="E439" s="968"/>
      <c r="F439" s="968">
        <f t="shared" si="138"/>
        <v>5567530.75</v>
      </c>
      <c r="G439" s="968">
        <v>6000000</v>
      </c>
      <c r="H439" s="968">
        <v>6000000</v>
      </c>
      <c r="I439" s="968">
        <v>8800000</v>
      </c>
      <c r="J439" s="968">
        <v>7075828.8399999999</v>
      </c>
      <c r="K439" s="968"/>
      <c r="L439" s="968">
        <f t="shared" si="139"/>
        <v>7075828.8399999999</v>
      </c>
      <c r="M439" s="974">
        <v>7000000</v>
      </c>
      <c r="N439" s="974">
        <v>7000000</v>
      </c>
      <c r="O439" s="974">
        <v>9215000</v>
      </c>
      <c r="P439" s="968">
        <v>9129358.0700000003</v>
      </c>
      <c r="Q439" s="968"/>
      <c r="R439" s="968">
        <f t="shared" si="140"/>
        <v>9129358.0700000003</v>
      </c>
      <c r="S439" s="968">
        <v>9000000</v>
      </c>
      <c r="T439" s="968">
        <v>9000000</v>
      </c>
      <c r="U439" s="968">
        <v>8334900</v>
      </c>
      <c r="V439" s="968">
        <v>8334847.4800000004</v>
      </c>
      <c r="W439" s="968"/>
      <c r="X439" s="968">
        <f t="shared" si="130"/>
        <v>8334847.4800000004</v>
      </c>
      <c r="Y439" s="1145">
        <v>10500000</v>
      </c>
      <c r="Z439" s="1145">
        <v>10500000</v>
      </c>
      <c r="AA439" s="1145">
        <v>9834680</v>
      </c>
      <c r="AB439" s="1145">
        <v>9821238.3200000003</v>
      </c>
      <c r="AC439" s="1145"/>
      <c r="AD439" s="1145">
        <f t="shared" si="141"/>
        <v>9821238.3200000003</v>
      </c>
    </row>
    <row r="440" spans="1:30" x14ac:dyDescent="0.2">
      <c r="A440" s="928">
        <v>2806</v>
      </c>
      <c r="B440" s="928" t="s">
        <v>1293</v>
      </c>
      <c r="C440" s="968">
        <v>0</v>
      </c>
      <c r="D440" s="968">
        <v>0</v>
      </c>
      <c r="E440" s="968"/>
      <c r="F440" s="968">
        <f t="shared" si="138"/>
        <v>0</v>
      </c>
      <c r="G440" s="968"/>
      <c r="H440" s="968"/>
      <c r="I440" s="968"/>
      <c r="J440" s="968">
        <v>0</v>
      </c>
      <c r="K440" s="968"/>
      <c r="L440" s="968">
        <f t="shared" si="139"/>
        <v>0</v>
      </c>
      <c r="M440" s="974"/>
      <c r="N440" s="974"/>
      <c r="O440" s="974"/>
      <c r="P440" s="968">
        <v>0</v>
      </c>
      <c r="Q440" s="968"/>
      <c r="R440" s="968">
        <f t="shared" si="140"/>
        <v>0</v>
      </c>
      <c r="S440" s="968"/>
      <c r="T440" s="968"/>
      <c r="U440" s="968"/>
      <c r="V440" s="968"/>
      <c r="W440" s="968"/>
      <c r="X440" s="968">
        <f t="shared" si="130"/>
        <v>0</v>
      </c>
      <c r="Y440" s="1145"/>
      <c r="Z440" s="1145"/>
      <c r="AA440" s="1145"/>
      <c r="AB440" s="1145"/>
      <c r="AC440" s="1145"/>
      <c r="AD440" s="1145">
        <f t="shared" si="141"/>
        <v>0</v>
      </c>
    </row>
    <row r="441" spans="1:30" x14ac:dyDescent="0.2">
      <c r="A441" s="928">
        <v>2812</v>
      </c>
      <c r="B441" s="928" t="s">
        <v>3164</v>
      </c>
      <c r="C441" s="968">
        <v>4500000</v>
      </c>
      <c r="D441" s="968">
        <v>3207195.58</v>
      </c>
      <c r="E441" s="968"/>
      <c r="F441" s="968">
        <f t="shared" si="138"/>
        <v>3207195.58</v>
      </c>
      <c r="G441" s="968">
        <v>3000000</v>
      </c>
      <c r="H441" s="968">
        <v>3000000</v>
      </c>
      <c r="I441" s="968">
        <v>3000000</v>
      </c>
      <c r="J441" s="968">
        <v>3224292.63</v>
      </c>
      <c r="K441" s="968"/>
      <c r="L441" s="968">
        <f t="shared" si="139"/>
        <v>3224292.63</v>
      </c>
      <c r="M441" s="974">
        <v>7560000</v>
      </c>
      <c r="N441" s="974">
        <v>7560000</v>
      </c>
      <c r="O441" s="974">
        <v>7560000</v>
      </c>
      <c r="P441" s="968">
        <v>4352574.26</v>
      </c>
      <c r="Q441" s="968"/>
      <c r="R441" s="968">
        <f t="shared" si="140"/>
        <v>4352574.26</v>
      </c>
      <c r="S441" s="968">
        <v>5000000</v>
      </c>
      <c r="T441" s="968">
        <v>5000000</v>
      </c>
      <c r="U441" s="968">
        <v>3584950</v>
      </c>
      <c r="V441" s="968">
        <v>3584876.24</v>
      </c>
      <c r="W441" s="968"/>
      <c r="X441" s="968">
        <f t="shared" si="130"/>
        <v>3584876.24</v>
      </c>
      <c r="Y441" s="1145">
        <v>4500000</v>
      </c>
      <c r="Z441" s="1145">
        <v>4500000</v>
      </c>
      <c r="AA441" s="1145">
        <v>5150322</v>
      </c>
      <c r="AB441" s="1145">
        <v>5150321.6399999997</v>
      </c>
      <c r="AC441" s="1145"/>
      <c r="AD441" s="1145">
        <f t="shared" si="141"/>
        <v>5150321.6399999997</v>
      </c>
    </row>
    <row r="442" spans="1:30" x14ac:dyDescent="0.2">
      <c r="A442" s="928">
        <v>5028</v>
      </c>
      <c r="B442" s="928" t="s">
        <v>3579</v>
      </c>
      <c r="C442" s="968"/>
      <c r="D442" s="968"/>
      <c r="E442" s="968"/>
      <c r="F442" s="968"/>
      <c r="G442" s="968"/>
      <c r="H442" s="968"/>
      <c r="I442" s="968"/>
      <c r="J442" s="968"/>
      <c r="K442" s="968"/>
      <c r="L442" s="968"/>
      <c r="M442" s="974"/>
      <c r="N442" s="974"/>
      <c r="O442" s="974"/>
      <c r="P442" s="968"/>
      <c r="Q442" s="968"/>
      <c r="R442" s="968"/>
      <c r="S442" s="968">
        <v>274000</v>
      </c>
      <c r="T442" s="968">
        <v>274000</v>
      </c>
      <c r="U442" s="968">
        <v>400</v>
      </c>
      <c r="V442" s="968">
        <v>0</v>
      </c>
      <c r="W442" s="968"/>
      <c r="X442" s="968">
        <f>V442+W442</f>
        <v>0</v>
      </c>
      <c r="Y442" s="1145">
        <v>273600</v>
      </c>
      <c r="Z442" s="1145">
        <v>273600</v>
      </c>
      <c r="AA442" s="1145">
        <v>273600</v>
      </c>
      <c r="AB442" s="1145">
        <v>135600</v>
      </c>
      <c r="AC442" s="1145"/>
      <c r="AD442" s="1145">
        <f t="shared" si="141"/>
        <v>135600</v>
      </c>
    </row>
    <row r="443" spans="1:30" x14ac:dyDescent="0.2">
      <c r="A443" s="928">
        <v>6002</v>
      </c>
      <c r="B443" s="928" t="s">
        <v>3212</v>
      </c>
      <c r="C443" s="968"/>
      <c r="D443" s="968"/>
      <c r="E443" s="968"/>
      <c r="F443" s="968"/>
      <c r="G443" s="968"/>
      <c r="H443" s="968"/>
      <c r="I443" s="968"/>
      <c r="J443" s="968"/>
      <c r="K443" s="968"/>
      <c r="L443" s="968"/>
      <c r="M443" s="974"/>
      <c r="N443" s="974"/>
      <c r="O443" s="974">
        <v>4000000</v>
      </c>
      <c r="P443" s="968">
        <v>3951781.96</v>
      </c>
      <c r="Q443" s="968"/>
      <c r="R443" s="968">
        <f t="shared" si="140"/>
        <v>3951781.96</v>
      </c>
      <c r="S443" s="968"/>
      <c r="T443" s="968"/>
      <c r="U443" s="968">
        <f>4002650-3910000</f>
        <v>92650</v>
      </c>
      <c r="V443" s="968">
        <f>4002626.44-4002626.44</f>
        <v>0</v>
      </c>
      <c r="W443" s="968"/>
      <c r="X443" s="968">
        <f t="shared" si="130"/>
        <v>0</v>
      </c>
      <c r="Y443" s="1145"/>
      <c r="Z443" s="1145"/>
      <c r="AA443" s="1145"/>
      <c r="AB443" s="1145">
        <f>42401821.6</f>
        <v>42401821.600000001</v>
      </c>
      <c r="AC443" s="1145"/>
      <c r="AD443" s="1145">
        <f t="shared" si="141"/>
        <v>42401821.600000001</v>
      </c>
    </row>
    <row r="444" spans="1:30" x14ac:dyDescent="0.2">
      <c r="A444" s="928">
        <v>7601</v>
      </c>
      <c r="B444" s="928" t="s">
        <v>1294</v>
      </c>
      <c r="C444" s="968">
        <v>353000</v>
      </c>
      <c r="D444" s="968">
        <v>1530459.69</v>
      </c>
      <c r="E444" s="968"/>
      <c r="F444" s="968">
        <f t="shared" si="138"/>
        <v>1530459.69</v>
      </c>
      <c r="G444" s="968">
        <v>374180</v>
      </c>
      <c r="H444" s="968">
        <v>374180</v>
      </c>
      <c r="I444" s="968">
        <v>374180</v>
      </c>
      <c r="J444" s="968">
        <v>9415344.5199999996</v>
      </c>
      <c r="K444" s="968"/>
      <c r="L444" s="968">
        <f t="shared" si="139"/>
        <v>9415344.5199999996</v>
      </c>
      <c r="M444" s="974">
        <v>9300000</v>
      </c>
      <c r="N444" s="974">
        <v>9300000</v>
      </c>
      <c r="O444" s="974">
        <v>9133700</v>
      </c>
      <c r="P444" s="968">
        <v>9133691.7100000009</v>
      </c>
      <c r="Q444" s="968">
        <v>-9133691.7100000009</v>
      </c>
      <c r="R444" s="968">
        <f t="shared" si="140"/>
        <v>0</v>
      </c>
      <c r="S444" s="968">
        <v>8000000</v>
      </c>
      <c r="T444" s="968">
        <v>8000000</v>
      </c>
      <c r="U444" s="968">
        <v>500000</v>
      </c>
      <c r="V444" s="968"/>
      <c r="W444" s="968"/>
      <c r="X444" s="968">
        <f t="shared" si="130"/>
        <v>0</v>
      </c>
      <c r="Y444" s="1145">
        <v>2000000</v>
      </c>
      <c r="Z444" s="1145">
        <v>2000000</v>
      </c>
      <c r="AA444" s="1145">
        <v>2000000</v>
      </c>
      <c r="AB444" s="1145"/>
      <c r="AC444" s="1145"/>
      <c r="AD444" s="1145">
        <f t="shared" si="141"/>
        <v>0</v>
      </c>
    </row>
    <row r="445" spans="1:30" x14ac:dyDescent="0.2">
      <c r="A445" s="928">
        <v>7604</v>
      </c>
      <c r="B445" s="928" t="s">
        <v>1295</v>
      </c>
      <c r="C445" s="968">
        <v>820935</v>
      </c>
      <c r="D445" s="968">
        <v>641395.80000000005</v>
      </c>
      <c r="E445" s="968"/>
      <c r="F445" s="968">
        <f t="shared" si="138"/>
        <v>641395.80000000005</v>
      </c>
      <c r="G445" s="968">
        <v>870190</v>
      </c>
      <c r="H445" s="968">
        <v>870190</v>
      </c>
      <c r="I445" s="968">
        <v>870190</v>
      </c>
      <c r="J445" s="968">
        <v>0</v>
      </c>
      <c r="K445" s="968"/>
      <c r="L445" s="968">
        <f t="shared" si="139"/>
        <v>0</v>
      </c>
      <c r="M445" s="974"/>
      <c r="N445" s="974"/>
      <c r="O445" s="974"/>
      <c r="P445" s="968">
        <v>0</v>
      </c>
      <c r="Q445" s="968"/>
      <c r="R445" s="968">
        <f t="shared" si="140"/>
        <v>0</v>
      </c>
      <c r="S445" s="968"/>
      <c r="T445" s="968"/>
      <c r="U445" s="968"/>
      <c r="V445" s="968"/>
      <c r="W445" s="968"/>
      <c r="X445" s="968">
        <f t="shared" si="130"/>
        <v>0</v>
      </c>
      <c r="Y445" s="1145"/>
      <c r="Z445" s="1145"/>
      <c r="AA445" s="1145"/>
      <c r="AB445" s="1145"/>
      <c r="AC445" s="1145"/>
      <c r="AD445" s="1145">
        <f t="shared" si="141"/>
        <v>0</v>
      </c>
    </row>
    <row r="446" spans="1:30" x14ac:dyDescent="0.2">
      <c r="A446" s="928">
        <v>5209</v>
      </c>
      <c r="B446" s="928" t="s">
        <v>3527</v>
      </c>
      <c r="C446" s="968">
        <v>0</v>
      </c>
      <c r="D446" s="968">
        <v>0</v>
      </c>
      <c r="E446" s="968"/>
      <c r="F446" s="968">
        <f t="shared" si="138"/>
        <v>0</v>
      </c>
      <c r="G446" s="968"/>
      <c r="H446" s="968"/>
      <c r="I446" s="968"/>
      <c r="J446" s="968">
        <v>0</v>
      </c>
      <c r="K446" s="968"/>
      <c r="L446" s="968">
        <f t="shared" si="139"/>
        <v>0</v>
      </c>
      <c r="M446" s="974"/>
      <c r="N446" s="974"/>
      <c r="O446" s="974"/>
      <c r="P446" s="968"/>
      <c r="Q446" s="968"/>
      <c r="R446" s="968">
        <f t="shared" si="140"/>
        <v>0</v>
      </c>
      <c r="S446" s="968"/>
      <c r="T446" s="968"/>
      <c r="U446" s="968"/>
      <c r="V446" s="968"/>
      <c r="W446" s="968"/>
      <c r="X446" s="968">
        <f t="shared" si="130"/>
        <v>0</v>
      </c>
      <c r="Y446" s="1145"/>
      <c r="Z446" s="1145"/>
      <c r="AA446" s="1145"/>
      <c r="AB446" s="1145"/>
      <c r="AC446" s="1145"/>
      <c r="AD446" s="1145">
        <f t="shared" si="141"/>
        <v>0</v>
      </c>
    </row>
    <row r="447" spans="1:30" x14ac:dyDescent="0.2">
      <c r="A447" s="928">
        <v>7833</v>
      </c>
      <c r="B447" s="928" t="s">
        <v>491</v>
      </c>
      <c r="C447" s="968">
        <v>1078940</v>
      </c>
      <c r="D447" s="968">
        <v>729503.58</v>
      </c>
      <c r="E447" s="968"/>
      <c r="F447" s="968">
        <f t="shared" si="138"/>
        <v>729503.58</v>
      </c>
      <c r="G447" s="968">
        <v>1233390</v>
      </c>
      <c r="H447" s="968">
        <f>1233390-461800</f>
        <v>771590</v>
      </c>
      <c r="I447" s="968">
        <v>831590</v>
      </c>
      <c r="J447" s="968">
        <v>548245.18999999994</v>
      </c>
      <c r="K447" s="968"/>
      <c r="L447" s="968">
        <f t="shared" si="139"/>
        <v>548245.18999999994</v>
      </c>
      <c r="M447" s="974">
        <v>1035590</v>
      </c>
      <c r="N447" s="974">
        <v>1035590</v>
      </c>
      <c r="O447" s="974">
        <v>1035590</v>
      </c>
      <c r="P447" s="968">
        <v>697542.87</v>
      </c>
      <c r="Q447" s="968"/>
      <c r="R447" s="968">
        <f t="shared" si="140"/>
        <v>697542.87</v>
      </c>
      <c r="S447" s="968">
        <v>1040590</v>
      </c>
      <c r="T447" s="968">
        <f>1040590+1000000</f>
        <v>2040590</v>
      </c>
      <c r="U447" s="968">
        <f>1040590+1000000-180000</f>
        <v>1860590</v>
      </c>
      <c r="V447" s="968">
        <v>1851207</v>
      </c>
      <c r="W447" s="968"/>
      <c r="X447" s="968">
        <f t="shared" si="130"/>
        <v>1851207</v>
      </c>
      <c r="Y447" s="1145">
        <v>2200000</v>
      </c>
      <c r="Z447" s="1145">
        <v>2800000</v>
      </c>
      <c r="AA447" s="1145">
        <v>2800000</v>
      </c>
      <c r="AB447" s="1145">
        <v>2732400.44</v>
      </c>
      <c r="AC447" s="1145"/>
      <c r="AD447" s="1145">
        <f t="shared" si="141"/>
        <v>2732400.44</v>
      </c>
    </row>
    <row r="448" spans="1:30" x14ac:dyDescent="0.2">
      <c r="A448" s="928">
        <v>7839</v>
      </c>
      <c r="B448" s="928" t="s">
        <v>507</v>
      </c>
      <c r="C448" s="968">
        <v>65000</v>
      </c>
      <c r="D448" s="968">
        <v>12514.5</v>
      </c>
      <c r="E448" s="968"/>
      <c r="F448" s="968">
        <f t="shared" si="138"/>
        <v>12514.5</v>
      </c>
      <c r="G448" s="968">
        <v>68900</v>
      </c>
      <c r="H448" s="968">
        <v>68900</v>
      </c>
      <c r="I448" s="968">
        <v>38900</v>
      </c>
      <c r="J448" s="968">
        <v>13157.8</v>
      </c>
      <c r="K448" s="968"/>
      <c r="L448" s="968">
        <f t="shared" si="139"/>
        <v>13157.8</v>
      </c>
      <c r="M448" s="974">
        <v>68900</v>
      </c>
      <c r="N448" s="974">
        <v>68900</v>
      </c>
      <c r="O448" s="974">
        <v>68900</v>
      </c>
      <c r="P448" s="968">
        <v>62447.4</v>
      </c>
      <c r="Q448" s="968"/>
      <c r="R448" s="968">
        <f t="shared" si="140"/>
        <v>62447.4</v>
      </c>
      <c r="S448" s="968">
        <v>68900</v>
      </c>
      <c r="T448" s="968">
        <v>68900</v>
      </c>
      <c r="U448" s="968">
        <v>68900</v>
      </c>
      <c r="V448" s="968"/>
      <c r="W448" s="968"/>
      <c r="X448" s="968">
        <f t="shared" si="130"/>
        <v>0</v>
      </c>
      <c r="Y448" s="1145"/>
      <c r="Z448" s="1145">
        <v>0</v>
      </c>
      <c r="AA448" s="1145">
        <v>0</v>
      </c>
      <c r="AB448" s="1145"/>
      <c r="AC448" s="1145"/>
      <c r="AD448" s="1145">
        <f t="shared" si="141"/>
        <v>0</v>
      </c>
    </row>
    <row r="449" spans="1:30" x14ac:dyDescent="0.2">
      <c r="A449" s="928">
        <v>7841</v>
      </c>
      <c r="B449" s="928" t="s">
        <v>506</v>
      </c>
      <c r="C449" s="968">
        <v>22500</v>
      </c>
      <c r="D449" s="968">
        <v>19887.16</v>
      </c>
      <c r="E449" s="968"/>
      <c r="F449" s="968">
        <f t="shared" si="138"/>
        <v>19887.16</v>
      </c>
      <c r="G449" s="968">
        <v>23850</v>
      </c>
      <c r="H449" s="968">
        <v>23850</v>
      </c>
      <c r="I449" s="968">
        <v>23850</v>
      </c>
      <c r="J449" s="968">
        <v>2941.73</v>
      </c>
      <c r="K449" s="968"/>
      <c r="L449" s="968">
        <f t="shared" si="139"/>
        <v>2941.73</v>
      </c>
      <c r="M449" s="974">
        <v>23850</v>
      </c>
      <c r="N449" s="974">
        <v>23850</v>
      </c>
      <c r="O449" s="974">
        <v>23850</v>
      </c>
      <c r="P449" s="968">
        <v>9122.81</v>
      </c>
      <c r="Q449" s="968"/>
      <c r="R449" s="968">
        <f t="shared" si="140"/>
        <v>9122.81</v>
      </c>
      <c r="S449" s="968">
        <v>25850</v>
      </c>
      <c r="T449" s="968">
        <v>25850</v>
      </c>
      <c r="U449" s="968">
        <v>36400</v>
      </c>
      <c r="V449" s="968">
        <v>36385.33</v>
      </c>
      <c r="W449" s="968"/>
      <c r="X449" s="968">
        <f t="shared" si="130"/>
        <v>36385.33</v>
      </c>
      <c r="Y449" s="1145">
        <v>25023</v>
      </c>
      <c r="Z449" s="1145">
        <v>14249</v>
      </c>
      <c r="AA449" s="1145">
        <v>14249</v>
      </c>
      <c r="AB449" s="1145"/>
      <c r="AC449" s="1145"/>
      <c r="AD449" s="1145">
        <f t="shared" si="141"/>
        <v>0</v>
      </c>
    </row>
    <row r="450" spans="1:30" x14ac:dyDescent="0.2">
      <c r="A450" s="928">
        <v>7845</v>
      </c>
      <c r="B450" s="928" t="s">
        <v>1296</v>
      </c>
      <c r="C450" s="968">
        <v>480000</v>
      </c>
      <c r="D450" s="968">
        <v>538074.9</v>
      </c>
      <c r="E450" s="968"/>
      <c r="F450" s="968">
        <f t="shared" si="138"/>
        <v>538074.9</v>
      </c>
      <c r="G450" s="968">
        <v>600000</v>
      </c>
      <c r="H450" s="968">
        <v>600000</v>
      </c>
      <c r="I450" s="968">
        <v>600000</v>
      </c>
      <c r="J450" s="968">
        <v>575332.96</v>
      </c>
      <c r="K450" s="968"/>
      <c r="L450" s="968">
        <f t="shared" si="139"/>
        <v>575332.96</v>
      </c>
      <c r="M450" s="974">
        <v>800000</v>
      </c>
      <c r="N450" s="974">
        <v>800000</v>
      </c>
      <c r="O450" s="974">
        <v>1000000</v>
      </c>
      <c r="P450" s="968">
        <v>955081.83</v>
      </c>
      <c r="Q450" s="968"/>
      <c r="R450" s="968">
        <f t="shared" si="140"/>
        <v>955081.83</v>
      </c>
      <c r="S450" s="968">
        <v>800000</v>
      </c>
      <c r="T450" s="968">
        <v>800000</v>
      </c>
      <c r="U450" s="968">
        <v>880000</v>
      </c>
      <c r="V450" s="968">
        <v>863880.68</v>
      </c>
      <c r="W450" s="968"/>
      <c r="X450" s="968">
        <f t="shared" si="130"/>
        <v>863880.68</v>
      </c>
      <c r="Y450" s="1145">
        <v>694400</v>
      </c>
      <c r="Z450" s="1145">
        <v>694400</v>
      </c>
      <c r="AA450" s="1145">
        <v>702800</v>
      </c>
      <c r="AB450" s="1145">
        <v>698777.29</v>
      </c>
      <c r="AC450" s="1145"/>
      <c r="AD450" s="1145">
        <f t="shared" si="141"/>
        <v>698777.29</v>
      </c>
    </row>
    <row r="451" spans="1:30" x14ac:dyDescent="0.2">
      <c r="A451" s="928">
        <v>7849</v>
      </c>
      <c r="B451" s="928" t="s">
        <v>667</v>
      </c>
      <c r="C451" s="968">
        <v>2800000</v>
      </c>
      <c r="D451" s="968">
        <v>2302725.16</v>
      </c>
      <c r="E451" s="968"/>
      <c r="F451" s="968">
        <f t="shared" si="138"/>
        <v>2302725.16</v>
      </c>
      <c r="G451" s="968">
        <v>2968000</v>
      </c>
      <c r="H451" s="968">
        <v>2968000</v>
      </c>
      <c r="I451" s="968">
        <v>3268000</v>
      </c>
      <c r="J451" s="968">
        <v>3247042.53</v>
      </c>
      <c r="K451" s="968"/>
      <c r="L451" s="968">
        <f t="shared" si="139"/>
        <v>3247042.53</v>
      </c>
      <c r="M451" s="974">
        <v>2968000</v>
      </c>
      <c r="N451" s="974">
        <v>2968000</v>
      </c>
      <c r="O451" s="974">
        <v>4897935</v>
      </c>
      <c r="P451" s="968">
        <v>4897934.82</v>
      </c>
      <c r="Q451" s="968"/>
      <c r="R451" s="968">
        <f t="shared" si="140"/>
        <v>4897934.82</v>
      </c>
      <c r="S451" s="968">
        <v>3700000</v>
      </c>
      <c r="T451" s="968">
        <v>3700000</v>
      </c>
      <c r="U451" s="968">
        <v>4773600</v>
      </c>
      <c r="V451" s="968">
        <v>4773532.96</v>
      </c>
      <c r="W451" s="968"/>
      <c r="X451" s="968">
        <f t="shared" si="130"/>
        <v>4773532.96</v>
      </c>
      <c r="Y451" s="1145">
        <v>3700000</v>
      </c>
      <c r="Z451" s="1145">
        <v>6200000</v>
      </c>
      <c r="AA451" s="1145">
        <v>6200000</v>
      </c>
      <c r="AB451" s="1145">
        <v>5498603.2199999997</v>
      </c>
      <c r="AC451" s="1145"/>
      <c r="AD451" s="1145">
        <f t="shared" si="141"/>
        <v>5498603.2199999997</v>
      </c>
    </row>
    <row r="452" spans="1:30" x14ac:dyDescent="0.2">
      <c r="A452" s="928">
        <v>7851</v>
      </c>
      <c r="B452" s="928" t="s">
        <v>994</v>
      </c>
      <c r="C452" s="968">
        <v>272000</v>
      </c>
      <c r="D452" s="968">
        <v>95829.4</v>
      </c>
      <c r="E452" s="968"/>
      <c r="F452" s="968">
        <f t="shared" si="138"/>
        <v>95829.4</v>
      </c>
      <c r="G452" s="968">
        <v>323000</v>
      </c>
      <c r="H452" s="968">
        <f>323000-180000</f>
        <v>143000</v>
      </c>
      <c r="I452" s="968">
        <v>198000</v>
      </c>
      <c r="J452" s="968">
        <v>153716.65</v>
      </c>
      <c r="K452" s="968"/>
      <c r="L452" s="968">
        <f t="shared" si="139"/>
        <v>153716.65</v>
      </c>
      <c r="M452" s="974">
        <v>213000</v>
      </c>
      <c r="N452" s="974">
        <v>213000</v>
      </c>
      <c r="O452" s="974">
        <v>213000</v>
      </c>
      <c r="P452" s="968">
        <v>170246.57</v>
      </c>
      <c r="Q452" s="968"/>
      <c r="R452" s="968">
        <f t="shared" si="140"/>
        <v>170246.57</v>
      </c>
      <c r="S452" s="968">
        <v>233000</v>
      </c>
      <c r="T452" s="968">
        <v>233000</v>
      </c>
      <c r="U452" s="968">
        <v>251000</v>
      </c>
      <c r="V452" s="968">
        <v>184782.9</v>
      </c>
      <c r="W452" s="968"/>
      <c r="X452" s="968">
        <f t="shared" si="130"/>
        <v>184782.9</v>
      </c>
      <c r="Y452" s="1145">
        <v>231304</v>
      </c>
      <c r="Z452" s="1145">
        <v>231304</v>
      </c>
      <c r="AA452" s="1145">
        <v>160840</v>
      </c>
      <c r="AB452" s="1145">
        <v>149840</v>
      </c>
      <c r="AC452" s="1145"/>
      <c r="AD452" s="1145">
        <f t="shared" si="141"/>
        <v>149840</v>
      </c>
    </row>
    <row r="453" spans="1:30" x14ac:dyDescent="0.2">
      <c r="A453" s="928">
        <v>7855</v>
      </c>
      <c r="B453" s="928" t="s">
        <v>494</v>
      </c>
      <c r="C453" s="968">
        <v>2000000</v>
      </c>
      <c r="D453" s="968">
        <v>2746322.11</v>
      </c>
      <c r="E453" s="968"/>
      <c r="F453" s="968">
        <f t="shared" si="138"/>
        <v>2746322.11</v>
      </c>
      <c r="G453" s="968">
        <v>2120000</v>
      </c>
      <c r="H453" s="968">
        <f>2120000+700000</f>
        <v>2820000</v>
      </c>
      <c r="I453" s="968">
        <v>2820000</v>
      </c>
      <c r="J453" s="968">
        <v>3038993.3</v>
      </c>
      <c r="K453" s="968"/>
      <c r="L453" s="968">
        <f t="shared" si="139"/>
        <v>3038993.3</v>
      </c>
      <c r="M453" s="974">
        <v>2820000</v>
      </c>
      <c r="N453" s="974">
        <v>2820000</v>
      </c>
      <c r="O453" s="974">
        <v>3311300</v>
      </c>
      <c r="P453" s="968">
        <v>3311224.97</v>
      </c>
      <c r="Q453" s="968"/>
      <c r="R453" s="968">
        <f t="shared" si="140"/>
        <v>3311224.97</v>
      </c>
      <c r="S453" s="968">
        <v>3820000</v>
      </c>
      <c r="T453" s="968">
        <v>3820000</v>
      </c>
      <c r="U453" s="968">
        <v>3436170</v>
      </c>
      <c r="V453" s="968">
        <v>3379827.82</v>
      </c>
      <c r="W453" s="968"/>
      <c r="X453" s="968">
        <f t="shared" si="130"/>
        <v>3379827.82</v>
      </c>
      <c r="Y453" s="1145">
        <v>4000000</v>
      </c>
      <c r="Z453" s="1145">
        <v>4000000</v>
      </c>
      <c r="AA453" s="1145">
        <v>4000000</v>
      </c>
      <c r="AB453" s="1145">
        <v>2495442.5499999998</v>
      </c>
      <c r="AC453" s="1145"/>
      <c r="AD453" s="1145">
        <f t="shared" si="141"/>
        <v>2495442.5499999998</v>
      </c>
    </row>
    <row r="454" spans="1:30" x14ac:dyDescent="0.2">
      <c r="A454" s="928">
        <v>7865</v>
      </c>
      <c r="B454" s="928" t="s">
        <v>1297</v>
      </c>
      <c r="C454" s="968">
        <v>324560</v>
      </c>
      <c r="D454" s="968">
        <v>230073.7</v>
      </c>
      <c r="E454" s="968"/>
      <c r="F454" s="968">
        <f t="shared" si="138"/>
        <v>230073.7</v>
      </c>
      <c r="G454" s="968">
        <v>369525</v>
      </c>
      <c r="H454" s="968">
        <f>369525-60000</f>
        <v>309525</v>
      </c>
      <c r="I454" s="968">
        <v>288525</v>
      </c>
      <c r="J454" s="968">
        <v>70380.92</v>
      </c>
      <c r="K454" s="968"/>
      <c r="L454" s="968">
        <f t="shared" si="139"/>
        <v>70380.92</v>
      </c>
      <c r="M454" s="974">
        <v>352000</v>
      </c>
      <c r="N454" s="974">
        <v>352000</v>
      </c>
      <c r="O454" s="974">
        <v>342000</v>
      </c>
      <c r="P454" s="968">
        <v>202162.65</v>
      </c>
      <c r="Q454" s="968"/>
      <c r="R454" s="968">
        <f t="shared" si="140"/>
        <v>202162.65</v>
      </c>
      <c r="S454" s="968">
        <v>352000</v>
      </c>
      <c r="T454" s="968">
        <v>352000</v>
      </c>
      <c r="U454" s="968">
        <v>243032</v>
      </c>
      <c r="V454" s="968">
        <v>78689.38</v>
      </c>
      <c r="W454" s="968"/>
      <c r="X454" s="968">
        <f t="shared" si="130"/>
        <v>78689.38</v>
      </c>
      <c r="Y454" s="1145">
        <v>334928</v>
      </c>
      <c r="Z454" s="1145">
        <v>123344</v>
      </c>
      <c r="AA454" s="1145">
        <v>76344</v>
      </c>
      <c r="AB454" s="1145">
        <v>53475.47</v>
      </c>
      <c r="AC454" s="1145"/>
      <c r="AD454" s="1145">
        <f t="shared" si="141"/>
        <v>53475.47</v>
      </c>
    </row>
    <row r="455" spans="1:30" x14ac:dyDescent="0.2">
      <c r="A455" s="928">
        <v>7867</v>
      </c>
      <c r="B455" s="928" t="s">
        <v>1298</v>
      </c>
      <c r="C455" s="968">
        <v>130000</v>
      </c>
      <c r="D455" s="968">
        <v>108366.91</v>
      </c>
      <c r="E455" s="968"/>
      <c r="F455" s="968">
        <f t="shared" si="138"/>
        <v>108366.91</v>
      </c>
      <c r="G455" s="968">
        <v>222600</v>
      </c>
      <c r="H455" s="968">
        <v>222600</v>
      </c>
      <c r="I455" s="968">
        <v>222600</v>
      </c>
      <c r="J455" s="968">
        <v>171087.88</v>
      </c>
      <c r="K455" s="968"/>
      <c r="L455" s="968">
        <f t="shared" si="139"/>
        <v>171087.88</v>
      </c>
      <c r="M455" s="974">
        <v>222600</v>
      </c>
      <c r="N455" s="974">
        <v>222600</v>
      </c>
      <c r="O455" s="974">
        <v>522600</v>
      </c>
      <c r="P455" s="968">
        <v>496680.91</v>
      </c>
      <c r="Q455" s="968"/>
      <c r="R455" s="968">
        <f t="shared" si="140"/>
        <v>496680.91</v>
      </c>
      <c r="S455" s="968">
        <v>222600</v>
      </c>
      <c r="T455" s="968">
        <v>222600</v>
      </c>
      <c r="U455" s="968">
        <v>222600</v>
      </c>
      <c r="V455" s="968">
        <v>221782.78</v>
      </c>
      <c r="W455" s="968"/>
      <c r="X455" s="968">
        <f t="shared" si="130"/>
        <v>221782.78</v>
      </c>
      <c r="Y455" s="1145">
        <v>215477</v>
      </c>
      <c r="Z455" s="1145">
        <v>215477</v>
      </c>
      <c r="AA455" s="1145">
        <v>255477</v>
      </c>
      <c r="AB455" s="1145">
        <v>252032.76</v>
      </c>
      <c r="AC455" s="1145"/>
      <c r="AD455" s="1145">
        <f t="shared" si="141"/>
        <v>252032.76</v>
      </c>
    </row>
    <row r="456" spans="1:30" x14ac:dyDescent="0.2">
      <c r="A456" s="928">
        <v>7869</v>
      </c>
      <c r="B456" s="928" t="s">
        <v>1299</v>
      </c>
      <c r="C456" s="968">
        <v>110000</v>
      </c>
      <c r="D456" s="968">
        <v>29564.95</v>
      </c>
      <c r="E456" s="968"/>
      <c r="F456" s="968">
        <f t="shared" si="138"/>
        <v>29564.95</v>
      </c>
      <c r="G456" s="968">
        <v>222600</v>
      </c>
      <c r="H456" s="968">
        <v>222600</v>
      </c>
      <c r="I456" s="968">
        <v>222600</v>
      </c>
      <c r="J456" s="968">
        <v>53820</v>
      </c>
      <c r="K456" s="968"/>
      <c r="L456" s="968">
        <f t="shared" si="139"/>
        <v>53820</v>
      </c>
      <c r="M456" s="974">
        <v>222600</v>
      </c>
      <c r="N456" s="974">
        <v>222600</v>
      </c>
      <c r="O456" s="974">
        <v>222600</v>
      </c>
      <c r="P456" s="968">
        <v>90805.54</v>
      </c>
      <c r="Q456" s="968"/>
      <c r="R456" s="968">
        <f t="shared" si="140"/>
        <v>90805.54</v>
      </c>
      <c r="S456" s="968">
        <v>222600</v>
      </c>
      <c r="T456" s="968">
        <v>222600</v>
      </c>
      <c r="U456" s="968">
        <v>222600</v>
      </c>
      <c r="V456" s="968">
        <v>206159.88</v>
      </c>
      <c r="W456" s="968"/>
      <c r="X456" s="968">
        <f t="shared" si="130"/>
        <v>206159.88</v>
      </c>
      <c r="Y456" s="1145">
        <v>215477</v>
      </c>
      <c r="Z456" s="1145">
        <v>215477</v>
      </c>
      <c r="AA456" s="1145">
        <v>215477</v>
      </c>
      <c r="AB456" s="1145">
        <v>117727.99</v>
      </c>
      <c r="AC456" s="1145"/>
      <c r="AD456" s="1145">
        <f t="shared" si="141"/>
        <v>117727.99</v>
      </c>
    </row>
    <row r="457" spans="1:30" x14ac:dyDescent="0.2">
      <c r="A457" s="928">
        <v>7871</v>
      </c>
      <c r="B457" s="928" t="s">
        <v>1300</v>
      </c>
      <c r="C457" s="968">
        <v>300000</v>
      </c>
      <c r="D457" s="968">
        <v>0</v>
      </c>
      <c r="E457" s="968"/>
      <c r="F457" s="968">
        <f t="shared" si="138"/>
        <v>0</v>
      </c>
      <c r="G457" s="968">
        <v>530000</v>
      </c>
      <c r="H457" s="968">
        <f>530000-250000</f>
        <v>280000</v>
      </c>
      <c r="I457" s="968">
        <v>0</v>
      </c>
      <c r="J457" s="968">
        <v>0</v>
      </c>
      <c r="K457" s="968"/>
      <c r="L457" s="968">
        <f t="shared" si="139"/>
        <v>0</v>
      </c>
      <c r="M457" s="974">
        <v>280000</v>
      </c>
      <c r="N457" s="974">
        <v>280000</v>
      </c>
      <c r="O457" s="974">
        <v>280000</v>
      </c>
      <c r="P457" s="968">
        <v>111999.99</v>
      </c>
      <c r="Q457" s="968"/>
      <c r="R457" s="968">
        <f t="shared" si="140"/>
        <v>111999.99</v>
      </c>
      <c r="S457" s="968">
        <v>280000</v>
      </c>
      <c r="T457" s="968">
        <v>280000</v>
      </c>
      <c r="U457" s="968">
        <v>0</v>
      </c>
      <c r="V457" s="968"/>
      <c r="W457" s="968"/>
      <c r="X457" s="968">
        <f t="shared" si="130"/>
        <v>0</v>
      </c>
      <c r="Y457" s="1145">
        <v>271040</v>
      </c>
      <c r="Z457" s="1145"/>
      <c r="AA457" s="1145"/>
      <c r="AB457" s="1145"/>
      <c r="AC457" s="1145"/>
      <c r="AD457" s="1145">
        <f t="shared" si="141"/>
        <v>0</v>
      </c>
    </row>
    <row r="458" spans="1:30" x14ac:dyDescent="0.2">
      <c r="A458" s="928">
        <v>7873</v>
      </c>
      <c r="B458" s="928" t="s">
        <v>473</v>
      </c>
      <c r="C458" s="968">
        <v>454000</v>
      </c>
      <c r="D458" s="968">
        <v>428523.02</v>
      </c>
      <c r="E458" s="968"/>
      <c r="F458" s="968">
        <f t="shared" si="138"/>
        <v>428523.02</v>
      </c>
      <c r="G458" s="968">
        <v>481240</v>
      </c>
      <c r="H458" s="968">
        <v>481240</v>
      </c>
      <c r="I458" s="968">
        <v>481240</v>
      </c>
      <c r="J458" s="968">
        <v>474199.39</v>
      </c>
      <c r="K458" s="968"/>
      <c r="L458" s="968">
        <f t="shared" si="139"/>
        <v>474199.39</v>
      </c>
      <c r="M458" s="974">
        <v>481240</v>
      </c>
      <c r="N458" s="974">
        <v>481240</v>
      </c>
      <c r="O458" s="974">
        <v>481240</v>
      </c>
      <c r="P458" s="968">
        <v>447621.26</v>
      </c>
      <c r="Q458" s="968"/>
      <c r="R458" s="968">
        <f t="shared" si="140"/>
        <v>447621.26</v>
      </c>
      <c r="S458" s="968">
        <v>481240</v>
      </c>
      <c r="T458" s="968">
        <v>481240</v>
      </c>
      <c r="U458" s="968">
        <v>758440</v>
      </c>
      <c r="V458" s="968">
        <v>758374.96</v>
      </c>
      <c r="W458" s="968"/>
      <c r="X458" s="968">
        <f t="shared" si="130"/>
        <v>758374.96</v>
      </c>
      <c r="Y458" s="1145">
        <v>1033644</v>
      </c>
      <c r="Z458" s="1145">
        <v>1018644</v>
      </c>
      <c r="AA458" s="1145">
        <v>1000644</v>
      </c>
      <c r="AB458" s="1145">
        <v>635736.14</v>
      </c>
      <c r="AC458" s="1145"/>
      <c r="AD458" s="1145">
        <f t="shared" si="141"/>
        <v>635736.14</v>
      </c>
    </row>
    <row r="459" spans="1:30" x14ac:dyDescent="0.2">
      <c r="A459" s="928">
        <v>7875</v>
      </c>
      <c r="B459" s="928" t="s">
        <v>339</v>
      </c>
      <c r="C459" s="968">
        <v>400</v>
      </c>
      <c r="D459" s="968">
        <v>0</v>
      </c>
      <c r="E459" s="968"/>
      <c r="F459" s="968">
        <f t="shared" si="138"/>
        <v>0</v>
      </c>
      <c r="G459" s="968">
        <v>420</v>
      </c>
      <c r="H459" s="968">
        <v>420</v>
      </c>
      <c r="I459" s="968">
        <v>420</v>
      </c>
      <c r="J459" s="968">
        <v>0</v>
      </c>
      <c r="K459" s="968"/>
      <c r="L459" s="968">
        <f t="shared" si="139"/>
        <v>0</v>
      </c>
      <c r="M459" s="974">
        <v>420</v>
      </c>
      <c r="N459" s="974">
        <v>420</v>
      </c>
      <c r="O459" s="974">
        <v>420</v>
      </c>
      <c r="P459" s="968">
        <v>0</v>
      </c>
      <c r="Q459" s="968"/>
      <c r="R459" s="968">
        <f t="shared" si="140"/>
        <v>0</v>
      </c>
      <c r="S459" s="968">
        <v>420</v>
      </c>
      <c r="T459" s="968">
        <v>420</v>
      </c>
      <c r="U459" s="968">
        <v>420</v>
      </c>
      <c r="V459" s="968"/>
      <c r="W459" s="968"/>
      <c r="X459" s="968">
        <f t="shared" si="130"/>
        <v>0</v>
      </c>
      <c r="Y459" s="1145"/>
      <c r="Z459" s="1145"/>
      <c r="AA459" s="1145"/>
      <c r="AB459" s="1145"/>
      <c r="AC459" s="1145"/>
      <c r="AD459" s="1145">
        <f t="shared" si="141"/>
        <v>0</v>
      </c>
    </row>
    <row r="460" spans="1:30" x14ac:dyDescent="0.2">
      <c r="A460" s="928">
        <v>7876</v>
      </c>
      <c r="B460" s="928" t="s">
        <v>3165</v>
      </c>
      <c r="C460" s="968"/>
      <c r="D460" s="968"/>
      <c r="E460" s="968"/>
      <c r="F460" s="968"/>
      <c r="G460" s="968"/>
      <c r="H460" s="968"/>
      <c r="I460" s="968"/>
      <c r="J460" s="968"/>
      <c r="K460" s="968"/>
      <c r="L460" s="968"/>
      <c r="M460" s="974">
        <v>30000</v>
      </c>
      <c r="N460" s="974">
        <v>30000</v>
      </c>
      <c r="O460" s="974">
        <v>30000</v>
      </c>
      <c r="P460" s="968">
        <v>8881</v>
      </c>
      <c r="Q460" s="968"/>
      <c r="R460" s="968">
        <f t="shared" si="140"/>
        <v>8881</v>
      </c>
      <c r="S460" s="968">
        <v>30000</v>
      </c>
      <c r="T460" s="968">
        <v>30000</v>
      </c>
      <c r="U460" s="968">
        <v>30000</v>
      </c>
      <c r="V460" s="968">
        <v>24522.560000000001</v>
      </c>
      <c r="W460" s="968"/>
      <c r="X460" s="968">
        <f t="shared" si="130"/>
        <v>24522.560000000001</v>
      </c>
      <c r="Y460" s="1145">
        <v>1000000</v>
      </c>
      <c r="Z460" s="1145">
        <v>800000</v>
      </c>
      <c r="AA460" s="1145">
        <v>178000</v>
      </c>
      <c r="AB460" s="1145">
        <v>177182.55</v>
      </c>
      <c r="AC460" s="1145"/>
      <c r="AD460" s="1145">
        <f t="shared" si="141"/>
        <v>177182.55</v>
      </c>
    </row>
    <row r="461" spans="1:30" x14ac:dyDescent="0.2">
      <c r="A461" s="928">
        <v>7877</v>
      </c>
      <c r="B461" s="928" t="s">
        <v>972</v>
      </c>
      <c r="C461" s="968">
        <v>590665</v>
      </c>
      <c r="D461" s="968">
        <v>275213.39</v>
      </c>
      <c r="E461" s="968"/>
      <c r="F461" s="968">
        <f t="shared" si="138"/>
        <v>275213.39</v>
      </c>
      <c r="G461" s="968">
        <v>2400000</v>
      </c>
      <c r="H461" s="968">
        <v>2400000</v>
      </c>
      <c r="I461" s="968">
        <v>2400000</v>
      </c>
      <c r="J461" s="968">
        <v>2331623.2000000002</v>
      </c>
      <c r="K461" s="968"/>
      <c r="L461" s="968">
        <f t="shared" si="139"/>
        <v>2331623.2000000002</v>
      </c>
      <c r="M461" s="974">
        <v>2400000</v>
      </c>
      <c r="N461" s="974">
        <v>2400000</v>
      </c>
      <c r="O461" s="974">
        <v>2994600</v>
      </c>
      <c r="P461" s="968">
        <v>2994560.62</v>
      </c>
      <c r="Q461" s="968"/>
      <c r="R461" s="968">
        <f t="shared" si="140"/>
        <v>2994560.62</v>
      </c>
      <c r="S461" s="968">
        <v>3000000</v>
      </c>
      <c r="T461" s="968">
        <v>3000000</v>
      </c>
      <c r="U461" s="968">
        <v>3254630</v>
      </c>
      <c r="V461" s="968">
        <v>3254626.79</v>
      </c>
      <c r="W461" s="968"/>
      <c r="X461" s="968">
        <f t="shared" si="130"/>
        <v>3254626.79</v>
      </c>
      <c r="Y461" s="1145">
        <v>5000000</v>
      </c>
      <c r="Z461" s="1145">
        <v>5000000</v>
      </c>
      <c r="AA461" s="1145">
        <v>7654268</v>
      </c>
      <c r="AB461" s="1145">
        <v>7654267.1900000004</v>
      </c>
      <c r="AC461" s="1145"/>
      <c r="AD461" s="1145">
        <f t="shared" si="141"/>
        <v>7654267.1900000004</v>
      </c>
    </row>
    <row r="462" spans="1:30" x14ac:dyDescent="0.2">
      <c r="A462" s="928">
        <v>7878</v>
      </c>
      <c r="B462" s="928" t="s">
        <v>3166</v>
      </c>
      <c r="C462" s="968"/>
      <c r="D462" s="968"/>
      <c r="E462" s="968"/>
      <c r="F462" s="968"/>
      <c r="G462" s="968"/>
      <c r="H462" s="968"/>
      <c r="I462" s="968"/>
      <c r="J462" s="968"/>
      <c r="K462" s="968"/>
      <c r="L462" s="968"/>
      <c r="M462" s="974">
        <v>30000000</v>
      </c>
      <c r="N462" s="974">
        <f>30000000+3500000</f>
        <v>33500000</v>
      </c>
      <c r="O462" s="974">
        <v>33370823</v>
      </c>
      <c r="P462" s="968">
        <v>25229492.469999999</v>
      </c>
      <c r="Q462" s="968"/>
      <c r="R462" s="968">
        <f t="shared" si="140"/>
        <v>25229492.469999999</v>
      </c>
      <c r="S462" s="968"/>
      <c r="T462" s="968"/>
      <c r="U462" s="968">
        <v>352000</v>
      </c>
      <c r="V462" s="968">
        <v>352000</v>
      </c>
      <c r="W462" s="968"/>
      <c r="X462" s="968">
        <f t="shared" si="130"/>
        <v>352000</v>
      </c>
      <c r="Y462" s="1145"/>
      <c r="Z462" s="1145"/>
      <c r="AA462" s="1145"/>
      <c r="AB462" s="1145"/>
      <c r="AC462" s="1145"/>
      <c r="AD462" s="1145">
        <f t="shared" si="141"/>
        <v>0</v>
      </c>
    </row>
    <row r="463" spans="1:30" x14ac:dyDescent="0.2">
      <c r="A463" s="928">
        <v>7879</v>
      </c>
      <c r="B463" s="928" t="s">
        <v>1301</v>
      </c>
      <c r="C463" s="968">
        <v>1435115</v>
      </c>
      <c r="D463" s="968">
        <v>1372066.23</v>
      </c>
      <c r="E463" s="968"/>
      <c r="F463" s="968">
        <f t="shared" si="138"/>
        <v>1372066.23</v>
      </c>
      <c r="G463" s="968">
        <v>1801525</v>
      </c>
      <c r="H463" s="968">
        <f>1801525-200000</f>
        <v>1601525</v>
      </c>
      <c r="I463" s="968">
        <v>1682525</v>
      </c>
      <c r="J463" s="968">
        <v>1150338.1200000001</v>
      </c>
      <c r="K463" s="968"/>
      <c r="L463" s="968">
        <f t="shared" si="139"/>
        <v>1150338.1200000001</v>
      </c>
      <c r="M463" s="974">
        <v>1727525</v>
      </c>
      <c r="N463" s="974">
        <v>1727525</v>
      </c>
      <c r="O463" s="974">
        <v>1833335</v>
      </c>
      <c r="P463" s="968">
        <v>1183447.3500000001</v>
      </c>
      <c r="Q463" s="968"/>
      <c r="R463" s="968">
        <f t="shared" si="140"/>
        <v>1183447.3500000001</v>
      </c>
      <c r="S463" s="968">
        <v>1553680</v>
      </c>
      <c r="T463" s="968">
        <v>1553680</v>
      </c>
      <c r="U463" s="968">
        <v>2613680</v>
      </c>
      <c r="V463" s="968">
        <v>2292187.14</v>
      </c>
      <c r="W463" s="968"/>
      <c r="X463" s="968">
        <f t="shared" si="130"/>
        <v>2292187.14</v>
      </c>
      <c r="Y463" s="1145">
        <v>2860873</v>
      </c>
      <c r="Z463" s="1145">
        <v>2860873</v>
      </c>
      <c r="AA463" s="1145">
        <v>2069869</v>
      </c>
      <c r="AB463" s="1145">
        <v>1717149.67</v>
      </c>
      <c r="AC463" s="1145"/>
      <c r="AD463" s="1145">
        <f t="shared" si="141"/>
        <v>1717149.67</v>
      </c>
    </row>
    <row r="464" spans="1:30" x14ac:dyDescent="0.2">
      <c r="A464" s="928">
        <v>7881</v>
      </c>
      <c r="B464" s="928" t="s">
        <v>1302</v>
      </c>
      <c r="C464" s="968">
        <v>91260</v>
      </c>
      <c r="D464" s="968">
        <v>48794.46</v>
      </c>
      <c r="E464" s="968"/>
      <c r="F464" s="968">
        <f t="shared" si="138"/>
        <v>48794.46</v>
      </c>
      <c r="G464" s="968">
        <v>96735</v>
      </c>
      <c r="H464" s="968">
        <v>96735</v>
      </c>
      <c r="I464" s="968">
        <v>96735</v>
      </c>
      <c r="J464" s="968">
        <v>13776.89</v>
      </c>
      <c r="K464" s="968"/>
      <c r="L464" s="968">
        <f t="shared" si="139"/>
        <v>13776.89</v>
      </c>
      <c r="M464" s="974">
        <v>96735</v>
      </c>
      <c r="N464" s="974">
        <v>96735</v>
      </c>
      <c r="O464" s="974">
        <v>96735</v>
      </c>
      <c r="P464" s="968">
        <v>37140.31</v>
      </c>
      <c r="Q464" s="968"/>
      <c r="R464" s="968">
        <f t="shared" si="140"/>
        <v>37140.31</v>
      </c>
      <c r="S464" s="968">
        <v>30000</v>
      </c>
      <c r="T464" s="968">
        <v>30000</v>
      </c>
      <c r="U464" s="968">
        <v>30280</v>
      </c>
      <c r="V464" s="968">
        <v>30272.59</v>
      </c>
      <c r="W464" s="968"/>
      <c r="X464" s="968">
        <f t="shared" si="130"/>
        <v>30272.59</v>
      </c>
      <c r="Y464" s="1145">
        <v>31740</v>
      </c>
      <c r="Z464" s="1145">
        <v>31740</v>
      </c>
      <c r="AA464" s="1145">
        <v>31740</v>
      </c>
      <c r="AB464" s="1145">
        <v>26646.43</v>
      </c>
      <c r="AC464" s="1145"/>
      <c r="AD464" s="1145">
        <f t="shared" si="141"/>
        <v>26646.43</v>
      </c>
    </row>
    <row r="465" spans="1:30" x14ac:dyDescent="0.2">
      <c r="A465" s="928">
        <v>7883</v>
      </c>
      <c r="B465" s="928" t="s">
        <v>505</v>
      </c>
      <c r="C465" s="968">
        <v>1779400</v>
      </c>
      <c r="D465" s="968">
        <v>1179871.71</v>
      </c>
      <c r="E465" s="968"/>
      <c r="F465" s="968">
        <f t="shared" si="138"/>
        <v>1179871.71</v>
      </c>
      <c r="G465" s="968">
        <v>2012090</v>
      </c>
      <c r="H465" s="968">
        <f>2012090-263400</f>
        <v>1748690</v>
      </c>
      <c r="I465" s="968">
        <v>1759820</v>
      </c>
      <c r="J465" s="968">
        <v>1123771.26</v>
      </c>
      <c r="K465" s="968"/>
      <c r="L465" s="968">
        <f t="shared" si="139"/>
        <v>1123771.26</v>
      </c>
      <c r="M465" s="974">
        <v>1748690</v>
      </c>
      <c r="N465" s="974">
        <v>1748690</v>
      </c>
      <c r="O465" s="974">
        <v>1754990</v>
      </c>
      <c r="P465" s="968">
        <v>1151115.24</v>
      </c>
      <c r="Q465" s="968"/>
      <c r="R465" s="968">
        <f t="shared" si="140"/>
        <v>1151115.24</v>
      </c>
      <c r="S465" s="968">
        <v>1565300</v>
      </c>
      <c r="T465" s="968">
        <v>1565300</v>
      </c>
      <c r="U465" s="968">
        <v>1409099</v>
      </c>
      <c r="V465" s="968">
        <v>775243.68</v>
      </c>
      <c r="W465" s="968"/>
      <c r="X465" s="968">
        <f t="shared" si="130"/>
        <v>775243.68</v>
      </c>
      <c r="Y465" s="1145">
        <v>1515210</v>
      </c>
      <c r="Z465" s="1145">
        <v>1493210</v>
      </c>
      <c r="AA465" s="1145">
        <v>1370710</v>
      </c>
      <c r="AB465" s="1145">
        <v>964149.24</v>
      </c>
      <c r="AC465" s="1145"/>
      <c r="AD465" s="1145">
        <f t="shared" si="141"/>
        <v>964149.24</v>
      </c>
    </row>
    <row r="466" spans="1:30" x14ac:dyDescent="0.2">
      <c r="A466" s="928">
        <v>7885</v>
      </c>
      <c r="B466" s="928" t="s">
        <v>1303</v>
      </c>
      <c r="C466" s="968">
        <v>0</v>
      </c>
      <c r="D466" s="968">
        <v>0</v>
      </c>
      <c r="E466" s="968"/>
      <c r="F466" s="968">
        <f t="shared" si="138"/>
        <v>0</v>
      </c>
      <c r="G466" s="968"/>
      <c r="H466" s="968"/>
      <c r="I466" s="968"/>
      <c r="J466" s="968">
        <v>0</v>
      </c>
      <c r="K466" s="968"/>
      <c r="L466" s="968">
        <f t="shared" si="139"/>
        <v>0</v>
      </c>
      <c r="M466" s="974"/>
      <c r="N466" s="974"/>
      <c r="O466" s="974"/>
      <c r="P466" s="968"/>
      <c r="Q466" s="968"/>
      <c r="R466" s="968">
        <f t="shared" si="140"/>
        <v>0</v>
      </c>
      <c r="S466" s="968"/>
      <c r="T466" s="968"/>
      <c r="U466" s="968"/>
      <c r="V466" s="968"/>
      <c r="W466" s="968"/>
      <c r="X466" s="968">
        <f t="shared" si="130"/>
        <v>0</v>
      </c>
      <c r="Y466" s="1145"/>
      <c r="Z466" s="1145"/>
      <c r="AA466" s="1145"/>
      <c r="AB466" s="1145"/>
      <c r="AC466" s="1145"/>
      <c r="AD466" s="1145">
        <f t="shared" si="141"/>
        <v>0</v>
      </c>
    </row>
    <row r="467" spans="1:30" x14ac:dyDescent="0.2">
      <c r="A467" s="928">
        <v>7891</v>
      </c>
      <c r="B467" s="928" t="s">
        <v>973</v>
      </c>
      <c r="C467" s="968"/>
      <c r="D467" s="968"/>
      <c r="E467" s="968"/>
      <c r="F467" s="968"/>
      <c r="G467" s="968"/>
      <c r="H467" s="968"/>
      <c r="I467" s="968"/>
      <c r="J467" s="968"/>
      <c r="K467" s="968"/>
      <c r="L467" s="968"/>
      <c r="M467" s="974"/>
      <c r="N467" s="974"/>
      <c r="O467" s="974"/>
      <c r="P467" s="968"/>
      <c r="Q467" s="968"/>
      <c r="R467" s="968"/>
      <c r="S467" s="968"/>
      <c r="T467" s="968"/>
      <c r="U467" s="968"/>
      <c r="V467" s="968"/>
      <c r="W467" s="968"/>
      <c r="X467" s="968"/>
      <c r="Y467" s="1145">
        <v>1058000</v>
      </c>
      <c r="Z467" s="1145">
        <v>558000</v>
      </c>
      <c r="AB467" s="1145"/>
      <c r="AC467" s="1145"/>
      <c r="AD467" s="1145">
        <f t="shared" si="141"/>
        <v>0</v>
      </c>
    </row>
    <row r="468" spans="1:30" x14ac:dyDescent="0.2">
      <c r="A468" s="928">
        <v>7895</v>
      </c>
      <c r="B468" s="928" t="s">
        <v>656</v>
      </c>
      <c r="C468" s="968">
        <v>500000</v>
      </c>
      <c r="D468" s="968">
        <v>191660</v>
      </c>
      <c r="E468" s="968"/>
      <c r="F468" s="968">
        <f t="shared" si="138"/>
        <v>191660</v>
      </c>
      <c r="G468" s="968">
        <v>1318000</v>
      </c>
      <c r="H468" s="968">
        <f>1318000-500000</f>
        <v>818000</v>
      </c>
      <c r="I468" s="968">
        <v>818000</v>
      </c>
      <c r="J468" s="968">
        <v>800158.56</v>
      </c>
      <c r="K468" s="968"/>
      <c r="L468" s="968">
        <f t="shared" si="139"/>
        <v>800158.56</v>
      </c>
      <c r="M468" s="974">
        <v>1000000</v>
      </c>
      <c r="N468" s="974">
        <v>1000000</v>
      </c>
      <c r="O468" s="974">
        <v>1000000</v>
      </c>
      <c r="P468" s="968">
        <v>907921.61</v>
      </c>
      <c r="Q468" s="968"/>
      <c r="R468" s="968">
        <f t="shared" si="140"/>
        <v>907921.61</v>
      </c>
      <c r="S468" s="968">
        <v>2100000</v>
      </c>
      <c r="T468" s="968">
        <v>2100000</v>
      </c>
      <c r="U468" s="968">
        <v>1482100</v>
      </c>
      <c r="V468" s="968">
        <v>1474097.47</v>
      </c>
      <c r="W468" s="968"/>
      <c r="X468" s="968">
        <f t="shared" si="130"/>
        <v>1474097.47</v>
      </c>
      <c r="Y468" s="1145">
        <v>3232800</v>
      </c>
      <c r="Z468" s="1145">
        <v>2276800</v>
      </c>
      <c r="AA468" s="1145">
        <v>2276800</v>
      </c>
      <c r="AB468" s="1145">
        <v>1804047.16</v>
      </c>
      <c r="AC468" s="1145"/>
      <c r="AD468" s="1145">
        <f t="shared" si="141"/>
        <v>1804047.16</v>
      </c>
    </row>
    <row r="469" spans="1:30" x14ac:dyDescent="0.2">
      <c r="A469" s="928">
        <v>7897</v>
      </c>
      <c r="B469" s="928" t="s">
        <v>792</v>
      </c>
      <c r="C469" s="968">
        <v>1763125</v>
      </c>
      <c r="D469" s="968">
        <v>417726.58</v>
      </c>
      <c r="E469" s="968"/>
      <c r="F469" s="968">
        <f t="shared" si="138"/>
        <v>417726.58</v>
      </c>
      <c r="G469" s="968">
        <v>1300000</v>
      </c>
      <c r="H469" s="968">
        <f>1300000-880000</f>
        <v>420000</v>
      </c>
      <c r="I469" s="968">
        <v>430000</v>
      </c>
      <c r="J469" s="968">
        <v>14031.58</v>
      </c>
      <c r="K469" s="968"/>
      <c r="L469" s="968">
        <f t="shared" si="139"/>
        <v>14031.58</v>
      </c>
      <c r="M469" s="974">
        <v>930000</v>
      </c>
      <c r="N469" s="974">
        <v>930000</v>
      </c>
      <c r="O469" s="974">
        <v>930000</v>
      </c>
      <c r="P469" s="968">
        <v>140943.89000000001</v>
      </c>
      <c r="Q469" s="968"/>
      <c r="R469" s="968">
        <f t="shared" si="140"/>
        <v>140943.89000000001</v>
      </c>
      <c r="S469" s="968">
        <v>930000</v>
      </c>
      <c r="T469" s="968">
        <v>930000</v>
      </c>
      <c r="U469" s="968">
        <v>149000</v>
      </c>
      <c r="V469" s="968">
        <v>119494.12</v>
      </c>
      <c r="W469" s="968"/>
      <c r="X469" s="968">
        <f t="shared" si="130"/>
        <v>119494.12</v>
      </c>
      <c r="Y469" s="1145">
        <v>900240</v>
      </c>
      <c r="Z469" s="1145">
        <v>908240</v>
      </c>
      <c r="AA469" s="1145">
        <v>391709</v>
      </c>
      <c r="AB469" s="1145">
        <v>358866.81</v>
      </c>
      <c r="AC469" s="1145"/>
      <c r="AD469" s="1145">
        <f t="shared" si="141"/>
        <v>358866.81</v>
      </c>
    </row>
    <row r="470" spans="1:30" x14ac:dyDescent="0.2">
      <c r="A470" s="928">
        <v>7899</v>
      </c>
      <c r="B470" s="928" t="s">
        <v>1304</v>
      </c>
      <c r="C470" s="968">
        <v>1000000</v>
      </c>
      <c r="D470" s="968">
        <v>1425242.2</v>
      </c>
      <c r="E470" s="968"/>
      <c r="F470" s="968">
        <f t="shared" si="138"/>
        <v>1425242.2</v>
      </c>
      <c r="G470" s="968">
        <v>0</v>
      </c>
      <c r="H470" s="968">
        <v>0</v>
      </c>
      <c r="I470" s="968"/>
      <c r="J470" s="1146">
        <v>0</v>
      </c>
      <c r="K470" s="968"/>
      <c r="L470" s="968">
        <f t="shared" si="139"/>
        <v>0</v>
      </c>
      <c r="M470" s="974"/>
      <c r="N470" s="974"/>
      <c r="O470" s="974"/>
      <c r="P470" s="968"/>
      <c r="Q470" s="968"/>
      <c r="R470" s="968">
        <f t="shared" si="140"/>
        <v>0</v>
      </c>
      <c r="S470" s="968"/>
      <c r="T470" s="968"/>
      <c r="U470" s="968"/>
      <c r="V470" s="968"/>
      <c r="W470" s="968"/>
      <c r="X470" s="968">
        <f t="shared" ref="X470:X533" si="142">V470+W470</f>
        <v>0</v>
      </c>
      <c r="Y470" s="1145"/>
      <c r="Z470" s="1145"/>
      <c r="AA470" s="1145"/>
      <c r="AB470" s="1145"/>
      <c r="AC470" s="1145"/>
      <c r="AD470" s="1145">
        <f t="shared" si="141"/>
        <v>0</v>
      </c>
    </row>
    <row r="471" spans="1:30" x14ac:dyDescent="0.2">
      <c r="A471" s="928">
        <v>7901</v>
      </c>
      <c r="B471" s="928" t="s">
        <v>1305</v>
      </c>
      <c r="C471" s="968">
        <v>4060000</v>
      </c>
      <c r="D471" s="968">
        <v>24573363.140000001</v>
      </c>
      <c r="E471" s="968"/>
      <c r="F471" s="968">
        <f t="shared" si="138"/>
        <v>24573363.140000001</v>
      </c>
      <c r="G471" s="968">
        <v>4500000</v>
      </c>
      <c r="H471" s="968">
        <v>4500000</v>
      </c>
      <c r="I471" s="968">
        <v>4500000</v>
      </c>
      <c r="J471" s="1146">
        <v>15457966.539999999</v>
      </c>
      <c r="K471" s="968"/>
      <c r="L471" s="968">
        <f t="shared" si="139"/>
        <v>15457966.539999999</v>
      </c>
      <c r="M471" s="974">
        <v>20000000</v>
      </c>
      <c r="N471" s="974">
        <f>20000000-1800000</f>
        <v>18200000</v>
      </c>
      <c r="O471" s="974">
        <v>3150600</v>
      </c>
      <c r="P471" s="968">
        <f>5369481.18-9360000</f>
        <v>-3990518.8200000003</v>
      </c>
      <c r="Q471" s="968"/>
      <c r="R471" s="968">
        <f t="shared" si="140"/>
        <v>-3990518.8200000003</v>
      </c>
      <c r="S471" s="968">
        <v>16000000</v>
      </c>
      <c r="T471" s="968">
        <v>16000000</v>
      </c>
      <c r="U471" s="968">
        <v>9785300</v>
      </c>
      <c r="V471" s="968">
        <f>5236241.32+4549000</f>
        <v>9785241.3200000003</v>
      </c>
      <c r="W471" s="968"/>
      <c r="X471" s="968">
        <f t="shared" si="142"/>
        <v>9785241.3200000003</v>
      </c>
      <c r="Y471" s="1145">
        <v>6000000</v>
      </c>
      <c r="Z471" s="1145">
        <v>5400000</v>
      </c>
      <c r="AA471" s="1145">
        <v>12169669</v>
      </c>
      <c r="AB471" s="1145">
        <v>12169668.68</v>
      </c>
      <c r="AC471" s="1145"/>
      <c r="AD471" s="1145">
        <f t="shared" si="141"/>
        <v>12169668.68</v>
      </c>
    </row>
    <row r="472" spans="1:30" x14ac:dyDescent="0.2">
      <c r="A472" s="928">
        <v>7903</v>
      </c>
      <c r="B472" s="928" t="s">
        <v>468</v>
      </c>
      <c r="C472" s="968">
        <v>1500000</v>
      </c>
      <c r="D472" s="968">
        <v>1487740.42</v>
      </c>
      <c r="E472" s="968"/>
      <c r="F472" s="968">
        <f t="shared" si="138"/>
        <v>1487740.42</v>
      </c>
      <c r="G472" s="968">
        <v>900000</v>
      </c>
      <c r="H472" s="968">
        <v>900000</v>
      </c>
      <c r="I472" s="968">
        <v>900000</v>
      </c>
      <c r="J472" s="968">
        <v>836765.42</v>
      </c>
      <c r="K472" s="968"/>
      <c r="L472" s="968">
        <f t="shared" si="139"/>
        <v>836765.42</v>
      </c>
      <c r="M472" s="974">
        <v>300000</v>
      </c>
      <c r="N472" s="974">
        <v>300000</v>
      </c>
      <c r="O472" s="974">
        <v>300000</v>
      </c>
      <c r="P472" s="968">
        <v>146543.64000000001</v>
      </c>
      <c r="Q472" s="968"/>
      <c r="R472" s="968">
        <f t="shared" si="140"/>
        <v>146543.64000000001</v>
      </c>
      <c r="S472" s="968">
        <v>300000</v>
      </c>
      <c r="T472" s="968">
        <v>300000</v>
      </c>
      <c r="U472" s="968">
        <v>323250</v>
      </c>
      <c r="V472" s="968">
        <v>323241.78000000003</v>
      </c>
      <c r="W472" s="968"/>
      <c r="X472" s="968">
        <f t="shared" si="142"/>
        <v>323241.78000000003</v>
      </c>
      <c r="Y472" s="1145">
        <v>290400</v>
      </c>
      <c r="Z472" s="1145">
        <v>290400</v>
      </c>
      <c r="AA472" s="1145">
        <v>290400</v>
      </c>
      <c r="AB472" s="1145">
        <v>284023.28000000003</v>
      </c>
      <c r="AC472" s="1145"/>
      <c r="AD472" s="1145">
        <f t="shared" si="141"/>
        <v>284023.28000000003</v>
      </c>
    </row>
    <row r="473" spans="1:30" x14ac:dyDescent="0.2">
      <c r="A473" s="928">
        <v>7905</v>
      </c>
      <c r="B473" s="928" t="s">
        <v>1306</v>
      </c>
      <c r="C473" s="968">
        <v>77000</v>
      </c>
      <c r="D473" s="968">
        <v>49790.52</v>
      </c>
      <c r="E473" s="968"/>
      <c r="F473" s="968">
        <f t="shared" si="138"/>
        <v>49790.52</v>
      </c>
      <c r="G473" s="968">
        <v>81620</v>
      </c>
      <c r="H473" s="968">
        <f>81620-40000</f>
        <v>41620</v>
      </c>
      <c r="I473" s="968">
        <v>41620</v>
      </c>
      <c r="J473" s="968">
        <v>16550.7</v>
      </c>
      <c r="K473" s="968"/>
      <c r="L473" s="968">
        <f t="shared" si="139"/>
        <v>16550.7</v>
      </c>
      <c r="M473" s="974">
        <v>41620</v>
      </c>
      <c r="N473" s="974">
        <v>41620</v>
      </c>
      <c r="O473" s="974">
        <v>41620</v>
      </c>
      <c r="P473" s="968">
        <v>28342.95</v>
      </c>
      <c r="Q473" s="968"/>
      <c r="R473" s="968">
        <f t="shared" si="140"/>
        <v>28342.95</v>
      </c>
      <c r="S473" s="968">
        <v>41620</v>
      </c>
      <c r="T473" s="968">
        <v>41620</v>
      </c>
      <c r="U473" s="968">
        <v>18090</v>
      </c>
      <c r="V473" s="968">
        <v>5900</v>
      </c>
      <c r="W473" s="968"/>
      <c r="X473" s="968">
        <f t="shared" si="142"/>
        <v>5900</v>
      </c>
      <c r="Y473" s="1145">
        <v>40288</v>
      </c>
      <c r="Z473" s="1145">
        <v>40288</v>
      </c>
      <c r="AA473" s="1145">
        <v>40288</v>
      </c>
      <c r="AB473" s="1145">
        <v>39282.26</v>
      </c>
      <c r="AC473" s="1145"/>
      <c r="AD473" s="1145">
        <f t="shared" si="141"/>
        <v>39282.26</v>
      </c>
    </row>
    <row r="474" spans="1:30" x14ac:dyDescent="0.2">
      <c r="A474" s="928">
        <v>7907</v>
      </c>
      <c r="B474" s="928" t="s">
        <v>1307</v>
      </c>
      <c r="C474" s="968">
        <v>649000</v>
      </c>
      <c r="D474" s="968">
        <v>467897.84</v>
      </c>
      <c r="E474" s="968"/>
      <c r="F474" s="968">
        <f t="shared" ref="F474:F506" si="143">D474+E474</f>
        <v>467897.84</v>
      </c>
      <c r="G474" s="968">
        <v>934340</v>
      </c>
      <c r="H474" s="968">
        <f>934340-400000</f>
        <v>534340</v>
      </c>
      <c r="I474" s="968">
        <v>654340</v>
      </c>
      <c r="J474" s="968">
        <v>603390.12</v>
      </c>
      <c r="K474" s="968"/>
      <c r="L474" s="968">
        <f t="shared" si="139"/>
        <v>603390.12</v>
      </c>
      <c r="M474" s="974">
        <v>534340</v>
      </c>
      <c r="N474" s="974">
        <f>534340+506300</f>
        <v>1040640</v>
      </c>
      <c r="O474" s="974">
        <f>534340+506300</f>
        <v>1040640</v>
      </c>
      <c r="P474" s="968">
        <v>898824.93</v>
      </c>
      <c r="Q474" s="968"/>
      <c r="R474" s="968">
        <f t="shared" si="140"/>
        <v>898824.93</v>
      </c>
      <c r="S474" s="968">
        <v>1740640</v>
      </c>
      <c r="T474" s="968">
        <v>1740640</v>
      </c>
      <c r="U474" s="968">
        <v>2594640</v>
      </c>
      <c r="V474" s="968">
        <v>2515237.4900000002</v>
      </c>
      <c r="W474" s="968"/>
      <c r="X474" s="968">
        <f t="shared" si="142"/>
        <v>2515237.4900000002</v>
      </c>
      <c r="Y474" s="1145">
        <v>2318011</v>
      </c>
      <c r="Z474" s="1145">
        <v>2318011</v>
      </c>
      <c r="AA474" s="1145">
        <v>3599293</v>
      </c>
      <c r="AB474" s="1145">
        <v>3458205.53</v>
      </c>
      <c r="AC474" s="1145"/>
      <c r="AD474" s="1145">
        <f t="shared" si="141"/>
        <v>3458205.53</v>
      </c>
    </row>
    <row r="475" spans="1:30" x14ac:dyDescent="0.2">
      <c r="A475" s="928">
        <v>7909</v>
      </c>
      <c r="B475" s="928" t="s">
        <v>1308</v>
      </c>
      <c r="C475" s="968">
        <v>55000</v>
      </c>
      <c r="D475" s="968">
        <v>8092.98</v>
      </c>
      <c r="E475" s="968"/>
      <c r="F475" s="968">
        <f t="shared" si="143"/>
        <v>8092.98</v>
      </c>
      <c r="G475" s="968">
        <v>58300</v>
      </c>
      <c r="H475" s="968">
        <f>58300-50000</f>
        <v>8300</v>
      </c>
      <c r="I475" s="968">
        <v>8300</v>
      </c>
      <c r="J475" s="968">
        <v>18175.89</v>
      </c>
      <c r="K475" s="968"/>
      <c r="L475" s="968">
        <f t="shared" si="139"/>
        <v>18175.89</v>
      </c>
      <c r="M475" s="974">
        <v>8300</v>
      </c>
      <c r="N475" s="974">
        <v>8300</v>
      </c>
      <c r="O475" s="974">
        <v>8300</v>
      </c>
      <c r="P475" s="968">
        <v>0</v>
      </c>
      <c r="Q475" s="968"/>
      <c r="R475" s="968">
        <f t="shared" si="140"/>
        <v>0</v>
      </c>
      <c r="S475" s="968">
        <v>8300</v>
      </c>
      <c r="T475" s="968">
        <v>8300</v>
      </c>
      <c r="U475" s="968">
        <v>54300</v>
      </c>
      <c r="V475" s="968"/>
      <c r="W475" s="968"/>
      <c r="X475" s="968">
        <f t="shared" si="142"/>
        <v>0</v>
      </c>
      <c r="Y475" s="1145"/>
      <c r="Z475" s="1145"/>
      <c r="AA475" s="1145"/>
      <c r="AB475" s="1145"/>
      <c r="AC475" s="1145"/>
      <c r="AD475" s="1145">
        <f t="shared" si="141"/>
        <v>0</v>
      </c>
    </row>
    <row r="476" spans="1:30" x14ac:dyDescent="0.2">
      <c r="A476" s="928">
        <v>7911</v>
      </c>
      <c r="B476" s="928" t="s">
        <v>1309</v>
      </c>
      <c r="C476" s="968">
        <v>10000</v>
      </c>
      <c r="D476" s="968">
        <v>0</v>
      </c>
      <c r="E476" s="968"/>
      <c r="F476" s="968">
        <f t="shared" si="143"/>
        <v>0</v>
      </c>
      <c r="G476" s="968">
        <v>10600</v>
      </c>
      <c r="H476" s="968">
        <v>10600</v>
      </c>
      <c r="I476" s="968">
        <v>10600</v>
      </c>
      <c r="J476" s="968">
        <v>0</v>
      </c>
      <c r="K476" s="968"/>
      <c r="L476" s="968">
        <f t="shared" si="139"/>
        <v>0</v>
      </c>
      <c r="M476" s="974">
        <v>10600</v>
      </c>
      <c r="N476" s="974">
        <v>10600</v>
      </c>
      <c r="O476" s="974">
        <v>10600</v>
      </c>
      <c r="P476" s="968">
        <v>0</v>
      </c>
      <c r="Q476" s="968"/>
      <c r="R476" s="968">
        <f t="shared" si="140"/>
        <v>0</v>
      </c>
      <c r="S476" s="968">
        <v>3600</v>
      </c>
      <c r="T476" s="968">
        <v>3600</v>
      </c>
      <c r="U476" s="968">
        <v>3600</v>
      </c>
      <c r="V476" s="968">
        <v>500</v>
      </c>
      <c r="W476" s="968"/>
      <c r="X476" s="968">
        <f t="shared" si="142"/>
        <v>500</v>
      </c>
      <c r="Y476" s="1145">
        <v>3485</v>
      </c>
      <c r="Z476" s="1145">
        <v>1985</v>
      </c>
      <c r="AA476" s="1145">
        <v>0</v>
      </c>
      <c r="AB476" s="1145"/>
      <c r="AC476" s="1145"/>
      <c r="AD476" s="1145">
        <f t="shared" si="141"/>
        <v>0</v>
      </c>
    </row>
    <row r="477" spans="1:30" x14ac:dyDescent="0.2">
      <c r="A477" s="928">
        <v>7913</v>
      </c>
      <c r="B477" s="928" t="s">
        <v>1310</v>
      </c>
      <c r="C477" s="968">
        <v>13609960</v>
      </c>
      <c r="D477" s="968">
        <v>4253209.67</v>
      </c>
      <c r="E477" s="968"/>
      <c r="F477" s="968">
        <f t="shared" si="143"/>
        <v>4253209.67</v>
      </c>
      <c r="G477" s="968"/>
      <c r="H477" s="968"/>
      <c r="I477" s="968"/>
      <c r="J477" s="968">
        <v>3675650.86</v>
      </c>
      <c r="K477" s="968"/>
      <c r="L477" s="968">
        <f t="shared" si="139"/>
        <v>3675650.86</v>
      </c>
      <c r="M477" s="974">
        <v>4315000</v>
      </c>
      <c r="N477" s="974">
        <v>4315000</v>
      </c>
      <c r="O477" s="974">
        <v>2355000</v>
      </c>
      <c r="P477" s="968">
        <v>2324277.4</v>
      </c>
      <c r="Q477" s="968"/>
      <c r="R477" s="968">
        <f t="shared" si="140"/>
        <v>2324277.4</v>
      </c>
      <c r="S477" s="968">
        <v>4315000</v>
      </c>
      <c r="T477" s="968">
        <v>4315000</v>
      </c>
      <c r="U477" s="968">
        <v>4315000</v>
      </c>
      <c r="V477" s="968">
        <v>3244267.64</v>
      </c>
      <c r="W477" s="968"/>
      <c r="X477" s="968">
        <f t="shared" si="142"/>
        <v>3244267.64</v>
      </c>
      <c r="Y477" s="1145">
        <v>4565000</v>
      </c>
      <c r="Z477" s="1145">
        <v>5195000</v>
      </c>
      <c r="AA477" s="1145">
        <v>2173238</v>
      </c>
      <c r="AB477" s="1145">
        <v>2173237.7000000002</v>
      </c>
      <c r="AC477" s="1145"/>
      <c r="AD477" s="1145">
        <f t="shared" si="141"/>
        <v>2173237.7000000002</v>
      </c>
    </row>
    <row r="478" spans="1:30" x14ac:dyDescent="0.2">
      <c r="A478" s="928">
        <v>7915</v>
      </c>
      <c r="B478" s="928" t="s">
        <v>1311</v>
      </c>
      <c r="C478" s="968">
        <v>1025320</v>
      </c>
      <c r="D478" s="968">
        <v>956927.15</v>
      </c>
      <c r="E478" s="968"/>
      <c r="F478" s="968">
        <f t="shared" si="143"/>
        <v>956927.15</v>
      </c>
      <c r="G478" s="968"/>
      <c r="H478" s="968"/>
      <c r="I478" s="968"/>
      <c r="J478" s="968">
        <v>1199514.75</v>
      </c>
      <c r="K478" s="968"/>
      <c r="L478" s="968">
        <f t="shared" si="139"/>
        <v>1199514.75</v>
      </c>
      <c r="M478" s="974">
        <v>1314000</v>
      </c>
      <c r="N478" s="974">
        <v>1314000</v>
      </c>
      <c r="O478" s="974">
        <v>1314000</v>
      </c>
      <c r="P478" s="968">
        <v>973224.88</v>
      </c>
      <c r="Q478" s="968"/>
      <c r="R478" s="968">
        <f t="shared" si="140"/>
        <v>973224.88</v>
      </c>
      <c r="S478" s="968">
        <v>1314000</v>
      </c>
      <c r="T478" s="968">
        <v>1314000</v>
      </c>
      <c r="U478" s="968">
        <v>1314000</v>
      </c>
      <c r="V478" s="968">
        <v>1133875.6299999999</v>
      </c>
      <c r="W478" s="968"/>
      <c r="X478" s="968">
        <f t="shared" si="142"/>
        <v>1133875.6299999999</v>
      </c>
      <c r="Y478" s="1145">
        <v>1390000</v>
      </c>
      <c r="Z478" s="1145">
        <v>1390000</v>
      </c>
      <c r="AA478" s="1145">
        <v>1390000</v>
      </c>
      <c r="AB478" s="1145">
        <v>1059657.05</v>
      </c>
      <c r="AC478" s="1145"/>
      <c r="AD478" s="1145">
        <f t="shared" si="141"/>
        <v>1059657.05</v>
      </c>
    </row>
    <row r="479" spans="1:30" x14ac:dyDescent="0.2">
      <c r="A479" s="928">
        <v>7917</v>
      </c>
      <c r="B479" s="928" t="s">
        <v>1312</v>
      </c>
      <c r="C479" s="968">
        <v>3792855</v>
      </c>
      <c r="D479" s="968">
        <v>4680846.1900000004</v>
      </c>
      <c r="E479" s="968"/>
      <c r="F479" s="968">
        <f t="shared" si="143"/>
        <v>4680846.1900000004</v>
      </c>
      <c r="G479" s="968"/>
      <c r="H479" s="968"/>
      <c r="I479" s="968"/>
      <c r="J479" s="968">
        <v>4987197.28</v>
      </c>
      <c r="K479" s="968"/>
      <c r="L479" s="968">
        <f t="shared" si="139"/>
        <v>4987197.28</v>
      </c>
      <c r="M479" s="974">
        <v>5181000</v>
      </c>
      <c r="N479" s="974">
        <v>5181000</v>
      </c>
      <c r="O479" s="974">
        <v>5181000</v>
      </c>
      <c r="P479" s="968">
        <v>3923239.39</v>
      </c>
      <c r="Q479" s="968"/>
      <c r="R479" s="968">
        <f t="shared" si="140"/>
        <v>3923239.39</v>
      </c>
      <c r="S479" s="968">
        <v>5181000</v>
      </c>
      <c r="T479" s="968">
        <v>5181000</v>
      </c>
      <c r="U479" s="968">
        <v>5778900</v>
      </c>
      <c r="V479" s="968">
        <v>5778857.2999999998</v>
      </c>
      <c r="W479" s="968"/>
      <c r="X479" s="968">
        <f t="shared" si="142"/>
        <v>5778857.2999999998</v>
      </c>
      <c r="Y479" s="1145">
        <v>5481000</v>
      </c>
      <c r="Z479" s="1145">
        <v>5481000</v>
      </c>
      <c r="AA479" s="1145">
        <v>2524095</v>
      </c>
      <c r="AB479" s="1145">
        <v>2524094.59</v>
      </c>
      <c r="AC479" s="1145"/>
      <c r="AD479" s="1145">
        <f t="shared" si="141"/>
        <v>2524094.59</v>
      </c>
    </row>
    <row r="480" spans="1:30" x14ac:dyDescent="0.2">
      <c r="A480" s="928">
        <v>7919</v>
      </c>
      <c r="B480" s="928" t="s">
        <v>1313</v>
      </c>
      <c r="C480" s="968">
        <v>1590000</v>
      </c>
      <c r="D480" s="968">
        <v>1688048.68</v>
      </c>
      <c r="E480" s="968"/>
      <c r="F480" s="968">
        <f t="shared" si="143"/>
        <v>1688048.68</v>
      </c>
      <c r="G480" s="968">
        <v>1590000</v>
      </c>
      <c r="H480" s="968">
        <v>1590000</v>
      </c>
      <c r="I480" s="968">
        <v>2540000</v>
      </c>
      <c r="J480" s="968">
        <v>2308408.33</v>
      </c>
      <c r="K480" s="968"/>
      <c r="L480" s="968">
        <f t="shared" si="139"/>
        <v>2308408.33</v>
      </c>
      <c r="M480" s="974">
        <v>1590000</v>
      </c>
      <c r="N480" s="974">
        <v>1590000</v>
      </c>
      <c r="O480" s="974">
        <v>1590000</v>
      </c>
      <c r="P480" s="968">
        <v>1419437.12</v>
      </c>
      <c r="Q480" s="968"/>
      <c r="R480" s="968">
        <f t="shared" si="140"/>
        <v>1419437.12</v>
      </c>
      <c r="S480" s="968">
        <v>1590000</v>
      </c>
      <c r="T480" s="968">
        <v>1590000</v>
      </c>
      <c r="U480" s="968">
        <v>1718640</v>
      </c>
      <c r="V480" s="968">
        <v>1718640</v>
      </c>
      <c r="W480" s="968"/>
      <c r="X480" s="968">
        <f t="shared" si="142"/>
        <v>1718640</v>
      </c>
      <c r="Y480" s="1145">
        <v>1539120</v>
      </c>
      <c r="Z480" s="1145">
        <v>3109120</v>
      </c>
      <c r="AA480" s="1145">
        <v>3589120</v>
      </c>
      <c r="AB480" s="1145">
        <v>3508106.97</v>
      </c>
      <c r="AC480" s="1145"/>
      <c r="AD480" s="1145">
        <f t="shared" si="141"/>
        <v>3508106.97</v>
      </c>
    </row>
    <row r="481" spans="1:30" x14ac:dyDescent="0.2">
      <c r="A481" s="928">
        <v>7921</v>
      </c>
      <c r="B481" s="928" t="s">
        <v>1314</v>
      </c>
      <c r="C481" s="968">
        <v>100000</v>
      </c>
      <c r="D481" s="968">
        <v>75207.05</v>
      </c>
      <c r="E481" s="968"/>
      <c r="F481" s="968">
        <f t="shared" si="143"/>
        <v>75207.05</v>
      </c>
      <c r="G481" s="968"/>
      <c r="H481" s="968"/>
      <c r="I481" s="968"/>
      <c r="J481" s="968">
        <v>0</v>
      </c>
      <c r="K481" s="968"/>
      <c r="L481" s="968">
        <f t="shared" si="139"/>
        <v>0</v>
      </c>
      <c r="M481" s="974"/>
      <c r="N481" s="974"/>
      <c r="O481" s="974"/>
      <c r="P481" s="968">
        <v>0</v>
      </c>
      <c r="Q481" s="968"/>
      <c r="R481" s="968">
        <f t="shared" si="140"/>
        <v>0</v>
      </c>
      <c r="S481" s="968"/>
      <c r="T481" s="968"/>
      <c r="U481" s="968"/>
      <c r="V481" s="968"/>
      <c r="W481" s="968"/>
      <c r="X481" s="968">
        <f t="shared" si="142"/>
        <v>0</v>
      </c>
      <c r="Y481" s="1145"/>
      <c r="Z481" s="1145"/>
      <c r="AA481" s="1145"/>
      <c r="AB481" s="1145"/>
      <c r="AC481" s="1145"/>
      <c r="AD481" s="1145">
        <f t="shared" si="141"/>
        <v>0</v>
      </c>
    </row>
    <row r="482" spans="1:30" x14ac:dyDescent="0.2">
      <c r="A482" s="928">
        <v>7923</v>
      </c>
      <c r="B482" s="928" t="s">
        <v>1315</v>
      </c>
      <c r="C482" s="968">
        <v>17100</v>
      </c>
      <c r="D482" s="968">
        <v>8294.85</v>
      </c>
      <c r="E482" s="968"/>
      <c r="F482" s="968">
        <f t="shared" si="143"/>
        <v>8294.85</v>
      </c>
      <c r="G482" s="968">
        <v>18125</v>
      </c>
      <c r="H482" s="968">
        <v>18125</v>
      </c>
      <c r="I482" s="968">
        <v>18125</v>
      </c>
      <c r="J482" s="968">
        <v>11181</v>
      </c>
      <c r="K482" s="968"/>
      <c r="L482" s="968">
        <f t="shared" si="139"/>
        <v>11181</v>
      </c>
      <c r="M482" s="974">
        <v>18125</v>
      </c>
      <c r="N482" s="974">
        <v>18125</v>
      </c>
      <c r="O482" s="974">
        <v>16125</v>
      </c>
      <c r="P482" s="968">
        <v>8276</v>
      </c>
      <c r="Q482" s="968"/>
      <c r="R482" s="968">
        <f t="shared" si="140"/>
        <v>8276</v>
      </c>
      <c r="S482" s="968">
        <v>18125</v>
      </c>
      <c r="T482" s="968">
        <v>18125</v>
      </c>
      <c r="U482" s="968">
        <v>23125</v>
      </c>
      <c r="V482" s="968">
        <v>13095</v>
      </c>
      <c r="W482" s="968"/>
      <c r="X482" s="968">
        <f t="shared" si="142"/>
        <v>13095</v>
      </c>
      <c r="Y482" s="1145">
        <v>17545</v>
      </c>
      <c r="Z482" s="1145">
        <v>17545</v>
      </c>
      <c r="AA482" s="1145">
        <v>22545</v>
      </c>
      <c r="AB482" s="1145">
        <v>12565</v>
      </c>
      <c r="AC482" s="1145"/>
      <c r="AD482" s="1145">
        <f t="shared" si="141"/>
        <v>12565</v>
      </c>
    </row>
    <row r="483" spans="1:30" x14ac:dyDescent="0.2">
      <c r="A483" s="928">
        <v>7925</v>
      </c>
      <c r="B483" s="928" t="s">
        <v>676</v>
      </c>
      <c r="C483" s="968">
        <v>37100</v>
      </c>
      <c r="D483" s="968">
        <v>38000.39</v>
      </c>
      <c r="E483" s="968"/>
      <c r="F483" s="968">
        <f t="shared" si="143"/>
        <v>38000.39</v>
      </c>
      <c r="G483" s="968">
        <v>100000</v>
      </c>
      <c r="H483" s="968">
        <v>100000</v>
      </c>
      <c r="I483" s="968">
        <v>100000</v>
      </c>
      <c r="J483" s="968">
        <v>79413.149999999994</v>
      </c>
      <c r="K483" s="968"/>
      <c r="L483" s="968">
        <f t="shared" si="139"/>
        <v>79413.149999999994</v>
      </c>
      <c r="M483" s="974">
        <v>100000</v>
      </c>
      <c r="N483" s="974">
        <v>100000</v>
      </c>
      <c r="O483" s="974">
        <v>100000</v>
      </c>
      <c r="P483" s="968">
        <v>96696.88</v>
      </c>
      <c r="Q483" s="968"/>
      <c r="R483" s="968">
        <f t="shared" si="140"/>
        <v>96696.88</v>
      </c>
      <c r="S483" s="968">
        <v>100000</v>
      </c>
      <c r="T483" s="968">
        <v>100000</v>
      </c>
      <c r="U483" s="968">
        <v>100000</v>
      </c>
      <c r="V483" s="968">
        <v>59586.6</v>
      </c>
      <c r="W483" s="968"/>
      <c r="X483" s="968">
        <f t="shared" si="142"/>
        <v>59586.6</v>
      </c>
      <c r="Y483" s="1145">
        <v>96800</v>
      </c>
      <c r="Z483" s="1145">
        <v>96800</v>
      </c>
      <c r="AA483" s="1145">
        <v>96800</v>
      </c>
      <c r="AB483" s="1145">
        <v>83286.11</v>
      </c>
      <c r="AC483" s="1145"/>
      <c r="AD483" s="1145">
        <f t="shared" si="141"/>
        <v>83286.11</v>
      </c>
    </row>
    <row r="484" spans="1:30" x14ac:dyDescent="0.2">
      <c r="A484" s="928">
        <v>7931</v>
      </c>
      <c r="B484" s="928" t="s">
        <v>342</v>
      </c>
      <c r="C484" s="968">
        <v>500000</v>
      </c>
      <c r="D484" s="968">
        <v>453779.14</v>
      </c>
      <c r="E484" s="968"/>
      <c r="F484" s="968">
        <f t="shared" si="143"/>
        <v>453779.14</v>
      </c>
      <c r="G484" s="968">
        <v>530000</v>
      </c>
      <c r="H484" s="968">
        <v>530000</v>
      </c>
      <c r="I484" s="968">
        <v>530000</v>
      </c>
      <c r="J484" s="968">
        <v>441670.03</v>
      </c>
      <c r="K484" s="968"/>
      <c r="L484" s="968">
        <f t="shared" si="139"/>
        <v>441670.03</v>
      </c>
      <c r="M484" s="974">
        <v>530000</v>
      </c>
      <c r="N484" s="974">
        <v>530000</v>
      </c>
      <c r="O484" s="974">
        <v>530000</v>
      </c>
      <c r="P484" s="968">
        <v>23192.58</v>
      </c>
      <c r="Q484" s="968"/>
      <c r="R484" s="968">
        <f t="shared" si="140"/>
        <v>23192.58</v>
      </c>
      <c r="S484" s="968">
        <v>530000</v>
      </c>
      <c r="T484" s="968">
        <v>530000</v>
      </c>
      <c r="U484" s="968">
        <v>530000</v>
      </c>
      <c r="V484" s="968">
        <v>514929.3</v>
      </c>
      <c r="W484" s="968"/>
      <c r="X484" s="968">
        <f t="shared" si="142"/>
        <v>514929.3</v>
      </c>
      <c r="Y484" s="1145">
        <v>513040</v>
      </c>
      <c r="Z484" s="1145">
        <v>513040</v>
      </c>
      <c r="AA484" s="1145">
        <v>495685</v>
      </c>
      <c r="AB484" s="1145">
        <v>495684.41</v>
      </c>
      <c r="AC484" s="1145"/>
      <c r="AD484" s="1145">
        <f t="shared" si="141"/>
        <v>495684.41</v>
      </c>
    </row>
    <row r="485" spans="1:30" x14ac:dyDescent="0.2">
      <c r="A485" s="928">
        <v>7933</v>
      </c>
      <c r="B485" s="928" t="s">
        <v>455</v>
      </c>
      <c r="C485" s="968">
        <v>10000</v>
      </c>
      <c r="D485" s="968">
        <v>0</v>
      </c>
      <c r="E485" s="968"/>
      <c r="F485" s="968">
        <f t="shared" si="143"/>
        <v>0</v>
      </c>
      <c r="G485" s="968">
        <v>10600</v>
      </c>
      <c r="H485" s="968">
        <v>10600</v>
      </c>
      <c r="I485" s="968">
        <v>17000</v>
      </c>
      <c r="J485" s="968">
        <v>14535.09</v>
      </c>
      <c r="K485" s="968"/>
      <c r="L485" s="968">
        <f t="shared" si="139"/>
        <v>14535.09</v>
      </c>
      <c r="M485" s="974">
        <v>10600</v>
      </c>
      <c r="N485" s="974">
        <v>10600</v>
      </c>
      <c r="O485" s="974">
        <v>385600</v>
      </c>
      <c r="P485" s="968">
        <v>877.8</v>
      </c>
      <c r="Q485" s="968"/>
      <c r="R485" s="968">
        <f t="shared" si="140"/>
        <v>877.8</v>
      </c>
      <c r="S485" s="968">
        <v>10600</v>
      </c>
      <c r="T485" s="968">
        <v>10600</v>
      </c>
      <c r="U485" s="968">
        <v>385600</v>
      </c>
      <c r="V485" s="968">
        <v>318152.02</v>
      </c>
      <c r="W485" s="968"/>
      <c r="X485" s="968">
        <f t="shared" si="142"/>
        <v>318152.02</v>
      </c>
      <c r="Y485" s="1145">
        <v>373261</v>
      </c>
      <c r="Z485" s="1145">
        <v>173261</v>
      </c>
      <c r="AA485" s="1145">
        <v>13261</v>
      </c>
      <c r="AB485" s="1145">
        <v>12515.79</v>
      </c>
      <c r="AC485" s="1145"/>
      <c r="AD485" s="1145">
        <f t="shared" si="141"/>
        <v>12515.79</v>
      </c>
    </row>
    <row r="486" spans="1:30" x14ac:dyDescent="0.2">
      <c r="A486" s="928">
        <v>7935</v>
      </c>
      <c r="B486" s="928" t="s">
        <v>1316</v>
      </c>
      <c r="C486" s="968">
        <v>196000</v>
      </c>
      <c r="D486" s="968">
        <v>121670.07</v>
      </c>
      <c r="E486" s="968"/>
      <c r="F486" s="968">
        <f t="shared" si="143"/>
        <v>121670.07</v>
      </c>
      <c r="G486" s="968">
        <v>111000</v>
      </c>
      <c r="H486" s="968">
        <v>111000</v>
      </c>
      <c r="I486" s="968">
        <v>142000</v>
      </c>
      <c r="J486" s="968">
        <v>46594.09</v>
      </c>
      <c r="K486" s="968"/>
      <c r="L486" s="968">
        <f t="shared" si="139"/>
        <v>46594.09</v>
      </c>
      <c r="M486" s="974">
        <v>40000</v>
      </c>
      <c r="N486" s="974">
        <v>40000</v>
      </c>
      <c r="O486" s="974">
        <v>60700</v>
      </c>
      <c r="P486" s="968">
        <v>24677.63</v>
      </c>
      <c r="Q486" s="968"/>
      <c r="R486" s="968">
        <f t="shared" si="140"/>
        <v>24677.63</v>
      </c>
      <c r="S486" s="968">
        <v>40000</v>
      </c>
      <c r="T486" s="968">
        <v>40000</v>
      </c>
      <c r="U486" s="968">
        <v>45000</v>
      </c>
      <c r="V486" s="968">
        <v>13932.71</v>
      </c>
      <c r="W486" s="968"/>
      <c r="X486" s="968">
        <f t="shared" si="142"/>
        <v>13932.71</v>
      </c>
      <c r="Y486" s="1145">
        <v>88857</v>
      </c>
      <c r="Z486" s="1145">
        <v>81113</v>
      </c>
      <c r="AA486" s="1145">
        <v>95745</v>
      </c>
      <c r="AB486" s="1145">
        <v>24805.15</v>
      </c>
      <c r="AC486" s="1145"/>
      <c r="AD486" s="1145">
        <f t="shared" si="141"/>
        <v>24805.15</v>
      </c>
    </row>
    <row r="487" spans="1:30" x14ac:dyDescent="0.2">
      <c r="A487" s="928">
        <v>7937</v>
      </c>
      <c r="B487" s="928" t="s">
        <v>1317</v>
      </c>
      <c r="C487" s="968">
        <v>431000</v>
      </c>
      <c r="D487" s="968">
        <v>12744.74</v>
      </c>
      <c r="E487" s="968"/>
      <c r="F487" s="968">
        <f t="shared" si="143"/>
        <v>12744.74</v>
      </c>
      <c r="G487" s="968">
        <v>456860</v>
      </c>
      <c r="H487" s="968">
        <f>456860-350000</f>
        <v>106860</v>
      </c>
      <c r="I487" s="968">
        <v>106860</v>
      </c>
      <c r="J487" s="968">
        <v>102107</v>
      </c>
      <c r="K487" s="968"/>
      <c r="L487" s="968">
        <f t="shared" si="139"/>
        <v>102107</v>
      </c>
      <c r="M487" s="974">
        <v>106860</v>
      </c>
      <c r="N487" s="974">
        <v>106860</v>
      </c>
      <c r="O487" s="974">
        <v>43955</v>
      </c>
      <c r="P487" s="968">
        <f>6750-2464</f>
        <v>4286</v>
      </c>
      <c r="Q487" s="968"/>
      <c r="R487" s="968">
        <f t="shared" si="140"/>
        <v>4286</v>
      </c>
      <c r="S487" s="968">
        <v>106860</v>
      </c>
      <c r="T487" s="968">
        <v>106860</v>
      </c>
      <c r="U487" s="968">
        <v>106860</v>
      </c>
      <c r="V487" s="968">
        <v>69167.009999999995</v>
      </c>
      <c r="W487" s="968"/>
      <c r="X487" s="968">
        <f t="shared" si="142"/>
        <v>69167.009999999995</v>
      </c>
      <c r="Y487" s="1145">
        <v>103441</v>
      </c>
      <c r="Z487" s="1145">
        <v>103441</v>
      </c>
      <c r="AA487" s="1145">
        <v>103441</v>
      </c>
      <c r="AB487" s="1145">
        <v>84454.39</v>
      </c>
      <c r="AC487" s="1145"/>
      <c r="AD487" s="1145">
        <f t="shared" si="141"/>
        <v>84454.39</v>
      </c>
    </row>
    <row r="488" spans="1:30" x14ac:dyDescent="0.2">
      <c r="A488" s="928">
        <v>7939</v>
      </c>
      <c r="B488" s="928" t="s">
        <v>989</v>
      </c>
      <c r="C488" s="968">
        <v>90000</v>
      </c>
      <c r="D488" s="968">
        <v>76436.06</v>
      </c>
      <c r="E488" s="968"/>
      <c r="F488" s="968">
        <f t="shared" si="143"/>
        <v>76436.06</v>
      </c>
      <c r="G488" s="968">
        <v>142000</v>
      </c>
      <c r="H488" s="968">
        <v>142000</v>
      </c>
      <c r="I488" s="968">
        <v>70000</v>
      </c>
      <c r="J488" s="968">
        <v>32408.74</v>
      </c>
      <c r="K488" s="968"/>
      <c r="L488" s="968">
        <f t="shared" si="139"/>
        <v>32408.74</v>
      </c>
      <c r="M488" s="974">
        <v>132000</v>
      </c>
      <c r="N488" s="974">
        <v>132000</v>
      </c>
      <c r="O488" s="974">
        <v>132000</v>
      </c>
      <c r="P488" s="968">
        <v>37980.44</v>
      </c>
      <c r="Q488" s="968"/>
      <c r="R488" s="968">
        <f t="shared" si="140"/>
        <v>37980.44</v>
      </c>
      <c r="S488" s="968">
        <v>120000</v>
      </c>
      <c r="T488" s="968">
        <v>120000</v>
      </c>
      <c r="U488" s="968">
        <v>70000</v>
      </c>
      <c r="V488" s="968">
        <v>34253.78</v>
      </c>
      <c r="W488" s="968"/>
      <c r="X488" s="968">
        <f t="shared" si="142"/>
        <v>34253.78</v>
      </c>
      <c r="Y488" s="1145">
        <v>67760</v>
      </c>
      <c r="Z488" s="1145">
        <v>47760</v>
      </c>
      <c r="AA488" s="1145">
        <v>77760</v>
      </c>
      <c r="AB488" s="1145">
        <v>25582.59</v>
      </c>
      <c r="AC488" s="1145"/>
      <c r="AD488" s="1145">
        <f t="shared" si="141"/>
        <v>25582.59</v>
      </c>
    </row>
    <row r="489" spans="1:30" x14ac:dyDescent="0.2">
      <c r="A489" s="928">
        <v>7943</v>
      </c>
      <c r="B489" s="928" t="s">
        <v>227</v>
      </c>
      <c r="C489" s="968">
        <v>21000</v>
      </c>
      <c r="D489" s="968">
        <v>8981.42</v>
      </c>
      <c r="E489" s="968"/>
      <c r="F489" s="968">
        <f t="shared" si="143"/>
        <v>8981.42</v>
      </c>
      <c r="G489" s="968">
        <v>22260</v>
      </c>
      <c r="H489" s="968">
        <v>22260</v>
      </c>
      <c r="I489" s="968">
        <v>22260</v>
      </c>
      <c r="J489" s="968">
        <v>20528.36</v>
      </c>
      <c r="K489" s="968"/>
      <c r="L489" s="968">
        <f t="shared" si="139"/>
        <v>20528.36</v>
      </c>
      <c r="M489" s="974">
        <v>22260</v>
      </c>
      <c r="N489" s="974">
        <v>22260</v>
      </c>
      <c r="O489" s="974">
        <v>22260</v>
      </c>
      <c r="P489" s="968">
        <v>7906</v>
      </c>
      <c r="Q489" s="968"/>
      <c r="R489" s="968">
        <f t="shared" si="140"/>
        <v>7906</v>
      </c>
      <c r="S489" s="968">
        <v>22260</v>
      </c>
      <c r="T489" s="968">
        <v>22260</v>
      </c>
      <c r="U489" s="968">
        <v>27080</v>
      </c>
      <c r="V489" s="968">
        <v>27077.9</v>
      </c>
      <c r="W489" s="968"/>
      <c r="X489" s="968">
        <f t="shared" si="142"/>
        <v>27077.9</v>
      </c>
      <c r="Y489" s="1145">
        <v>21548</v>
      </c>
      <c r="Z489" s="1145">
        <v>81548</v>
      </c>
      <c r="AA489" s="1145">
        <v>81548</v>
      </c>
      <c r="AB489" s="1145">
        <v>12854.4</v>
      </c>
      <c r="AC489" s="1145"/>
      <c r="AD489" s="1145">
        <f t="shared" si="141"/>
        <v>12854.4</v>
      </c>
    </row>
    <row r="490" spans="1:30" x14ac:dyDescent="0.2">
      <c r="A490" s="928">
        <v>7945</v>
      </c>
      <c r="B490" s="928" t="s">
        <v>469</v>
      </c>
      <c r="C490" s="968">
        <v>1300000</v>
      </c>
      <c r="D490" s="968">
        <v>783131.03</v>
      </c>
      <c r="E490" s="968"/>
      <c r="F490" s="968">
        <f t="shared" si="143"/>
        <v>783131.03</v>
      </c>
      <c r="G490" s="968">
        <v>1000000</v>
      </c>
      <c r="H490" s="968">
        <v>1000000</v>
      </c>
      <c r="I490" s="968">
        <v>1379247</v>
      </c>
      <c r="J490" s="968">
        <v>1134527.82</v>
      </c>
      <c r="K490" s="968"/>
      <c r="L490" s="968">
        <f t="shared" si="139"/>
        <v>1134527.82</v>
      </c>
      <c r="M490" s="974">
        <v>1145000</v>
      </c>
      <c r="N490" s="974">
        <v>1145000</v>
      </c>
      <c r="O490" s="974">
        <v>1145000</v>
      </c>
      <c r="P490" s="968">
        <v>1133534.23</v>
      </c>
      <c r="Q490" s="968"/>
      <c r="R490" s="968">
        <f t="shared" si="140"/>
        <v>1133534.23</v>
      </c>
      <c r="S490" s="968">
        <v>1145000</v>
      </c>
      <c r="T490" s="968">
        <v>1145000</v>
      </c>
      <c r="U490" s="968">
        <v>1122180</v>
      </c>
      <c r="V490" s="968">
        <f>1079652.7+17500</f>
        <v>1097152.7</v>
      </c>
      <c r="W490" s="968"/>
      <c r="X490" s="968">
        <f t="shared" si="142"/>
        <v>1097152.7</v>
      </c>
      <c r="Y490" s="1145">
        <v>1090936</v>
      </c>
      <c r="Z490" s="1145">
        <v>1090936</v>
      </c>
      <c r="AA490" s="1145">
        <v>1090936</v>
      </c>
      <c r="AB490" s="1145">
        <v>1087500.57</v>
      </c>
      <c r="AC490" s="1145"/>
      <c r="AD490" s="1145">
        <f t="shared" si="141"/>
        <v>1087500.57</v>
      </c>
    </row>
    <row r="491" spans="1:30" x14ac:dyDescent="0.2">
      <c r="A491" s="928">
        <v>7947</v>
      </c>
      <c r="B491" s="928" t="s">
        <v>2967</v>
      </c>
      <c r="C491" s="968"/>
      <c r="D491" s="968"/>
      <c r="E491" s="968"/>
      <c r="F491" s="968"/>
      <c r="G491" s="968"/>
      <c r="H491" s="968">
        <v>8000000</v>
      </c>
      <c r="I491" s="968">
        <v>8000000</v>
      </c>
      <c r="J491" s="968">
        <v>0</v>
      </c>
      <c r="K491" s="968"/>
      <c r="L491" s="968">
        <f t="shared" si="139"/>
        <v>0</v>
      </c>
      <c r="M491" s="974"/>
      <c r="N491" s="974"/>
      <c r="O491" s="974"/>
      <c r="P491" s="968">
        <v>0</v>
      </c>
      <c r="Q491" s="968"/>
      <c r="R491" s="968">
        <f t="shared" si="140"/>
        <v>0</v>
      </c>
      <c r="S491" s="968"/>
      <c r="T491" s="968"/>
      <c r="U491" s="968"/>
      <c r="V491" s="968"/>
      <c r="W491" s="968"/>
      <c r="X491" s="968">
        <f t="shared" si="142"/>
        <v>0</v>
      </c>
      <c r="Y491" s="1145"/>
      <c r="Z491" s="1145"/>
      <c r="AA491" s="1145"/>
      <c r="AB491" s="1145"/>
      <c r="AC491" s="1145"/>
      <c r="AD491" s="1145">
        <f t="shared" si="141"/>
        <v>0</v>
      </c>
    </row>
    <row r="492" spans="1:30" x14ac:dyDescent="0.2">
      <c r="A492" s="928">
        <v>7955</v>
      </c>
      <c r="B492" s="928" t="s">
        <v>1318</v>
      </c>
      <c r="C492" s="968">
        <v>1000</v>
      </c>
      <c r="D492" s="968">
        <v>0</v>
      </c>
      <c r="E492" s="968"/>
      <c r="F492" s="968">
        <f t="shared" si="143"/>
        <v>0</v>
      </c>
      <c r="G492" s="968">
        <v>1060</v>
      </c>
      <c r="H492" s="968">
        <v>1060</v>
      </c>
      <c r="I492" s="968">
        <v>1060</v>
      </c>
      <c r="J492" s="968">
        <v>0</v>
      </c>
      <c r="K492" s="968"/>
      <c r="L492" s="968">
        <f t="shared" si="139"/>
        <v>0</v>
      </c>
      <c r="M492" s="974">
        <v>1060</v>
      </c>
      <c r="N492" s="974">
        <v>1060</v>
      </c>
      <c r="O492" s="974">
        <v>1060</v>
      </c>
      <c r="P492" s="968">
        <v>0</v>
      </c>
      <c r="Q492" s="968"/>
      <c r="R492" s="968">
        <f t="shared" si="140"/>
        <v>0</v>
      </c>
      <c r="S492" s="968">
        <v>1060</v>
      </c>
      <c r="T492" s="968">
        <v>1060</v>
      </c>
      <c r="U492" s="968">
        <v>1060</v>
      </c>
      <c r="V492" s="968"/>
      <c r="W492" s="968"/>
      <c r="X492" s="968">
        <f t="shared" si="142"/>
        <v>0</v>
      </c>
      <c r="Y492" s="1145"/>
      <c r="Z492" s="1145"/>
      <c r="AA492" s="1145"/>
      <c r="AB492" s="1145"/>
      <c r="AC492" s="1145"/>
      <c r="AD492" s="1145">
        <f t="shared" si="141"/>
        <v>0</v>
      </c>
    </row>
    <row r="493" spans="1:30" x14ac:dyDescent="0.2">
      <c r="A493" s="928">
        <v>7956</v>
      </c>
      <c r="B493" s="928" t="s">
        <v>1319</v>
      </c>
      <c r="C493" s="968">
        <v>0</v>
      </c>
      <c r="D493" s="968">
        <v>0</v>
      </c>
      <c r="E493" s="968"/>
      <c r="F493" s="968">
        <f t="shared" si="143"/>
        <v>0</v>
      </c>
      <c r="G493" s="968">
        <v>30000000</v>
      </c>
      <c r="H493" s="968">
        <v>30000000</v>
      </c>
      <c r="I493" s="968">
        <v>25300000</v>
      </c>
      <c r="J493" s="968">
        <v>20711599.809999999</v>
      </c>
      <c r="K493" s="968">
        <v>-292598.71000000002</v>
      </c>
      <c r="L493" s="968">
        <f t="shared" si="139"/>
        <v>20419001.099999998</v>
      </c>
      <c r="M493" s="974">
        <v>46073000</v>
      </c>
      <c r="N493" s="974">
        <v>46073000</v>
      </c>
      <c r="O493" s="974">
        <v>21184600</v>
      </c>
      <c r="P493" s="968">
        <f>21184394.87-4032186.3-728004.97-76023</f>
        <v>16348180.6</v>
      </c>
      <c r="Q493" s="968">
        <f>2695709.38-3950515.99</f>
        <v>-1254806.6100000003</v>
      </c>
      <c r="R493" s="968">
        <f t="shared" si="140"/>
        <v>15093373.989999998</v>
      </c>
      <c r="S493" s="968">
        <v>46000000</v>
      </c>
      <c r="T493" s="968">
        <v>46000000</v>
      </c>
      <c r="U493" s="968">
        <v>15975000</v>
      </c>
      <c r="V493" s="968">
        <f>47627772.52+3387386.43-35480967.17</f>
        <v>15534191.780000001</v>
      </c>
      <c r="W493" s="968"/>
      <c r="X493" s="968">
        <f t="shared" si="142"/>
        <v>15534191.780000001</v>
      </c>
      <c r="Y493" s="1145">
        <v>5000000</v>
      </c>
      <c r="Z493" s="1145">
        <v>5000000</v>
      </c>
      <c r="AA493" s="1145">
        <v>12062460</v>
      </c>
      <c r="AB493" s="1145">
        <v>12062459.609999999</v>
      </c>
      <c r="AC493" s="1145"/>
      <c r="AD493" s="1145">
        <f t="shared" si="141"/>
        <v>12062459.609999999</v>
      </c>
    </row>
    <row r="494" spans="1:30" x14ac:dyDescent="0.2">
      <c r="A494" s="928">
        <v>7957</v>
      </c>
      <c r="B494" s="928" t="s">
        <v>344</v>
      </c>
      <c r="C494" s="968">
        <v>10000</v>
      </c>
      <c r="D494" s="968">
        <v>0</v>
      </c>
      <c r="E494" s="968"/>
      <c r="F494" s="968">
        <f t="shared" si="143"/>
        <v>0</v>
      </c>
      <c r="G494" s="968">
        <v>10600</v>
      </c>
      <c r="H494" s="968">
        <v>10600</v>
      </c>
      <c r="I494" s="968">
        <v>10600</v>
      </c>
      <c r="J494" s="968">
        <v>0</v>
      </c>
      <c r="K494" s="968"/>
      <c r="L494" s="968">
        <f t="shared" si="139"/>
        <v>0</v>
      </c>
      <c r="M494" s="974">
        <v>10600</v>
      </c>
      <c r="N494" s="974">
        <v>10600</v>
      </c>
      <c r="O494" s="974">
        <v>10600</v>
      </c>
      <c r="P494" s="968">
        <v>0</v>
      </c>
      <c r="Q494" s="968"/>
      <c r="R494" s="968">
        <f t="shared" si="140"/>
        <v>0</v>
      </c>
      <c r="S494" s="968">
        <v>10600</v>
      </c>
      <c r="T494" s="968">
        <v>10600</v>
      </c>
      <c r="U494" s="968">
        <v>10600</v>
      </c>
      <c r="V494" s="968"/>
      <c r="W494" s="968"/>
      <c r="X494" s="968">
        <f t="shared" si="142"/>
        <v>0</v>
      </c>
      <c r="Y494" s="1145"/>
      <c r="Z494" s="1145"/>
      <c r="AA494" s="1145"/>
      <c r="AB494" s="1145"/>
      <c r="AC494" s="1145"/>
      <c r="AD494" s="1145">
        <f t="shared" si="141"/>
        <v>0</v>
      </c>
    </row>
    <row r="495" spans="1:30" x14ac:dyDescent="0.2">
      <c r="A495" s="928">
        <v>7959</v>
      </c>
      <c r="B495" s="928" t="s">
        <v>502</v>
      </c>
      <c r="C495" s="968">
        <v>6468680</v>
      </c>
      <c r="D495" s="968">
        <f>6893361.93+1028317.28</f>
        <v>7921679.21</v>
      </c>
      <c r="E495" s="968"/>
      <c r="F495" s="968">
        <f>D495+E495</f>
        <v>7921679.21</v>
      </c>
      <c r="G495" s="968">
        <v>3065000</v>
      </c>
      <c r="H495" s="968">
        <v>3065000</v>
      </c>
      <c r="I495" s="968">
        <v>7255000</v>
      </c>
      <c r="J495" s="968">
        <v>7113244.6600000001</v>
      </c>
      <c r="K495" s="968"/>
      <c r="L495" s="968">
        <f>J495+K495</f>
        <v>7113244.6600000001</v>
      </c>
      <c r="M495" s="974">
        <v>7255000</v>
      </c>
      <c r="N495" s="974">
        <v>7255000</v>
      </c>
      <c r="O495" s="974">
        <v>7705800</v>
      </c>
      <c r="P495" s="968">
        <v>7705771.6799999997</v>
      </c>
      <c r="Q495" s="968"/>
      <c r="R495" s="968">
        <f>P495+Q495</f>
        <v>7705771.6799999997</v>
      </c>
      <c r="S495" s="968">
        <v>9500000</v>
      </c>
      <c r="T495" s="968">
        <v>9500000</v>
      </c>
      <c r="U495" s="968">
        <f>9500000+13600000</f>
        <v>23100000</v>
      </c>
      <c r="V495" s="968">
        <f>21360315.19+1739450.96</f>
        <v>23099766.150000002</v>
      </c>
      <c r="W495" s="968"/>
      <c r="X495" s="968">
        <f t="shared" si="142"/>
        <v>23099766.150000002</v>
      </c>
      <c r="Y495" s="1145">
        <v>20008000</v>
      </c>
      <c r="Z495" s="1145">
        <v>20000000</v>
      </c>
      <c r="AA495" s="1145">
        <v>22073446</v>
      </c>
      <c r="AB495" s="1145">
        <v>22073445.68</v>
      </c>
      <c r="AC495" s="1145"/>
      <c r="AD495" s="1145">
        <f t="shared" si="141"/>
        <v>22073445.68</v>
      </c>
    </row>
    <row r="496" spans="1:30" x14ac:dyDescent="0.2">
      <c r="A496" s="928">
        <v>7965</v>
      </c>
      <c r="B496" s="928" t="s">
        <v>474</v>
      </c>
      <c r="C496" s="968">
        <v>800000</v>
      </c>
      <c r="D496" s="968">
        <v>787285.93</v>
      </c>
      <c r="E496" s="968"/>
      <c r="F496" s="968">
        <f t="shared" si="143"/>
        <v>787285.93</v>
      </c>
      <c r="G496" s="968">
        <v>848000</v>
      </c>
      <c r="H496" s="968">
        <v>848000</v>
      </c>
      <c r="I496" s="968">
        <v>678000</v>
      </c>
      <c r="J496" s="968">
        <v>676298.2</v>
      </c>
      <c r="K496" s="968"/>
      <c r="L496" s="968">
        <f t="shared" ref="L496:L564" si="144">J496+K496</f>
        <v>676298.2</v>
      </c>
      <c r="M496" s="974">
        <v>348000</v>
      </c>
      <c r="N496" s="974">
        <v>348000</v>
      </c>
      <c r="O496" s="974">
        <v>348000</v>
      </c>
      <c r="P496" s="968">
        <v>310262.40000000002</v>
      </c>
      <c r="Q496" s="968"/>
      <c r="R496" s="968">
        <f t="shared" ref="R496:R564" si="145">P496+Q496</f>
        <v>310262.40000000002</v>
      </c>
      <c r="S496" s="968">
        <v>348000</v>
      </c>
      <c r="T496" s="968">
        <v>348000</v>
      </c>
      <c r="U496" s="968">
        <v>548000</v>
      </c>
      <c r="V496" s="968">
        <v>511200</v>
      </c>
      <c r="W496" s="968"/>
      <c r="X496" s="968">
        <f t="shared" si="142"/>
        <v>511200</v>
      </c>
      <c r="Y496" s="1145">
        <v>336864</v>
      </c>
      <c r="Z496" s="1145">
        <v>71864</v>
      </c>
      <c r="AA496" s="1145">
        <v>73806</v>
      </c>
      <c r="AB496" s="1145">
        <v>73805.119999999995</v>
      </c>
      <c r="AC496" s="1145"/>
      <c r="AD496" s="1145">
        <f t="shared" si="141"/>
        <v>73805.119999999995</v>
      </c>
    </row>
    <row r="497" spans="1:30" x14ac:dyDescent="0.2">
      <c r="A497" s="928">
        <v>7969</v>
      </c>
      <c r="B497" s="928" t="s">
        <v>1320</v>
      </c>
      <c r="C497" s="968">
        <v>30000</v>
      </c>
      <c r="D497" s="968">
        <v>0</v>
      </c>
      <c r="E497" s="968"/>
      <c r="F497" s="968">
        <f t="shared" si="143"/>
        <v>0</v>
      </c>
      <c r="G497" s="968">
        <v>500000</v>
      </c>
      <c r="H497" s="968">
        <f>500000-250000</f>
        <v>250000</v>
      </c>
      <c r="I497" s="968">
        <v>0</v>
      </c>
      <c r="J497" s="968">
        <v>0</v>
      </c>
      <c r="K497" s="968"/>
      <c r="L497" s="968">
        <f t="shared" si="144"/>
        <v>0</v>
      </c>
      <c r="M497" s="974">
        <v>500000</v>
      </c>
      <c r="N497" s="974">
        <v>500000</v>
      </c>
      <c r="O497" s="974">
        <v>0</v>
      </c>
      <c r="P497" s="968">
        <v>0</v>
      </c>
      <c r="Q497" s="968"/>
      <c r="R497" s="968">
        <f t="shared" si="145"/>
        <v>0</v>
      </c>
      <c r="S497" s="968"/>
      <c r="T497" s="968"/>
      <c r="U497" s="968"/>
      <c r="V497" s="968"/>
      <c r="W497" s="968"/>
      <c r="X497" s="968">
        <f t="shared" si="142"/>
        <v>0</v>
      </c>
      <c r="Y497" s="1145"/>
      <c r="Z497" s="1145"/>
      <c r="AA497" s="1145"/>
      <c r="AB497" s="1145"/>
      <c r="AC497" s="1145"/>
      <c r="AD497" s="1145">
        <f t="shared" si="141"/>
        <v>0</v>
      </c>
    </row>
    <row r="498" spans="1:30" x14ac:dyDescent="0.2">
      <c r="A498" s="928">
        <v>7971</v>
      </c>
      <c r="B498" s="928" t="s">
        <v>1321</v>
      </c>
      <c r="C498" s="968">
        <v>46250</v>
      </c>
      <c r="D498" s="968">
        <v>34414.19</v>
      </c>
      <c r="E498" s="968"/>
      <c r="F498" s="968">
        <f t="shared" si="143"/>
        <v>34414.19</v>
      </c>
      <c r="G498" s="968">
        <v>50075</v>
      </c>
      <c r="H498" s="968">
        <v>50075</v>
      </c>
      <c r="I498" s="968">
        <v>50075</v>
      </c>
      <c r="J498" s="968">
        <v>5621.75</v>
      </c>
      <c r="K498" s="968"/>
      <c r="L498" s="968">
        <f t="shared" si="144"/>
        <v>5621.75</v>
      </c>
      <c r="M498" s="974">
        <v>50075</v>
      </c>
      <c r="N498" s="974">
        <v>50075</v>
      </c>
      <c r="O498" s="974">
        <v>50075</v>
      </c>
      <c r="P498" s="968">
        <v>22792.11</v>
      </c>
      <c r="Q498" s="968"/>
      <c r="R498" s="968">
        <f t="shared" si="145"/>
        <v>22792.11</v>
      </c>
      <c r="S498" s="968">
        <v>28875</v>
      </c>
      <c r="T498" s="968">
        <v>28875</v>
      </c>
      <c r="U498" s="968">
        <v>28875</v>
      </c>
      <c r="V498" s="968">
        <v>13183.4</v>
      </c>
      <c r="W498" s="968"/>
      <c r="X498" s="968">
        <f t="shared" si="142"/>
        <v>13183.4</v>
      </c>
      <c r="Y498" s="1145">
        <v>27951</v>
      </c>
      <c r="Z498" s="1145">
        <v>27951</v>
      </c>
      <c r="AA498" s="1145">
        <v>27951</v>
      </c>
      <c r="AB498" s="1145">
        <v>26049.8</v>
      </c>
      <c r="AC498" s="1145"/>
      <c r="AD498" s="1145">
        <f t="shared" si="141"/>
        <v>26049.8</v>
      </c>
    </row>
    <row r="499" spans="1:30" x14ac:dyDescent="0.2">
      <c r="A499" s="928">
        <v>7973</v>
      </c>
      <c r="B499" s="928" t="s">
        <v>992</v>
      </c>
      <c r="C499" s="968">
        <v>10000</v>
      </c>
      <c r="D499" s="968">
        <v>7800</v>
      </c>
      <c r="E499" s="968"/>
      <c r="F499" s="968">
        <f t="shared" si="143"/>
        <v>7800</v>
      </c>
      <c r="G499" s="968">
        <v>15000</v>
      </c>
      <c r="H499" s="968">
        <v>15000</v>
      </c>
      <c r="I499" s="968">
        <v>15000</v>
      </c>
      <c r="J499" s="968">
        <v>5400</v>
      </c>
      <c r="K499" s="968"/>
      <c r="L499" s="968">
        <f t="shared" si="144"/>
        <v>5400</v>
      </c>
      <c r="M499" s="974">
        <v>15000</v>
      </c>
      <c r="N499" s="974">
        <v>15000</v>
      </c>
      <c r="O499" s="974">
        <v>15000</v>
      </c>
      <c r="P499" s="968">
        <v>5160</v>
      </c>
      <c r="Q499" s="968"/>
      <c r="R499" s="968">
        <f t="shared" si="145"/>
        <v>5160</v>
      </c>
      <c r="S499" s="968">
        <v>10000</v>
      </c>
      <c r="T499" s="968">
        <v>10000</v>
      </c>
      <c r="U499" s="968">
        <v>10000</v>
      </c>
      <c r="V499" s="968">
        <v>5040</v>
      </c>
      <c r="W499" s="968"/>
      <c r="X499" s="968">
        <f t="shared" si="142"/>
        <v>5040</v>
      </c>
      <c r="Y499" s="1145">
        <v>9680</v>
      </c>
      <c r="Z499" s="1145">
        <v>9680</v>
      </c>
      <c r="AA499" s="1145">
        <v>9680</v>
      </c>
      <c r="AB499" s="1145">
        <v>7920</v>
      </c>
      <c r="AC499" s="1145"/>
      <c r="AD499" s="1145">
        <f t="shared" si="141"/>
        <v>7920</v>
      </c>
    </row>
    <row r="500" spans="1:30" x14ac:dyDescent="0.2">
      <c r="A500" s="928">
        <v>7977</v>
      </c>
      <c r="B500" s="928" t="s">
        <v>487</v>
      </c>
      <c r="C500" s="968">
        <v>1500000</v>
      </c>
      <c r="D500" s="968">
        <v>1407165.32</v>
      </c>
      <c r="E500" s="968"/>
      <c r="F500" s="968">
        <f t="shared" si="143"/>
        <v>1407165.32</v>
      </c>
      <c r="G500" s="968">
        <v>500000</v>
      </c>
      <c r="H500" s="968">
        <v>500000</v>
      </c>
      <c r="I500" s="968">
        <v>600000</v>
      </c>
      <c r="J500" s="968">
        <v>469123.41</v>
      </c>
      <c r="K500" s="968"/>
      <c r="L500" s="968">
        <f t="shared" si="144"/>
        <v>469123.41</v>
      </c>
      <c r="M500" s="974">
        <v>1170000</v>
      </c>
      <c r="N500" s="974">
        <v>1170000</v>
      </c>
      <c r="O500" s="974">
        <v>1638000</v>
      </c>
      <c r="P500" s="968">
        <v>1374589.57</v>
      </c>
      <c r="Q500" s="968"/>
      <c r="R500" s="968">
        <f t="shared" si="145"/>
        <v>1374589.57</v>
      </c>
      <c r="S500" s="968">
        <v>1670000</v>
      </c>
      <c r="T500" s="968">
        <v>1670000</v>
      </c>
      <c r="U500" s="968">
        <v>1637000</v>
      </c>
      <c r="V500" s="968">
        <v>1535965.11</v>
      </c>
      <c r="W500" s="968"/>
      <c r="X500" s="968">
        <f t="shared" si="142"/>
        <v>1535965.11</v>
      </c>
      <c r="Y500" s="1145">
        <v>1829520</v>
      </c>
      <c r="Z500" s="1145">
        <v>2229520</v>
      </c>
      <c r="AA500" s="1145">
        <v>2109520</v>
      </c>
      <c r="AB500" s="1145">
        <v>1825495.88</v>
      </c>
      <c r="AC500" s="1145"/>
      <c r="AD500" s="1145">
        <f t="shared" si="141"/>
        <v>1825495.88</v>
      </c>
    </row>
    <row r="501" spans="1:30" x14ac:dyDescent="0.2">
      <c r="A501" s="928">
        <v>7979</v>
      </c>
      <c r="B501" s="928" t="s">
        <v>1322</v>
      </c>
      <c r="C501" s="968">
        <v>2000</v>
      </c>
      <c r="D501" s="968">
        <v>0</v>
      </c>
      <c r="E501" s="968"/>
      <c r="F501" s="968">
        <f t="shared" si="143"/>
        <v>0</v>
      </c>
      <c r="G501" s="968">
        <v>2120</v>
      </c>
      <c r="H501" s="968">
        <v>2120</v>
      </c>
      <c r="I501" s="968">
        <v>2120</v>
      </c>
      <c r="J501" s="968">
        <v>0</v>
      </c>
      <c r="K501" s="968"/>
      <c r="L501" s="968">
        <f t="shared" si="144"/>
        <v>0</v>
      </c>
      <c r="M501" s="974">
        <v>2120</v>
      </c>
      <c r="N501" s="974">
        <v>2120</v>
      </c>
      <c r="O501" s="974">
        <v>2120</v>
      </c>
      <c r="P501" s="968">
        <v>0</v>
      </c>
      <c r="Q501" s="968"/>
      <c r="R501" s="968">
        <f t="shared" si="145"/>
        <v>0</v>
      </c>
      <c r="S501" s="968">
        <v>2120</v>
      </c>
      <c r="T501" s="968">
        <v>2120</v>
      </c>
      <c r="U501" s="968">
        <v>2120</v>
      </c>
      <c r="V501" s="968"/>
      <c r="W501" s="968"/>
      <c r="X501" s="968">
        <f t="shared" si="142"/>
        <v>0</v>
      </c>
      <c r="Y501" s="1145"/>
      <c r="Z501" s="1145"/>
      <c r="AA501" s="1145"/>
      <c r="AB501" s="1145"/>
      <c r="AC501" s="1145"/>
      <c r="AD501" s="1145">
        <f t="shared" si="141"/>
        <v>0</v>
      </c>
    </row>
    <row r="502" spans="1:30" x14ac:dyDescent="0.2">
      <c r="A502" s="928">
        <v>7983</v>
      </c>
      <c r="B502" s="928" t="s">
        <v>997</v>
      </c>
      <c r="C502" s="968">
        <v>6454610</v>
      </c>
      <c r="D502" s="968">
        <v>7024400.7199999997</v>
      </c>
      <c r="E502" s="968"/>
      <c r="F502" s="968">
        <f t="shared" si="143"/>
        <v>7024400.7199999997</v>
      </c>
      <c r="G502" s="968">
        <v>6842525</v>
      </c>
      <c r="H502" s="968">
        <v>6842525</v>
      </c>
      <c r="I502" s="968">
        <v>6842525</v>
      </c>
      <c r="J502" s="968">
        <v>7690013.4199999999</v>
      </c>
      <c r="K502" s="968"/>
      <c r="L502" s="968">
        <f t="shared" si="144"/>
        <v>7690013.4199999999</v>
      </c>
      <c r="M502" s="974">
        <v>6842426</v>
      </c>
      <c r="N502" s="974">
        <v>6842426</v>
      </c>
      <c r="O502" s="974">
        <f>6356526-728000</f>
        <v>5628526</v>
      </c>
      <c r="P502" s="968">
        <f>6842426-1287220.13</f>
        <v>5555205.8700000001</v>
      </c>
      <c r="Q502" s="968"/>
      <c r="R502" s="968">
        <f t="shared" si="145"/>
        <v>5555205.8700000001</v>
      </c>
      <c r="S502" s="968">
        <v>8151385</v>
      </c>
      <c r="T502" s="968">
        <v>8151385</v>
      </c>
      <c r="U502" s="968">
        <v>5440235</v>
      </c>
      <c r="V502" s="968">
        <v>5342438.07</v>
      </c>
      <c r="W502" s="968"/>
      <c r="X502" s="968">
        <f t="shared" si="142"/>
        <v>5342438.07</v>
      </c>
      <c r="Y502" s="1145">
        <v>8629458</v>
      </c>
      <c r="Z502" s="1145">
        <v>8629458</v>
      </c>
      <c r="AA502" s="1145">
        <v>8629458</v>
      </c>
      <c r="AB502" s="1145">
        <v>7169420.0999999996</v>
      </c>
      <c r="AC502" s="1145"/>
      <c r="AD502" s="1145">
        <f t="shared" si="141"/>
        <v>7169420.0999999996</v>
      </c>
    </row>
    <row r="503" spans="1:30" x14ac:dyDescent="0.2">
      <c r="A503" s="928">
        <v>7987</v>
      </c>
      <c r="B503" s="928" t="s">
        <v>1323</v>
      </c>
      <c r="C503" s="968">
        <v>1411810</v>
      </c>
      <c r="D503" s="968">
        <v>1426810</v>
      </c>
      <c r="E503" s="968"/>
      <c r="F503" s="968">
        <f t="shared" si="143"/>
        <v>1426810</v>
      </c>
      <c r="G503" s="968">
        <v>1481885</v>
      </c>
      <c r="H503" s="968">
        <v>1481885</v>
      </c>
      <c r="I503" s="968">
        <v>1481885</v>
      </c>
      <c r="J503" s="968">
        <v>1481885</v>
      </c>
      <c r="K503" s="968"/>
      <c r="L503" s="968">
        <f t="shared" si="144"/>
        <v>1481885</v>
      </c>
      <c r="M503" s="974">
        <v>1481885</v>
      </c>
      <c r="N503" s="974">
        <v>1481885</v>
      </c>
      <c r="O503" s="974">
        <v>1720085</v>
      </c>
      <c r="P503" s="968">
        <f>1481885+238155.39</f>
        <v>1720040.3900000001</v>
      </c>
      <c r="Q503" s="968"/>
      <c r="R503" s="968">
        <f t="shared" si="145"/>
        <v>1720040.3900000001</v>
      </c>
      <c r="S503" s="968">
        <v>1570811</v>
      </c>
      <c r="T503" s="968">
        <v>1570811</v>
      </c>
      <c r="U503" s="968">
        <v>1570811</v>
      </c>
      <c r="V503" s="968">
        <v>1566896</v>
      </c>
      <c r="W503" s="968"/>
      <c r="X503" s="968">
        <f t="shared" si="142"/>
        <v>1566896</v>
      </c>
      <c r="Y503" s="1145">
        <v>1661920</v>
      </c>
      <c r="Z503" s="1145">
        <v>1661920</v>
      </c>
      <c r="AA503" s="1145">
        <v>1661920</v>
      </c>
      <c r="AB503" s="1145">
        <v>1661918.11</v>
      </c>
      <c r="AC503" s="1145"/>
      <c r="AD503" s="1145">
        <f t="shared" si="141"/>
        <v>1661918.11</v>
      </c>
    </row>
    <row r="504" spans="1:30" x14ac:dyDescent="0.2">
      <c r="A504" s="928">
        <v>7989</v>
      </c>
      <c r="B504" s="928" t="s">
        <v>232</v>
      </c>
      <c r="C504" s="968">
        <v>8200</v>
      </c>
      <c r="D504" s="968">
        <v>0</v>
      </c>
      <c r="E504" s="968"/>
      <c r="F504" s="968">
        <f t="shared" si="143"/>
        <v>0</v>
      </c>
      <c r="G504" s="968">
        <v>8690</v>
      </c>
      <c r="H504" s="968">
        <v>8690</v>
      </c>
      <c r="I504" s="968">
        <v>8690</v>
      </c>
      <c r="J504" s="968">
        <v>0</v>
      </c>
      <c r="K504" s="968"/>
      <c r="L504" s="968">
        <f t="shared" si="144"/>
        <v>0</v>
      </c>
      <c r="M504" s="974">
        <v>8690</v>
      </c>
      <c r="N504" s="974">
        <v>8690</v>
      </c>
      <c r="O504" s="974">
        <v>6690</v>
      </c>
      <c r="P504" s="968">
        <v>3234.65</v>
      </c>
      <c r="Q504" s="968"/>
      <c r="R504" s="968">
        <f t="shared" si="145"/>
        <v>3234.65</v>
      </c>
      <c r="S504" s="968">
        <v>8690</v>
      </c>
      <c r="T504" s="968">
        <v>8690</v>
      </c>
      <c r="U504" s="968">
        <v>3390</v>
      </c>
      <c r="V504" s="968"/>
      <c r="W504" s="968"/>
      <c r="X504" s="968">
        <f t="shared" si="142"/>
        <v>0</v>
      </c>
      <c r="Y504" s="1145">
        <v>8411</v>
      </c>
      <c r="Z504" s="1145">
        <v>7411</v>
      </c>
      <c r="AA504" s="1145">
        <v>2281</v>
      </c>
      <c r="AB504" s="1145"/>
      <c r="AC504" s="1145"/>
      <c r="AD504" s="1145">
        <f t="shared" ref="AD504:AD567" si="146">AB504+AC504</f>
        <v>0</v>
      </c>
    </row>
    <row r="505" spans="1:30" x14ac:dyDescent="0.2">
      <c r="A505" s="928">
        <v>7991</v>
      </c>
      <c r="B505" s="928" t="s">
        <v>679</v>
      </c>
      <c r="C505" s="968">
        <v>4950000</v>
      </c>
      <c r="D505" s="968">
        <f>7031520.66-817561.23</f>
        <v>6213959.4299999997</v>
      </c>
      <c r="E505" s="968"/>
      <c r="F505" s="968">
        <f t="shared" si="143"/>
        <v>6213959.4299999997</v>
      </c>
      <c r="G505" s="968">
        <v>3104000</v>
      </c>
      <c r="H505" s="968">
        <v>3104000</v>
      </c>
      <c r="I505" s="968">
        <v>3411000</v>
      </c>
      <c r="J505" s="968">
        <f>5615090.64-1178072.52</f>
        <v>4437018.1199999992</v>
      </c>
      <c r="K505" s="968"/>
      <c r="L505" s="968">
        <f t="shared" si="144"/>
        <v>4437018.1199999992</v>
      </c>
      <c r="M505" s="974">
        <f>3967000-967000</f>
        <v>3000000</v>
      </c>
      <c r="N505" s="974">
        <f>3967000-967000</f>
        <v>3000000</v>
      </c>
      <c r="O505" s="974">
        <f>8467000-4967000</f>
        <v>3500000</v>
      </c>
      <c r="P505" s="968">
        <f>6375279.14-2880094.55</f>
        <v>3495184.59</v>
      </c>
      <c r="Q505" s="968"/>
      <c r="R505" s="968">
        <f t="shared" si="145"/>
        <v>3495184.59</v>
      </c>
      <c r="S505" s="1147">
        <v>10500000</v>
      </c>
      <c r="T505" s="1147">
        <f>10500000+3000000</f>
        <v>13500000</v>
      </c>
      <c r="U505" s="1147">
        <v>12260000</v>
      </c>
      <c r="V505" s="968">
        <f>12150960.41</f>
        <v>12150960.41</v>
      </c>
      <c r="W505" s="968"/>
      <c r="X505" s="968">
        <f t="shared" si="142"/>
        <v>12150960.41</v>
      </c>
      <c r="Y505" s="1145">
        <v>15420000</v>
      </c>
      <c r="Z505" s="1145">
        <v>19991040</v>
      </c>
      <c r="AA505" s="1145">
        <v>20891040</v>
      </c>
      <c r="AB505" s="1145">
        <v>20268243.43</v>
      </c>
      <c r="AC505" s="1145"/>
      <c r="AD505" s="1145">
        <f t="shared" si="146"/>
        <v>20268243.43</v>
      </c>
    </row>
    <row r="506" spans="1:30" x14ac:dyDescent="0.2">
      <c r="A506" s="928">
        <v>7991</v>
      </c>
      <c r="B506" s="928" t="s">
        <v>1506</v>
      </c>
      <c r="C506" s="968">
        <v>2000000</v>
      </c>
      <c r="D506" s="968">
        <v>817561.23</v>
      </c>
      <c r="E506" s="968"/>
      <c r="F506" s="968">
        <f t="shared" si="143"/>
        <v>817561.23</v>
      </c>
      <c r="G506" s="968">
        <v>2000000</v>
      </c>
      <c r="H506" s="968">
        <v>2000000</v>
      </c>
      <c r="I506" s="968">
        <v>2000000</v>
      </c>
      <c r="J506" s="968">
        <v>0</v>
      </c>
      <c r="K506" s="968"/>
      <c r="L506" s="968">
        <f t="shared" si="144"/>
        <v>0</v>
      </c>
      <c r="M506" s="974"/>
      <c r="N506" s="974"/>
      <c r="O506" s="974"/>
      <c r="P506" s="968"/>
      <c r="Q506" s="968"/>
      <c r="R506" s="968">
        <f t="shared" si="145"/>
        <v>0</v>
      </c>
      <c r="S506" s="968"/>
      <c r="T506" s="968"/>
      <c r="U506" s="968">
        <v>0</v>
      </c>
      <c r="V506" s="968">
        <v>0</v>
      </c>
      <c r="W506" s="968"/>
      <c r="X506" s="968">
        <f t="shared" si="142"/>
        <v>0</v>
      </c>
      <c r="Y506" s="1145"/>
      <c r="Z506" s="1145"/>
      <c r="AA506" s="1145"/>
      <c r="AB506" s="1145"/>
      <c r="AC506" s="1145"/>
      <c r="AD506" s="1145">
        <f t="shared" si="146"/>
        <v>0</v>
      </c>
    </row>
    <row r="507" spans="1:30" x14ac:dyDescent="0.2">
      <c r="A507" s="928">
        <v>7993</v>
      </c>
      <c r="B507" s="928" t="s">
        <v>1324</v>
      </c>
      <c r="C507" s="968">
        <v>3240480</v>
      </c>
      <c r="D507" s="968">
        <v>3478525.62</v>
      </c>
      <c r="E507" s="968"/>
      <c r="F507" s="968">
        <f t="shared" ref="F507:F541" si="147">D507+E507</f>
        <v>3478525.62</v>
      </c>
      <c r="G507" s="968">
        <v>3605055</v>
      </c>
      <c r="H507" s="968">
        <f>3605055-100000</f>
        <v>3505055</v>
      </c>
      <c r="I507" s="968">
        <v>3505055</v>
      </c>
      <c r="J507" s="968">
        <v>3530640.63</v>
      </c>
      <c r="K507" s="968"/>
      <c r="L507" s="968">
        <f t="shared" si="144"/>
        <v>3530640.63</v>
      </c>
      <c r="M507" s="974">
        <v>3755256</v>
      </c>
      <c r="N507" s="974">
        <v>3755256</v>
      </c>
      <c r="O507" s="974">
        <v>3772156</v>
      </c>
      <c r="P507" s="968">
        <v>3772146.96</v>
      </c>
      <c r="Q507" s="968"/>
      <c r="R507" s="968">
        <f t="shared" si="145"/>
        <v>3772146.96</v>
      </c>
      <c r="S507" s="968">
        <v>3755256</v>
      </c>
      <c r="T507" s="968">
        <v>3755256</v>
      </c>
      <c r="U507" s="968">
        <v>4201706</v>
      </c>
      <c r="V507" s="968">
        <v>4201689.6900000004</v>
      </c>
      <c r="W507" s="968"/>
      <c r="X507" s="968">
        <f t="shared" si="142"/>
        <v>4201689.6900000004</v>
      </c>
      <c r="Y507" s="1145">
        <v>5728525</v>
      </c>
      <c r="Z507" s="1145">
        <v>5728525</v>
      </c>
      <c r="AA507" s="1145">
        <v>5732525</v>
      </c>
      <c r="AB507" s="1145">
        <v>4823942.3600000003</v>
      </c>
      <c r="AC507" s="1145"/>
      <c r="AD507" s="1145">
        <f t="shared" si="146"/>
        <v>4823942.3600000003</v>
      </c>
    </row>
    <row r="508" spans="1:30" x14ac:dyDescent="0.2">
      <c r="A508" s="928">
        <v>7995</v>
      </c>
      <c r="B508" s="928" t="s">
        <v>673</v>
      </c>
      <c r="C508" s="968">
        <v>120000</v>
      </c>
      <c r="D508" s="968">
        <v>84060.61</v>
      </c>
      <c r="E508" s="968"/>
      <c r="F508" s="968">
        <f t="shared" si="147"/>
        <v>84060.61</v>
      </c>
      <c r="G508" s="968">
        <v>127200</v>
      </c>
      <c r="H508" s="968">
        <f>127200-50000</f>
        <v>77200</v>
      </c>
      <c r="I508" s="968">
        <v>77200</v>
      </c>
      <c r="J508" s="968">
        <v>67202.880000000005</v>
      </c>
      <c r="K508" s="968"/>
      <c r="L508" s="968">
        <f t="shared" si="144"/>
        <v>67202.880000000005</v>
      </c>
      <c r="M508" s="974">
        <v>120000</v>
      </c>
      <c r="N508" s="974">
        <v>120000</v>
      </c>
      <c r="O508" s="974">
        <v>100000</v>
      </c>
      <c r="P508" s="968">
        <v>53826.06</v>
      </c>
      <c r="Q508" s="968"/>
      <c r="R508" s="968">
        <f t="shared" si="145"/>
        <v>53826.06</v>
      </c>
      <c r="S508" s="968">
        <v>126000</v>
      </c>
      <c r="T508" s="968">
        <f>126000+74000</f>
        <v>200000</v>
      </c>
      <c r="U508" s="968">
        <f>126000+74000</f>
        <v>200000</v>
      </c>
      <c r="V508" s="968">
        <v>167736.95999999999</v>
      </c>
      <c r="W508" s="968"/>
      <c r="X508" s="968">
        <f t="shared" si="142"/>
        <v>167736.95999999999</v>
      </c>
      <c r="Y508" s="1145">
        <v>214000</v>
      </c>
      <c r="Z508" s="1145">
        <v>214000</v>
      </c>
      <c r="AA508" s="1145">
        <v>214000</v>
      </c>
      <c r="AB508" s="1145">
        <v>198785.61</v>
      </c>
      <c r="AC508" s="1145"/>
      <c r="AD508" s="1145">
        <f t="shared" si="146"/>
        <v>198785.61</v>
      </c>
    </row>
    <row r="509" spans="1:30" x14ac:dyDescent="0.2">
      <c r="A509" s="928">
        <v>7997</v>
      </c>
      <c r="B509" s="928" t="s">
        <v>1325</v>
      </c>
      <c r="C509" s="968">
        <v>5000</v>
      </c>
      <c r="D509" s="968">
        <v>0</v>
      </c>
      <c r="E509" s="968"/>
      <c r="F509" s="968">
        <f t="shared" si="147"/>
        <v>0</v>
      </c>
      <c r="G509" s="968">
        <v>5300</v>
      </c>
      <c r="H509" s="968">
        <v>5300</v>
      </c>
      <c r="I509" s="968">
        <v>5300</v>
      </c>
      <c r="J509" s="968">
        <v>0</v>
      </c>
      <c r="K509" s="968"/>
      <c r="L509" s="968">
        <f t="shared" si="144"/>
        <v>0</v>
      </c>
      <c r="M509" s="974">
        <v>5300</v>
      </c>
      <c r="N509" s="974">
        <v>5300</v>
      </c>
      <c r="O509" s="974">
        <v>5300</v>
      </c>
      <c r="P509" s="968">
        <v>0</v>
      </c>
      <c r="Q509" s="968"/>
      <c r="R509" s="968">
        <f t="shared" si="145"/>
        <v>0</v>
      </c>
      <c r="S509" s="968">
        <v>5300</v>
      </c>
      <c r="T509" s="968">
        <v>5300</v>
      </c>
      <c r="U509" s="968">
        <v>5300</v>
      </c>
      <c r="V509" s="968"/>
      <c r="W509" s="968"/>
      <c r="X509" s="968">
        <f t="shared" si="142"/>
        <v>0</v>
      </c>
      <c r="Y509" s="1145"/>
      <c r="Z509" s="1145"/>
      <c r="AA509" s="1145"/>
      <c r="AB509" s="1145"/>
      <c r="AC509" s="1145"/>
      <c r="AD509" s="1145">
        <f t="shared" si="146"/>
        <v>0</v>
      </c>
    </row>
    <row r="510" spans="1:30" x14ac:dyDescent="0.2">
      <c r="A510" s="928">
        <v>7999</v>
      </c>
      <c r="B510" s="928" t="s">
        <v>649</v>
      </c>
      <c r="C510" s="968">
        <v>159300</v>
      </c>
      <c r="D510" s="968">
        <v>111790.55</v>
      </c>
      <c r="E510" s="968"/>
      <c r="F510" s="968">
        <f t="shared" si="147"/>
        <v>111790.55</v>
      </c>
      <c r="G510" s="968">
        <v>168860</v>
      </c>
      <c r="H510" s="968">
        <f>168860-100000</f>
        <v>68860</v>
      </c>
      <c r="I510" s="968">
        <v>68860</v>
      </c>
      <c r="J510" s="968">
        <v>24248</v>
      </c>
      <c r="K510" s="968"/>
      <c r="L510" s="968">
        <f t="shared" si="144"/>
        <v>24248</v>
      </c>
      <c r="M510" s="974">
        <v>170540</v>
      </c>
      <c r="N510" s="974">
        <v>170540</v>
      </c>
      <c r="O510" s="974">
        <v>170540</v>
      </c>
      <c r="P510" s="968">
        <v>83762.7</v>
      </c>
      <c r="Q510" s="968"/>
      <c r="R510" s="968">
        <f t="shared" si="145"/>
        <v>83762.7</v>
      </c>
      <c r="S510" s="968">
        <v>170540</v>
      </c>
      <c r="T510" s="968">
        <v>170540</v>
      </c>
      <c r="U510" s="968">
        <v>14690</v>
      </c>
      <c r="V510" s="968">
        <v>10380</v>
      </c>
      <c r="W510" s="968"/>
      <c r="X510" s="968">
        <f t="shared" si="142"/>
        <v>10380</v>
      </c>
      <c r="Y510" s="1145">
        <v>165083</v>
      </c>
      <c r="Z510" s="1145">
        <v>165083</v>
      </c>
      <c r="AA510" s="1145">
        <v>165083</v>
      </c>
      <c r="AB510" s="1145">
        <v>65918.25</v>
      </c>
      <c r="AC510" s="1145"/>
      <c r="AD510" s="1145">
        <f t="shared" si="146"/>
        <v>65918.25</v>
      </c>
    </row>
    <row r="511" spans="1:30" x14ac:dyDescent="0.2">
      <c r="A511" s="928">
        <v>8001</v>
      </c>
      <c r="B511" s="928" t="s">
        <v>648</v>
      </c>
      <c r="C511" s="968">
        <v>10500</v>
      </c>
      <c r="D511" s="968">
        <v>8585.31</v>
      </c>
      <c r="E511" s="968"/>
      <c r="F511" s="968">
        <f t="shared" si="147"/>
        <v>8585.31</v>
      </c>
      <c r="G511" s="968">
        <v>11130</v>
      </c>
      <c r="H511" s="968">
        <v>11130</v>
      </c>
      <c r="I511" s="968">
        <v>11130</v>
      </c>
      <c r="J511" s="968">
        <v>0</v>
      </c>
      <c r="K511" s="968"/>
      <c r="L511" s="968">
        <f t="shared" si="144"/>
        <v>0</v>
      </c>
      <c r="M511" s="974">
        <v>11130</v>
      </c>
      <c r="N511" s="974">
        <v>11130</v>
      </c>
      <c r="O511" s="974">
        <v>11130</v>
      </c>
      <c r="P511" s="968">
        <v>0</v>
      </c>
      <c r="Q511" s="968"/>
      <c r="R511" s="968">
        <f t="shared" si="145"/>
        <v>0</v>
      </c>
      <c r="S511" s="968">
        <v>11130</v>
      </c>
      <c r="T511" s="968">
        <v>11130</v>
      </c>
      <c r="U511" s="968">
        <v>10930</v>
      </c>
      <c r="V511" s="968">
        <v>2295</v>
      </c>
      <c r="W511" s="968"/>
      <c r="X511" s="968">
        <f t="shared" si="142"/>
        <v>2295</v>
      </c>
      <c r="Y511" s="1145">
        <v>10774</v>
      </c>
      <c r="Z511" s="1145">
        <v>10774</v>
      </c>
      <c r="AA511" s="1145">
        <v>10774</v>
      </c>
      <c r="AB511" s="1145">
        <v>445</v>
      </c>
      <c r="AC511" s="1145"/>
      <c r="AD511" s="1145">
        <f t="shared" si="146"/>
        <v>445</v>
      </c>
    </row>
    <row r="512" spans="1:30" x14ac:dyDescent="0.2">
      <c r="A512" s="928">
        <v>8003</v>
      </c>
      <c r="B512" s="928" t="s">
        <v>650</v>
      </c>
      <c r="C512" s="968">
        <v>792000</v>
      </c>
      <c r="D512" s="968">
        <v>834879.52</v>
      </c>
      <c r="E512" s="968"/>
      <c r="F512" s="968">
        <f t="shared" si="147"/>
        <v>834879.52</v>
      </c>
      <c r="G512" s="968">
        <v>839520</v>
      </c>
      <c r="H512" s="968">
        <v>839520</v>
      </c>
      <c r="I512" s="968">
        <v>839520</v>
      </c>
      <c r="J512" s="968">
        <v>833937.3</v>
      </c>
      <c r="K512" s="968"/>
      <c r="L512" s="968">
        <f t="shared" si="144"/>
        <v>833937.3</v>
      </c>
      <c r="M512" s="974">
        <v>839520</v>
      </c>
      <c r="N512" s="974">
        <v>839520</v>
      </c>
      <c r="O512" s="974">
        <v>839520</v>
      </c>
      <c r="P512" s="968">
        <v>636222.80000000005</v>
      </c>
      <c r="Q512" s="968"/>
      <c r="R512" s="968">
        <f t="shared" si="145"/>
        <v>636222.80000000005</v>
      </c>
      <c r="S512" s="968">
        <v>839520</v>
      </c>
      <c r="T512" s="968">
        <v>839520</v>
      </c>
      <c r="U512" s="968">
        <v>555520</v>
      </c>
      <c r="V512" s="968">
        <v>553821.30000000005</v>
      </c>
      <c r="W512" s="968"/>
      <c r="X512" s="968">
        <f t="shared" si="142"/>
        <v>553821.30000000005</v>
      </c>
      <c r="Y512" s="1145">
        <v>812655</v>
      </c>
      <c r="Z512" s="1145">
        <v>512655</v>
      </c>
      <c r="AA512" s="1145">
        <v>512655</v>
      </c>
      <c r="AB512" s="1145">
        <v>488322.4</v>
      </c>
      <c r="AC512" s="1145"/>
      <c r="AD512" s="1145">
        <f t="shared" si="146"/>
        <v>488322.4</v>
      </c>
    </row>
    <row r="513" spans="1:30" x14ac:dyDescent="0.2">
      <c r="A513" s="928">
        <v>8005</v>
      </c>
      <c r="B513" s="928" t="s">
        <v>2960</v>
      </c>
      <c r="C513" s="968"/>
      <c r="D513" s="968"/>
      <c r="E513" s="968"/>
      <c r="F513" s="968"/>
      <c r="G513" s="968"/>
      <c r="H513" s="968">
        <v>5000000</v>
      </c>
      <c r="I513" s="968">
        <v>5000000</v>
      </c>
      <c r="J513" s="968">
        <v>0</v>
      </c>
      <c r="K513" s="968"/>
      <c r="L513" s="968">
        <f t="shared" si="144"/>
        <v>0</v>
      </c>
      <c r="M513" s="974"/>
      <c r="N513" s="974"/>
      <c r="O513" s="974"/>
      <c r="P513" s="968">
        <v>0</v>
      </c>
      <c r="Q513" s="968"/>
      <c r="R513" s="968">
        <f t="shared" si="145"/>
        <v>0</v>
      </c>
      <c r="S513" s="968"/>
      <c r="T513" s="968"/>
      <c r="U513" s="968"/>
      <c r="V513" s="968"/>
      <c r="W513" s="968"/>
      <c r="X513" s="968">
        <f t="shared" si="142"/>
        <v>0</v>
      </c>
      <c r="Y513" s="1145"/>
      <c r="Z513" s="1145"/>
      <c r="AA513" s="1145"/>
      <c r="AB513" s="1145"/>
      <c r="AC513" s="1145"/>
      <c r="AD513" s="1145">
        <f t="shared" si="146"/>
        <v>0</v>
      </c>
    </row>
    <row r="514" spans="1:30" x14ac:dyDescent="0.2">
      <c r="A514" s="928">
        <v>8007</v>
      </c>
      <c r="B514" s="928" t="s">
        <v>996</v>
      </c>
      <c r="C514" s="968">
        <v>13800</v>
      </c>
      <c r="D514" s="968">
        <v>11293.18</v>
      </c>
      <c r="E514" s="968"/>
      <c r="F514" s="968">
        <f t="shared" si="147"/>
        <v>11293.18</v>
      </c>
      <c r="G514" s="968">
        <v>14630</v>
      </c>
      <c r="H514" s="968">
        <v>14630</v>
      </c>
      <c r="I514" s="968">
        <v>14630</v>
      </c>
      <c r="J514" s="968">
        <v>12074.87</v>
      </c>
      <c r="K514" s="968"/>
      <c r="L514" s="968">
        <f t="shared" si="144"/>
        <v>12074.87</v>
      </c>
      <c r="M514" s="974">
        <v>14630</v>
      </c>
      <c r="N514" s="974">
        <v>14630</v>
      </c>
      <c r="O514" s="974">
        <v>14630</v>
      </c>
      <c r="P514" s="968">
        <v>0</v>
      </c>
      <c r="Q514" s="968"/>
      <c r="R514" s="968">
        <f t="shared" si="145"/>
        <v>0</v>
      </c>
      <c r="S514" s="968">
        <v>14630</v>
      </c>
      <c r="T514" s="968">
        <v>14630</v>
      </c>
      <c r="U514" s="968">
        <v>20630</v>
      </c>
      <c r="V514" s="968">
        <v>17498.28</v>
      </c>
      <c r="W514" s="968"/>
      <c r="X514" s="968">
        <f t="shared" si="142"/>
        <v>17498.28</v>
      </c>
      <c r="Y514" s="1145"/>
      <c r="Z514" s="1145"/>
      <c r="AA514" s="1145"/>
      <c r="AB514" s="1145"/>
      <c r="AC514" s="1145"/>
      <c r="AD514" s="1145">
        <f t="shared" si="146"/>
        <v>0</v>
      </c>
    </row>
    <row r="515" spans="1:30" x14ac:dyDescent="0.2">
      <c r="A515" s="928">
        <v>8011</v>
      </c>
      <c r="B515" s="928" t="s">
        <v>341</v>
      </c>
      <c r="C515" s="968">
        <v>3000</v>
      </c>
      <c r="D515" s="968">
        <v>0</v>
      </c>
      <c r="E515" s="968"/>
      <c r="F515" s="968">
        <f t="shared" si="147"/>
        <v>0</v>
      </c>
      <c r="G515" s="968">
        <v>3180</v>
      </c>
      <c r="H515" s="968">
        <v>3180</v>
      </c>
      <c r="I515" s="968">
        <v>3180</v>
      </c>
      <c r="J515" s="968">
        <v>0</v>
      </c>
      <c r="K515" s="968"/>
      <c r="L515" s="968">
        <f t="shared" si="144"/>
        <v>0</v>
      </c>
      <c r="M515" s="974">
        <v>3180</v>
      </c>
      <c r="N515" s="974">
        <v>3180</v>
      </c>
      <c r="O515" s="974">
        <v>3180</v>
      </c>
      <c r="P515" s="968">
        <v>0</v>
      </c>
      <c r="Q515" s="968"/>
      <c r="R515" s="968">
        <f t="shared" si="145"/>
        <v>0</v>
      </c>
      <c r="S515" s="968">
        <v>3180</v>
      </c>
      <c r="T515" s="968">
        <v>3180</v>
      </c>
      <c r="U515" s="968">
        <v>3180</v>
      </c>
      <c r="V515" s="968"/>
      <c r="W515" s="968"/>
      <c r="X515" s="968">
        <f t="shared" si="142"/>
        <v>0</v>
      </c>
      <c r="Y515" s="1145"/>
      <c r="Z515" s="1145"/>
      <c r="AA515" s="1145"/>
      <c r="AB515" s="1145"/>
      <c r="AC515" s="1145"/>
      <c r="AD515" s="1145">
        <f t="shared" si="146"/>
        <v>0</v>
      </c>
    </row>
    <row r="516" spans="1:30" x14ac:dyDescent="0.2">
      <c r="A516" s="928">
        <v>8013</v>
      </c>
      <c r="B516" s="928" t="s">
        <v>660</v>
      </c>
      <c r="C516" s="968">
        <v>779000</v>
      </c>
      <c r="D516" s="968">
        <v>564761.80000000005</v>
      </c>
      <c r="E516" s="968"/>
      <c r="F516" s="968">
        <f t="shared" si="147"/>
        <v>564761.80000000005</v>
      </c>
      <c r="G516" s="968">
        <v>466200</v>
      </c>
      <c r="H516" s="968">
        <f>466200+200000</f>
        <v>666200</v>
      </c>
      <c r="I516" s="968">
        <v>666200</v>
      </c>
      <c r="J516" s="968">
        <v>647370.01</v>
      </c>
      <c r="K516" s="968"/>
      <c r="L516" s="968">
        <f t="shared" si="144"/>
        <v>647370.01</v>
      </c>
      <c r="M516" s="974">
        <v>1410000</v>
      </c>
      <c r="N516" s="974">
        <v>1410000</v>
      </c>
      <c r="O516" s="974">
        <v>1410000</v>
      </c>
      <c r="P516" s="968">
        <v>1183212.02</v>
      </c>
      <c r="Q516" s="968"/>
      <c r="R516" s="968">
        <f t="shared" si="145"/>
        <v>1183212.02</v>
      </c>
      <c r="S516" s="968">
        <v>2800000</v>
      </c>
      <c r="T516" s="968">
        <v>2800000</v>
      </c>
      <c r="U516" s="968">
        <v>1612100</v>
      </c>
      <c r="V516" s="968">
        <v>1612012.92</v>
      </c>
      <c r="W516" s="968"/>
      <c r="X516" s="968">
        <f t="shared" si="142"/>
        <v>1612012.92</v>
      </c>
      <c r="Y516" s="1145">
        <v>2710400</v>
      </c>
      <c r="Z516" s="1145">
        <v>2310400</v>
      </c>
      <c r="AA516" s="1145">
        <v>2210400</v>
      </c>
      <c r="AB516" s="1145">
        <v>2048615.54</v>
      </c>
      <c r="AC516" s="1145"/>
      <c r="AD516" s="1145">
        <f t="shared" si="146"/>
        <v>2048615.54</v>
      </c>
    </row>
    <row r="517" spans="1:30" x14ac:dyDescent="0.2">
      <c r="A517" s="928">
        <v>8017</v>
      </c>
      <c r="B517" s="928" t="s">
        <v>2961</v>
      </c>
      <c r="C517" s="968"/>
      <c r="D517" s="968"/>
      <c r="E517" s="968"/>
      <c r="F517" s="968"/>
      <c r="G517" s="968"/>
      <c r="H517" s="968">
        <v>5000000</v>
      </c>
      <c r="I517" s="968">
        <v>5000000</v>
      </c>
      <c r="J517" s="968">
        <v>0</v>
      </c>
      <c r="K517" s="968"/>
      <c r="L517" s="968">
        <f t="shared" si="144"/>
        <v>0</v>
      </c>
      <c r="M517" s="974"/>
      <c r="N517" s="974"/>
      <c r="O517" s="974"/>
      <c r="P517" s="968">
        <v>0</v>
      </c>
      <c r="Q517" s="968"/>
      <c r="R517" s="968">
        <f t="shared" si="145"/>
        <v>0</v>
      </c>
      <c r="S517" s="968"/>
      <c r="T517" s="968"/>
      <c r="U517" s="968"/>
      <c r="V517" s="968"/>
      <c r="W517" s="968"/>
      <c r="X517" s="968">
        <f t="shared" si="142"/>
        <v>0</v>
      </c>
      <c r="Y517" s="1145">
        <v>270000</v>
      </c>
      <c r="Z517" s="1145">
        <v>270000</v>
      </c>
      <c r="AA517" s="1145">
        <v>270000</v>
      </c>
      <c r="AB517" s="1145">
        <v>235854.81</v>
      </c>
      <c r="AC517" s="1145"/>
      <c r="AD517" s="1145">
        <f t="shared" si="146"/>
        <v>235854.81</v>
      </c>
    </row>
    <row r="518" spans="1:30" x14ac:dyDescent="0.2">
      <c r="A518" s="928">
        <v>8019</v>
      </c>
      <c r="B518" s="928" t="s">
        <v>658</v>
      </c>
      <c r="C518" s="968">
        <v>800000</v>
      </c>
      <c r="D518" s="968">
        <v>793805.18</v>
      </c>
      <c r="E518" s="968"/>
      <c r="F518" s="968">
        <f t="shared" si="147"/>
        <v>793805.18</v>
      </c>
      <c r="G518" s="968">
        <v>800000</v>
      </c>
      <c r="H518" s="968">
        <f>800000-100000</f>
        <v>700000</v>
      </c>
      <c r="I518" s="968">
        <v>500000</v>
      </c>
      <c r="J518" s="968">
        <v>236087.57</v>
      </c>
      <c r="K518" s="968"/>
      <c r="L518" s="968">
        <f t="shared" si="144"/>
        <v>236087.57</v>
      </c>
      <c r="M518" s="974">
        <v>370000</v>
      </c>
      <c r="N518" s="974">
        <v>370000</v>
      </c>
      <c r="O518" s="974">
        <v>232000</v>
      </c>
      <c r="P518" s="968">
        <v>231605.91</v>
      </c>
      <c r="Q518" s="968"/>
      <c r="R518" s="968">
        <f t="shared" si="145"/>
        <v>231605.91</v>
      </c>
      <c r="S518" s="968">
        <v>500000</v>
      </c>
      <c r="T518" s="968">
        <v>500000</v>
      </c>
      <c r="U518" s="968">
        <v>330000</v>
      </c>
      <c r="V518" s="968">
        <v>312891</v>
      </c>
      <c r="W518" s="968"/>
      <c r="X518" s="968">
        <f t="shared" si="142"/>
        <v>312891</v>
      </c>
      <c r="Y518" s="1145">
        <v>319440</v>
      </c>
      <c r="Z518" s="1145">
        <v>319440</v>
      </c>
      <c r="AA518" s="1145">
        <v>299440</v>
      </c>
      <c r="AB518" s="1145">
        <v>265686</v>
      </c>
      <c r="AC518" s="1145"/>
      <c r="AD518" s="1145">
        <f t="shared" si="146"/>
        <v>265686</v>
      </c>
    </row>
    <row r="519" spans="1:30" x14ac:dyDescent="0.2">
      <c r="A519" s="928">
        <v>8023</v>
      </c>
      <c r="B519" s="928" t="s">
        <v>1326</v>
      </c>
      <c r="C519" s="968">
        <v>25000</v>
      </c>
      <c r="D519" s="968">
        <v>24803.18</v>
      </c>
      <c r="E519" s="968"/>
      <c r="F519" s="968">
        <f t="shared" si="147"/>
        <v>24803.18</v>
      </c>
      <c r="G519" s="968">
        <v>26500</v>
      </c>
      <c r="H519" s="968">
        <v>26500</v>
      </c>
      <c r="I519" s="968">
        <v>26500</v>
      </c>
      <c r="J519" s="968">
        <v>21342.51</v>
      </c>
      <c r="K519" s="968"/>
      <c r="L519" s="968">
        <f t="shared" si="144"/>
        <v>21342.51</v>
      </c>
      <c r="M519" s="974">
        <v>26500</v>
      </c>
      <c r="N519" s="974">
        <v>26500</v>
      </c>
      <c r="O519" s="974">
        <v>26500</v>
      </c>
      <c r="P519" s="968">
        <v>8807.67</v>
      </c>
      <c r="Q519" s="968"/>
      <c r="R519" s="968">
        <f t="shared" si="145"/>
        <v>8807.67</v>
      </c>
      <c r="S519" s="968">
        <v>26500</v>
      </c>
      <c r="T519" s="968">
        <v>26500</v>
      </c>
      <c r="U519" s="968">
        <v>26500</v>
      </c>
      <c r="V519" s="968">
        <v>1543.86</v>
      </c>
      <c r="W519" s="968"/>
      <c r="X519" s="968">
        <f t="shared" si="142"/>
        <v>1543.86</v>
      </c>
      <c r="Y519" s="1145">
        <v>25652</v>
      </c>
      <c r="Z519" s="1145">
        <v>15652</v>
      </c>
      <c r="AA519" s="1145">
        <v>47652</v>
      </c>
      <c r="AB519" s="1145">
        <v>21929.83</v>
      </c>
      <c r="AC519" s="1145"/>
      <c r="AD519" s="1145">
        <f t="shared" si="146"/>
        <v>21929.83</v>
      </c>
    </row>
    <row r="520" spans="1:30" x14ac:dyDescent="0.2">
      <c r="A520" s="928">
        <v>8025</v>
      </c>
      <c r="B520" s="928" t="s">
        <v>1327</v>
      </c>
      <c r="C520" s="968">
        <v>150000</v>
      </c>
      <c r="D520" s="968">
        <v>2800</v>
      </c>
      <c r="E520" s="968"/>
      <c r="F520" s="968">
        <f t="shared" si="147"/>
        <v>2800</v>
      </c>
      <c r="G520" s="968">
        <v>159000</v>
      </c>
      <c r="H520" s="968">
        <f>159000-100000</f>
        <v>59000</v>
      </c>
      <c r="I520" s="968">
        <v>59000</v>
      </c>
      <c r="J520" s="968">
        <v>0</v>
      </c>
      <c r="K520" s="968"/>
      <c r="L520" s="968">
        <f t="shared" si="144"/>
        <v>0</v>
      </c>
      <c r="M520" s="974">
        <v>59000</v>
      </c>
      <c r="N520" s="974">
        <v>59000</v>
      </c>
      <c r="O520" s="974">
        <v>59000</v>
      </c>
      <c r="P520" s="968">
        <v>0</v>
      </c>
      <c r="Q520" s="968"/>
      <c r="R520" s="968">
        <f t="shared" si="145"/>
        <v>0</v>
      </c>
      <c r="S520" s="968">
        <v>50000</v>
      </c>
      <c r="T520" s="968">
        <v>50000</v>
      </c>
      <c r="U520" s="968">
        <v>1400</v>
      </c>
      <c r="V520" s="968">
        <v>1320.17</v>
      </c>
      <c r="W520" s="968"/>
      <c r="X520" s="968">
        <f t="shared" si="142"/>
        <v>1320.17</v>
      </c>
      <c r="Y520" s="1145">
        <v>48400</v>
      </c>
      <c r="Z520" s="1145">
        <v>48400</v>
      </c>
      <c r="AA520" s="1145">
        <v>48400</v>
      </c>
      <c r="AB520" s="1145"/>
      <c r="AC520" s="1145"/>
      <c r="AD520" s="1145">
        <f t="shared" si="146"/>
        <v>0</v>
      </c>
    </row>
    <row r="521" spans="1:30" x14ac:dyDescent="0.2">
      <c r="A521" s="928">
        <v>8027</v>
      </c>
      <c r="B521" s="928" t="s">
        <v>493</v>
      </c>
      <c r="C521" s="968">
        <v>10000</v>
      </c>
      <c r="D521" s="968">
        <v>9950</v>
      </c>
      <c r="E521" s="968"/>
      <c r="F521" s="968">
        <f t="shared" si="147"/>
        <v>9950</v>
      </c>
      <c r="G521" s="968">
        <v>20000</v>
      </c>
      <c r="H521" s="968">
        <v>20000</v>
      </c>
      <c r="I521" s="968">
        <v>20000</v>
      </c>
      <c r="J521" s="968">
        <v>19601.89</v>
      </c>
      <c r="K521" s="968"/>
      <c r="L521" s="968">
        <f t="shared" si="144"/>
        <v>19601.89</v>
      </c>
      <c r="M521" s="974">
        <v>20000</v>
      </c>
      <c r="N521" s="974">
        <v>20000</v>
      </c>
      <c r="O521" s="974">
        <v>20000</v>
      </c>
      <c r="P521" s="968">
        <v>0</v>
      </c>
      <c r="Q521" s="968"/>
      <c r="R521" s="968">
        <f t="shared" si="145"/>
        <v>0</v>
      </c>
      <c r="S521" s="968">
        <v>20000</v>
      </c>
      <c r="T521" s="968">
        <v>20000</v>
      </c>
      <c r="U521" s="968">
        <v>20000</v>
      </c>
      <c r="V521" s="968"/>
      <c r="W521" s="968"/>
      <c r="X521" s="968">
        <f t="shared" si="142"/>
        <v>0</v>
      </c>
      <c r="Y521" s="1145"/>
      <c r="Z521" s="1145">
        <v>0</v>
      </c>
      <c r="AA521" s="1145"/>
      <c r="AB521" s="1145"/>
      <c r="AC521" s="1145"/>
      <c r="AD521" s="1145">
        <f t="shared" si="146"/>
        <v>0</v>
      </c>
    </row>
    <row r="522" spans="1:30" x14ac:dyDescent="0.2">
      <c r="A522" s="928">
        <v>8029</v>
      </c>
      <c r="B522" s="928" t="s">
        <v>1328</v>
      </c>
      <c r="C522" s="968">
        <v>260000</v>
      </c>
      <c r="D522" s="968">
        <v>1269549.68</v>
      </c>
      <c r="E522" s="968"/>
      <c r="F522" s="968">
        <f t="shared" si="147"/>
        <v>1269549.68</v>
      </c>
      <c r="G522" s="968">
        <v>275600</v>
      </c>
      <c r="H522" s="968">
        <v>275600</v>
      </c>
      <c r="I522" s="968">
        <v>275600</v>
      </c>
      <c r="J522" s="968">
        <v>-588950.94999999995</v>
      </c>
      <c r="K522" s="968"/>
      <c r="L522" s="968">
        <f t="shared" si="144"/>
        <v>-588950.94999999995</v>
      </c>
      <c r="M522" s="974">
        <v>275600</v>
      </c>
      <c r="N522" s="974">
        <v>275600</v>
      </c>
      <c r="O522" s="974">
        <v>3096400</v>
      </c>
      <c r="P522" s="968">
        <f>275304.32+2821000</f>
        <v>3096304.32</v>
      </c>
      <c r="Q522" s="968"/>
      <c r="R522" s="968">
        <f t="shared" si="145"/>
        <v>3096304.32</v>
      </c>
      <c r="S522" s="968">
        <v>275600</v>
      </c>
      <c r="T522" s="968">
        <v>275600</v>
      </c>
      <c r="U522" s="968">
        <v>0</v>
      </c>
      <c r="V522" s="968">
        <v>0</v>
      </c>
      <c r="W522" s="968"/>
      <c r="X522" s="968">
        <f t="shared" si="142"/>
        <v>0</v>
      </c>
      <c r="Y522" s="1145">
        <v>291585</v>
      </c>
      <c r="Z522" s="1145">
        <v>291585</v>
      </c>
      <c r="AA522" s="1145">
        <v>291585</v>
      </c>
      <c r="AB522" s="1145"/>
      <c r="AC522" s="1145"/>
      <c r="AD522" s="1145">
        <f t="shared" si="146"/>
        <v>0</v>
      </c>
    </row>
    <row r="523" spans="1:30" x14ac:dyDescent="0.2">
      <c r="A523" s="928">
        <v>8031</v>
      </c>
      <c r="B523" s="928" t="s">
        <v>671</v>
      </c>
      <c r="C523" s="968">
        <v>800000</v>
      </c>
      <c r="D523" s="968">
        <v>1421943.14</v>
      </c>
      <c r="E523" s="968"/>
      <c r="F523" s="968">
        <f t="shared" si="147"/>
        <v>1421943.14</v>
      </c>
      <c r="G523" s="968">
        <v>1007000</v>
      </c>
      <c r="H523" s="968">
        <v>1007000</v>
      </c>
      <c r="I523" s="968">
        <v>1007000</v>
      </c>
      <c r="J523" s="968">
        <v>1649588.94</v>
      </c>
      <c r="K523" s="968"/>
      <c r="L523" s="968">
        <f t="shared" si="144"/>
        <v>1649588.94</v>
      </c>
      <c r="M523" s="974">
        <v>1007000</v>
      </c>
      <c r="N523" s="974">
        <v>1007000</v>
      </c>
      <c r="O523" s="974">
        <v>1687500</v>
      </c>
      <c r="P523" s="968">
        <v>1687407.99</v>
      </c>
      <c r="Q523" s="968"/>
      <c r="R523" s="968">
        <f t="shared" si="145"/>
        <v>1687407.99</v>
      </c>
      <c r="S523" s="968">
        <v>1700000</v>
      </c>
      <c r="T523" s="968">
        <v>1700000</v>
      </c>
      <c r="U523" s="968">
        <v>2461140</v>
      </c>
      <c r="V523" s="968">
        <v>2461133.8199999998</v>
      </c>
      <c r="W523" s="968"/>
      <c r="X523" s="968">
        <f t="shared" si="142"/>
        <v>2461133.8199999998</v>
      </c>
      <c r="Y523" s="1145">
        <v>2000000</v>
      </c>
      <c r="Z523" s="1145">
        <v>3700000</v>
      </c>
      <c r="AA523" s="1145">
        <v>4076022</v>
      </c>
      <c r="AB523" s="1145">
        <v>4076021.04</v>
      </c>
      <c r="AC523" s="1145"/>
      <c r="AD523" s="1145">
        <f t="shared" si="146"/>
        <v>4076021.04</v>
      </c>
    </row>
    <row r="524" spans="1:30" x14ac:dyDescent="0.2">
      <c r="A524" s="928">
        <v>8033</v>
      </c>
      <c r="B524" s="928" t="s">
        <v>1329</v>
      </c>
      <c r="C524" s="968">
        <v>2370000</v>
      </c>
      <c r="D524" s="968">
        <v>2010830.02</v>
      </c>
      <c r="E524" s="968"/>
      <c r="F524" s="968">
        <f t="shared" si="147"/>
        <v>2010830.02</v>
      </c>
      <c r="G524" s="968">
        <v>2395495</v>
      </c>
      <c r="H524" s="968">
        <f>2395495+300000-212000</f>
        <v>2483495</v>
      </c>
      <c r="I524" s="968">
        <v>2383495</v>
      </c>
      <c r="J524" s="968">
        <v>1748388.66</v>
      </c>
      <c r="K524" s="968"/>
      <c r="L524" s="968">
        <f t="shared" si="144"/>
        <v>1748388.66</v>
      </c>
      <c r="M524" s="974">
        <v>2483495</v>
      </c>
      <c r="N524" s="974">
        <v>2483495</v>
      </c>
      <c r="O524" s="974">
        <v>2973195</v>
      </c>
      <c r="P524" s="968">
        <v>2873514.25</v>
      </c>
      <c r="Q524" s="968"/>
      <c r="R524" s="968">
        <f t="shared" si="145"/>
        <v>2873514.25</v>
      </c>
      <c r="S524" s="968">
        <v>3019505</v>
      </c>
      <c r="T524" s="968">
        <v>3019505</v>
      </c>
      <c r="U524" s="968">
        <v>5909505</v>
      </c>
      <c r="V524" s="968">
        <v>5751399.0099999998</v>
      </c>
      <c r="W524" s="968"/>
      <c r="X524" s="968">
        <f t="shared" si="142"/>
        <v>5751399.0099999998</v>
      </c>
      <c r="Y524" s="1145">
        <v>6232236</v>
      </c>
      <c r="Z524" s="1145">
        <v>4195646</v>
      </c>
      <c r="AA524" s="1145">
        <v>4538346</v>
      </c>
      <c r="AB524" s="1145">
        <v>4489858.6500000004</v>
      </c>
      <c r="AC524" s="1145"/>
      <c r="AD524" s="1145">
        <f t="shared" si="146"/>
        <v>4489858.6500000004</v>
      </c>
    </row>
    <row r="525" spans="1:30" x14ac:dyDescent="0.2">
      <c r="A525" s="928">
        <v>8034</v>
      </c>
      <c r="B525" s="928" t="s">
        <v>1330</v>
      </c>
      <c r="C525" s="968">
        <v>0</v>
      </c>
      <c r="D525" s="968">
        <v>0</v>
      </c>
      <c r="E525" s="968"/>
      <c r="F525" s="968">
        <f t="shared" si="147"/>
        <v>0</v>
      </c>
      <c r="G525" s="968">
        <v>2600000</v>
      </c>
      <c r="H525" s="968">
        <f>2600000-2600000</f>
        <v>0</v>
      </c>
      <c r="I525" s="968">
        <v>0</v>
      </c>
      <c r="J525" s="968">
        <v>0</v>
      </c>
      <c r="K525" s="968"/>
      <c r="L525" s="968">
        <f t="shared" si="144"/>
        <v>0</v>
      </c>
      <c r="M525" s="974">
        <v>200000</v>
      </c>
      <c r="N525" s="974">
        <v>200000</v>
      </c>
      <c r="O525" s="974">
        <v>200000</v>
      </c>
      <c r="P525" s="968">
        <v>0</v>
      </c>
      <c r="Q525" s="968"/>
      <c r="R525" s="968">
        <f t="shared" si="145"/>
        <v>0</v>
      </c>
      <c r="S525" s="968">
        <v>200000</v>
      </c>
      <c r="T525" s="968">
        <v>200000</v>
      </c>
      <c r="U525" s="968">
        <v>0</v>
      </c>
      <c r="V525" s="968"/>
      <c r="W525" s="968"/>
      <c r="X525" s="968">
        <f t="shared" si="142"/>
        <v>0</v>
      </c>
      <c r="Y525" s="1145"/>
      <c r="Z525" s="1145"/>
      <c r="AA525" s="1145"/>
      <c r="AB525" s="1145"/>
      <c r="AC525" s="1145"/>
      <c r="AD525" s="1145">
        <f t="shared" si="146"/>
        <v>0</v>
      </c>
    </row>
    <row r="526" spans="1:30" x14ac:dyDescent="0.2">
      <c r="A526" s="928">
        <v>8035</v>
      </c>
      <c r="B526" s="928" t="s">
        <v>986</v>
      </c>
      <c r="C526" s="968">
        <v>100000</v>
      </c>
      <c r="D526" s="968">
        <v>0</v>
      </c>
      <c r="E526" s="968"/>
      <c r="F526" s="968">
        <f t="shared" si="147"/>
        <v>0</v>
      </c>
      <c r="G526" s="968">
        <v>0</v>
      </c>
      <c r="H526" s="968">
        <v>0</v>
      </c>
      <c r="I526" s="968">
        <v>0</v>
      </c>
      <c r="J526" s="968">
        <v>0</v>
      </c>
      <c r="K526" s="968"/>
      <c r="L526" s="968">
        <f t="shared" si="144"/>
        <v>0</v>
      </c>
      <c r="M526" s="974">
        <v>100000</v>
      </c>
      <c r="N526" s="974">
        <v>100000</v>
      </c>
      <c r="O526" s="974">
        <v>100000</v>
      </c>
      <c r="P526" s="968">
        <v>0</v>
      </c>
      <c r="Q526" s="968"/>
      <c r="R526" s="968">
        <f t="shared" si="145"/>
        <v>0</v>
      </c>
      <c r="S526" s="968">
        <v>100000</v>
      </c>
      <c r="T526" s="968">
        <v>100000</v>
      </c>
      <c r="U526" s="968">
        <v>100000</v>
      </c>
      <c r="V526" s="968"/>
      <c r="W526" s="968"/>
      <c r="X526" s="968">
        <f t="shared" si="142"/>
        <v>0</v>
      </c>
      <c r="Y526" s="1145">
        <v>50000</v>
      </c>
      <c r="Z526" s="1145">
        <v>50000</v>
      </c>
      <c r="AA526" s="1145">
        <v>50000</v>
      </c>
      <c r="AB526" s="1145"/>
      <c r="AC526" s="1145"/>
      <c r="AD526" s="1145">
        <f t="shared" si="146"/>
        <v>0</v>
      </c>
    </row>
    <row r="527" spans="1:30" x14ac:dyDescent="0.2">
      <c r="A527" s="928">
        <v>8037</v>
      </c>
      <c r="B527" s="928" t="s">
        <v>1331</v>
      </c>
      <c r="C527" s="968">
        <v>4669385</v>
      </c>
      <c r="D527" s="968">
        <v>4314991.05</v>
      </c>
      <c r="E527" s="968"/>
      <c r="F527" s="968">
        <f t="shared" si="147"/>
        <v>4314991.05</v>
      </c>
      <c r="G527" s="968">
        <v>5452705</v>
      </c>
      <c r="H527" s="968">
        <f>5452705+10000+15000+5000-460000</f>
        <v>5022705</v>
      </c>
      <c r="I527" s="968">
        <v>4791705</v>
      </c>
      <c r="J527" s="968">
        <v>4166260.42</v>
      </c>
      <c r="K527" s="968"/>
      <c r="L527" s="968">
        <f t="shared" si="144"/>
        <v>4166260.42</v>
      </c>
      <c r="M527" s="974">
        <v>4587540</v>
      </c>
      <c r="N527" s="974">
        <v>4587540</v>
      </c>
      <c r="O527" s="974">
        <v>6823840</v>
      </c>
      <c r="P527" s="968">
        <v>6249603.6100000003</v>
      </c>
      <c r="Q527" s="968"/>
      <c r="R527" s="968">
        <f t="shared" si="145"/>
        <v>6249603.6100000003</v>
      </c>
      <c r="S527" s="1147">
        <v>5824940</v>
      </c>
      <c r="T527" s="1147">
        <v>5824940</v>
      </c>
      <c r="U527" s="1147">
        <v>5359758</v>
      </c>
      <c r="V527" s="968">
        <v>5359668.63</v>
      </c>
      <c r="W527" s="968"/>
      <c r="X527" s="968">
        <f t="shared" si="142"/>
        <v>5359668.63</v>
      </c>
      <c r="Y527" s="1145">
        <v>5923562</v>
      </c>
      <c r="Z527" s="1145">
        <v>4946702</v>
      </c>
      <c r="AA527" s="1145">
        <v>5244034</v>
      </c>
      <c r="AB527" s="1145">
        <v>4430591.9800000004</v>
      </c>
      <c r="AC527" s="1145"/>
      <c r="AD527" s="1145">
        <f t="shared" si="146"/>
        <v>4430591.9800000004</v>
      </c>
    </row>
    <row r="528" spans="1:30" x14ac:dyDescent="0.2">
      <c r="A528" s="928">
        <v>8039</v>
      </c>
      <c r="B528" s="928" t="s">
        <v>677</v>
      </c>
      <c r="C528" s="968">
        <v>351500</v>
      </c>
      <c r="D528" s="968">
        <v>345320.63</v>
      </c>
      <c r="E528" s="968"/>
      <c r="F528" s="968">
        <f t="shared" si="147"/>
        <v>345320.63</v>
      </c>
      <c r="G528" s="968">
        <v>408260</v>
      </c>
      <c r="H528" s="968">
        <f>408260-300000</f>
        <v>108260</v>
      </c>
      <c r="I528" s="968">
        <v>108260</v>
      </c>
      <c r="J528" s="968">
        <v>56655.94</v>
      </c>
      <c r="K528" s="968"/>
      <c r="L528" s="968">
        <f t="shared" si="144"/>
        <v>56655.94</v>
      </c>
      <c r="M528" s="974">
        <v>108000</v>
      </c>
      <c r="N528" s="974">
        <f>108000+1809500</f>
        <v>1917500</v>
      </c>
      <c r="O528" s="974">
        <v>1917500</v>
      </c>
      <c r="P528" s="968">
        <v>7500</v>
      </c>
      <c r="Q528" s="968"/>
      <c r="R528" s="968">
        <f t="shared" si="145"/>
        <v>7500</v>
      </c>
      <c r="S528" s="968">
        <v>1917500</v>
      </c>
      <c r="T528" s="968">
        <v>1917500</v>
      </c>
      <c r="U528" s="968">
        <v>1810500</v>
      </c>
      <c r="V528" s="968">
        <v>1794710</v>
      </c>
      <c r="W528" s="968"/>
      <c r="X528" s="968">
        <f t="shared" si="142"/>
        <v>1794710</v>
      </c>
      <c r="Y528" s="1145">
        <v>1861620</v>
      </c>
      <c r="Z528" s="1145">
        <v>1861620</v>
      </c>
      <c r="AA528" s="1145">
        <v>1610420</v>
      </c>
      <c r="AB528" s="1145">
        <v>1603520.5</v>
      </c>
      <c r="AC528" s="1145"/>
      <c r="AD528" s="1145">
        <f t="shared" si="146"/>
        <v>1603520.5</v>
      </c>
    </row>
    <row r="529" spans="1:30" x14ac:dyDescent="0.2">
      <c r="A529" s="928">
        <v>8041</v>
      </c>
      <c r="B529" s="928" t="s">
        <v>1332</v>
      </c>
      <c r="C529" s="968">
        <v>320000</v>
      </c>
      <c r="D529" s="968">
        <v>294952.65000000002</v>
      </c>
      <c r="E529" s="968"/>
      <c r="F529" s="968">
        <f t="shared" si="147"/>
        <v>294952.65000000002</v>
      </c>
      <c r="G529" s="968">
        <v>339200</v>
      </c>
      <c r="H529" s="968">
        <f>339200-339200</f>
        <v>0</v>
      </c>
      <c r="I529" s="968">
        <v>0</v>
      </c>
      <c r="J529" s="968">
        <v>0</v>
      </c>
      <c r="K529" s="968"/>
      <c r="L529" s="968">
        <f t="shared" si="144"/>
        <v>0</v>
      </c>
      <c r="M529" s="974"/>
      <c r="N529" s="974"/>
      <c r="O529" s="974"/>
      <c r="P529" s="968">
        <v>0</v>
      </c>
      <c r="Q529" s="968"/>
      <c r="R529" s="968">
        <f t="shared" si="145"/>
        <v>0</v>
      </c>
      <c r="S529" s="968"/>
      <c r="T529" s="968"/>
      <c r="U529" s="968"/>
      <c r="V529" s="968"/>
      <c r="W529" s="968"/>
      <c r="X529" s="968">
        <f t="shared" si="142"/>
        <v>0</v>
      </c>
      <c r="Y529" s="1145"/>
      <c r="Z529" s="1145"/>
      <c r="AA529" s="1145"/>
      <c r="AB529" s="1145"/>
      <c r="AC529" s="1145"/>
      <c r="AD529" s="1145">
        <f t="shared" si="146"/>
        <v>0</v>
      </c>
    </row>
    <row r="530" spans="1:30" x14ac:dyDescent="0.2">
      <c r="A530" s="928">
        <v>8043</v>
      </c>
      <c r="B530" s="928" t="s">
        <v>977</v>
      </c>
      <c r="C530" s="968">
        <v>3700000</v>
      </c>
      <c r="D530" s="968">
        <v>2036595.13</v>
      </c>
      <c r="E530" s="968"/>
      <c r="F530" s="968">
        <f t="shared" si="147"/>
        <v>2036595.13</v>
      </c>
      <c r="G530" s="968">
        <v>2300000</v>
      </c>
      <c r="H530" s="968">
        <f>2300000-1000000-400000</f>
        <v>900000</v>
      </c>
      <c r="I530" s="968">
        <v>1600000</v>
      </c>
      <c r="J530" s="968">
        <v>1185540.51</v>
      </c>
      <c r="K530" s="968"/>
      <c r="L530" s="968">
        <f t="shared" si="144"/>
        <v>1185540.51</v>
      </c>
      <c r="M530" s="974">
        <v>4590000</v>
      </c>
      <c r="N530" s="974">
        <v>4590000</v>
      </c>
      <c r="O530" s="974">
        <v>4470000</v>
      </c>
      <c r="P530" s="968">
        <v>3960547.2</v>
      </c>
      <c r="Q530" s="968"/>
      <c r="R530" s="968">
        <f t="shared" si="145"/>
        <v>3960547.2</v>
      </c>
      <c r="S530" s="968">
        <v>4590000</v>
      </c>
      <c r="T530" s="968">
        <v>4590000</v>
      </c>
      <c r="U530" s="968">
        <v>4490000</v>
      </c>
      <c r="V530" s="968">
        <v>4238943.2300000004</v>
      </c>
      <c r="W530" s="968"/>
      <c r="X530" s="968">
        <f t="shared" si="142"/>
        <v>4238943.2300000004</v>
      </c>
      <c r="Y530" s="1145">
        <v>4443120</v>
      </c>
      <c r="Z530" s="1145">
        <v>4693120</v>
      </c>
      <c r="AA530" s="1145">
        <v>4763120</v>
      </c>
      <c r="AB530" s="1145">
        <v>4314710.7699999996</v>
      </c>
      <c r="AC530" s="1145"/>
      <c r="AD530" s="1145">
        <f t="shared" si="146"/>
        <v>4314710.7699999996</v>
      </c>
    </row>
    <row r="531" spans="1:30" x14ac:dyDescent="0.2">
      <c r="A531" s="928">
        <v>8045</v>
      </c>
      <c r="B531" s="928" t="s">
        <v>741</v>
      </c>
      <c r="C531" s="968">
        <v>4764100</v>
      </c>
      <c r="D531" s="968">
        <v>1737925.88</v>
      </c>
      <c r="E531" s="968"/>
      <c r="F531" s="968">
        <f t="shared" si="147"/>
        <v>1737925.88</v>
      </c>
      <c r="G531" s="968">
        <v>5050905</v>
      </c>
      <c r="H531" s="968">
        <f>5050905+4500000</f>
        <v>9550905</v>
      </c>
      <c r="I531" s="968">
        <v>9550905</v>
      </c>
      <c r="J531" s="968">
        <v>6410042.3300000001</v>
      </c>
      <c r="K531" s="968"/>
      <c r="L531" s="968">
        <f t="shared" si="144"/>
        <v>6410042.3300000001</v>
      </c>
      <c r="M531" s="974">
        <v>9550905</v>
      </c>
      <c r="N531" s="974">
        <v>9550905</v>
      </c>
      <c r="O531" s="974">
        <v>9550905</v>
      </c>
      <c r="P531" s="968">
        <v>7711695.71</v>
      </c>
      <c r="Q531" s="968"/>
      <c r="R531" s="968">
        <f t="shared" si="145"/>
        <v>7711695.71</v>
      </c>
      <c r="S531" s="968">
        <v>4500000</v>
      </c>
      <c r="T531" s="968">
        <v>4500000</v>
      </c>
      <c r="U531" s="968">
        <v>4500000</v>
      </c>
      <c r="V531" s="968">
        <v>4405359.41</v>
      </c>
      <c r="W531" s="968"/>
      <c r="X531" s="968">
        <f t="shared" si="142"/>
        <v>4405359.41</v>
      </c>
      <c r="Y531" s="1145">
        <v>4356000</v>
      </c>
      <c r="Z531" s="1145">
        <v>5646000</v>
      </c>
      <c r="AA531" s="1145">
        <v>5614000</v>
      </c>
      <c r="AB531" s="1145">
        <v>4249402.9400000004</v>
      </c>
      <c r="AC531" s="1145"/>
      <c r="AD531" s="1145">
        <f t="shared" si="146"/>
        <v>4249402.9400000004</v>
      </c>
    </row>
    <row r="532" spans="1:30" x14ac:dyDescent="0.2">
      <c r="A532" s="928">
        <v>8051</v>
      </c>
      <c r="B532" s="928" t="s">
        <v>965</v>
      </c>
      <c r="C532" s="968">
        <v>80100</v>
      </c>
      <c r="D532" s="968">
        <v>33877.24</v>
      </c>
      <c r="E532" s="968"/>
      <c r="F532" s="968">
        <f t="shared" si="147"/>
        <v>33877.24</v>
      </c>
      <c r="G532" s="968">
        <v>95580</v>
      </c>
      <c r="H532" s="968">
        <v>95580</v>
      </c>
      <c r="I532" s="968">
        <v>95580</v>
      </c>
      <c r="J532" s="968">
        <v>27792.49</v>
      </c>
      <c r="K532" s="968"/>
      <c r="L532" s="968">
        <f t="shared" si="144"/>
        <v>27792.49</v>
      </c>
      <c r="M532" s="974">
        <v>75580</v>
      </c>
      <c r="N532" s="974">
        <v>75580</v>
      </c>
      <c r="O532" s="974">
        <v>45580</v>
      </c>
      <c r="P532" s="968">
        <v>17773.63</v>
      </c>
      <c r="Q532" s="968"/>
      <c r="R532" s="968">
        <f t="shared" si="145"/>
        <v>17773.63</v>
      </c>
      <c r="S532" s="968">
        <v>75580</v>
      </c>
      <c r="T532" s="968">
        <v>75580</v>
      </c>
      <c r="U532" s="968">
        <v>44390</v>
      </c>
      <c r="V532" s="968">
        <v>39335.449999999997</v>
      </c>
      <c r="W532" s="968"/>
      <c r="X532" s="968">
        <f t="shared" si="142"/>
        <v>39335.449999999997</v>
      </c>
      <c r="Y532" s="1145">
        <v>73161</v>
      </c>
      <c r="Z532" s="1145">
        <v>53161</v>
      </c>
      <c r="AA532" s="1145">
        <v>23161</v>
      </c>
      <c r="AB532" s="1145">
        <v>7017.83</v>
      </c>
      <c r="AC532" s="1145"/>
      <c r="AD532" s="1145">
        <f t="shared" si="146"/>
        <v>7017.83</v>
      </c>
    </row>
    <row r="533" spans="1:30" x14ac:dyDescent="0.2">
      <c r="A533" s="928">
        <v>8052</v>
      </c>
      <c r="B533" s="928" t="s">
        <v>1333</v>
      </c>
      <c r="C533" s="968">
        <v>0</v>
      </c>
      <c r="D533" s="968">
        <v>0</v>
      </c>
      <c r="E533" s="968"/>
      <c r="F533" s="968">
        <f t="shared" si="147"/>
        <v>0</v>
      </c>
      <c r="G533" s="968">
        <v>600000</v>
      </c>
      <c r="H533" s="968">
        <v>600000</v>
      </c>
      <c r="I533" s="968">
        <v>600000</v>
      </c>
      <c r="J533" s="968">
        <v>211728.85</v>
      </c>
      <c r="K533" s="968"/>
      <c r="L533" s="968">
        <f t="shared" si="144"/>
        <v>211728.85</v>
      </c>
      <c r="M533" s="974"/>
      <c r="N533" s="974"/>
      <c r="O533" s="974"/>
      <c r="P533" s="968">
        <v>0</v>
      </c>
      <c r="Q533" s="968"/>
      <c r="R533" s="968">
        <f t="shared" si="145"/>
        <v>0</v>
      </c>
      <c r="S533" s="968"/>
      <c r="T533" s="968"/>
      <c r="U533" s="968">
        <v>4810</v>
      </c>
      <c r="V533" s="968">
        <v>4809.2700000000004</v>
      </c>
      <c r="W533" s="968"/>
      <c r="X533" s="968">
        <f t="shared" si="142"/>
        <v>4809.2700000000004</v>
      </c>
      <c r="Y533" s="1145"/>
      <c r="Z533" s="1145"/>
      <c r="AA533" s="1145"/>
      <c r="AB533" s="1145"/>
      <c r="AC533" s="1145"/>
      <c r="AD533" s="1145">
        <f t="shared" si="146"/>
        <v>0</v>
      </c>
    </row>
    <row r="534" spans="1:30" x14ac:dyDescent="0.2">
      <c r="A534" s="928">
        <v>8053</v>
      </c>
      <c r="B534" s="928" t="s">
        <v>1334</v>
      </c>
      <c r="C534" s="968">
        <v>14500</v>
      </c>
      <c r="D534" s="968">
        <v>0</v>
      </c>
      <c r="E534" s="968"/>
      <c r="F534" s="968">
        <f t="shared" si="147"/>
        <v>0</v>
      </c>
      <c r="G534" s="968">
        <v>15370</v>
      </c>
      <c r="H534" s="968">
        <v>15370</v>
      </c>
      <c r="I534" s="968">
        <v>15370</v>
      </c>
      <c r="J534" s="968">
        <v>0</v>
      </c>
      <c r="K534" s="968"/>
      <c r="L534" s="968">
        <f t="shared" si="144"/>
        <v>0</v>
      </c>
      <c r="M534" s="974">
        <v>15370</v>
      </c>
      <c r="N534" s="974">
        <v>15370</v>
      </c>
      <c r="O534" s="974">
        <v>15370</v>
      </c>
      <c r="P534" s="968">
        <v>0</v>
      </c>
      <c r="Q534" s="968"/>
      <c r="R534" s="968">
        <f t="shared" si="145"/>
        <v>0</v>
      </c>
      <c r="S534" s="968">
        <v>15070</v>
      </c>
      <c r="T534" s="968">
        <v>15070</v>
      </c>
      <c r="U534" s="968">
        <v>15070</v>
      </c>
      <c r="V534" s="968"/>
      <c r="W534" s="968"/>
      <c r="X534" s="968">
        <f t="shared" ref="X534:X598" si="148">V534+W534</f>
        <v>0</v>
      </c>
      <c r="Y534" s="1145"/>
      <c r="Z534" s="1145"/>
      <c r="AA534" s="1145"/>
      <c r="AB534" s="1145"/>
      <c r="AC534" s="1145"/>
      <c r="AD534" s="1145">
        <f t="shared" si="146"/>
        <v>0</v>
      </c>
    </row>
    <row r="535" spans="1:30" x14ac:dyDescent="0.2">
      <c r="A535" s="928">
        <v>8055</v>
      </c>
      <c r="B535" s="928" t="s">
        <v>678</v>
      </c>
      <c r="C535" s="968">
        <v>21000</v>
      </c>
      <c r="D535" s="968">
        <v>17718.080000000002</v>
      </c>
      <c r="E535" s="968"/>
      <c r="F535" s="968">
        <f t="shared" si="147"/>
        <v>17718.080000000002</v>
      </c>
      <c r="G535" s="968">
        <v>22260</v>
      </c>
      <c r="H535" s="968">
        <v>22260</v>
      </c>
      <c r="I535" s="968">
        <v>22260</v>
      </c>
      <c r="J535" s="968">
        <v>7632.15</v>
      </c>
      <c r="K535" s="968"/>
      <c r="L535" s="968">
        <f t="shared" si="144"/>
        <v>7632.15</v>
      </c>
      <c r="M535" s="974">
        <v>22260</v>
      </c>
      <c r="N535" s="974">
        <v>22260</v>
      </c>
      <c r="O535" s="974">
        <v>22260</v>
      </c>
      <c r="P535" s="968">
        <v>3781.1</v>
      </c>
      <c r="Q535" s="968"/>
      <c r="R535" s="968">
        <f t="shared" si="145"/>
        <v>3781.1</v>
      </c>
      <c r="S535" s="968">
        <v>22260</v>
      </c>
      <c r="T535" s="968">
        <v>22260</v>
      </c>
      <c r="U535" s="968">
        <v>22260</v>
      </c>
      <c r="V535" s="968">
        <v>6823.73</v>
      </c>
      <c r="W535" s="968"/>
      <c r="X535" s="968">
        <f t="shared" si="148"/>
        <v>6823.73</v>
      </c>
      <c r="Y535" s="1145">
        <v>11286</v>
      </c>
      <c r="Z535" s="1145">
        <v>4286</v>
      </c>
      <c r="AA535" s="1145">
        <v>6175</v>
      </c>
      <c r="AB535" s="1145">
        <v>6174.16</v>
      </c>
      <c r="AC535" s="1145"/>
      <c r="AD535" s="1145">
        <f t="shared" si="146"/>
        <v>6174.16</v>
      </c>
    </row>
    <row r="536" spans="1:30" x14ac:dyDescent="0.2">
      <c r="A536" s="928">
        <v>8057</v>
      </c>
      <c r="B536" s="928" t="s">
        <v>2962</v>
      </c>
      <c r="C536" s="968"/>
      <c r="D536" s="968"/>
      <c r="E536" s="968"/>
      <c r="F536" s="968"/>
      <c r="G536" s="968"/>
      <c r="H536" s="968">
        <v>3000000</v>
      </c>
      <c r="I536" s="968">
        <v>6000000</v>
      </c>
      <c r="J536" s="968">
        <v>0</v>
      </c>
      <c r="K536" s="968"/>
      <c r="L536" s="968">
        <f t="shared" si="144"/>
        <v>0</v>
      </c>
      <c r="M536" s="974"/>
      <c r="N536" s="974"/>
      <c r="O536" s="974"/>
      <c r="P536" s="968">
        <v>0</v>
      </c>
      <c r="Q536" s="968"/>
      <c r="R536" s="968">
        <f t="shared" si="145"/>
        <v>0</v>
      </c>
      <c r="S536" s="968"/>
      <c r="T536" s="968"/>
      <c r="U536" s="968"/>
      <c r="V536" s="968"/>
      <c r="W536" s="968"/>
      <c r="X536" s="968">
        <f t="shared" si="148"/>
        <v>0</v>
      </c>
      <c r="Y536" s="1145"/>
      <c r="Z536" s="1145"/>
      <c r="AA536" s="1145"/>
      <c r="AB536" s="1145"/>
      <c r="AC536" s="1145"/>
      <c r="AD536" s="1145">
        <f t="shared" si="146"/>
        <v>0</v>
      </c>
    </row>
    <row r="537" spans="1:30" x14ac:dyDescent="0.2">
      <c r="A537" s="928">
        <v>8059</v>
      </c>
      <c r="B537" s="928" t="s">
        <v>235</v>
      </c>
      <c r="C537" s="968">
        <v>1500000</v>
      </c>
      <c r="D537" s="968">
        <v>713371.14</v>
      </c>
      <c r="E537" s="968"/>
      <c r="F537" s="968">
        <f t="shared" si="147"/>
        <v>713371.14</v>
      </c>
      <c r="G537" s="968">
        <v>2000000</v>
      </c>
      <c r="H537" s="968">
        <f>2000000-500000</f>
        <v>1500000</v>
      </c>
      <c r="I537" s="968">
        <v>1500000</v>
      </c>
      <c r="J537" s="968">
        <v>1065030.6299999999</v>
      </c>
      <c r="K537" s="968"/>
      <c r="L537" s="968">
        <f t="shared" si="144"/>
        <v>1065030.6299999999</v>
      </c>
      <c r="M537" s="974">
        <v>1500000</v>
      </c>
      <c r="N537" s="974">
        <v>1500000</v>
      </c>
      <c r="O537" s="974">
        <v>1481000</v>
      </c>
      <c r="P537" s="968">
        <v>852600.55</v>
      </c>
      <c r="Q537" s="968"/>
      <c r="R537" s="968">
        <f t="shared" si="145"/>
        <v>852600.55</v>
      </c>
      <c r="S537" s="968">
        <v>1300000</v>
      </c>
      <c r="T537" s="968">
        <v>1300000</v>
      </c>
      <c r="U537" s="968">
        <v>760000</v>
      </c>
      <c r="V537" s="968">
        <v>547944.71</v>
      </c>
      <c r="W537" s="968"/>
      <c r="X537" s="968">
        <f t="shared" si="148"/>
        <v>547944.71</v>
      </c>
      <c r="Y537" s="1145">
        <v>1258400</v>
      </c>
      <c r="Z537" s="1145">
        <v>63400</v>
      </c>
      <c r="AA537" s="1145">
        <v>23400</v>
      </c>
      <c r="AB537" s="1145">
        <v>12932</v>
      </c>
      <c r="AC537" s="1145"/>
      <c r="AD537" s="1145">
        <f t="shared" si="146"/>
        <v>12932</v>
      </c>
    </row>
    <row r="538" spans="1:30" x14ac:dyDescent="0.2">
      <c r="A538" s="928">
        <v>8061</v>
      </c>
      <c r="B538" s="928" t="s">
        <v>999</v>
      </c>
      <c r="C538" s="968">
        <v>275610</v>
      </c>
      <c r="D538" s="968">
        <v>158614.47</v>
      </c>
      <c r="E538" s="968"/>
      <c r="F538" s="968">
        <f t="shared" si="147"/>
        <v>158614.47</v>
      </c>
      <c r="G538" s="968">
        <v>221495</v>
      </c>
      <c r="H538" s="968">
        <v>221495</v>
      </c>
      <c r="I538" s="968">
        <v>221495</v>
      </c>
      <c r="J538" s="968">
        <v>97673.68</v>
      </c>
      <c r="K538" s="968"/>
      <c r="L538" s="968">
        <f t="shared" si="144"/>
        <v>97673.68</v>
      </c>
      <c r="M538" s="974">
        <v>325430</v>
      </c>
      <c r="N538" s="974">
        <v>325430</v>
      </c>
      <c r="O538" s="974">
        <v>325430</v>
      </c>
      <c r="P538" s="968">
        <v>100467.26</v>
      </c>
      <c r="Q538" s="968"/>
      <c r="R538" s="968">
        <f t="shared" si="145"/>
        <v>100467.26</v>
      </c>
      <c r="S538" s="968">
        <v>326730</v>
      </c>
      <c r="T538" s="968">
        <v>326730</v>
      </c>
      <c r="U538" s="968">
        <v>341245</v>
      </c>
      <c r="V538" s="968">
        <v>115755.42</v>
      </c>
      <c r="W538" s="968"/>
      <c r="X538" s="968">
        <f t="shared" si="148"/>
        <v>115755.42</v>
      </c>
      <c r="Y538" s="1145">
        <v>328829</v>
      </c>
      <c r="Z538" s="1145">
        <v>430429</v>
      </c>
      <c r="AA538" s="1145">
        <v>464745</v>
      </c>
      <c r="AB538" s="1145">
        <v>336074.7</v>
      </c>
      <c r="AC538" s="1145"/>
      <c r="AD538" s="1145">
        <f t="shared" si="146"/>
        <v>336074.7</v>
      </c>
    </row>
    <row r="539" spans="1:30" x14ac:dyDescent="0.2">
      <c r="A539" s="928">
        <v>8063</v>
      </c>
      <c r="B539" s="928" t="s">
        <v>1335</v>
      </c>
      <c r="C539" s="968">
        <v>350000</v>
      </c>
      <c r="D539" s="968">
        <v>347748.51</v>
      </c>
      <c r="E539" s="968"/>
      <c r="F539" s="968">
        <f t="shared" si="147"/>
        <v>347748.51</v>
      </c>
      <c r="G539" s="968">
        <v>371000</v>
      </c>
      <c r="H539" s="968">
        <v>371000</v>
      </c>
      <c r="I539" s="968">
        <v>371000</v>
      </c>
      <c r="J539" s="968">
        <v>324656.05</v>
      </c>
      <c r="K539" s="968"/>
      <c r="L539" s="968">
        <f t="shared" si="144"/>
        <v>324656.05</v>
      </c>
      <c r="M539" s="974">
        <v>371000</v>
      </c>
      <c r="N539" s="974">
        <v>371000</v>
      </c>
      <c r="O539" s="974">
        <v>2051900</v>
      </c>
      <c r="P539" s="968">
        <v>2051885.95</v>
      </c>
      <c r="Q539" s="968"/>
      <c r="R539" s="968">
        <f t="shared" si="145"/>
        <v>2051885.95</v>
      </c>
      <c r="S539" s="968">
        <v>358000</v>
      </c>
      <c r="T539" s="968">
        <v>358000</v>
      </c>
      <c r="U539" s="968">
        <v>358000</v>
      </c>
      <c r="V539" s="968">
        <v>290020.37</v>
      </c>
      <c r="W539" s="968"/>
      <c r="X539" s="968">
        <f t="shared" si="148"/>
        <v>290020.37</v>
      </c>
      <c r="Y539" s="1145">
        <v>346544</v>
      </c>
      <c r="Z539" s="1145">
        <v>336544</v>
      </c>
      <c r="AA539" s="1145">
        <v>336544</v>
      </c>
      <c r="AB539" s="1145">
        <v>311253.09999999998</v>
      </c>
      <c r="AC539" s="1145"/>
      <c r="AD539" s="1145">
        <f t="shared" si="146"/>
        <v>311253.09999999998</v>
      </c>
    </row>
    <row r="540" spans="1:30" x14ac:dyDescent="0.2">
      <c r="A540" s="928">
        <v>8065</v>
      </c>
      <c r="B540" s="928" t="s">
        <v>228</v>
      </c>
      <c r="C540" s="968">
        <v>67560</v>
      </c>
      <c r="D540" s="968">
        <v>2738.2</v>
      </c>
      <c r="E540" s="968"/>
      <c r="F540" s="968">
        <f t="shared" si="147"/>
        <v>2738.2</v>
      </c>
      <c r="G540" s="968">
        <v>60000</v>
      </c>
      <c r="H540" s="968">
        <v>60000</v>
      </c>
      <c r="I540" s="968">
        <v>60000</v>
      </c>
      <c r="J540" s="968">
        <v>13306.85</v>
      </c>
      <c r="K540" s="968"/>
      <c r="L540" s="968">
        <f t="shared" si="144"/>
        <v>13306.85</v>
      </c>
      <c r="M540" s="974">
        <v>60000</v>
      </c>
      <c r="N540" s="974">
        <v>60000</v>
      </c>
      <c r="O540" s="974">
        <v>60000</v>
      </c>
      <c r="P540" s="968">
        <v>2525.11</v>
      </c>
      <c r="Q540" s="968"/>
      <c r="R540" s="968">
        <f t="shared" si="145"/>
        <v>2525.11</v>
      </c>
      <c r="S540" s="968">
        <v>52000</v>
      </c>
      <c r="T540" s="968">
        <v>52000</v>
      </c>
      <c r="U540" s="968">
        <v>30190</v>
      </c>
      <c r="V540" s="968">
        <v>30183.7</v>
      </c>
      <c r="W540" s="968"/>
      <c r="X540" s="968">
        <f t="shared" si="148"/>
        <v>30183.7</v>
      </c>
      <c r="Y540" s="1145">
        <v>50336</v>
      </c>
      <c r="Z540" s="1145">
        <v>11616</v>
      </c>
      <c r="AA540" s="1145">
        <v>260322</v>
      </c>
      <c r="AB540" s="1145">
        <v>260321.28</v>
      </c>
      <c r="AC540" s="1145"/>
      <c r="AD540" s="1145">
        <f t="shared" si="146"/>
        <v>260321.28</v>
      </c>
    </row>
    <row r="541" spans="1:30" x14ac:dyDescent="0.2">
      <c r="A541" s="928">
        <v>8067</v>
      </c>
      <c r="B541" s="928" t="s">
        <v>1336</v>
      </c>
      <c r="C541" s="968">
        <v>1424948</v>
      </c>
      <c r="D541" s="968">
        <v>1685370.35</v>
      </c>
      <c r="E541" s="968"/>
      <c r="F541" s="968">
        <f t="shared" si="147"/>
        <v>1685370.35</v>
      </c>
      <c r="G541" s="968">
        <v>3539340</v>
      </c>
      <c r="H541" s="968">
        <v>3539340</v>
      </c>
      <c r="I541" s="968">
        <v>3117540</v>
      </c>
      <c r="J541" s="968">
        <v>2548592.75</v>
      </c>
      <c r="K541" s="968"/>
      <c r="L541" s="968">
        <f t="shared" si="144"/>
        <v>2548592.75</v>
      </c>
      <c r="M541" s="974">
        <v>3029340</v>
      </c>
      <c r="N541" s="974">
        <v>3029340</v>
      </c>
      <c r="O541" s="974">
        <v>524840</v>
      </c>
      <c r="P541" s="968">
        <v>476305.93</v>
      </c>
      <c r="Q541" s="968"/>
      <c r="R541" s="968">
        <f t="shared" si="145"/>
        <v>476305.93</v>
      </c>
      <c r="S541" s="968">
        <v>3000000</v>
      </c>
      <c r="T541" s="968">
        <v>3000000</v>
      </c>
      <c r="U541" s="968">
        <v>1700000</v>
      </c>
      <c r="V541" s="968">
        <v>1673734.87</v>
      </c>
      <c r="W541" s="968"/>
      <c r="X541" s="968">
        <f t="shared" si="148"/>
        <v>1673734.87</v>
      </c>
      <c r="Y541" s="1145">
        <v>2904000</v>
      </c>
      <c r="Z541" s="1145">
        <v>2904000</v>
      </c>
      <c r="AA541" s="1145">
        <v>2320126</v>
      </c>
      <c r="AB541" s="1145">
        <v>2232050.64</v>
      </c>
      <c r="AC541" s="1145"/>
      <c r="AD541" s="1145">
        <f t="shared" si="146"/>
        <v>2232050.64</v>
      </c>
    </row>
    <row r="542" spans="1:30" x14ac:dyDescent="0.2">
      <c r="A542" s="928">
        <v>8069</v>
      </c>
      <c r="B542" s="928" t="s">
        <v>995</v>
      </c>
      <c r="C542" s="968">
        <v>50000</v>
      </c>
      <c r="D542" s="968">
        <v>8000</v>
      </c>
      <c r="E542" s="968"/>
      <c r="F542" s="968">
        <f t="shared" ref="F542:F586" si="149">D542+E542</f>
        <v>8000</v>
      </c>
      <c r="G542" s="968">
        <v>53000</v>
      </c>
      <c r="H542" s="968">
        <v>53000</v>
      </c>
      <c r="I542" s="968">
        <v>53000</v>
      </c>
      <c r="J542" s="968">
        <v>9500</v>
      </c>
      <c r="K542" s="968"/>
      <c r="L542" s="968">
        <f t="shared" si="144"/>
        <v>9500</v>
      </c>
      <c r="M542" s="974">
        <v>53000</v>
      </c>
      <c r="N542" s="974">
        <v>53000</v>
      </c>
      <c r="O542" s="974">
        <v>53000</v>
      </c>
      <c r="P542" s="968">
        <v>46342.55</v>
      </c>
      <c r="Q542" s="968"/>
      <c r="R542" s="968">
        <f t="shared" si="145"/>
        <v>46342.55</v>
      </c>
      <c r="S542" s="968">
        <v>20000</v>
      </c>
      <c r="T542" s="968">
        <v>20000</v>
      </c>
      <c r="U542" s="968">
        <v>0</v>
      </c>
      <c r="V542" s="968"/>
      <c r="W542" s="968"/>
      <c r="X542" s="968">
        <f t="shared" si="148"/>
        <v>0</v>
      </c>
      <c r="Y542" s="1145">
        <v>19360</v>
      </c>
      <c r="Z542" s="1145"/>
      <c r="AA542" s="1145"/>
      <c r="AB542" s="1145"/>
      <c r="AC542" s="1145"/>
      <c r="AD542" s="1145">
        <f t="shared" si="146"/>
        <v>0</v>
      </c>
    </row>
    <row r="543" spans="1:30" x14ac:dyDescent="0.2">
      <c r="A543" s="928">
        <v>8071</v>
      </c>
      <c r="B543" s="928" t="s">
        <v>1337</v>
      </c>
      <c r="C543" s="968">
        <v>159000</v>
      </c>
      <c r="D543" s="968">
        <v>131572.94</v>
      </c>
      <c r="E543" s="968"/>
      <c r="F543" s="968">
        <f t="shared" si="149"/>
        <v>131572.94</v>
      </c>
      <c r="G543" s="968">
        <v>168540</v>
      </c>
      <c r="H543" s="968">
        <v>168540</v>
      </c>
      <c r="I543" s="968">
        <v>168540</v>
      </c>
      <c r="J543" s="968">
        <v>148374.74</v>
      </c>
      <c r="K543" s="968"/>
      <c r="L543" s="968">
        <f t="shared" si="144"/>
        <v>148374.74</v>
      </c>
      <c r="M543" s="974">
        <v>168540</v>
      </c>
      <c r="N543" s="974">
        <v>168540</v>
      </c>
      <c r="O543" s="974">
        <v>193540</v>
      </c>
      <c r="P543" s="968">
        <v>134808.71</v>
      </c>
      <c r="Q543" s="968"/>
      <c r="R543" s="968">
        <f t="shared" si="145"/>
        <v>134808.71</v>
      </c>
      <c r="S543" s="968">
        <v>168540</v>
      </c>
      <c r="T543" s="968">
        <v>168540</v>
      </c>
      <c r="U543" s="968">
        <v>174690</v>
      </c>
      <c r="V543" s="968">
        <v>174685.59</v>
      </c>
      <c r="W543" s="968"/>
      <c r="X543" s="968">
        <f t="shared" si="148"/>
        <v>174685.59</v>
      </c>
      <c r="Y543" s="1145">
        <v>163147</v>
      </c>
      <c r="Z543" s="1145">
        <v>163147</v>
      </c>
      <c r="AA543" s="1145">
        <v>199147</v>
      </c>
      <c r="AB543" s="1145">
        <v>192380.31</v>
      </c>
      <c r="AC543" s="1145"/>
      <c r="AD543" s="1145">
        <f t="shared" si="146"/>
        <v>192380.31</v>
      </c>
    </row>
    <row r="544" spans="1:30" x14ac:dyDescent="0.2">
      <c r="A544" s="928">
        <v>8073</v>
      </c>
      <c r="B544" s="928" t="s">
        <v>485</v>
      </c>
      <c r="C544" s="968">
        <v>12252228</v>
      </c>
      <c r="D544" s="968">
        <v>8256307.1900000004</v>
      </c>
      <c r="E544" s="968"/>
      <c r="F544" s="968">
        <f t="shared" si="149"/>
        <v>8256307.1900000004</v>
      </c>
      <c r="G544" s="968">
        <v>10919100</v>
      </c>
      <c r="H544" s="968">
        <f>10919100+600000-1500000</f>
        <v>10019100</v>
      </c>
      <c r="I544" s="968">
        <v>10851810</v>
      </c>
      <c r="J544" s="968">
        <v>7325931.7800000003</v>
      </c>
      <c r="K544" s="968"/>
      <c r="L544" s="968">
        <f t="shared" si="144"/>
        <v>7325931.7800000003</v>
      </c>
      <c r="M544" s="974">
        <v>12456810</v>
      </c>
      <c r="N544" s="974">
        <f>12456810-350000-455000+250000</f>
        <v>11901810</v>
      </c>
      <c r="O544" s="974">
        <v>4551810</v>
      </c>
      <c r="P544" s="968">
        <v>3685847.33</v>
      </c>
      <c r="Q544" s="968"/>
      <c r="R544" s="968">
        <f t="shared" si="145"/>
        <v>3685847.33</v>
      </c>
      <c r="S544" s="968">
        <v>6258210</v>
      </c>
      <c r="T544" s="968">
        <v>6258210</v>
      </c>
      <c r="U544" s="968">
        <v>3637710</v>
      </c>
      <c r="V544" s="968">
        <v>3637635.24</v>
      </c>
      <c r="W544" s="968"/>
      <c r="X544" s="968">
        <f t="shared" si="148"/>
        <v>3637635.24</v>
      </c>
      <c r="Y544" s="1145">
        <v>6043428</v>
      </c>
      <c r="Z544" s="1145">
        <v>5233428</v>
      </c>
      <c r="AA544" s="1145">
        <v>6795910</v>
      </c>
      <c r="AB544" s="1145">
        <v>6330034.6200000001</v>
      </c>
      <c r="AC544" s="1145"/>
      <c r="AD544" s="1145">
        <f t="shared" si="146"/>
        <v>6330034.6200000001</v>
      </c>
    </row>
    <row r="545" spans="1:30" x14ac:dyDescent="0.2">
      <c r="A545" s="928">
        <v>8075</v>
      </c>
      <c r="B545" s="928" t="s">
        <v>865</v>
      </c>
      <c r="C545" s="968">
        <v>975</v>
      </c>
      <c r="D545" s="968">
        <v>686.46</v>
      </c>
      <c r="E545" s="968"/>
      <c r="F545" s="968">
        <f t="shared" si="149"/>
        <v>686.46</v>
      </c>
      <c r="G545" s="968">
        <v>1035</v>
      </c>
      <c r="H545" s="968">
        <v>1035</v>
      </c>
      <c r="I545" s="968">
        <v>1035</v>
      </c>
      <c r="J545" s="968">
        <v>0</v>
      </c>
      <c r="K545" s="968"/>
      <c r="L545" s="968">
        <f t="shared" si="144"/>
        <v>0</v>
      </c>
      <c r="M545" s="974">
        <v>1035</v>
      </c>
      <c r="N545" s="974">
        <v>1035</v>
      </c>
      <c r="O545" s="974">
        <v>1035</v>
      </c>
      <c r="P545" s="968">
        <v>0</v>
      </c>
      <c r="Q545" s="968"/>
      <c r="R545" s="968">
        <f t="shared" si="145"/>
        <v>0</v>
      </c>
      <c r="S545" s="968">
        <v>1035</v>
      </c>
      <c r="T545" s="968">
        <v>1035</v>
      </c>
      <c r="U545" s="968">
        <v>1035</v>
      </c>
      <c r="V545" s="968"/>
      <c r="W545" s="968"/>
      <c r="X545" s="968">
        <f t="shared" si="148"/>
        <v>0</v>
      </c>
      <c r="Y545" s="1145">
        <v>764</v>
      </c>
      <c r="Z545" s="1145">
        <v>764</v>
      </c>
      <c r="AA545" s="1145">
        <v>764</v>
      </c>
      <c r="AB545" s="1145"/>
      <c r="AC545" s="1145"/>
      <c r="AD545" s="1145">
        <f t="shared" si="146"/>
        <v>0</v>
      </c>
    </row>
    <row r="546" spans="1:30" x14ac:dyDescent="0.2">
      <c r="A546" s="928">
        <v>8081</v>
      </c>
      <c r="B546" s="928" t="s">
        <v>1338</v>
      </c>
      <c r="C546" s="968">
        <v>422940</v>
      </c>
      <c r="D546" s="968">
        <v>567038.39</v>
      </c>
      <c r="E546" s="968"/>
      <c r="F546" s="968">
        <f t="shared" si="149"/>
        <v>567038.39</v>
      </c>
      <c r="G546" s="968">
        <v>448315</v>
      </c>
      <c r="H546" s="968">
        <f>448315+150000</f>
        <v>598315</v>
      </c>
      <c r="I546" s="968">
        <v>598315</v>
      </c>
      <c r="J546" s="968">
        <v>502467.32</v>
      </c>
      <c r="K546" s="968"/>
      <c r="L546" s="968">
        <f t="shared" si="144"/>
        <v>502467.32</v>
      </c>
      <c r="M546" s="974">
        <v>798315</v>
      </c>
      <c r="N546" s="974">
        <v>798315</v>
      </c>
      <c r="O546" s="974">
        <v>758315</v>
      </c>
      <c r="P546" s="968">
        <v>437793.28000000003</v>
      </c>
      <c r="Q546" s="968"/>
      <c r="R546" s="968">
        <f t="shared" si="145"/>
        <v>437793.28000000003</v>
      </c>
      <c r="S546" s="968">
        <v>600000</v>
      </c>
      <c r="T546" s="968">
        <v>600000</v>
      </c>
      <c r="U546" s="968">
        <f>800000+180000</f>
        <v>980000</v>
      </c>
      <c r="V546" s="968">
        <f>777083.12+198648.69</f>
        <v>975731.81</v>
      </c>
      <c r="W546" s="968"/>
      <c r="X546" s="968">
        <f t="shared" si="148"/>
        <v>975731.81</v>
      </c>
      <c r="Y546" s="1145">
        <v>580800</v>
      </c>
      <c r="Z546" s="1145">
        <v>580800</v>
      </c>
      <c r="AA546" s="1145">
        <v>580800</v>
      </c>
      <c r="AB546" s="1145">
        <v>529729.84</v>
      </c>
      <c r="AC546" s="1145"/>
      <c r="AD546" s="1145">
        <f t="shared" si="146"/>
        <v>529729.84</v>
      </c>
    </row>
    <row r="547" spans="1:30" x14ac:dyDescent="0.2">
      <c r="A547" s="928">
        <v>8083</v>
      </c>
      <c r="B547" s="928" t="s">
        <v>1339</v>
      </c>
      <c r="C547" s="968">
        <v>4000</v>
      </c>
      <c r="D547" s="968">
        <v>2469</v>
      </c>
      <c r="E547" s="968"/>
      <c r="F547" s="968">
        <f t="shared" si="149"/>
        <v>2469</v>
      </c>
      <c r="G547" s="968">
        <v>4240</v>
      </c>
      <c r="H547" s="968">
        <v>4240</v>
      </c>
      <c r="I547" s="968">
        <v>4240</v>
      </c>
      <c r="J547" s="968">
        <v>3131</v>
      </c>
      <c r="K547" s="968"/>
      <c r="L547" s="968">
        <f t="shared" si="144"/>
        <v>3131</v>
      </c>
      <c r="M547" s="974">
        <v>4240</v>
      </c>
      <c r="N547" s="974">
        <v>4240</v>
      </c>
      <c r="O547" s="974">
        <v>4240</v>
      </c>
      <c r="P547" s="968">
        <v>2685</v>
      </c>
      <c r="Q547" s="968"/>
      <c r="R547" s="968">
        <f t="shared" si="145"/>
        <v>2685</v>
      </c>
      <c r="S547" s="968">
        <v>4240</v>
      </c>
      <c r="T547" s="968">
        <v>4240</v>
      </c>
      <c r="U547" s="968">
        <v>4240</v>
      </c>
      <c r="V547" s="968">
        <v>2850</v>
      </c>
      <c r="W547" s="968"/>
      <c r="X547" s="968">
        <f t="shared" si="148"/>
        <v>2850</v>
      </c>
      <c r="Y547" s="1145">
        <v>4104</v>
      </c>
      <c r="Z547" s="1145">
        <v>4104</v>
      </c>
      <c r="AA547" s="1145">
        <v>4104</v>
      </c>
      <c r="AB547" s="1145">
        <v>1490</v>
      </c>
      <c r="AC547" s="1145"/>
      <c r="AD547" s="1145">
        <f t="shared" si="146"/>
        <v>1490</v>
      </c>
    </row>
    <row r="548" spans="1:30" x14ac:dyDescent="0.2">
      <c r="A548" s="928">
        <v>8085</v>
      </c>
      <c r="B548" s="928" t="s">
        <v>967</v>
      </c>
      <c r="C548" s="968">
        <v>56000</v>
      </c>
      <c r="D548" s="968">
        <v>34871.51</v>
      </c>
      <c r="E548" s="968"/>
      <c r="F548" s="968">
        <f t="shared" si="149"/>
        <v>34871.51</v>
      </c>
      <c r="G548" s="968">
        <v>59360</v>
      </c>
      <c r="H548" s="968">
        <v>59360</v>
      </c>
      <c r="I548" s="968">
        <v>59360</v>
      </c>
      <c r="J548" s="968">
        <v>40780.5</v>
      </c>
      <c r="K548" s="968"/>
      <c r="L548" s="968">
        <f t="shared" si="144"/>
        <v>40780.5</v>
      </c>
      <c r="M548" s="974">
        <v>59360</v>
      </c>
      <c r="N548" s="974">
        <v>59360</v>
      </c>
      <c r="O548" s="974">
        <v>59360</v>
      </c>
      <c r="P548" s="968">
        <v>2042</v>
      </c>
      <c r="Q548" s="968"/>
      <c r="R548" s="968">
        <f t="shared" si="145"/>
        <v>2042</v>
      </c>
      <c r="S548" s="968">
        <v>59360</v>
      </c>
      <c r="T548" s="968">
        <v>59360</v>
      </c>
      <c r="U548" s="968">
        <v>59360</v>
      </c>
      <c r="V548" s="968">
        <v>45150</v>
      </c>
      <c r="W548" s="968"/>
      <c r="X548" s="968">
        <f t="shared" si="148"/>
        <v>45150</v>
      </c>
      <c r="Y548" s="1145">
        <v>57460</v>
      </c>
      <c r="Z548" s="1145"/>
      <c r="AA548" s="1145">
        <v>12992</v>
      </c>
      <c r="AB548" s="1145">
        <v>12991.06</v>
      </c>
      <c r="AC548" s="1145"/>
      <c r="AD548" s="1145">
        <f t="shared" si="146"/>
        <v>12991.06</v>
      </c>
    </row>
    <row r="549" spans="1:30" x14ac:dyDescent="0.2">
      <c r="A549" s="928">
        <v>8086</v>
      </c>
      <c r="B549" s="928" t="s">
        <v>1340</v>
      </c>
      <c r="C549" s="968">
        <v>0</v>
      </c>
      <c r="D549" s="968">
        <v>0</v>
      </c>
      <c r="E549" s="968"/>
      <c r="F549" s="968">
        <f t="shared" si="149"/>
        <v>0</v>
      </c>
      <c r="G549" s="968">
        <v>40000</v>
      </c>
      <c r="H549" s="968">
        <v>40000</v>
      </c>
      <c r="I549" s="968">
        <v>40000</v>
      </c>
      <c r="J549" s="968">
        <v>37755.4</v>
      </c>
      <c r="K549" s="968"/>
      <c r="L549" s="968">
        <f t="shared" si="144"/>
        <v>37755.4</v>
      </c>
      <c r="M549" s="974">
        <v>60000</v>
      </c>
      <c r="N549" s="974">
        <v>60000</v>
      </c>
      <c r="O549" s="974">
        <v>60000</v>
      </c>
      <c r="P549" s="968">
        <v>47565.91</v>
      </c>
      <c r="Q549" s="968"/>
      <c r="R549" s="968">
        <f t="shared" si="145"/>
        <v>47565.91</v>
      </c>
      <c r="S549" s="968">
        <v>60000</v>
      </c>
      <c r="T549" s="968">
        <v>60000</v>
      </c>
      <c r="U549" s="968">
        <v>60000</v>
      </c>
      <c r="V549" s="968">
        <v>45892.1</v>
      </c>
      <c r="W549" s="968"/>
      <c r="X549" s="968">
        <f t="shared" si="148"/>
        <v>45892.1</v>
      </c>
      <c r="Y549" s="1145">
        <v>58080</v>
      </c>
      <c r="Z549" s="1145">
        <v>46080</v>
      </c>
      <c r="AA549" s="1145">
        <v>46080</v>
      </c>
      <c r="AB549" s="1145">
        <v>43217.9</v>
      </c>
      <c r="AC549" s="1145"/>
      <c r="AD549" s="1145">
        <f t="shared" si="146"/>
        <v>43217.9</v>
      </c>
    </row>
    <row r="550" spans="1:30" x14ac:dyDescent="0.2">
      <c r="A550" s="928">
        <v>8087</v>
      </c>
      <c r="B550" s="928" t="s">
        <v>1341</v>
      </c>
      <c r="C550" s="968">
        <v>250000</v>
      </c>
      <c r="D550" s="968">
        <v>166703.75</v>
      </c>
      <c r="E550" s="968"/>
      <c r="F550" s="968">
        <f t="shared" si="149"/>
        <v>166703.75</v>
      </c>
      <c r="G550" s="968">
        <v>530000</v>
      </c>
      <c r="H550" s="968">
        <v>530000</v>
      </c>
      <c r="I550" s="968">
        <v>530000</v>
      </c>
      <c r="J550" s="968">
        <v>265286.89</v>
      </c>
      <c r="K550" s="968"/>
      <c r="L550" s="968">
        <f t="shared" si="144"/>
        <v>265286.89</v>
      </c>
      <c r="M550" s="974">
        <v>430000</v>
      </c>
      <c r="N550" s="974">
        <v>430000</v>
      </c>
      <c r="O550" s="974">
        <v>430000</v>
      </c>
      <c r="P550" s="968">
        <v>318795.57</v>
      </c>
      <c r="Q550" s="968"/>
      <c r="R550" s="968">
        <f t="shared" si="145"/>
        <v>318795.57</v>
      </c>
      <c r="S550" s="968">
        <v>430000</v>
      </c>
      <c r="T550" s="968">
        <v>430000</v>
      </c>
      <c r="U550" s="968">
        <v>430000</v>
      </c>
      <c r="V550" s="968">
        <v>427820.26</v>
      </c>
      <c r="W550" s="968"/>
      <c r="X550" s="968">
        <f t="shared" si="148"/>
        <v>427820.26</v>
      </c>
      <c r="Y550" s="1145">
        <v>416240</v>
      </c>
      <c r="Z550" s="1145">
        <v>416240</v>
      </c>
      <c r="AA550" s="1145">
        <v>416240</v>
      </c>
      <c r="AB550" s="1145">
        <v>299611.39</v>
      </c>
      <c r="AC550" s="1145"/>
      <c r="AD550" s="1145">
        <f t="shared" si="146"/>
        <v>299611.39</v>
      </c>
    </row>
    <row r="551" spans="1:30" x14ac:dyDescent="0.2">
      <c r="A551" s="928">
        <v>8089</v>
      </c>
      <c r="B551" s="928" t="s">
        <v>457</v>
      </c>
      <c r="C551" s="968">
        <v>55000</v>
      </c>
      <c r="D551" s="968">
        <v>3553.76</v>
      </c>
      <c r="E551" s="968"/>
      <c r="F551" s="968">
        <f t="shared" si="149"/>
        <v>3553.76</v>
      </c>
      <c r="G551" s="968">
        <v>47800</v>
      </c>
      <c r="H551" s="968">
        <f>47800-31800</f>
        <v>16000</v>
      </c>
      <c r="I551" s="968">
        <v>16000</v>
      </c>
      <c r="J551" s="968">
        <v>234.61</v>
      </c>
      <c r="K551" s="968"/>
      <c r="L551" s="968">
        <f t="shared" si="144"/>
        <v>234.61</v>
      </c>
      <c r="M551" s="974">
        <v>16000</v>
      </c>
      <c r="N551" s="974">
        <v>16000</v>
      </c>
      <c r="O551" s="974">
        <v>16000</v>
      </c>
      <c r="P551" s="968">
        <v>1779.14</v>
      </c>
      <c r="Q551" s="968"/>
      <c r="R551" s="968">
        <f t="shared" si="145"/>
        <v>1779.14</v>
      </c>
      <c r="S551" s="968">
        <v>16000</v>
      </c>
      <c r="T551" s="968">
        <v>16000</v>
      </c>
      <c r="U551" s="968">
        <v>16000</v>
      </c>
      <c r="V551" s="968"/>
      <c r="W551" s="968"/>
      <c r="X551" s="968">
        <f t="shared" si="148"/>
        <v>0</v>
      </c>
      <c r="Y551" s="1145">
        <v>15488</v>
      </c>
      <c r="Z551" s="1145">
        <v>5488</v>
      </c>
      <c r="AA551" s="1145">
        <v>5488</v>
      </c>
      <c r="AB551" s="1145"/>
      <c r="AC551" s="1145"/>
      <c r="AD551" s="1145">
        <f t="shared" si="146"/>
        <v>0</v>
      </c>
    </row>
    <row r="552" spans="1:30" x14ac:dyDescent="0.2">
      <c r="A552" s="928">
        <v>8090</v>
      </c>
      <c r="B552" s="928" t="s">
        <v>3004</v>
      </c>
      <c r="C552" s="968"/>
      <c r="D552" s="968"/>
      <c r="E552" s="968"/>
      <c r="F552" s="968"/>
      <c r="G552" s="968"/>
      <c r="H552" s="968"/>
      <c r="I552" s="968"/>
      <c r="J552" s="968">
        <f>37034022.93+599911.92</f>
        <v>37633934.850000001</v>
      </c>
      <c r="K552" s="968"/>
      <c r="L552" s="968">
        <f t="shared" si="144"/>
        <v>37633934.850000001</v>
      </c>
      <c r="M552" s="974"/>
      <c r="N552" s="974">
        <f>33688700+3858000</f>
        <v>37546700</v>
      </c>
      <c r="O552" s="974">
        <f>33688700+3858000</f>
        <v>37546700</v>
      </c>
      <c r="P552" s="968">
        <v>23973165.18</v>
      </c>
      <c r="Q552" s="968"/>
      <c r="R552" s="968">
        <f t="shared" si="145"/>
        <v>23973165.18</v>
      </c>
      <c r="S552" s="968">
        <v>40000000</v>
      </c>
      <c r="T552" s="968">
        <f>40000000+16142000</f>
        <v>56142000</v>
      </c>
      <c r="U552" s="968">
        <f>40000000+16142000</f>
        <v>56142000</v>
      </c>
      <c r="V552" s="968">
        <v>40589826.049999997</v>
      </c>
      <c r="W552" s="968"/>
      <c r="X552" s="968">
        <f t="shared" si="148"/>
        <v>40589826.049999997</v>
      </c>
      <c r="Y552" s="1145">
        <v>37000000</v>
      </c>
      <c r="Z552" s="1145">
        <v>37000000</v>
      </c>
      <c r="AA552" s="1145">
        <v>29752228</v>
      </c>
      <c r="AB552" s="1145">
        <v>27162853.98</v>
      </c>
      <c r="AC552" s="1145"/>
      <c r="AD552" s="1145">
        <f t="shared" si="146"/>
        <v>27162853.98</v>
      </c>
    </row>
    <row r="553" spans="1:30" x14ac:dyDescent="0.2">
      <c r="A553" s="928">
        <v>8092</v>
      </c>
      <c r="B553" s="928" t="s">
        <v>3005</v>
      </c>
      <c r="C553" s="968"/>
      <c r="D553" s="968"/>
      <c r="E553" s="968"/>
      <c r="F553" s="968"/>
      <c r="G553" s="968"/>
      <c r="H553" s="968"/>
      <c r="I553" s="968"/>
      <c r="J553" s="968">
        <f>22964960.8+44174</f>
        <v>23009134.800000001</v>
      </c>
      <c r="K553" s="968"/>
      <c r="L553" s="968">
        <f t="shared" si="144"/>
        <v>23009134.800000001</v>
      </c>
      <c r="M553" s="974"/>
      <c r="N553" s="974">
        <f>34000000+1000000+1374500</f>
        <v>36374500</v>
      </c>
      <c r="O553" s="974">
        <v>38170400</v>
      </c>
      <c r="P553" s="968">
        <f>38148163.26+22168.98</f>
        <v>38170332.239999995</v>
      </c>
      <c r="Q553" s="968"/>
      <c r="R553" s="968">
        <f t="shared" si="145"/>
        <v>38170332.239999995</v>
      </c>
      <c r="S553" s="968">
        <v>25000000</v>
      </c>
      <c r="T553" s="968">
        <f>25000000+6000000</f>
        <v>31000000</v>
      </c>
      <c r="U553" s="968">
        <f>25000000+6000000</f>
        <v>31000000</v>
      </c>
      <c r="V553" s="968">
        <v>31000000</v>
      </c>
      <c r="W553" s="968"/>
      <c r="X553" s="968">
        <f t="shared" si="148"/>
        <v>31000000</v>
      </c>
      <c r="Y553" s="1145">
        <v>40000000</v>
      </c>
      <c r="Z553" s="1145">
        <v>40000000</v>
      </c>
      <c r="AA553" s="1145">
        <v>40000000</v>
      </c>
      <c r="AB553" s="1145">
        <v>40000000</v>
      </c>
      <c r="AC553" s="1145"/>
      <c r="AD553" s="1145">
        <f t="shared" si="146"/>
        <v>40000000</v>
      </c>
    </row>
    <row r="554" spans="1:30" x14ac:dyDescent="0.2">
      <c r="A554" s="928">
        <v>8093</v>
      </c>
      <c r="B554" s="928" t="s">
        <v>971</v>
      </c>
      <c r="C554" s="968">
        <v>1000000</v>
      </c>
      <c r="D554" s="968">
        <v>731397.46</v>
      </c>
      <c r="E554" s="968"/>
      <c r="F554" s="968">
        <f t="shared" si="149"/>
        <v>731397.46</v>
      </c>
      <c r="G554" s="968">
        <v>0</v>
      </c>
      <c r="H554" s="968">
        <v>0</v>
      </c>
      <c r="I554" s="968"/>
      <c r="J554" s="968">
        <v>0</v>
      </c>
      <c r="K554" s="968"/>
      <c r="L554" s="968">
        <f t="shared" si="144"/>
        <v>0</v>
      </c>
      <c r="M554" s="974"/>
      <c r="N554" s="974"/>
      <c r="O554" s="974"/>
      <c r="P554" s="968">
        <v>0</v>
      </c>
      <c r="Q554" s="968"/>
      <c r="R554" s="968">
        <f t="shared" si="145"/>
        <v>0</v>
      </c>
      <c r="S554" s="968"/>
      <c r="T554" s="968"/>
      <c r="U554" s="968"/>
      <c r="V554" s="968"/>
      <c r="W554" s="968"/>
      <c r="X554" s="968">
        <f t="shared" si="148"/>
        <v>0</v>
      </c>
      <c r="Y554" s="1145"/>
      <c r="Z554" s="1145"/>
      <c r="AA554" s="1145"/>
      <c r="AB554" s="1145"/>
      <c r="AC554" s="1145"/>
      <c r="AD554" s="1145">
        <f t="shared" si="146"/>
        <v>0</v>
      </c>
    </row>
    <row r="555" spans="1:30" x14ac:dyDescent="0.2">
      <c r="A555" s="928">
        <v>8095</v>
      </c>
      <c r="B555" s="928" t="s">
        <v>699</v>
      </c>
      <c r="C555" s="968">
        <v>220000</v>
      </c>
      <c r="D555" s="968">
        <v>132023.95000000001</v>
      </c>
      <c r="E555" s="968"/>
      <c r="F555" s="968">
        <f t="shared" si="149"/>
        <v>132023.95000000001</v>
      </c>
      <c r="G555" s="968">
        <v>233200</v>
      </c>
      <c r="H555" s="968">
        <v>233200</v>
      </c>
      <c r="I555" s="968">
        <v>233200</v>
      </c>
      <c r="J555" s="968">
        <v>224267.75</v>
      </c>
      <c r="K555" s="968"/>
      <c r="L555" s="968">
        <f t="shared" si="144"/>
        <v>224267.75</v>
      </c>
      <c r="M555" s="974">
        <v>233200</v>
      </c>
      <c r="N555" s="974">
        <v>233200</v>
      </c>
      <c r="O555" s="974">
        <v>118200</v>
      </c>
      <c r="P555" s="968">
        <v>53370.58</v>
      </c>
      <c r="Q555" s="968"/>
      <c r="R555" s="968">
        <f t="shared" si="145"/>
        <v>53370.58</v>
      </c>
      <c r="S555" s="968">
        <v>233200</v>
      </c>
      <c r="T555" s="968">
        <v>233200</v>
      </c>
      <c r="U555" s="968">
        <v>162400</v>
      </c>
      <c r="V555" s="968">
        <v>73832.88</v>
      </c>
      <c r="W555" s="968"/>
      <c r="X555" s="968">
        <f t="shared" si="148"/>
        <v>73832.88</v>
      </c>
      <c r="Y555" s="1145">
        <v>225738</v>
      </c>
      <c r="Z555" s="1145">
        <v>225738</v>
      </c>
      <c r="AA555" s="1145">
        <v>181738</v>
      </c>
      <c r="AB555" s="1145">
        <v>166133.01999999999</v>
      </c>
      <c r="AC555" s="1145"/>
      <c r="AD555" s="1145">
        <f t="shared" si="146"/>
        <v>166133.01999999999</v>
      </c>
    </row>
    <row r="556" spans="1:30" x14ac:dyDescent="0.2">
      <c r="A556" s="928">
        <v>8097</v>
      </c>
      <c r="B556" s="928" t="s">
        <v>1342</v>
      </c>
      <c r="C556" s="968">
        <v>5000</v>
      </c>
      <c r="D556" s="968">
        <v>4472.3</v>
      </c>
      <c r="E556" s="968"/>
      <c r="F556" s="968">
        <f t="shared" si="149"/>
        <v>4472.3</v>
      </c>
      <c r="G556" s="968">
        <v>5300</v>
      </c>
      <c r="H556" s="968">
        <v>5300</v>
      </c>
      <c r="I556" s="968">
        <v>5300</v>
      </c>
      <c r="J556" s="968">
        <v>3100.01</v>
      </c>
      <c r="K556" s="968"/>
      <c r="L556" s="968">
        <f t="shared" si="144"/>
        <v>3100.01</v>
      </c>
      <c r="M556" s="974">
        <v>5300</v>
      </c>
      <c r="N556" s="974">
        <v>5300</v>
      </c>
      <c r="O556" s="974">
        <v>5300</v>
      </c>
      <c r="P556" s="968">
        <v>4269.4799999999996</v>
      </c>
      <c r="Q556" s="968"/>
      <c r="R556" s="968">
        <f t="shared" si="145"/>
        <v>4269.4799999999996</v>
      </c>
      <c r="S556" s="968">
        <v>5300</v>
      </c>
      <c r="T556" s="968">
        <v>5300</v>
      </c>
      <c r="U556" s="968">
        <v>5300</v>
      </c>
      <c r="V556" s="968">
        <v>1740.9</v>
      </c>
      <c r="W556" s="968"/>
      <c r="X556" s="968">
        <f t="shared" si="148"/>
        <v>1740.9</v>
      </c>
      <c r="Y556" s="1145">
        <v>5130</v>
      </c>
      <c r="Z556" s="1145">
        <v>5130</v>
      </c>
      <c r="AA556" s="1145">
        <v>5130</v>
      </c>
      <c r="AB556" s="1145"/>
      <c r="AC556" s="1145"/>
      <c r="AD556" s="1145">
        <f t="shared" si="146"/>
        <v>0</v>
      </c>
    </row>
    <row r="557" spans="1:30" x14ac:dyDescent="0.2">
      <c r="A557" s="928">
        <v>8101</v>
      </c>
      <c r="B557" s="928" t="s">
        <v>1343</v>
      </c>
      <c r="C557" s="968">
        <v>8000</v>
      </c>
      <c r="D557" s="968">
        <v>7350</v>
      </c>
      <c r="E557" s="968"/>
      <c r="F557" s="968">
        <f t="shared" si="149"/>
        <v>7350</v>
      </c>
      <c r="G557" s="968">
        <v>8480</v>
      </c>
      <c r="H557" s="968">
        <v>8480</v>
      </c>
      <c r="I557" s="968">
        <v>8480</v>
      </c>
      <c r="J557" s="968">
        <v>0</v>
      </c>
      <c r="K557" s="968"/>
      <c r="L557" s="968">
        <f t="shared" si="144"/>
        <v>0</v>
      </c>
      <c r="M557" s="974">
        <v>3480</v>
      </c>
      <c r="N557" s="974">
        <v>3480</v>
      </c>
      <c r="O557" s="974">
        <v>3480</v>
      </c>
      <c r="P557" s="968">
        <v>0</v>
      </c>
      <c r="Q557" s="968"/>
      <c r="R557" s="968">
        <f t="shared" si="145"/>
        <v>0</v>
      </c>
      <c r="S557" s="968">
        <v>3480</v>
      </c>
      <c r="T557" s="968">
        <v>3480</v>
      </c>
      <c r="U557" s="968">
        <v>3480</v>
      </c>
      <c r="V557" s="968"/>
      <c r="W557" s="968"/>
      <c r="X557" s="968">
        <f t="shared" si="148"/>
        <v>0</v>
      </c>
      <c r="Y557" s="1145"/>
      <c r="Z557" s="1145"/>
      <c r="AA557" s="1145"/>
      <c r="AB557" s="1145"/>
      <c r="AC557" s="1145"/>
      <c r="AD557" s="1145">
        <f t="shared" si="146"/>
        <v>0</v>
      </c>
    </row>
    <row r="558" spans="1:30" x14ac:dyDescent="0.2">
      <c r="A558" s="928">
        <v>8105</v>
      </c>
      <c r="B558" s="928" t="s">
        <v>476</v>
      </c>
      <c r="C558" s="968">
        <v>350000</v>
      </c>
      <c r="D558" s="968">
        <v>108373.44</v>
      </c>
      <c r="E558" s="968"/>
      <c r="F558" s="968">
        <f t="shared" si="149"/>
        <v>108373.44</v>
      </c>
      <c r="G558" s="968">
        <v>481000</v>
      </c>
      <c r="H558" s="968">
        <v>481000</v>
      </c>
      <c r="I558" s="968">
        <v>281000</v>
      </c>
      <c r="J558" s="968">
        <v>166088.29</v>
      </c>
      <c r="K558" s="968"/>
      <c r="L558" s="968">
        <f t="shared" si="144"/>
        <v>166088.29</v>
      </c>
      <c r="M558" s="974">
        <v>281000</v>
      </c>
      <c r="N558" s="974">
        <v>281000</v>
      </c>
      <c r="O558" s="974">
        <v>281000</v>
      </c>
      <c r="P558" s="968">
        <v>119113.45</v>
      </c>
      <c r="Q558" s="968"/>
      <c r="R558" s="968">
        <f t="shared" si="145"/>
        <v>119113.45</v>
      </c>
      <c r="S558" s="968">
        <v>281000</v>
      </c>
      <c r="T558" s="968">
        <v>281000</v>
      </c>
      <c r="U558" s="968">
        <v>281000</v>
      </c>
      <c r="V558" s="968">
        <v>214641.4</v>
      </c>
      <c r="W558" s="968"/>
      <c r="X558" s="968">
        <f t="shared" si="148"/>
        <v>214641.4</v>
      </c>
      <c r="Y558" s="1145">
        <v>272008</v>
      </c>
      <c r="Z558" s="1145">
        <v>272008</v>
      </c>
      <c r="AA558" s="1145">
        <v>232008</v>
      </c>
      <c r="AB558" s="1145">
        <v>163010.4</v>
      </c>
      <c r="AC558" s="1145"/>
      <c r="AD558" s="1145">
        <f t="shared" si="146"/>
        <v>163010.4</v>
      </c>
    </row>
    <row r="559" spans="1:30" x14ac:dyDescent="0.2">
      <c r="A559" s="928">
        <v>8107</v>
      </c>
      <c r="B559" s="928" t="s">
        <v>662</v>
      </c>
      <c r="C559" s="968">
        <v>16275000</v>
      </c>
      <c r="D559" s="968">
        <v>9923506.3900000006</v>
      </c>
      <c r="E559" s="968"/>
      <c r="F559" s="968">
        <f t="shared" si="149"/>
        <v>9923506.3900000006</v>
      </c>
      <c r="G559" s="968">
        <v>7431900</v>
      </c>
      <c r="H559" s="968">
        <f>7431900-6100000</f>
        <v>1331900</v>
      </c>
      <c r="I559" s="968">
        <v>791900</v>
      </c>
      <c r="J559" s="968">
        <v>1209749.3</v>
      </c>
      <c r="K559" s="968"/>
      <c r="L559" s="968">
        <f t="shared" si="144"/>
        <v>1209749.3</v>
      </c>
      <c r="M559" s="974">
        <v>14736900</v>
      </c>
      <c r="N559" s="974">
        <v>14736900</v>
      </c>
      <c r="O559" s="974">
        <v>14035802</v>
      </c>
      <c r="P559" s="968">
        <v>11986364.74</v>
      </c>
      <c r="Q559" s="968"/>
      <c r="R559" s="968">
        <f t="shared" si="145"/>
        <v>11986364.74</v>
      </c>
      <c r="S559" s="968">
        <v>8630000</v>
      </c>
      <c r="T559" s="968">
        <v>8630000</v>
      </c>
      <c r="U559" s="968">
        <v>15775800</v>
      </c>
      <c r="V559" s="968">
        <v>15775693.939999999</v>
      </c>
      <c r="W559" s="968"/>
      <c r="X559" s="968">
        <f t="shared" si="148"/>
        <v>15775693.939999999</v>
      </c>
      <c r="Y559" s="1145">
        <v>10274720</v>
      </c>
      <c r="Z559" s="1145">
        <v>18550720</v>
      </c>
      <c r="AA559" s="1145">
        <v>19118720</v>
      </c>
      <c r="AB559" s="1145">
        <v>18006152.800000001</v>
      </c>
      <c r="AC559" s="1145"/>
      <c r="AD559" s="1145">
        <f t="shared" si="146"/>
        <v>18006152.800000001</v>
      </c>
    </row>
    <row r="560" spans="1:30" x14ac:dyDescent="0.2">
      <c r="A560" s="928">
        <v>8109</v>
      </c>
      <c r="B560" s="928" t="s">
        <v>1344</v>
      </c>
      <c r="C560" s="968">
        <v>20000</v>
      </c>
      <c r="D560" s="968">
        <v>19200</v>
      </c>
      <c r="E560" s="968"/>
      <c r="F560" s="968">
        <f t="shared" si="149"/>
        <v>19200</v>
      </c>
      <c r="G560" s="968">
        <v>1500000</v>
      </c>
      <c r="H560" s="968">
        <v>1500000</v>
      </c>
      <c r="I560" s="968">
        <v>1500000</v>
      </c>
      <c r="J560" s="968">
        <v>1169620.3999999999</v>
      </c>
      <c r="K560" s="968"/>
      <c r="L560" s="968">
        <f t="shared" si="144"/>
        <v>1169620.3999999999</v>
      </c>
      <c r="M560" s="974">
        <v>1900000</v>
      </c>
      <c r="N560" s="974">
        <f>1900000-600000</f>
        <v>1300000</v>
      </c>
      <c r="O560" s="974">
        <v>1300000</v>
      </c>
      <c r="P560" s="968">
        <v>79318.66</v>
      </c>
      <c r="Q560" s="968"/>
      <c r="R560" s="968">
        <f t="shared" si="145"/>
        <v>79318.66</v>
      </c>
      <c r="S560" s="968">
        <v>1300000</v>
      </c>
      <c r="T560" s="968">
        <v>1300000</v>
      </c>
      <c r="U560" s="968">
        <v>72900</v>
      </c>
      <c r="V560" s="968">
        <v>72894.34</v>
      </c>
      <c r="W560" s="968"/>
      <c r="X560" s="968">
        <f t="shared" si="148"/>
        <v>72894.34</v>
      </c>
      <c r="Y560" s="1145">
        <v>300000</v>
      </c>
      <c r="Z560" s="1145">
        <v>986000</v>
      </c>
      <c r="AA560" s="1145">
        <v>986000</v>
      </c>
      <c r="AB560" s="1145">
        <v>690859.22</v>
      </c>
      <c r="AC560" s="1145"/>
      <c r="AD560" s="1145">
        <f t="shared" si="146"/>
        <v>690859.22</v>
      </c>
    </row>
    <row r="561" spans="1:30" x14ac:dyDescent="0.2">
      <c r="A561" s="928">
        <v>8111</v>
      </c>
      <c r="B561" s="928" t="s">
        <v>1345</v>
      </c>
      <c r="C561" s="968">
        <v>10000</v>
      </c>
      <c r="D561" s="968">
        <v>0</v>
      </c>
      <c r="E561" s="968"/>
      <c r="F561" s="968">
        <f t="shared" si="149"/>
        <v>0</v>
      </c>
      <c r="G561" s="968">
        <v>10600</v>
      </c>
      <c r="H561" s="968">
        <v>10600</v>
      </c>
      <c r="I561" s="968">
        <v>10600</v>
      </c>
      <c r="J561" s="968">
        <v>0</v>
      </c>
      <c r="K561" s="968"/>
      <c r="L561" s="968">
        <f t="shared" si="144"/>
        <v>0</v>
      </c>
      <c r="M561" s="974">
        <v>10600</v>
      </c>
      <c r="N561" s="974">
        <v>10600</v>
      </c>
      <c r="O561" s="974">
        <v>600</v>
      </c>
      <c r="P561" s="968">
        <v>0</v>
      </c>
      <c r="Q561" s="968"/>
      <c r="R561" s="968">
        <f t="shared" si="145"/>
        <v>0</v>
      </c>
      <c r="S561" s="968">
        <v>10000</v>
      </c>
      <c r="T561" s="968">
        <v>10000</v>
      </c>
      <c r="U561" s="968">
        <v>10000</v>
      </c>
      <c r="V561" s="968"/>
      <c r="W561" s="968"/>
      <c r="X561" s="968">
        <f t="shared" si="148"/>
        <v>0</v>
      </c>
      <c r="Y561" s="1145"/>
      <c r="Z561" s="1145"/>
      <c r="AA561" s="1145"/>
      <c r="AB561" s="1145"/>
      <c r="AC561" s="1145"/>
      <c r="AD561" s="1145">
        <f t="shared" si="146"/>
        <v>0</v>
      </c>
    </row>
    <row r="562" spans="1:30" x14ac:dyDescent="0.2">
      <c r="A562" s="928">
        <v>8113</v>
      </c>
      <c r="B562" s="928" t="s">
        <v>1346</v>
      </c>
      <c r="C562" s="968">
        <v>185000</v>
      </c>
      <c r="D562" s="968">
        <v>14547.36</v>
      </c>
      <c r="E562" s="968"/>
      <c r="F562" s="968">
        <f t="shared" si="149"/>
        <v>14547.36</v>
      </c>
      <c r="G562" s="968">
        <v>196100</v>
      </c>
      <c r="H562" s="968">
        <f>196100-100000</f>
        <v>96100</v>
      </c>
      <c r="I562" s="968">
        <v>96100</v>
      </c>
      <c r="J562" s="968">
        <v>84711.16</v>
      </c>
      <c r="K562" s="968"/>
      <c r="L562" s="968">
        <f t="shared" si="144"/>
        <v>84711.16</v>
      </c>
      <c r="M562" s="974">
        <v>896100</v>
      </c>
      <c r="N562" s="974">
        <v>896100</v>
      </c>
      <c r="O562" s="974">
        <v>896100</v>
      </c>
      <c r="P562" s="968">
        <v>818425.86</v>
      </c>
      <c r="Q562" s="968"/>
      <c r="R562" s="968">
        <f t="shared" si="145"/>
        <v>818425.86</v>
      </c>
      <c r="S562" s="968">
        <v>890000</v>
      </c>
      <c r="T562" s="968">
        <v>890000</v>
      </c>
      <c r="U562" s="968">
        <v>890000</v>
      </c>
      <c r="V562" s="968">
        <v>728056.47</v>
      </c>
      <c r="W562" s="968"/>
      <c r="X562" s="968">
        <f t="shared" si="148"/>
        <v>728056.47</v>
      </c>
      <c r="Y562" s="1145">
        <v>861520</v>
      </c>
      <c r="Z562" s="1145">
        <v>561520</v>
      </c>
      <c r="AA562" s="1145">
        <v>547155</v>
      </c>
      <c r="AB562" s="1145">
        <v>547066.38</v>
      </c>
      <c r="AC562" s="1145"/>
      <c r="AD562" s="1145">
        <f t="shared" si="146"/>
        <v>547066.38</v>
      </c>
    </row>
    <row r="563" spans="1:30" x14ac:dyDescent="0.2">
      <c r="A563" s="928">
        <v>8117</v>
      </c>
      <c r="B563" s="928" t="s">
        <v>1347</v>
      </c>
      <c r="C563" s="968">
        <v>1643000</v>
      </c>
      <c r="D563" s="968">
        <v>1443540.64</v>
      </c>
      <c r="E563" s="968"/>
      <c r="F563" s="968">
        <f t="shared" si="149"/>
        <v>1443540.64</v>
      </c>
      <c r="G563" s="968">
        <v>2000000</v>
      </c>
      <c r="H563" s="968">
        <v>2000000</v>
      </c>
      <c r="I563" s="968">
        <v>2000000</v>
      </c>
      <c r="J563" s="968">
        <v>1614276.6</v>
      </c>
      <c r="K563" s="968"/>
      <c r="L563" s="968">
        <f t="shared" si="144"/>
        <v>1614276.6</v>
      </c>
      <c r="M563" s="974">
        <v>2000000</v>
      </c>
      <c r="N563" s="974">
        <v>2000000</v>
      </c>
      <c r="O563" s="974">
        <v>2000000</v>
      </c>
      <c r="P563" s="968">
        <v>1912785.33</v>
      </c>
      <c r="Q563" s="968"/>
      <c r="R563" s="968">
        <f t="shared" si="145"/>
        <v>1912785.33</v>
      </c>
      <c r="S563" s="968">
        <v>2000000</v>
      </c>
      <c r="T563" s="968">
        <v>2000000</v>
      </c>
      <c r="U563" s="968">
        <v>2750360</v>
      </c>
      <c r="V563" s="968">
        <v>2741357.34</v>
      </c>
      <c r="W563" s="968"/>
      <c r="X563" s="968">
        <f t="shared" si="148"/>
        <v>2741357.34</v>
      </c>
      <c r="Y563" s="1145">
        <v>1936000</v>
      </c>
      <c r="Z563" s="1145">
        <v>1936000</v>
      </c>
      <c r="AA563" s="1145">
        <v>2298765</v>
      </c>
      <c r="AB563" s="1145">
        <v>2253844.04</v>
      </c>
      <c r="AC563" s="1145"/>
      <c r="AD563" s="1145">
        <f t="shared" si="146"/>
        <v>2253844.04</v>
      </c>
    </row>
    <row r="564" spans="1:30" x14ac:dyDescent="0.2">
      <c r="A564" s="928">
        <v>8118</v>
      </c>
      <c r="B564" s="928" t="s">
        <v>1348</v>
      </c>
      <c r="C564" s="968">
        <v>37900000</v>
      </c>
      <c r="D564" s="968">
        <v>41892865.549999997</v>
      </c>
      <c r="E564" s="968"/>
      <c r="F564" s="968">
        <f t="shared" si="149"/>
        <v>41892865.549999997</v>
      </c>
      <c r="G564" s="968">
        <v>13000000</v>
      </c>
      <c r="H564" s="968">
        <f>13000000+8000000</f>
        <v>21000000</v>
      </c>
      <c r="I564" s="968">
        <v>21670000</v>
      </c>
      <c r="J564" s="968">
        <v>30908949.890000001</v>
      </c>
      <c r="K564" s="968"/>
      <c r="L564" s="968">
        <f t="shared" si="144"/>
        <v>30908949.890000001</v>
      </c>
      <c r="M564" s="974"/>
      <c r="N564" s="974"/>
      <c r="O564" s="974"/>
      <c r="P564" s="968">
        <f>2975.22-2975.22</f>
        <v>0</v>
      </c>
      <c r="Q564" s="968"/>
      <c r="R564" s="968">
        <f t="shared" si="145"/>
        <v>0</v>
      </c>
      <c r="S564" s="968"/>
      <c r="T564" s="968"/>
      <c r="U564" s="968"/>
      <c r="V564" s="968"/>
      <c r="W564" s="968"/>
      <c r="X564" s="968">
        <f t="shared" si="148"/>
        <v>0</v>
      </c>
      <c r="Y564" s="1145"/>
      <c r="Z564" s="1145"/>
      <c r="AA564" s="1145"/>
      <c r="AB564" s="1145"/>
      <c r="AC564" s="1145"/>
      <c r="AD564" s="1145">
        <f t="shared" si="146"/>
        <v>0</v>
      </c>
    </row>
    <row r="565" spans="1:30" x14ac:dyDescent="0.2">
      <c r="A565" s="1548">
        <v>8120</v>
      </c>
      <c r="B565" s="928" t="s">
        <v>56</v>
      </c>
      <c r="C565" s="968">
        <v>106000</v>
      </c>
      <c r="D565" s="968">
        <f>249212.24</f>
        <v>249212.24</v>
      </c>
      <c r="E565" s="968"/>
      <c r="F565" s="968">
        <f t="shared" si="149"/>
        <v>249212.24</v>
      </c>
      <c r="G565" s="968">
        <v>100000</v>
      </c>
      <c r="H565" s="968">
        <f>100000-50000</f>
        <v>50000</v>
      </c>
      <c r="I565" s="968">
        <v>50000</v>
      </c>
      <c r="J565" s="968">
        <v>0</v>
      </c>
      <c r="K565" s="968"/>
      <c r="L565" s="968">
        <f t="shared" ref="L565:L604" si="150">J565+K565</f>
        <v>0</v>
      </c>
      <c r="M565" s="974">
        <v>50000</v>
      </c>
      <c r="N565" s="974">
        <v>50000</v>
      </c>
      <c r="O565" s="974">
        <v>807300</v>
      </c>
      <c r="P565" s="968">
        <v>807267.53</v>
      </c>
      <c r="Q565" s="968"/>
      <c r="R565" s="968">
        <f t="shared" ref="R565:R604" si="151">P565+Q565</f>
        <v>807267.53</v>
      </c>
      <c r="S565" s="968">
        <v>50000</v>
      </c>
      <c r="T565" s="968">
        <v>50000</v>
      </c>
      <c r="U565" s="968">
        <f>50000+3660000</f>
        <v>3710000</v>
      </c>
      <c r="V565" s="968"/>
      <c r="W565" s="968"/>
      <c r="X565" s="968">
        <f t="shared" si="148"/>
        <v>0</v>
      </c>
      <c r="Y565" s="1145">
        <v>48400</v>
      </c>
      <c r="Z565" s="1145">
        <v>48400</v>
      </c>
      <c r="AA565" s="1145">
        <v>48400</v>
      </c>
      <c r="AB565" s="1145">
        <f>156566868.74-42697924.63-2334369.07</f>
        <v>111534575.04000002</v>
      </c>
      <c r="AC565" s="1145"/>
      <c r="AD565" s="1145">
        <f t="shared" si="146"/>
        <v>111534575.04000002</v>
      </c>
    </row>
    <row r="566" spans="1:30" x14ac:dyDescent="0.2">
      <c r="A566" s="1548">
        <v>8120</v>
      </c>
      <c r="B566" s="928" t="s">
        <v>3211</v>
      </c>
      <c r="C566" s="968"/>
      <c r="D566" s="968"/>
      <c r="E566" s="968"/>
      <c r="F566" s="968"/>
      <c r="G566" s="968"/>
      <c r="H566" s="968"/>
      <c r="I566" s="968"/>
      <c r="J566" s="968">
        <v>0</v>
      </c>
      <c r="K566" s="968"/>
      <c r="L566" s="968">
        <f t="shared" si="150"/>
        <v>0</v>
      </c>
      <c r="M566" s="974"/>
      <c r="N566" s="974"/>
      <c r="O566" s="974"/>
      <c r="P566" s="968">
        <v>0</v>
      </c>
      <c r="Q566" s="968"/>
      <c r="R566" s="968">
        <f t="shared" si="151"/>
        <v>0</v>
      </c>
      <c r="S566" s="968"/>
      <c r="T566" s="968"/>
      <c r="U566" s="968"/>
      <c r="V566" s="968"/>
      <c r="W566" s="968"/>
      <c r="X566" s="968">
        <f t="shared" si="148"/>
        <v>0</v>
      </c>
      <c r="Y566" s="1145"/>
      <c r="Z566" s="1145"/>
      <c r="AA566" s="1145"/>
      <c r="AB566" s="1145">
        <f>18114503.67-18114503.67</f>
        <v>0</v>
      </c>
      <c r="AC566" s="1145"/>
      <c r="AD566" s="1145">
        <f t="shared" si="146"/>
        <v>0</v>
      </c>
    </row>
    <row r="567" spans="1:30" x14ac:dyDescent="0.2">
      <c r="A567" s="1548">
        <v>8120</v>
      </c>
      <c r="B567" s="928" t="s">
        <v>4222</v>
      </c>
      <c r="C567" s="968"/>
      <c r="D567" s="968">
        <v>1202193.9199999999</v>
      </c>
      <c r="E567" s="968"/>
      <c r="F567" s="968">
        <f t="shared" si="149"/>
        <v>1202193.9199999999</v>
      </c>
      <c r="G567" s="968">
        <v>0</v>
      </c>
      <c r="H567" s="968">
        <v>0</v>
      </c>
      <c r="I567" s="968"/>
      <c r="J567" s="968">
        <v>0</v>
      </c>
      <c r="K567" s="968"/>
      <c r="L567" s="968">
        <f t="shared" si="150"/>
        <v>0</v>
      </c>
      <c r="M567" s="974"/>
      <c r="N567" s="974"/>
      <c r="O567" s="974"/>
      <c r="P567" s="968">
        <v>0</v>
      </c>
      <c r="Q567" s="968"/>
      <c r="R567" s="968">
        <f t="shared" si="151"/>
        <v>0</v>
      </c>
      <c r="S567" s="968"/>
      <c r="T567" s="968"/>
      <c r="U567" s="968"/>
      <c r="V567" s="968">
        <v>31088000</v>
      </c>
      <c r="W567" s="968"/>
      <c r="X567" s="968">
        <f t="shared" si="148"/>
        <v>31088000</v>
      </c>
      <c r="Y567" s="1145"/>
      <c r="Z567" s="1145"/>
      <c r="AA567" s="1145"/>
      <c r="AB567" s="1145">
        <f>-93449439.93+93449439.93</f>
        <v>0</v>
      </c>
      <c r="AC567" s="1145"/>
      <c r="AD567" s="1145">
        <f t="shared" si="146"/>
        <v>0</v>
      </c>
    </row>
    <row r="568" spans="1:30" x14ac:dyDescent="0.2">
      <c r="A568" s="1548">
        <v>8120</v>
      </c>
      <c r="B568" s="928" t="s">
        <v>3669</v>
      </c>
      <c r="C568" s="968"/>
      <c r="D568" s="968"/>
      <c r="E568" s="968"/>
      <c r="F568" s="968"/>
      <c r="G568" s="968"/>
      <c r="H568" s="968"/>
      <c r="I568" s="968"/>
      <c r="J568" s="968"/>
      <c r="K568" s="968"/>
      <c r="L568" s="968"/>
      <c r="M568" s="974"/>
      <c r="N568" s="974"/>
      <c r="O568" s="974"/>
      <c r="P568" s="968"/>
      <c r="Q568" s="968"/>
      <c r="R568" s="968"/>
      <c r="S568" s="968"/>
      <c r="T568" s="968"/>
      <c r="U568" s="968"/>
      <c r="V568" s="968">
        <f>31088000+947986.48+70572656.55-327836.14-947986.48+327836.15-31088000</f>
        <v>70572656.560000002</v>
      </c>
      <c r="W568" s="968"/>
      <c r="X568" s="968">
        <f t="shared" si="148"/>
        <v>70572656.560000002</v>
      </c>
      <c r="Y568" s="1145"/>
      <c r="Z568" s="1145"/>
      <c r="AA568" s="1145"/>
      <c r="AB568" s="1145"/>
      <c r="AC568" s="1145"/>
      <c r="AD568" s="1145">
        <f t="shared" ref="AD568:AD604" si="152">AB568+AC568</f>
        <v>0</v>
      </c>
    </row>
    <row r="569" spans="1:30" x14ac:dyDescent="0.2">
      <c r="A569" s="928">
        <v>8123</v>
      </c>
      <c r="B569" s="928" t="s">
        <v>3707</v>
      </c>
      <c r="C569" s="968"/>
      <c r="D569" s="968"/>
      <c r="E569" s="968"/>
      <c r="F569" s="968"/>
      <c r="G569" s="968"/>
      <c r="H569" s="968">
        <v>10000000</v>
      </c>
      <c r="I569" s="968">
        <v>7000000</v>
      </c>
      <c r="J569" s="968">
        <v>0</v>
      </c>
      <c r="K569" s="968"/>
      <c r="L569" s="968">
        <f t="shared" si="150"/>
        <v>0</v>
      </c>
      <c r="M569" s="974"/>
      <c r="N569" s="974"/>
      <c r="O569" s="974"/>
      <c r="P569" s="968">
        <v>0</v>
      </c>
      <c r="Q569" s="968"/>
      <c r="R569" s="968">
        <f t="shared" si="151"/>
        <v>0</v>
      </c>
      <c r="S569" s="968"/>
      <c r="T569" s="968"/>
      <c r="U569" s="968"/>
      <c r="V569" s="968"/>
      <c r="W569" s="968"/>
      <c r="X569" s="968">
        <f t="shared" si="148"/>
        <v>0</v>
      </c>
      <c r="Y569" s="1145"/>
      <c r="Z569" s="1145"/>
      <c r="AA569" s="1145"/>
      <c r="AB569" s="1145"/>
      <c r="AC569" s="1145"/>
      <c r="AD569" s="1145">
        <f t="shared" si="152"/>
        <v>0</v>
      </c>
    </row>
    <row r="570" spans="1:30" x14ac:dyDescent="0.2">
      <c r="A570" s="928">
        <v>8125</v>
      </c>
      <c r="B570" s="928" t="s">
        <v>2963</v>
      </c>
      <c r="C570" s="968"/>
      <c r="D570" s="968"/>
      <c r="E570" s="968"/>
      <c r="F570" s="968"/>
      <c r="G570" s="968"/>
      <c r="H570" s="968">
        <v>200000</v>
      </c>
      <c r="I570" s="968">
        <v>200000</v>
      </c>
      <c r="J570" s="968">
        <v>0</v>
      </c>
      <c r="K570" s="968"/>
      <c r="L570" s="968">
        <f t="shared" si="150"/>
        <v>0</v>
      </c>
      <c r="M570" s="974"/>
      <c r="N570" s="974"/>
      <c r="O570" s="974"/>
      <c r="P570" s="968">
        <v>0</v>
      </c>
      <c r="Q570" s="968"/>
      <c r="R570" s="968">
        <f t="shared" si="151"/>
        <v>0</v>
      </c>
      <c r="S570" s="968"/>
      <c r="T570" s="968"/>
      <c r="U570" s="968"/>
      <c r="V570" s="968"/>
      <c r="W570" s="968"/>
      <c r="X570" s="968">
        <f t="shared" si="148"/>
        <v>0</v>
      </c>
      <c r="Y570" s="1145"/>
      <c r="Z570" s="1145"/>
      <c r="AA570" s="1145"/>
      <c r="AB570" s="1145"/>
      <c r="AC570" s="1145"/>
      <c r="AD570" s="1145">
        <f t="shared" si="152"/>
        <v>0</v>
      </c>
    </row>
    <row r="571" spans="1:30" x14ac:dyDescent="0.2">
      <c r="A571" s="928">
        <v>8127</v>
      </c>
      <c r="B571" s="928" t="s">
        <v>3151</v>
      </c>
      <c r="C571" s="968"/>
      <c r="D571" s="968"/>
      <c r="E571" s="968"/>
      <c r="F571" s="968"/>
      <c r="G571" s="968"/>
      <c r="H571" s="968"/>
      <c r="I571" s="968"/>
      <c r="J571" s="968">
        <v>0</v>
      </c>
      <c r="K571" s="968">
        <v>31398377</v>
      </c>
      <c r="L571" s="968">
        <f t="shared" si="150"/>
        <v>31398377</v>
      </c>
      <c r="M571" s="974"/>
      <c r="N571" s="974"/>
      <c r="O571" s="974"/>
      <c r="P571" s="968">
        <v>0</v>
      </c>
      <c r="Q571" s="968"/>
      <c r="R571" s="968">
        <f t="shared" si="151"/>
        <v>0</v>
      </c>
      <c r="S571" s="968"/>
      <c r="T571" s="968"/>
      <c r="U571" s="968"/>
      <c r="V571" s="968"/>
      <c r="W571" s="968"/>
      <c r="X571" s="968">
        <f t="shared" si="148"/>
        <v>0</v>
      </c>
      <c r="Y571" s="1145"/>
      <c r="Z571" s="1145"/>
      <c r="AA571" s="1145"/>
      <c r="AB571" s="1145"/>
      <c r="AC571" s="1145"/>
      <c r="AD571" s="1145">
        <f t="shared" si="152"/>
        <v>0</v>
      </c>
    </row>
    <row r="572" spans="1:30" x14ac:dyDescent="0.2">
      <c r="A572" s="928">
        <v>8129</v>
      </c>
      <c r="B572" s="928" t="s">
        <v>651</v>
      </c>
      <c r="C572" s="968">
        <v>2285665</v>
      </c>
      <c r="D572" s="968">
        <v>2129873.9</v>
      </c>
      <c r="E572" s="968"/>
      <c r="F572" s="968">
        <f t="shared" si="149"/>
        <v>2129873.9</v>
      </c>
      <c r="G572" s="968">
        <v>3371180</v>
      </c>
      <c r="H572" s="968">
        <f>3371180-120000</f>
        <v>3251180</v>
      </c>
      <c r="I572" s="968">
        <v>3253180</v>
      </c>
      <c r="J572" s="968">
        <v>2607792.81</v>
      </c>
      <c r="K572" s="968"/>
      <c r="L572" s="968">
        <f t="shared" si="150"/>
        <v>2607792.81</v>
      </c>
      <c r="M572" s="974">
        <v>3251179</v>
      </c>
      <c r="N572" s="974">
        <v>3251179</v>
      </c>
      <c r="O572" s="974">
        <v>4256879</v>
      </c>
      <c r="P572" s="968">
        <v>3833737.34</v>
      </c>
      <c r="Q572" s="968"/>
      <c r="R572" s="968">
        <f t="shared" si="151"/>
        <v>3833737.34</v>
      </c>
      <c r="S572" s="968">
        <v>3175594</v>
      </c>
      <c r="T572" s="968">
        <v>3175594</v>
      </c>
      <c r="U572" s="968">
        <v>4814909</v>
      </c>
      <c r="V572" s="968">
        <v>4720942.4800000004</v>
      </c>
      <c r="W572" s="968"/>
      <c r="X572" s="968">
        <f t="shared" si="148"/>
        <v>4720942.4800000004</v>
      </c>
      <c r="Y572" s="1145">
        <v>3588288</v>
      </c>
      <c r="Z572" s="1145">
        <v>4228488</v>
      </c>
      <c r="AA572" s="1145">
        <v>5348368</v>
      </c>
      <c r="AB572" s="1145">
        <v>5348367.84</v>
      </c>
      <c r="AC572" s="1145"/>
      <c r="AD572" s="1145">
        <f t="shared" si="152"/>
        <v>5348367.84</v>
      </c>
    </row>
    <row r="573" spans="1:30" x14ac:dyDescent="0.2">
      <c r="A573" s="928">
        <v>8131</v>
      </c>
      <c r="B573" s="928" t="s">
        <v>795</v>
      </c>
      <c r="C573" s="968">
        <v>2961000</v>
      </c>
      <c r="D573" s="968">
        <v>3478234.76</v>
      </c>
      <c r="E573" s="968"/>
      <c r="F573" s="968">
        <f t="shared" si="149"/>
        <v>3478234.76</v>
      </c>
      <c r="G573" s="968">
        <v>4432785</v>
      </c>
      <c r="H573" s="968">
        <f>4432785+350000-71800</f>
        <v>4710985</v>
      </c>
      <c r="I573" s="968">
        <v>4110985</v>
      </c>
      <c r="J573" s="968">
        <v>3992717.15</v>
      </c>
      <c r="K573" s="968"/>
      <c r="L573" s="968">
        <f t="shared" si="150"/>
        <v>3992717.15</v>
      </c>
      <c r="M573" s="974">
        <v>4105800</v>
      </c>
      <c r="N573" s="974">
        <v>4105800</v>
      </c>
      <c r="O573" s="974">
        <v>4628400</v>
      </c>
      <c r="P573" s="968">
        <v>4628348.91</v>
      </c>
      <c r="Q573" s="968"/>
      <c r="R573" s="968">
        <f t="shared" si="151"/>
        <v>4628348.91</v>
      </c>
      <c r="S573" s="968">
        <v>5045800</v>
      </c>
      <c r="T573" s="968">
        <v>5045800</v>
      </c>
      <c r="U573" s="968">
        <v>5160200</v>
      </c>
      <c r="V573" s="968">
        <v>5160129.51</v>
      </c>
      <c r="W573" s="968"/>
      <c r="X573" s="968">
        <f t="shared" si="148"/>
        <v>5160129.51</v>
      </c>
      <c r="Y573" s="1145">
        <v>5747135</v>
      </c>
      <c r="Z573" s="1145">
        <v>5323890</v>
      </c>
      <c r="AA573" s="1145">
        <v>5801375</v>
      </c>
      <c r="AB573" s="1145">
        <v>5801374.0099999998</v>
      </c>
      <c r="AC573" s="1145"/>
      <c r="AD573" s="1145">
        <f t="shared" si="152"/>
        <v>5801374.0099999998</v>
      </c>
    </row>
    <row r="574" spans="1:30" x14ac:dyDescent="0.2">
      <c r="A574" s="928">
        <v>8133</v>
      </c>
      <c r="B574" s="928" t="s">
        <v>1349</v>
      </c>
      <c r="C574" s="968">
        <v>5273737</v>
      </c>
      <c r="D574" s="968">
        <v>5561975.75</v>
      </c>
      <c r="E574" s="968"/>
      <c r="F574" s="968">
        <f t="shared" si="149"/>
        <v>5561975.75</v>
      </c>
      <c r="G574" s="968">
        <v>4640800</v>
      </c>
      <c r="H574" s="968">
        <f>4640800+5000+4000-170000</f>
        <v>4479800</v>
      </c>
      <c r="I574" s="968">
        <v>4704800</v>
      </c>
      <c r="J574" s="968">
        <v>4562327.7</v>
      </c>
      <c r="K574" s="968"/>
      <c r="L574" s="968">
        <f t="shared" si="150"/>
        <v>4562327.7</v>
      </c>
      <c r="M574" s="974">
        <v>4783000</v>
      </c>
      <c r="N574" s="974">
        <v>4783000</v>
      </c>
      <c r="O574" s="974">
        <f>4816000+6000</f>
        <v>4822000</v>
      </c>
      <c r="P574" s="968">
        <v>3216340.39</v>
      </c>
      <c r="Q574" s="968"/>
      <c r="R574" s="968">
        <f t="shared" si="151"/>
        <v>3216340.39</v>
      </c>
      <c r="S574" s="968">
        <v>4882300</v>
      </c>
      <c r="T574" s="968">
        <v>4882300</v>
      </c>
      <c r="U574" s="968">
        <v>5599967</v>
      </c>
      <c r="V574" s="968">
        <v>5419540.7300000004</v>
      </c>
      <c r="W574" s="968"/>
      <c r="X574" s="968">
        <f t="shared" si="148"/>
        <v>5419540.7300000004</v>
      </c>
      <c r="Y574" s="1145">
        <v>5256947</v>
      </c>
      <c r="Z574" s="1145">
        <v>5530232</v>
      </c>
      <c r="AA574" s="1145">
        <v>5814412</v>
      </c>
      <c r="AB574" s="1145">
        <v>5632836.7599999998</v>
      </c>
      <c r="AC574" s="1145"/>
      <c r="AD574" s="1145">
        <f t="shared" si="152"/>
        <v>5632836.7599999998</v>
      </c>
    </row>
    <row r="575" spans="1:30" x14ac:dyDescent="0.2">
      <c r="A575" s="928">
        <v>8135</v>
      </c>
      <c r="B575" s="928" t="s">
        <v>2964</v>
      </c>
      <c r="C575" s="968"/>
      <c r="D575" s="968"/>
      <c r="E575" s="968"/>
      <c r="F575" s="968"/>
      <c r="G575" s="968"/>
      <c r="H575" s="968">
        <v>2600000</v>
      </c>
      <c r="I575" s="968">
        <v>2600000</v>
      </c>
      <c r="J575" s="968">
        <v>0</v>
      </c>
      <c r="K575" s="968"/>
      <c r="L575" s="968">
        <f t="shared" si="150"/>
        <v>0</v>
      </c>
      <c r="M575" s="974"/>
      <c r="N575" s="974"/>
      <c r="O575" s="974"/>
      <c r="P575" s="968">
        <v>0</v>
      </c>
      <c r="Q575" s="968"/>
      <c r="R575" s="968">
        <f t="shared" si="151"/>
        <v>0</v>
      </c>
      <c r="S575" s="968"/>
      <c r="T575" s="968"/>
      <c r="U575" s="968"/>
      <c r="V575" s="968"/>
      <c r="W575" s="968"/>
      <c r="X575" s="968">
        <f t="shared" si="148"/>
        <v>0</v>
      </c>
      <c r="Y575" s="1145"/>
      <c r="Z575" s="1145"/>
      <c r="AA575" s="1145"/>
      <c r="AB575" s="1145"/>
      <c r="AC575" s="1145"/>
      <c r="AD575" s="1145">
        <f t="shared" si="152"/>
        <v>0</v>
      </c>
    </row>
    <row r="576" spans="1:30" x14ac:dyDescent="0.2">
      <c r="A576" s="928">
        <v>8137</v>
      </c>
      <c r="B576" s="928" t="s">
        <v>1350</v>
      </c>
      <c r="C576" s="968">
        <v>300000</v>
      </c>
      <c r="D576" s="968">
        <v>88307.45</v>
      </c>
      <c r="E576" s="968"/>
      <c r="F576" s="968">
        <f t="shared" si="149"/>
        <v>88307.45</v>
      </c>
      <c r="G576" s="968">
        <v>200000</v>
      </c>
      <c r="H576" s="968">
        <v>200000</v>
      </c>
      <c r="I576" s="968">
        <v>100000</v>
      </c>
      <c r="J576" s="968">
        <v>0</v>
      </c>
      <c r="K576" s="968"/>
      <c r="L576" s="968">
        <f t="shared" si="150"/>
        <v>0</v>
      </c>
      <c r="M576" s="974">
        <v>100000</v>
      </c>
      <c r="N576" s="974">
        <v>100000</v>
      </c>
      <c r="O576" s="974">
        <v>100000</v>
      </c>
      <c r="P576" s="968">
        <v>1116</v>
      </c>
      <c r="Q576" s="968"/>
      <c r="R576" s="968">
        <f t="shared" si="151"/>
        <v>1116</v>
      </c>
      <c r="S576" s="968">
        <v>50000</v>
      </c>
      <c r="T576" s="968">
        <v>50000</v>
      </c>
      <c r="U576" s="968">
        <v>50000</v>
      </c>
      <c r="V576" s="968"/>
      <c r="W576" s="968"/>
      <c r="X576" s="968">
        <f t="shared" si="148"/>
        <v>0</v>
      </c>
      <c r="Y576" s="1145">
        <v>48400</v>
      </c>
      <c r="Z576" s="1145">
        <v>48400</v>
      </c>
      <c r="AA576" s="1145">
        <v>48400</v>
      </c>
      <c r="AB576" s="1145">
        <v>43555.8</v>
      </c>
      <c r="AC576" s="1145"/>
      <c r="AD576" s="1145">
        <f t="shared" si="152"/>
        <v>43555.8</v>
      </c>
    </row>
    <row r="577" spans="1:30" x14ac:dyDescent="0.2">
      <c r="A577" s="928">
        <v>8138</v>
      </c>
      <c r="B577" s="928" t="s">
        <v>3167</v>
      </c>
      <c r="C577" s="968"/>
      <c r="D577" s="968"/>
      <c r="E577" s="968"/>
      <c r="F577" s="968"/>
      <c r="G577" s="968"/>
      <c r="H577" s="968"/>
      <c r="I577" s="968"/>
      <c r="J577" s="968"/>
      <c r="K577" s="968"/>
      <c r="L577" s="968"/>
      <c r="M577" s="974">
        <v>15000</v>
      </c>
      <c r="N577" s="974">
        <v>15000</v>
      </c>
      <c r="O577" s="974">
        <v>15000</v>
      </c>
      <c r="P577" s="968">
        <v>2075.5500000000002</v>
      </c>
      <c r="Q577" s="968"/>
      <c r="R577" s="968">
        <f t="shared" si="151"/>
        <v>2075.5500000000002</v>
      </c>
      <c r="S577" s="968">
        <v>15000</v>
      </c>
      <c r="T577" s="968">
        <v>15000</v>
      </c>
      <c r="U577" s="968">
        <v>15000</v>
      </c>
      <c r="V577" s="968"/>
      <c r="W577" s="968"/>
      <c r="X577" s="968">
        <f t="shared" si="148"/>
        <v>0</v>
      </c>
      <c r="Y577" s="1145">
        <v>14520</v>
      </c>
      <c r="Z577" s="1145">
        <v>14520</v>
      </c>
      <c r="AA577" s="1145">
        <v>14520</v>
      </c>
      <c r="AB577" s="1145"/>
      <c r="AC577" s="1145"/>
      <c r="AD577" s="1145">
        <f t="shared" si="152"/>
        <v>0</v>
      </c>
    </row>
    <row r="578" spans="1:30" x14ac:dyDescent="0.2">
      <c r="A578" s="928">
        <v>8139</v>
      </c>
      <c r="B578" s="928" t="s">
        <v>503</v>
      </c>
      <c r="C578" s="968">
        <v>33000</v>
      </c>
      <c r="D578" s="968">
        <v>0</v>
      </c>
      <c r="E578" s="968"/>
      <c r="F578" s="968">
        <f t="shared" si="149"/>
        <v>0</v>
      </c>
      <c r="G578" s="968">
        <v>34980</v>
      </c>
      <c r="H578" s="968">
        <f>34980-20000</f>
        <v>14980</v>
      </c>
      <c r="I578" s="968">
        <v>14980</v>
      </c>
      <c r="J578" s="968">
        <v>0</v>
      </c>
      <c r="K578" s="968"/>
      <c r="L578" s="968">
        <f t="shared" si="150"/>
        <v>0</v>
      </c>
      <c r="M578" s="974">
        <v>14980</v>
      </c>
      <c r="N578" s="974">
        <v>14980</v>
      </c>
      <c r="O578" s="974">
        <v>14980</v>
      </c>
      <c r="P578" s="968">
        <v>0</v>
      </c>
      <c r="Q578" s="968"/>
      <c r="R578" s="968">
        <f t="shared" si="151"/>
        <v>0</v>
      </c>
      <c r="S578" s="968">
        <v>14980</v>
      </c>
      <c r="T578" s="968">
        <v>14980</v>
      </c>
      <c r="U578" s="968">
        <v>14980</v>
      </c>
      <c r="V578" s="968"/>
      <c r="W578" s="968"/>
      <c r="X578" s="968">
        <f t="shared" si="148"/>
        <v>0</v>
      </c>
      <c r="Y578" s="1145"/>
      <c r="Z578" s="1145"/>
      <c r="AA578" s="1145"/>
      <c r="AB578" s="1145"/>
      <c r="AC578" s="1145"/>
      <c r="AD578" s="1145">
        <f t="shared" si="152"/>
        <v>0</v>
      </c>
    </row>
    <row r="579" spans="1:30" x14ac:dyDescent="0.2">
      <c r="A579" s="928">
        <v>8143</v>
      </c>
      <c r="B579" s="928" t="s">
        <v>983</v>
      </c>
      <c r="C579" s="968">
        <v>5156620</v>
      </c>
      <c r="D579" s="968">
        <v>4430177.96</v>
      </c>
      <c r="E579" s="968">
        <v>208055.18</v>
      </c>
      <c r="F579" s="968">
        <f t="shared" si="149"/>
        <v>4638233.1399999997</v>
      </c>
      <c r="G579" s="968">
        <v>5495795</v>
      </c>
      <c r="H579" s="968">
        <v>5495795</v>
      </c>
      <c r="I579" s="968">
        <v>5449795</v>
      </c>
      <c r="J579" s="968">
        <v>4842502.8899999997</v>
      </c>
      <c r="K579" s="968"/>
      <c r="L579" s="968">
        <f t="shared" si="150"/>
        <v>4842502.8899999997</v>
      </c>
      <c r="M579" s="974">
        <v>4900000</v>
      </c>
      <c r="N579" s="974">
        <v>4900000</v>
      </c>
      <c r="O579" s="974">
        <v>5934100</v>
      </c>
      <c r="P579" s="968">
        <v>5934055.5899999999</v>
      </c>
      <c r="Q579" s="968"/>
      <c r="R579" s="968">
        <f t="shared" si="151"/>
        <v>5934055.5899999999</v>
      </c>
      <c r="S579" s="968">
        <v>5193663</v>
      </c>
      <c r="T579" s="968">
        <v>5193663</v>
      </c>
      <c r="U579" s="968">
        <v>5744763</v>
      </c>
      <c r="V579" s="968">
        <f>5735475.66+9260.02</f>
        <v>5744735.6799999997</v>
      </c>
      <c r="W579" s="968"/>
      <c r="X579" s="968">
        <f t="shared" si="148"/>
        <v>5744735.6799999997</v>
      </c>
      <c r="Y579" s="1145">
        <v>5226543</v>
      </c>
      <c r="Z579" s="1145">
        <v>5211543</v>
      </c>
      <c r="AA579" s="1145">
        <v>5211543</v>
      </c>
      <c r="AB579" s="1145">
        <v>5178097.17</v>
      </c>
      <c r="AC579" s="1145"/>
      <c r="AD579" s="1145">
        <f t="shared" si="152"/>
        <v>5178097.17</v>
      </c>
    </row>
    <row r="580" spans="1:30" x14ac:dyDescent="0.2">
      <c r="A580" s="928">
        <v>8145</v>
      </c>
      <c r="B580" s="928" t="s">
        <v>2965</v>
      </c>
      <c r="C580" s="968"/>
      <c r="D580" s="968"/>
      <c r="E580" s="968"/>
      <c r="F580" s="968"/>
      <c r="G580" s="968"/>
      <c r="H580" s="968">
        <v>200000</v>
      </c>
      <c r="I580" s="968">
        <v>200000</v>
      </c>
      <c r="J580" s="968">
        <v>0</v>
      </c>
      <c r="K580" s="968"/>
      <c r="L580" s="968">
        <f t="shared" si="150"/>
        <v>0</v>
      </c>
      <c r="M580" s="974"/>
      <c r="N580" s="974"/>
      <c r="O580" s="974"/>
      <c r="P580" s="968">
        <v>0</v>
      </c>
      <c r="Q580" s="968"/>
      <c r="R580" s="968">
        <f t="shared" si="151"/>
        <v>0</v>
      </c>
      <c r="S580" s="968"/>
      <c r="T580" s="968"/>
      <c r="U580" s="968"/>
      <c r="V580" s="968"/>
      <c r="W580" s="968"/>
      <c r="X580" s="968">
        <f t="shared" si="148"/>
        <v>0</v>
      </c>
      <c r="Y580" s="1145"/>
      <c r="Z580" s="1145"/>
      <c r="AA580" s="1145"/>
      <c r="AB580" s="1145"/>
      <c r="AC580" s="1145"/>
      <c r="AD580" s="1145">
        <f t="shared" si="152"/>
        <v>0</v>
      </c>
    </row>
    <row r="581" spans="1:30" x14ac:dyDescent="0.2">
      <c r="A581" s="928">
        <v>8147</v>
      </c>
      <c r="B581" s="928" t="s">
        <v>8</v>
      </c>
      <c r="C581" s="968"/>
      <c r="D581" s="968"/>
      <c r="E581" s="968"/>
      <c r="F581" s="968"/>
      <c r="G581" s="968"/>
      <c r="H581" s="968">
        <v>2000000</v>
      </c>
      <c r="I581" s="968">
        <v>2000000</v>
      </c>
      <c r="J581" s="968">
        <v>1321254.46</v>
      </c>
      <c r="K581" s="968"/>
      <c r="L581" s="968">
        <f t="shared" si="150"/>
        <v>1321254.46</v>
      </c>
      <c r="M581" s="974">
        <v>16241000</v>
      </c>
      <c r="N581" s="974">
        <v>16241000</v>
      </c>
      <c r="O581" s="974">
        <v>4132100</v>
      </c>
      <c r="P581" s="968">
        <v>4132040.33</v>
      </c>
      <c r="Q581" s="968"/>
      <c r="R581" s="968">
        <f t="shared" si="151"/>
        <v>4132040.33</v>
      </c>
      <c r="S581" s="968">
        <v>1000000</v>
      </c>
      <c r="T581" s="968">
        <v>1000000</v>
      </c>
      <c r="U581" s="968">
        <f>950000+23000000</f>
        <v>23950000</v>
      </c>
      <c r="V581" s="968">
        <f>870157.68+11581753.66+10957769.67+300752.19</f>
        <v>23710433.199999999</v>
      </c>
      <c r="W581" s="968">
        <f>3415055.28</f>
        <v>3415055.28</v>
      </c>
      <c r="X581" s="968">
        <f t="shared" si="148"/>
        <v>27125488.48</v>
      </c>
      <c r="Y581" s="1145"/>
      <c r="Z581" s="1145"/>
      <c r="AA581" s="1145"/>
      <c r="AB581" s="1145"/>
      <c r="AC581" s="1145"/>
      <c r="AD581" s="1145">
        <f t="shared" si="152"/>
        <v>0</v>
      </c>
    </row>
    <row r="582" spans="1:30" x14ac:dyDescent="0.2">
      <c r="A582" s="928">
        <v>8148</v>
      </c>
      <c r="B582" s="928" t="s">
        <v>3168</v>
      </c>
      <c r="C582" s="968"/>
      <c r="D582" s="968"/>
      <c r="E582" s="968"/>
      <c r="F582" s="968"/>
      <c r="G582" s="968"/>
      <c r="H582" s="968"/>
      <c r="I582" s="968"/>
      <c r="J582" s="968"/>
      <c r="K582" s="968"/>
      <c r="L582" s="968"/>
      <c r="M582" s="974">
        <v>3974000</v>
      </c>
      <c r="N582" s="974">
        <v>3974000</v>
      </c>
      <c r="O582" s="974">
        <v>1699800</v>
      </c>
      <c r="P582" s="968">
        <f>888818+810891.58</f>
        <v>1699709.58</v>
      </c>
      <c r="Q582" s="968"/>
      <c r="R582" s="968">
        <f t="shared" si="151"/>
        <v>1699709.58</v>
      </c>
      <c r="S582" s="968">
        <v>3000000</v>
      </c>
      <c r="T582" s="968">
        <v>3000000</v>
      </c>
      <c r="U582" s="968">
        <v>3187400</v>
      </c>
      <c r="V582" s="968">
        <v>3187346.14</v>
      </c>
      <c r="W582" s="968"/>
      <c r="X582" s="968">
        <f t="shared" si="148"/>
        <v>3187346.14</v>
      </c>
      <c r="Y582" s="1145">
        <v>2000000</v>
      </c>
      <c r="Z582" s="1145">
        <v>2000000</v>
      </c>
      <c r="AA582" s="1145">
        <v>1450000</v>
      </c>
      <c r="AB582" s="1145">
        <v>1444613.33</v>
      </c>
      <c r="AC582" s="1145"/>
      <c r="AD582" s="1145">
        <f t="shared" si="152"/>
        <v>1444613.33</v>
      </c>
    </row>
    <row r="583" spans="1:30" x14ac:dyDescent="0.2">
      <c r="A583" s="928">
        <v>8149</v>
      </c>
      <c r="B583" s="928" t="s">
        <v>984</v>
      </c>
      <c r="C583" s="968">
        <v>8400</v>
      </c>
      <c r="D583" s="968">
        <v>9188.09</v>
      </c>
      <c r="E583" s="968"/>
      <c r="F583" s="968">
        <f t="shared" si="149"/>
        <v>9188.09</v>
      </c>
      <c r="G583" s="968">
        <v>8905</v>
      </c>
      <c r="H583" s="968">
        <v>8905</v>
      </c>
      <c r="I583" s="968">
        <v>13905</v>
      </c>
      <c r="J583" s="968">
        <v>8118.12</v>
      </c>
      <c r="K583" s="968"/>
      <c r="L583" s="968">
        <f t="shared" si="150"/>
        <v>8118.12</v>
      </c>
      <c r="M583" s="974">
        <v>8905</v>
      </c>
      <c r="N583" s="974">
        <v>8905</v>
      </c>
      <c r="O583" s="974">
        <v>10505</v>
      </c>
      <c r="P583" s="968">
        <v>10424.89</v>
      </c>
      <c r="Q583" s="968"/>
      <c r="R583" s="968">
        <f t="shared" si="151"/>
        <v>10424.89</v>
      </c>
      <c r="S583" s="968">
        <v>8905</v>
      </c>
      <c r="T583" s="968">
        <v>8905</v>
      </c>
      <c r="U583" s="968">
        <v>18905</v>
      </c>
      <c r="V583" s="968">
        <v>11411.17</v>
      </c>
      <c r="W583" s="968"/>
      <c r="X583" s="968">
        <f t="shared" si="148"/>
        <v>11411.17</v>
      </c>
      <c r="Y583" s="1145">
        <v>8620</v>
      </c>
      <c r="Z583" s="1145">
        <v>8620</v>
      </c>
      <c r="AA583" s="1145">
        <v>8620</v>
      </c>
      <c r="AB583" s="1145">
        <v>6459.57</v>
      </c>
      <c r="AC583" s="1145"/>
      <c r="AD583" s="1145">
        <f t="shared" si="152"/>
        <v>6459.57</v>
      </c>
    </row>
    <row r="584" spans="1:30" x14ac:dyDescent="0.2">
      <c r="A584" s="928">
        <v>8153</v>
      </c>
      <c r="B584" s="928" t="s">
        <v>1351</v>
      </c>
      <c r="C584" s="968">
        <v>0</v>
      </c>
      <c r="D584" s="968">
        <v>0</v>
      </c>
      <c r="E584" s="968"/>
      <c r="F584" s="968">
        <f t="shared" si="149"/>
        <v>0</v>
      </c>
      <c r="G584" s="968">
        <v>350000</v>
      </c>
      <c r="H584" s="968">
        <f>350000-350000</f>
        <v>0</v>
      </c>
      <c r="I584" s="968">
        <v>0</v>
      </c>
      <c r="J584" s="968">
        <v>0</v>
      </c>
      <c r="K584" s="968"/>
      <c r="L584" s="968">
        <f t="shared" si="150"/>
        <v>0</v>
      </c>
      <c r="M584" s="974">
        <v>100000</v>
      </c>
      <c r="N584" s="974">
        <v>100000</v>
      </c>
      <c r="O584" s="974">
        <v>100000</v>
      </c>
      <c r="P584" s="968">
        <v>39199.46</v>
      </c>
      <c r="Q584" s="968"/>
      <c r="R584" s="968">
        <f t="shared" si="151"/>
        <v>39199.46</v>
      </c>
      <c r="S584" s="968">
        <v>200000</v>
      </c>
      <c r="T584" s="968">
        <v>200000</v>
      </c>
      <c r="U584" s="968">
        <v>200000</v>
      </c>
      <c r="V584" s="968">
        <v>34019.089999999997</v>
      </c>
      <c r="W584" s="968"/>
      <c r="X584" s="968">
        <f t="shared" si="148"/>
        <v>34019.089999999997</v>
      </c>
      <c r="Y584" s="1145">
        <v>193600</v>
      </c>
      <c r="Z584" s="1145">
        <v>193600</v>
      </c>
      <c r="AA584" s="1145">
        <v>93600</v>
      </c>
      <c r="AB584" s="1145">
        <v>73295.27</v>
      </c>
      <c r="AC584" s="1145"/>
      <c r="AD584" s="1145">
        <f t="shared" si="152"/>
        <v>73295.27</v>
      </c>
    </row>
    <row r="585" spans="1:30" x14ac:dyDescent="0.2">
      <c r="A585" s="928">
        <v>8155</v>
      </c>
      <c r="B585" s="928" t="s">
        <v>508</v>
      </c>
      <c r="C585" s="968">
        <v>385000</v>
      </c>
      <c r="D585" s="968">
        <v>29822.81</v>
      </c>
      <c r="E585" s="968"/>
      <c r="F585" s="968">
        <f t="shared" si="149"/>
        <v>29822.81</v>
      </c>
      <c r="G585" s="968">
        <v>400000</v>
      </c>
      <c r="H585" s="968">
        <f>400000-300000</f>
        <v>100000</v>
      </c>
      <c r="I585" s="968">
        <v>100000</v>
      </c>
      <c r="J585" s="968">
        <v>1759509.32</v>
      </c>
      <c r="K585" s="968"/>
      <c r="L585" s="968">
        <f t="shared" si="150"/>
        <v>1759509.32</v>
      </c>
      <c r="M585" s="974">
        <v>400000</v>
      </c>
      <c r="N585" s="974">
        <v>400000</v>
      </c>
      <c r="O585" s="974">
        <v>1575100</v>
      </c>
      <c r="P585" s="968">
        <f>561661.85+253947.37</f>
        <v>815609.22</v>
      </c>
      <c r="Q585" s="968"/>
      <c r="R585" s="968">
        <f t="shared" si="151"/>
        <v>815609.22</v>
      </c>
      <c r="S585" s="968">
        <v>2000000</v>
      </c>
      <c r="T585" s="968">
        <v>2000000</v>
      </c>
      <c r="U585" s="968">
        <v>1280000</v>
      </c>
      <c r="V585" s="968">
        <v>1078683.75</v>
      </c>
      <c r="W585" s="968"/>
      <c r="X585" s="968">
        <f t="shared" si="148"/>
        <v>1078683.75</v>
      </c>
      <c r="Y585" s="1145">
        <v>1500000</v>
      </c>
      <c r="Z585" s="1145">
        <v>1800000</v>
      </c>
      <c r="AA585" s="1145">
        <v>1800000</v>
      </c>
      <c r="AB585" s="1145">
        <v>1333878.45</v>
      </c>
      <c r="AC585" s="1145"/>
      <c r="AD585" s="1145">
        <f t="shared" si="152"/>
        <v>1333878.45</v>
      </c>
    </row>
    <row r="586" spans="1:30" x14ac:dyDescent="0.2">
      <c r="A586" s="928">
        <v>8156</v>
      </c>
      <c r="B586" s="928" t="s">
        <v>1352</v>
      </c>
      <c r="C586" s="968">
        <v>0</v>
      </c>
      <c r="D586" s="968">
        <v>0</v>
      </c>
      <c r="E586" s="968"/>
      <c r="F586" s="968">
        <f t="shared" si="149"/>
        <v>0</v>
      </c>
      <c r="G586" s="968">
        <v>500000</v>
      </c>
      <c r="H586" s="968">
        <v>500000</v>
      </c>
      <c r="I586" s="968">
        <v>500000</v>
      </c>
      <c r="J586" s="968">
        <v>0</v>
      </c>
      <c r="K586" s="968"/>
      <c r="L586" s="968">
        <f t="shared" si="150"/>
        <v>0</v>
      </c>
      <c r="M586" s="974"/>
      <c r="N586" s="974"/>
      <c r="O586" s="974"/>
      <c r="P586" s="968">
        <v>0</v>
      </c>
      <c r="Q586" s="968"/>
      <c r="R586" s="968">
        <f t="shared" si="151"/>
        <v>0</v>
      </c>
      <c r="S586" s="968"/>
      <c r="T586" s="968"/>
      <c r="U586" s="968"/>
      <c r="V586" s="968"/>
      <c r="W586" s="968"/>
      <c r="X586" s="968">
        <f t="shared" si="148"/>
        <v>0</v>
      </c>
      <c r="Y586" s="1145">
        <v>1000000</v>
      </c>
      <c r="Z586" s="1145">
        <v>1000000</v>
      </c>
      <c r="AA586" s="1145">
        <v>1000000</v>
      </c>
      <c r="AB586" s="1145">
        <v>89002.880000000005</v>
      </c>
      <c r="AC586" s="1145"/>
      <c r="AD586" s="1145">
        <f t="shared" si="152"/>
        <v>89002.880000000005</v>
      </c>
    </row>
    <row r="587" spans="1:30" x14ac:dyDescent="0.2">
      <c r="A587" s="928">
        <v>8157</v>
      </c>
      <c r="B587" s="928" t="s">
        <v>663</v>
      </c>
      <c r="C587" s="968">
        <v>2540000</v>
      </c>
      <c r="D587" s="968">
        <v>2556127.33</v>
      </c>
      <c r="E587" s="968"/>
      <c r="F587" s="968">
        <f t="shared" ref="F587:F604" si="153">D587+E587</f>
        <v>2556127.33</v>
      </c>
      <c r="G587" s="968">
        <v>1542400</v>
      </c>
      <c r="H587" s="968">
        <f>1542400+1800000</f>
        <v>3342400</v>
      </c>
      <c r="I587" s="968">
        <v>3342400</v>
      </c>
      <c r="J587" s="968">
        <v>2927575.24</v>
      </c>
      <c r="K587" s="968"/>
      <c r="L587" s="968">
        <f t="shared" si="150"/>
        <v>2927575.24</v>
      </c>
      <c r="M587" s="974">
        <v>1545000</v>
      </c>
      <c r="N587" s="974">
        <v>1545000</v>
      </c>
      <c r="O587" s="974">
        <v>1345000</v>
      </c>
      <c r="P587" s="968">
        <v>992076.45</v>
      </c>
      <c r="Q587" s="968"/>
      <c r="R587" s="968">
        <f t="shared" si="151"/>
        <v>992076.45</v>
      </c>
      <c r="S587" s="968">
        <v>1545000</v>
      </c>
      <c r="T587" s="968">
        <v>1545000</v>
      </c>
      <c r="U587" s="968">
        <v>337600</v>
      </c>
      <c r="V587" s="968">
        <v>22448.07</v>
      </c>
      <c r="W587" s="968"/>
      <c r="X587" s="968">
        <f t="shared" si="148"/>
        <v>22448.07</v>
      </c>
      <c r="Y587" s="1145">
        <v>1147000</v>
      </c>
      <c r="Z587" s="1145">
        <v>1147000</v>
      </c>
      <c r="AA587" s="1145">
        <v>1147000</v>
      </c>
      <c r="AB587" s="1145">
        <v>966713.6</v>
      </c>
      <c r="AC587" s="1145"/>
      <c r="AD587" s="1145">
        <f t="shared" si="152"/>
        <v>966713.6</v>
      </c>
    </row>
    <row r="588" spans="1:30" x14ac:dyDescent="0.2">
      <c r="A588" s="928">
        <v>8158</v>
      </c>
      <c r="B588" s="928" t="s">
        <v>1353</v>
      </c>
      <c r="C588" s="968">
        <v>0</v>
      </c>
      <c r="D588" s="968">
        <v>0</v>
      </c>
      <c r="E588" s="968"/>
      <c r="F588" s="968">
        <f t="shared" si="153"/>
        <v>0</v>
      </c>
      <c r="G588" s="968">
        <v>1500000</v>
      </c>
      <c r="H588" s="968">
        <v>1500000</v>
      </c>
      <c r="I588" s="968">
        <v>1500000</v>
      </c>
      <c r="J588" s="968">
        <v>1395527.05</v>
      </c>
      <c r="K588" s="968"/>
      <c r="L588" s="968">
        <f t="shared" si="150"/>
        <v>1395527.05</v>
      </c>
      <c r="M588" s="974">
        <v>1100000</v>
      </c>
      <c r="N588" s="974">
        <v>1100000</v>
      </c>
      <c r="O588" s="974">
        <v>1100000</v>
      </c>
      <c r="P588" s="968">
        <v>936973.68</v>
      </c>
      <c r="Q588" s="968"/>
      <c r="R588" s="968">
        <f t="shared" si="151"/>
        <v>936973.68</v>
      </c>
      <c r="S588" s="968">
        <v>1800000</v>
      </c>
      <c r="T588" s="968">
        <v>1800000</v>
      </c>
      <c r="U588" s="968">
        <v>1800000</v>
      </c>
      <c r="V588" s="968">
        <v>1448514.29</v>
      </c>
      <c r="W588" s="968"/>
      <c r="X588" s="968">
        <f t="shared" si="148"/>
        <v>1448514.29</v>
      </c>
      <c r="Y588" s="1145">
        <v>1875000</v>
      </c>
      <c r="Z588" s="1145">
        <v>1875000</v>
      </c>
      <c r="AA588" s="1145">
        <v>1875000</v>
      </c>
      <c r="AB588" s="1145">
        <v>454266.85</v>
      </c>
      <c r="AC588" s="1145"/>
      <c r="AD588" s="1145">
        <f t="shared" si="152"/>
        <v>454266.85</v>
      </c>
    </row>
    <row r="589" spans="1:30" x14ac:dyDescent="0.2">
      <c r="A589" s="928">
        <v>8159</v>
      </c>
      <c r="B589" s="928" t="s">
        <v>1354</v>
      </c>
      <c r="C589" s="968">
        <v>120000</v>
      </c>
      <c r="D589" s="968">
        <v>0</v>
      </c>
      <c r="E589" s="968"/>
      <c r="F589" s="968">
        <f t="shared" si="153"/>
        <v>0</v>
      </c>
      <c r="G589" s="968">
        <v>300000</v>
      </c>
      <c r="H589" s="968">
        <f>300000-200000</f>
        <v>100000</v>
      </c>
      <c r="I589" s="968">
        <v>100000</v>
      </c>
      <c r="J589" s="968">
        <v>29990</v>
      </c>
      <c r="K589" s="968"/>
      <c r="L589" s="968">
        <f t="shared" si="150"/>
        <v>29990</v>
      </c>
      <c r="M589" s="974">
        <v>540000</v>
      </c>
      <c r="N589" s="974">
        <v>540000</v>
      </c>
      <c r="O589" s="974">
        <v>540000</v>
      </c>
      <c r="P589" s="968">
        <v>497755.26</v>
      </c>
      <c r="Q589" s="968"/>
      <c r="R589" s="968">
        <f t="shared" si="151"/>
        <v>497755.26</v>
      </c>
      <c r="S589" s="968">
        <v>540000</v>
      </c>
      <c r="T589" s="968">
        <v>540000</v>
      </c>
      <c r="U589" s="968">
        <v>0</v>
      </c>
      <c r="V589" s="968"/>
      <c r="W589" s="968"/>
      <c r="X589" s="968">
        <f t="shared" si="148"/>
        <v>0</v>
      </c>
      <c r="Y589" s="1145">
        <v>571000</v>
      </c>
      <c r="Z589" s="1145"/>
      <c r="AA589" s="1145"/>
      <c r="AB589" s="1145"/>
      <c r="AC589" s="1145"/>
      <c r="AD589" s="1145">
        <f t="shared" si="152"/>
        <v>0</v>
      </c>
    </row>
    <row r="590" spans="1:30" x14ac:dyDescent="0.2">
      <c r="A590" s="928">
        <v>8160</v>
      </c>
      <c r="B590" s="928" t="s">
        <v>1355</v>
      </c>
      <c r="C590" s="968">
        <v>0</v>
      </c>
      <c r="D590" s="968">
        <v>0</v>
      </c>
      <c r="E590" s="968"/>
      <c r="F590" s="968">
        <f t="shared" si="153"/>
        <v>0</v>
      </c>
      <c r="G590" s="968">
        <v>3000000</v>
      </c>
      <c r="H590" s="968">
        <v>3000000</v>
      </c>
      <c r="I590" s="968">
        <v>3000000</v>
      </c>
      <c r="J590" s="968">
        <v>3000000</v>
      </c>
      <c r="K590" s="968"/>
      <c r="L590" s="968">
        <f t="shared" si="150"/>
        <v>3000000</v>
      </c>
      <c r="M590" s="974">
        <v>3200000</v>
      </c>
      <c r="N590" s="974">
        <v>3200000</v>
      </c>
      <c r="O590" s="974">
        <v>3200000</v>
      </c>
      <c r="P590" s="968">
        <v>3200000</v>
      </c>
      <c r="Q590" s="968"/>
      <c r="R590" s="968">
        <f t="shared" si="151"/>
        <v>3200000</v>
      </c>
      <c r="S590" s="968">
        <v>3000000</v>
      </c>
      <c r="T590" s="968">
        <v>3000000</v>
      </c>
      <c r="U590" s="968">
        <v>3000000</v>
      </c>
      <c r="V590" s="968">
        <v>3000000</v>
      </c>
      <c r="W590" s="968"/>
      <c r="X590" s="968">
        <f t="shared" si="148"/>
        <v>3000000</v>
      </c>
      <c r="Y590" s="1145">
        <v>5000000</v>
      </c>
      <c r="Z590" s="1145">
        <v>5000000</v>
      </c>
      <c r="AA590" s="1145">
        <v>5000000</v>
      </c>
      <c r="AB590" s="1145">
        <v>5000000</v>
      </c>
      <c r="AC590" s="1145"/>
      <c r="AD590" s="1145">
        <f t="shared" si="152"/>
        <v>5000000</v>
      </c>
    </row>
    <row r="591" spans="1:30" x14ac:dyDescent="0.2">
      <c r="A591" s="928">
        <v>8161</v>
      </c>
      <c r="B591" s="928" t="s">
        <v>701</v>
      </c>
      <c r="C591" s="968">
        <v>153000</v>
      </c>
      <c r="D591" s="968">
        <v>500</v>
      </c>
      <c r="E591" s="968"/>
      <c r="F591" s="968">
        <f t="shared" si="153"/>
        <v>500</v>
      </c>
      <c r="G591" s="968">
        <v>173180</v>
      </c>
      <c r="H591" s="968">
        <f>173180-170000</f>
        <v>3180</v>
      </c>
      <c r="I591" s="968">
        <v>3180</v>
      </c>
      <c r="J591" s="968">
        <v>0</v>
      </c>
      <c r="K591" s="968"/>
      <c r="L591" s="968">
        <f t="shared" si="150"/>
        <v>0</v>
      </c>
      <c r="M591" s="974">
        <v>3180</v>
      </c>
      <c r="N591" s="974">
        <v>3180</v>
      </c>
      <c r="O591" s="974">
        <v>3180</v>
      </c>
      <c r="P591" s="968">
        <v>0</v>
      </c>
      <c r="Q591" s="968"/>
      <c r="R591" s="968">
        <f t="shared" si="151"/>
        <v>0</v>
      </c>
      <c r="S591" s="968">
        <v>3180</v>
      </c>
      <c r="T591" s="968">
        <v>3180</v>
      </c>
      <c r="U591" s="968">
        <v>3180</v>
      </c>
      <c r="V591" s="968"/>
      <c r="W591" s="968"/>
      <c r="X591" s="968">
        <f t="shared" si="148"/>
        <v>0</v>
      </c>
      <c r="Y591" s="1145"/>
      <c r="Z591" s="1145"/>
      <c r="AA591" s="1145"/>
      <c r="AB591" s="1145"/>
      <c r="AC591" s="1145"/>
      <c r="AD591" s="1145">
        <f t="shared" si="152"/>
        <v>0</v>
      </c>
    </row>
    <row r="592" spans="1:30" x14ac:dyDescent="0.2">
      <c r="A592" s="928">
        <v>8171</v>
      </c>
      <c r="B592" s="928" t="s">
        <v>500</v>
      </c>
      <c r="C592" s="968">
        <v>150000</v>
      </c>
      <c r="D592" s="968">
        <v>26094.33</v>
      </c>
      <c r="E592" s="968"/>
      <c r="F592" s="968">
        <f t="shared" si="153"/>
        <v>26094.33</v>
      </c>
      <c r="G592" s="968">
        <v>159000</v>
      </c>
      <c r="H592" s="968">
        <f>159000-110000</f>
        <v>49000</v>
      </c>
      <c r="I592" s="968">
        <v>49000</v>
      </c>
      <c r="J592" s="968">
        <v>66673.679999999993</v>
      </c>
      <c r="K592" s="968"/>
      <c r="L592" s="968">
        <f t="shared" si="150"/>
        <v>66673.679999999993</v>
      </c>
      <c r="M592" s="974">
        <v>49000</v>
      </c>
      <c r="N592" s="974">
        <v>49000</v>
      </c>
      <c r="O592" s="974">
        <v>49000</v>
      </c>
      <c r="P592" s="968">
        <v>2639.74</v>
      </c>
      <c r="Q592" s="968"/>
      <c r="R592" s="968">
        <f t="shared" si="151"/>
        <v>2639.74</v>
      </c>
      <c r="S592" s="968">
        <v>49000</v>
      </c>
      <c r="T592" s="968">
        <v>49000</v>
      </c>
      <c r="U592" s="968">
        <v>3000</v>
      </c>
      <c r="V592" s="968"/>
      <c r="W592" s="968"/>
      <c r="X592" s="968">
        <f t="shared" si="148"/>
        <v>0</v>
      </c>
      <c r="Y592" s="1145">
        <v>2904</v>
      </c>
      <c r="Z592" s="1145">
        <v>1404</v>
      </c>
      <c r="AA592" s="1145">
        <v>1404</v>
      </c>
      <c r="AB592" s="1145"/>
      <c r="AC592" s="1145"/>
      <c r="AD592" s="1145">
        <f t="shared" si="152"/>
        <v>0</v>
      </c>
    </row>
    <row r="593" spans="1:30" x14ac:dyDescent="0.2">
      <c r="A593" s="928">
        <v>8173</v>
      </c>
      <c r="B593" s="928" t="s">
        <v>993</v>
      </c>
      <c r="C593" s="968">
        <v>12000</v>
      </c>
      <c r="D593" s="968">
        <v>2086.0100000000002</v>
      </c>
      <c r="E593" s="968"/>
      <c r="F593" s="968">
        <f t="shared" si="153"/>
        <v>2086.0100000000002</v>
      </c>
      <c r="G593" s="968">
        <v>31600</v>
      </c>
      <c r="H593" s="968">
        <v>31600</v>
      </c>
      <c r="I593" s="968">
        <v>31600</v>
      </c>
      <c r="J593" s="968">
        <v>15189.76</v>
      </c>
      <c r="K593" s="968"/>
      <c r="L593" s="968">
        <f t="shared" si="150"/>
        <v>15189.76</v>
      </c>
      <c r="M593" s="974">
        <v>31600</v>
      </c>
      <c r="N593" s="974">
        <v>31600</v>
      </c>
      <c r="O593" s="974">
        <v>31600</v>
      </c>
      <c r="P593" s="968">
        <v>11838.07</v>
      </c>
      <c r="Q593" s="968"/>
      <c r="R593" s="968">
        <f t="shared" si="151"/>
        <v>11838.07</v>
      </c>
      <c r="S593" s="968">
        <v>31600</v>
      </c>
      <c r="T593" s="968">
        <v>31600</v>
      </c>
      <c r="U593" s="968">
        <v>31600</v>
      </c>
      <c r="V593" s="968">
        <v>6215.11</v>
      </c>
      <c r="W593" s="968"/>
      <c r="X593" s="968">
        <f t="shared" si="148"/>
        <v>6215.11</v>
      </c>
      <c r="Y593" s="1145">
        <v>30589</v>
      </c>
      <c r="Z593" s="1145">
        <v>30589</v>
      </c>
      <c r="AA593" s="1145">
        <v>30589</v>
      </c>
      <c r="AB593" s="1145">
        <v>15351.68</v>
      </c>
      <c r="AC593" s="1145"/>
      <c r="AD593" s="1145">
        <f t="shared" si="152"/>
        <v>15351.68</v>
      </c>
    </row>
    <row r="594" spans="1:30" x14ac:dyDescent="0.2">
      <c r="A594" s="928">
        <v>8179</v>
      </c>
      <c r="B594" s="928" t="s">
        <v>1356</v>
      </c>
      <c r="C594" s="968">
        <v>4000000</v>
      </c>
      <c r="D594" s="968">
        <v>3260823.93</v>
      </c>
      <c r="E594" s="968"/>
      <c r="F594" s="968">
        <f t="shared" si="153"/>
        <v>3260823.93</v>
      </c>
      <c r="G594" s="968">
        <v>5000000</v>
      </c>
      <c r="H594" s="968">
        <v>5000000</v>
      </c>
      <c r="I594" s="968">
        <v>5000000</v>
      </c>
      <c r="J594" s="968">
        <v>5108872.55</v>
      </c>
      <c r="K594" s="968"/>
      <c r="L594" s="968">
        <f t="shared" si="150"/>
        <v>5108872.55</v>
      </c>
      <c r="M594" s="974">
        <v>4560000</v>
      </c>
      <c r="N594" s="974">
        <v>4560000</v>
      </c>
      <c r="O594" s="974">
        <v>4940000</v>
      </c>
      <c r="P594" s="968">
        <v>4915366</v>
      </c>
      <c r="Q594" s="968"/>
      <c r="R594" s="968">
        <f t="shared" si="151"/>
        <v>4915366</v>
      </c>
      <c r="S594" s="968">
        <v>4560000</v>
      </c>
      <c r="T594" s="968">
        <v>4560000</v>
      </c>
      <c r="U594" s="968">
        <v>6360000</v>
      </c>
      <c r="V594" s="968">
        <v>6267435.7300000004</v>
      </c>
      <c r="W594" s="968"/>
      <c r="X594" s="968">
        <f t="shared" si="148"/>
        <v>6267435.7300000004</v>
      </c>
      <c r="Y594" s="1145">
        <v>6000000</v>
      </c>
      <c r="Z594" s="1145">
        <v>7663000</v>
      </c>
      <c r="AA594" s="1145">
        <v>8732389</v>
      </c>
      <c r="AB594" s="1145">
        <v>8732388.0399999991</v>
      </c>
      <c r="AC594" s="1145"/>
      <c r="AD594" s="1145">
        <f t="shared" si="152"/>
        <v>8732388.0399999991</v>
      </c>
    </row>
    <row r="595" spans="1:30" x14ac:dyDescent="0.2">
      <c r="A595" s="928">
        <v>8185</v>
      </c>
      <c r="B595" s="928" t="s">
        <v>504</v>
      </c>
      <c r="C595" s="968">
        <v>828000</v>
      </c>
      <c r="D595" s="968">
        <v>992899.44</v>
      </c>
      <c r="E595" s="968"/>
      <c r="F595" s="968">
        <f t="shared" si="153"/>
        <v>992899.44</v>
      </c>
      <c r="G595" s="968">
        <v>1048000</v>
      </c>
      <c r="H595" s="968">
        <v>1048000</v>
      </c>
      <c r="I595" s="968">
        <v>1048000</v>
      </c>
      <c r="J595" s="968">
        <v>1155489.9099999999</v>
      </c>
      <c r="K595" s="968"/>
      <c r="L595" s="968">
        <f t="shared" si="150"/>
        <v>1155489.9099999999</v>
      </c>
      <c r="M595" s="974">
        <v>1048000</v>
      </c>
      <c r="N595" s="974">
        <v>1048000</v>
      </c>
      <c r="O595" s="974">
        <v>1169700</v>
      </c>
      <c r="P595" s="968">
        <v>1169616.8899999999</v>
      </c>
      <c r="Q595" s="968"/>
      <c r="R595" s="968">
        <f t="shared" si="151"/>
        <v>1169616.8899999999</v>
      </c>
      <c r="S595" s="968">
        <v>1580000</v>
      </c>
      <c r="T595" s="968">
        <v>1580000</v>
      </c>
      <c r="U595" s="968">
        <v>1580000</v>
      </c>
      <c r="V595" s="968">
        <v>1507205.83</v>
      </c>
      <c r="W595" s="968"/>
      <c r="X595" s="968">
        <f t="shared" si="148"/>
        <v>1507205.83</v>
      </c>
      <c r="Y595" s="1145">
        <v>1500000</v>
      </c>
      <c r="Z595" s="1145">
        <v>1500000</v>
      </c>
      <c r="AA595" s="1145">
        <v>1364352</v>
      </c>
      <c r="AB595" s="1145">
        <v>1364351.55</v>
      </c>
      <c r="AC595" s="1145"/>
      <c r="AD595" s="1145">
        <f t="shared" si="152"/>
        <v>1364351.55</v>
      </c>
    </row>
    <row r="596" spans="1:30" x14ac:dyDescent="0.2">
      <c r="A596" s="928">
        <v>8187</v>
      </c>
      <c r="B596" s="928" t="s">
        <v>659</v>
      </c>
      <c r="C596" s="968">
        <v>217000</v>
      </c>
      <c r="D596" s="968">
        <v>198892.89</v>
      </c>
      <c r="E596" s="968"/>
      <c r="F596" s="968">
        <f t="shared" si="153"/>
        <v>198892.89</v>
      </c>
      <c r="G596" s="968">
        <v>230020</v>
      </c>
      <c r="H596" s="968">
        <f>230020-60000</f>
        <v>170020</v>
      </c>
      <c r="I596" s="968">
        <v>170020</v>
      </c>
      <c r="J596" s="968">
        <v>131871.67000000001</v>
      </c>
      <c r="K596" s="968"/>
      <c r="L596" s="968">
        <f t="shared" si="150"/>
        <v>131871.67000000001</v>
      </c>
      <c r="M596" s="974">
        <v>170021</v>
      </c>
      <c r="N596" s="974">
        <v>170021</v>
      </c>
      <c r="O596" s="974">
        <v>170021</v>
      </c>
      <c r="P596" s="968">
        <v>84189.64</v>
      </c>
      <c r="Q596" s="968"/>
      <c r="R596" s="968">
        <f t="shared" si="151"/>
        <v>84189.64</v>
      </c>
      <c r="S596" s="968">
        <v>156520</v>
      </c>
      <c r="T596" s="968">
        <v>156520</v>
      </c>
      <c r="U596" s="968">
        <v>148520</v>
      </c>
      <c r="V596" s="968">
        <v>84397.87</v>
      </c>
      <c r="W596" s="968"/>
      <c r="X596" s="968">
        <f t="shared" si="148"/>
        <v>84397.87</v>
      </c>
      <c r="Y596" s="1145">
        <v>151511</v>
      </c>
      <c r="Z596" s="1145">
        <v>111511</v>
      </c>
      <c r="AA596" s="1145">
        <v>91511</v>
      </c>
      <c r="AB596" s="1145">
        <v>84377.39</v>
      </c>
      <c r="AC596" s="1145"/>
      <c r="AD596" s="1145">
        <f t="shared" si="152"/>
        <v>84377.39</v>
      </c>
    </row>
    <row r="597" spans="1:30" x14ac:dyDescent="0.2">
      <c r="A597" s="928">
        <v>8189</v>
      </c>
      <c r="B597" s="928" t="s">
        <v>224</v>
      </c>
      <c r="C597" s="968">
        <v>102000</v>
      </c>
      <c r="D597" s="968">
        <v>71700</v>
      </c>
      <c r="E597" s="968"/>
      <c r="F597" s="968">
        <f t="shared" si="153"/>
        <v>71700</v>
      </c>
      <c r="G597" s="968">
        <v>153320</v>
      </c>
      <c r="H597" s="968">
        <f>153320-50000</f>
        <v>103320</v>
      </c>
      <c r="I597" s="968">
        <v>23320</v>
      </c>
      <c r="J597" s="968">
        <v>28470</v>
      </c>
      <c r="K597" s="968"/>
      <c r="L597" s="968">
        <f t="shared" si="150"/>
        <v>28470</v>
      </c>
      <c r="M597" s="974">
        <v>103320</v>
      </c>
      <c r="N597" s="974">
        <v>103320</v>
      </c>
      <c r="O597" s="974">
        <f>23320+24000</f>
        <v>47320</v>
      </c>
      <c r="P597" s="968">
        <v>0</v>
      </c>
      <c r="Q597" s="968"/>
      <c r="R597" s="968">
        <f t="shared" si="151"/>
        <v>0</v>
      </c>
      <c r="S597" s="968">
        <v>80000</v>
      </c>
      <c r="T597" s="968">
        <v>80000</v>
      </c>
      <c r="U597" s="968">
        <v>80000</v>
      </c>
      <c r="V597" s="968">
        <v>42971.92</v>
      </c>
      <c r="W597" s="968"/>
      <c r="X597" s="968">
        <f t="shared" si="148"/>
        <v>42971.92</v>
      </c>
      <c r="Y597" s="1145">
        <v>1657440</v>
      </c>
      <c r="Z597" s="1145">
        <v>187440</v>
      </c>
      <c r="AA597" s="1145">
        <v>182440</v>
      </c>
      <c r="AB597" s="1145">
        <v>77342.66</v>
      </c>
      <c r="AC597" s="1145"/>
      <c r="AD597" s="1145">
        <f t="shared" si="152"/>
        <v>77342.66</v>
      </c>
    </row>
    <row r="598" spans="1:30" x14ac:dyDescent="0.2">
      <c r="A598" s="928">
        <v>8191</v>
      </c>
      <c r="B598" s="928" t="s">
        <v>2966</v>
      </c>
      <c r="C598" s="968"/>
      <c r="D598" s="968"/>
      <c r="E598" s="968"/>
      <c r="F598" s="968"/>
      <c r="G598" s="968"/>
      <c r="H598" s="968"/>
      <c r="I598" s="968"/>
      <c r="J598" s="968">
        <v>6650439.9500000002</v>
      </c>
      <c r="K598" s="968">
        <v>18595502.77</v>
      </c>
      <c r="L598" s="968">
        <f t="shared" si="150"/>
        <v>25245942.719999999</v>
      </c>
      <c r="M598" s="974"/>
      <c r="N598" s="974"/>
      <c r="O598" s="974"/>
      <c r="P598" s="968">
        <v>0</v>
      </c>
      <c r="Q598" s="968"/>
      <c r="R598" s="968">
        <f t="shared" si="151"/>
        <v>0</v>
      </c>
      <c r="S598" s="968"/>
      <c r="T598" s="968"/>
      <c r="U598" s="968"/>
      <c r="V598" s="968"/>
      <c r="W598" s="968">
        <v>-1.96</v>
      </c>
      <c r="X598" s="968">
        <f t="shared" si="148"/>
        <v>-1.96</v>
      </c>
      <c r="Y598" s="1145"/>
      <c r="Z598" s="1145"/>
      <c r="AA598" s="1145"/>
      <c r="AB598" s="1145"/>
      <c r="AC598" s="1145"/>
      <c r="AD598" s="1145">
        <f t="shared" si="152"/>
        <v>0</v>
      </c>
    </row>
    <row r="599" spans="1:30" x14ac:dyDescent="0.2">
      <c r="A599" s="928">
        <v>8503</v>
      </c>
      <c r="B599" s="928" t="s">
        <v>1357</v>
      </c>
      <c r="C599" s="968"/>
      <c r="D599" s="968"/>
      <c r="E599" s="968"/>
      <c r="F599" s="968">
        <f t="shared" si="153"/>
        <v>0</v>
      </c>
      <c r="G599" s="968">
        <v>0</v>
      </c>
      <c r="H599" s="968">
        <v>0</v>
      </c>
      <c r="I599" s="968"/>
      <c r="J599" s="968">
        <v>0</v>
      </c>
      <c r="K599" s="968"/>
      <c r="L599" s="968">
        <f t="shared" si="150"/>
        <v>0</v>
      </c>
      <c r="M599" s="974"/>
      <c r="N599" s="974"/>
      <c r="O599" s="974"/>
      <c r="P599" s="968">
        <v>0</v>
      </c>
      <c r="Q599" s="968"/>
      <c r="R599" s="968">
        <f t="shared" si="151"/>
        <v>0</v>
      </c>
      <c r="S599" s="968"/>
      <c r="T599" s="968"/>
      <c r="U599" s="968"/>
      <c r="V599" s="968"/>
      <c r="W599" s="968"/>
      <c r="X599" s="968">
        <f t="shared" ref="X599:X620" si="154">V599+W599</f>
        <v>0</v>
      </c>
      <c r="Y599" s="1145">
        <v>2750800</v>
      </c>
      <c r="Z599" s="1145">
        <v>1750800</v>
      </c>
      <c r="AA599" s="1145"/>
      <c r="AB599" s="1145"/>
      <c r="AC599" s="1145"/>
      <c r="AD599" s="1145">
        <f t="shared" si="152"/>
        <v>0</v>
      </c>
    </row>
    <row r="600" spans="1:30" x14ac:dyDescent="0.2">
      <c r="A600" s="928">
        <v>8505</v>
      </c>
      <c r="B600" s="928" t="s">
        <v>585</v>
      </c>
      <c r="C600" s="968"/>
      <c r="D600" s="968"/>
      <c r="E600" s="968"/>
      <c r="F600" s="968">
        <f t="shared" si="153"/>
        <v>0</v>
      </c>
      <c r="G600" s="968">
        <v>0</v>
      </c>
      <c r="H600" s="968">
        <v>0</v>
      </c>
      <c r="I600" s="968"/>
      <c r="J600" s="968">
        <v>0</v>
      </c>
      <c r="K600" s="968"/>
      <c r="L600" s="968">
        <f t="shared" si="150"/>
        <v>0</v>
      </c>
      <c r="M600" s="974"/>
      <c r="N600" s="974"/>
      <c r="O600" s="974"/>
      <c r="P600" s="968">
        <v>0</v>
      </c>
      <c r="Q600" s="968"/>
      <c r="R600" s="968">
        <f t="shared" si="151"/>
        <v>0</v>
      </c>
      <c r="S600" s="968"/>
      <c r="T600" s="968"/>
      <c r="U600" s="968"/>
      <c r="V600" s="968"/>
      <c r="W600" s="968"/>
      <c r="X600" s="968">
        <f t="shared" si="154"/>
        <v>0</v>
      </c>
      <c r="Y600" s="1145">
        <v>3560000</v>
      </c>
      <c r="Z600" s="1145">
        <v>3560000</v>
      </c>
      <c r="AA600" s="1145"/>
      <c r="AB600" s="1145"/>
      <c r="AC600" s="1145"/>
      <c r="AD600" s="1145">
        <f t="shared" si="152"/>
        <v>0</v>
      </c>
    </row>
    <row r="601" spans="1:30" x14ac:dyDescent="0.2">
      <c r="A601" s="928">
        <v>8507</v>
      </c>
      <c r="B601" s="928" t="s">
        <v>1358</v>
      </c>
      <c r="C601" s="968"/>
      <c r="D601" s="968"/>
      <c r="E601" s="968"/>
      <c r="F601" s="968">
        <f t="shared" si="153"/>
        <v>0</v>
      </c>
      <c r="G601" s="968">
        <v>0</v>
      </c>
      <c r="H601" s="968">
        <v>0</v>
      </c>
      <c r="I601" s="968"/>
      <c r="J601" s="968">
        <v>0</v>
      </c>
      <c r="K601" s="968"/>
      <c r="L601" s="968">
        <f t="shared" si="150"/>
        <v>0</v>
      </c>
      <c r="M601" s="974"/>
      <c r="N601" s="974"/>
      <c r="O601" s="974"/>
      <c r="P601" s="968">
        <v>0</v>
      </c>
      <c r="Q601" s="968"/>
      <c r="R601" s="968">
        <f t="shared" si="151"/>
        <v>0</v>
      </c>
      <c r="S601" s="968"/>
      <c r="T601" s="968"/>
      <c r="U601" s="968"/>
      <c r="V601" s="968"/>
      <c r="W601" s="968"/>
      <c r="X601" s="968">
        <f t="shared" si="154"/>
        <v>0</v>
      </c>
      <c r="Y601" s="1145">
        <v>740600</v>
      </c>
      <c r="Z601" s="1145">
        <v>740600</v>
      </c>
      <c r="AA601" s="1145"/>
      <c r="AB601" s="1145"/>
      <c r="AC601" s="1145"/>
      <c r="AD601" s="1145">
        <f t="shared" si="152"/>
        <v>0</v>
      </c>
    </row>
    <row r="602" spans="1:30" x14ac:dyDescent="0.2">
      <c r="A602" s="928">
        <v>8508</v>
      </c>
      <c r="B602" s="928" t="s">
        <v>3920</v>
      </c>
      <c r="C602" s="968"/>
      <c r="D602" s="968"/>
      <c r="E602" s="968"/>
      <c r="F602" s="968"/>
      <c r="G602" s="968"/>
      <c r="H602" s="968"/>
      <c r="I602" s="968"/>
      <c r="J602" s="968"/>
      <c r="K602" s="968"/>
      <c r="L602" s="968"/>
      <c r="M602" s="974"/>
      <c r="N602" s="974"/>
      <c r="O602" s="974"/>
      <c r="P602" s="968"/>
      <c r="Q602" s="968"/>
      <c r="R602" s="968"/>
      <c r="S602" s="968"/>
      <c r="T602" s="968"/>
      <c r="U602" s="968"/>
      <c r="V602" s="968"/>
      <c r="W602" s="968"/>
      <c r="X602" s="968"/>
      <c r="Y602" s="1145">
        <v>52000000</v>
      </c>
      <c r="Z602" s="1145">
        <v>52000000</v>
      </c>
      <c r="AA602" s="1145">
        <v>39541652</v>
      </c>
      <c r="AB602" s="1145">
        <v>39541651.490000002</v>
      </c>
      <c r="AC602" s="1145"/>
      <c r="AD602" s="1145">
        <f t="shared" si="152"/>
        <v>39541651.490000002</v>
      </c>
    </row>
    <row r="603" spans="1:30" x14ac:dyDescent="0.2">
      <c r="A603" s="928">
        <v>8510</v>
      </c>
      <c r="B603" s="928" t="s">
        <v>1359</v>
      </c>
      <c r="C603" s="968">
        <v>305000</v>
      </c>
      <c r="D603" s="968">
        <v>304668</v>
      </c>
      <c r="E603" s="968"/>
      <c r="F603" s="968">
        <f t="shared" si="153"/>
        <v>304668</v>
      </c>
      <c r="G603" s="968">
        <v>323300</v>
      </c>
      <c r="H603" s="968">
        <v>323300</v>
      </c>
      <c r="I603" s="968">
        <v>323300</v>
      </c>
      <c r="J603" s="968">
        <v>335135</v>
      </c>
      <c r="K603" s="968"/>
      <c r="L603" s="968">
        <f t="shared" si="150"/>
        <v>335135</v>
      </c>
      <c r="M603" s="974">
        <v>355630</v>
      </c>
      <c r="N603" s="974">
        <v>355630</v>
      </c>
      <c r="O603" s="974">
        <v>368730</v>
      </c>
      <c r="P603" s="968">
        <v>368649</v>
      </c>
      <c r="Q603" s="968"/>
      <c r="R603" s="968">
        <f>P603+Q603+4053370</f>
        <v>4422019</v>
      </c>
      <c r="S603" s="968">
        <v>391200</v>
      </c>
      <c r="T603" s="968">
        <v>391200</v>
      </c>
      <c r="U603" s="968">
        <f>391200+4500000</f>
        <v>4891200</v>
      </c>
      <c r="V603" s="968">
        <v>4875276</v>
      </c>
      <c r="W603" s="968"/>
      <c r="X603" s="968">
        <f t="shared" si="154"/>
        <v>4875276</v>
      </c>
      <c r="Y603" s="1145">
        <v>413890</v>
      </c>
      <c r="Z603" s="1145">
        <v>413890</v>
      </c>
      <c r="AA603" s="1145">
        <v>413890</v>
      </c>
      <c r="AB603" s="1145">
        <v>5374992</v>
      </c>
      <c r="AC603" s="1145"/>
      <c r="AD603" s="1145">
        <f t="shared" si="152"/>
        <v>5374992</v>
      </c>
    </row>
    <row r="604" spans="1:30" x14ac:dyDescent="0.2">
      <c r="A604" s="928">
        <v>9015</v>
      </c>
      <c r="B604" s="928" t="s">
        <v>1360</v>
      </c>
      <c r="C604" s="968">
        <v>2035</v>
      </c>
      <c r="D604" s="968">
        <v>1487.5</v>
      </c>
      <c r="E604" s="968"/>
      <c r="F604" s="968">
        <f t="shared" si="153"/>
        <v>1487.5</v>
      </c>
      <c r="G604" s="968">
        <v>2160</v>
      </c>
      <c r="H604" s="968">
        <v>2160</v>
      </c>
      <c r="I604" s="968">
        <v>2160</v>
      </c>
      <c r="J604" s="968">
        <v>0</v>
      </c>
      <c r="K604" s="968"/>
      <c r="L604" s="968">
        <f t="shared" si="150"/>
        <v>0</v>
      </c>
      <c r="M604" s="974">
        <v>2160</v>
      </c>
      <c r="N604" s="974">
        <v>2160</v>
      </c>
      <c r="O604" s="974">
        <v>2160</v>
      </c>
      <c r="P604" s="968">
        <f>-2464+2464</f>
        <v>0</v>
      </c>
      <c r="Q604" s="968">
        <v>26337671.920000002</v>
      </c>
      <c r="R604" s="968">
        <f t="shared" si="151"/>
        <v>26337671.920000002</v>
      </c>
      <c r="S604" s="968">
        <v>2160</v>
      </c>
      <c r="T604" s="968">
        <v>2160</v>
      </c>
      <c r="U604" s="968">
        <v>2160</v>
      </c>
      <c r="V604" s="968"/>
      <c r="W604" s="968"/>
      <c r="X604" s="968">
        <f t="shared" si="154"/>
        <v>0</v>
      </c>
      <c r="Y604" s="1145">
        <v>2091</v>
      </c>
      <c r="Z604" s="1145">
        <v>2091</v>
      </c>
      <c r="AA604" s="1145">
        <v>2091</v>
      </c>
      <c r="AB604" s="1145"/>
      <c r="AC604" s="1145"/>
      <c r="AD604" s="1145">
        <f t="shared" si="152"/>
        <v>0</v>
      </c>
    </row>
    <row r="605" spans="1:30" x14ac:dyDescent="0.2">
      <c r="A605" s="928"/>
      <c r="B605" s="976" t="s">
        <v>1089</v>
      </c>
      <c r="C605" s="1143">
        <f t="shared" ref="C605:P605" si="155">SUM(C438:C604)</f>
        <v>208106168</v>
      </c>
      <c r="D605" s="1143">
        <f t="shared" si="155"/>
        <v>208810178.61000001</v>
      </c>
      <c r="E605" s="1143">
        <f t="shared" si="155"/>
        <v>208055.18</v>
      </c>
      <c r="F605" s="1143">
        <f t="shared" si="155"/>
        <v>209018233.78999999</v>
      </c>
      <c r="G605" s="1143">
        <f t="shared" si="155"/>
        <v>205780085</v>
      </c>
      <c r="H605" s="1143">
        <f t="shared" si="155"/>
        <v>238869085</v>
      </c>
      <c r="I605" s="1143">
        <f>SUM(I438:I604)</f>
        <v>242662772</v>
      </c>
      <c r="J605" s="1143">
        <f t="shared" si="155"/>
        <v>283312955.61000007</v>
      </c>
      <c r="K605" s="1143">
        <f t="shared" si="155"/>
        <v>49701281.060000002</v>
      </c>
      <c r="L605" s="1143">
        <f t="shared" si="155"/>
        <v>333014236.67000008</v>
      </c>
      <c r="M605" s="1144">
        <f t="shared" si="155"/>
        <v>300872942</v>
      </c>
      <c r="N605" s="1144">
        <f>SUM(N438:N604)</f>
        <v>377654942</v>
      </c>
      <c r="O605" s="1144">
        <f>SUM(O438:O604)</f>
        <v>334676007</v>
      </c>
      <c r="P605" s="1143">
        <f t="shared" si="155"/>
        <v>274708099.69999999</v>
      </c>
      <c r="Q605" s="1143">
        <f>SUM(Q438:Q604)</f>
        <v>15949173.600000001</v>
      </c>
      <c r="R605" s="1143">
        <f>SUM(R438:R604)</f>
        <v>294710643.30000001</v>
      </c>
      <c r="S605" s="1143">
        <f t="shared" ref="S605:X605" si="156">SUM(S438:S604)</f>
        <v>321063234</v>
      </c>
      <c r="T605" s="1143">
        <f t="shared" si="156"/>
        <v>347279234</v>
      </c>
      <c r="U605" s="1143">
        <f t="shared" si="156"/>
        <v>350478080</v>
      </c>
      <c r="V605" s="1143">
        <f>SUM(V438:V604)</f>
        <v>424740123.57999998</v>
      </c>
      <c r="W605" s="1143">
        <f t="shared" si="156"/>
        <v>3415053.32</v>
      </c>
      <c r="X605" s="1143">
        <f t="shared" si="156"/>
        <v>428155176.90000004</v>
      </c>
      <c r="Y605" s="1341">
        <f t="shared" ref="Y605:AD605" si="157">SUM(Y438:Y604)</f>
        <v>371830925</v>
      </c>
      <c r="Z605" s="1341">
        <f t="shared" si="157"/>
        <v>384336673</v>
      </c>
      <c r="AA605" s="1341">
        <f t="shared" si="157"/>
        <v>380881984</v>
      </c>
      <c r="AB605" s="1341">
        <f t="shared" si="157"/>
        <v>517537219.19000012</v>
      </c>
      <c r="AC605" s="1341">
        <f t="shared" si="157"/>
        <v>0</v>
      </c>
      <c r="AD605" s="1341">
        <f t="shared" si="157"/>
        <v>517537219.19000012</v>
      </c>
    </row>
    <row r="606" spans="1:30" x14ac:dyDescent="0.2">
      <c r="A606" s="928"/>
      <c r="B606" s="928"/>
      <c r="C606" s="968"/>
      <c r="D606" s="968"/>
      <c r="E606" s="968"/>
      <c r="F606" s="968"/>
      <c r="G606" s="968"/>
      <c r="H606" s="968"/>
      <c r="I606" s="968"/>
      <c r="J606" s="968"/>
      <c r="K606" s="968"/>
      <c r="L606" s="968"/>
      <c r="M606" s="974"/>
      <c r="N606" s="974"/>
      <c r="O606" s="974"/>
      <c r="P606" s="968"/>
      <c r="Q606" s="968"/>
      <c r="R606" s="968"/>
      <c r="S606" s="968"/>
      <c r="T606" s="968"/>
      <c r="U606" s="968"/>
      <c r="V606" s="968"/>
      <c r="W606" s="968"/>
      <c r="X606" s="968"/>
      <c r="Y606" s="1145"/>
      <c r="Z606" s="1145"/>
      <c r="AA606" s="1145"/>
      <c r="AB606" s="1145"/>
      <c r="AC606" s="1145"/>
      <c r="AD606" s="1145"/>
    </row>
    <row r="607" spans="1:30" x14ac:dyDescent="0.2">
      <c r="A607" s="928"/>
      <c r="B607" s="976" t="s">
        <v>1361</v>
      </c>
      <c r="C607" s="1143">
        <f t="shared" ref="C607:J607" si="158">C434+C605</f>
        <v>246298568</v>
      </c>
      <c r="D607" s="1143">
        <f t="shared" si="158"/>
        <v>247319573.10000002</v>
      </c>
      <c r="E607" s="1143">
        <f t="shared" si="158"/>
        <v>208055.18</v>
      </c>
      <c r="F607" s="1143">
        <f t="shared" si="158"/>
        <v>247527628.28</v>
      </c>
      <c r="G607" s="1143">
        <f t="shared" si="158"/>
        <v>257785365</v>
      </c>
      <c r="H607" s="1143">
        <f t="shared" si="158"/>
        <v>302129265</v>
      </c>
      <c r="I607" s="1143">
        <f t="shared" si="158"/>
        <v>308110712</v>
      </c>
      <c r="J607" s="1143">
        <f t="shared" si="158"/>
        <v>339692832.6400001</v>
      </c>
      <c r="K607" s="1143">
        <f>K434+K605-K566</f>
        <v>49701281.060000002</v>
      </c>
      <c r="L607" s="1143">
        <f>L434+L605-L566</f>
        <v>389394113.70000005</v>
      </c>
      <c r="M607" s="1144">
        <f>M434+M605-M566</f>
        <v>377414722</v>
      </c>
      <c r="N607" s="1144">
        <f>N434+N605-N566</f>
        <v>453546722</v>
      </c>
      <c r="O607" s="1144">
        <f>O434+O605-O566</f>
        <v>404566147</v>
      </c>
      <c r="P607" s="1143">
        <f>P434+P605</f>
        <v>341488527.19999999</v>
      </c>
      <c r="Q607" s="1143">
        <f>Q434+Q605-Q566</f>
        <v>15949173.600000001</v>
      </c>
      <c r="R607" s="1143">
        <f>R434+R605-R566</f>
        <v>361491070.80000001</v>
      </c>
      <c r="S607" s="1143">
        <f>S434+S605-S566</f>
        <v>396917234</v>
      </c>
      <c r="T607" s="1143">
        <f>T434+T605-T566</f>
        <v>423033234</v>
      </c>
      <c r="U607" s="1143">
        <f t="shared" ref="U607:AD607" si="159">U434+U605</f>
        <v>422316680</v>
      </c>
      <c r="V607" s="1143">
        <f t="shared" si="159"/>
        <v>493251352.40999997</v>
      </c>
      <c r="W607" s="1143">
        <f t="shared" si="159"/>
        <v>5836087.1999999993</v>
      </c>
      <c r="X607" s="1143">
        <f t="shared" si="159"/>
        <v>499087439.61000001</v>
      </c>
      <c r="Y607" s="1341">
        <f t="shared" si="159"/>
        <v>482239353</v>
      </c>
      <c r="Z607" s="1341">
        <f t="shared" si="159"/>
        <v>490567713</v>
      </c>
      <c r="AA607" s="1341">
        <f t="shared" si="159"/>
        <v>451911710</v>
      </c>
      <c r="AB607" s="1341">
        <f t="shared" si="159"/>
        <v>586464903.8900001</v>
      </c>
      <c r="AC607" s="1341">
        <f t="shared" si="159"/>
        <v>0</v>
      </c>
      <c r="AD607" s="1341">
        <f t="shared" si="159"/>
        <v>586464903.8900001</v>
      </c>
    </row>
    <row r="608" spans="1:30" x14ac:dyDescent="0.2">
      <c r="A608" s="928"/>
      <c r="B608" s="976"/>
      <c r="C608" s="1143"/>
      <c r="D608" s="1143"/>
      <c r="E608" s="1143"/>
      <c r="F608" s="1143"/>
      <c r="G608" s="1143"/>
      <c r="H608" s="1143"/>
      <c r="I608" s="1143"/>
      <c r="J608" s="1143"/>
      <c r="K608" s="1143"/>
      <c r="L608" s="1143"/>
      <c r="M608" s="974"/>
      <c r="N608" s="974"/>
      <c r="O608" s="974"/>
      <c r="P608" s="1143"/>
      <c r="Q608" s="1143"/>
      <c r="R608" s="1143"/>
      <c r="S608" s="968"/>
      <c r="T608" s="968"/>
      <c r="U608" s="968"/>
      <c r="V608" s="968"/>
      <c r="W608" s="968"/>
      <c r="X608" s="968"/>
      <c r="Y608" s="1145"/>
      <c r="Z608" s="1145"/>
      <c r="AA608" s="1145"/>
      <c r="AB608" s="1341">
        <f>AB296+AB321+AB327+AB335+AB341+AB348+AB404+AB410+AB607</f>
        <v>2762737459.0799999</v>
      </c>
      <c r="AC608" s="1145"/>
      <c r="AD608" s="1145"/>
    </row>
    <row r="609" spans="1:30" x14ac:dyDescent="0.2">
      <c r="A609" s="928"/>
      <c r="B609" s="976"/>
      <c r="C609" s="1143"/>
      <c r="D609" s="1143"/>
      <c r="E609" s="1143"/>
      <c r="F609" s="1143"/>
      <c r="G609" s="1143"/>
      <c r="H609" s="1143"/>
      <c r="I609" s="1143"/>
      <c r="J609" s="1143"/>
      <c r="K609" s="1143"/>
      <c r="L609" s="1143"/>
      <c r="M609" s="974"/>
      <c r="N609" s="974"/>
      <c r="O609" s="974"/>
      <c r="P609" s="1143"/>
      <c r="Q609" s="1143"/>
      <c r="R609" s="1143"/>
      <c r="S609" s="968"/>
      <c r="T609" s="968"/>
      <c r="U609" s="968"/>
      <c r="V609" s="968"/>
      <c r="W609" s="968"/>
      <c r="X609" s="968"/>
      <c r="Y609" s="1145"/>
      <c r="Z609" s="1145"/>
      <c r="AA609" s="1145"/>
      <c r="AB609" s="1341"/>
      <c r="AC609" s="1145"/>
      <c r="AD609" s="1145"/>
    </row>
    <row r="610" spans="1:30" x14ac:dyDescent="0.2">
      <c r="A610" s="928">
        <v>8120</v>
      </c>
      <c r="B610" s="928" t="s">
        <v>3047</v>
      </c>
      <c r="C610" s="968"/>
      <c r="D610" s="968"/>
      <c r="E610" s="968"/>
      <c r="F610" s="968"/>
      <c r="G610" s="968"/>
      <c r="H610" s="968"/>
      <c r="I610" s="968"/>
      <c r="J610" s="968">
        <f>1252309.05</f>
        <v>1252309.05</v>
      </c>
      <c r="K610" s="968">
        <v>-608364.56000000006</v>
      </c>
      <c r="L610" s="968">
        <f>J610+K610</f>
        <v>643944.49</v>
      </c>
      <c r="M610" s="974"/>
      <c r="N610" s="974"/>
      <c r="O610" s="974">
        <v>24558700</v>
      </c>
      <c r="P610" s="968">
        <v>0</v>
      </c>
      <c r="Q610" s="968"/>
      <c r="R610" s="968">
        <f>P610+Q610</f>
        <v>0</v>
      </c>
      <c r="S610" s="968"/>
      <c r="T610" s="968"/>
      <c r="U610" s="968"/>
      <c r="V610" s="968">
        <v>1626750</v>
      </c>
      <c r="W610" s="968"/>
      <c r="X610" s="968">
        <f t="shared" si="154"/>
        <v>1626750</v>
      </c>
      <c r="Y610" s="1145"/>
      <c r="Z610" s="1145"/>
      <c r="AA610" s="1145"/>
      <c r="AB610" s="1145">
        <v>18114503.670000002</v>
      </c>
      <c r="AC610" s="1145"/>
      <c r="AD610" s="1145">
        <f t="shared" ref="AD610:AD620" si="160">AB610+AC610</f>
        <v>18114503.670000002</v>
      </c>
    </row>
    <row r="611" spans="1:30" x14ac:dyDescent="0.2">
      <c r="A611" s="928">
        <v>8120</v>
      </c>
      <c r="B611" s="928" t="s">
        <v>3643</v>
      </c>
      <c r="C611" s="968"/>
      <c r="D611" s="968"/>
      <c r="E611" s="968"/>
      <c r="F611" s="968"/>
      <c r="G611" s="968"/>
      <c r="H611" s="968"/>
      <c r="I611" s="968"/>
      <c r="J611" s="968"/>
      <c r="K611" s="968"/>
      <c r="L611" s="968"/>
      <c r="M611" s="974"/>
      <c r="N611" s="974"/>
      <c r="O611" s="974"/>
      <c r="P611" s="968"/>
      <c r="Q611" s="968"/>
      <c r="R611" s="968">
        <v>0</v>
      </c>
      <c r="S611" s="968"/>
      <c r="T611" s="968"/>
      <c r="U611" s="968"/>
      <c r="V611" s="968">
        <v>-23822460.239999998</v>
      </c>
      <c r="W611" s="968"/>
      <c r="X611" s="968">
        <f t="shared" si="154"/>
        <v>-23822460.239999998</v>
      </c>
      <c r="Y611" s="1145"/>
      <c r="Z611" s="1145"/>
      <c r="AA611" s="1145"/>
      <c r="AB611" s="1145"/>
      <c r="AC611" s="1145"/>
      <c r="AD611" s="1145">
        <f t="shared" si="160"/>
        <v>0</v>
      </c>
    </row>
    <row r="612" spans="1:30" x14ac:dyDescent="0.2">
      <c r="A612" s="928">
        <v>8120</v>
      </c>
      <c r="B612" s="928" t="s">
        <v>3644</v>
      </c>
      <c r="C612" s="968"/>
      <c r="D612" s="968"/>
      <c r="E612" s="968"/>
      <c r="F612" s="968"/>
      <c r="G612" s="968"/>
      <c r="H612" s="968"/>
      <c r="I612" s="968"/>
      <c r="J612" s="968">
        <f>4295540.72+15112114.03-1165488.02-6800308.83</f>
        <v>11441857.9</v>
      </c>
      <c r="K612" s="968"/>
      <c r="L612" s="968">
        <f>J612+K612</f>
        <v>11441857.9</v>
      </c>
      <c r="M612" s="974"/>
      <c r="N612" s="974"/>
      <c r="O612" s="974"/>
      <c r="P612" s="968">
        <v>0</v>
      </c>
      <c r="Q612" s="968"/>
      <c r="R612" s="968">
        <f>P612+Q612</f>
        <v>0</v>
      </c>
      <c r="S612" s="968"/>
      <c r="T612" s="968"/>
      <c r="U612" s="968"/>
      <c r="V612" s="968">
        <v>3837626.69</v>
      </c>
      <c r="W612" s="968">
        <v>4882341.6399999997</v>
      </c>
      <c r="X612" s="968">
        <f t="shared" si="154"/>
        <v>8719968.3300000001</v>
      </c>
      <c r="Y612" s="1145"/>
      <c r="Z612" s="1145"/>
      <c r="AA612" s="1145"/>
      <c r="AB612" s="1145"/>
      <c r="AC612" s="1145"/>
      <c r="AD612" s="1145">
        <f t="shared" si="160"/>
        <v>0</v>
      </c>
    </row>
    <row r="613" spans="1:30" x14ac:dyDescent="0.2">
      <c r="A613" s="928">
        <v>8120</v>
      </c>
      <c r="B613" s="928" t="s">
        <v>3660</v>
      </c>
      <c r="C613" s="968"/>
      <c r="D613" s="968"/>
      <c r="E613" s="968"/>
      <c r="F613" s="968"/>
      <c r="G613" s="968"/>
      <c r="H613" s="968"/>
      <c r="I613" s="968"/>
      <c r="J613" s="968"/>
      <c r="K613" s="968"/>
      <c r="L613" s="968"/>
      <c r="M613" s="974"/>
      <c r="N613" s="974"/>
      <c r="O613" s="974"/>
      <c r="P613" s="968">
        <v>76023.45</v>
      </c>
      <c r="Q613" s="968"/>
      <c r="R613" s="968">
        <f t="shared" ref="R613:R618" si="161">P613+Q613</f>
        <v>76023.45</v>
      </c>
      <c r="S613" s="968"/>
      <c r="T613" s="968"/>
      <c r="U613" s="968"/>
      <c r="V613" s="968">
        <v>122882.87</v>
      </c>
      <c r="W613" s="968">
        <v>192299.48</v>
      </c>
      <c r="X613" s="1391">
        <f t="shared" si="154"/>
        <v>315182.34999999998</v>
      </c>
      <c r="Y613" s="1145"/>
      <c r="Z613" s="1145"/>
      <c r="AA613" s="1145"/>
      <c r="AB613" s="1145">
        <v>58262.75</v>
      </c>
      <c r="AC613" s="1145"/>
      <c r="AD613" s="1145">
        <f t="shared" si="160"/>
        <v>58262.75</v>
      </c>
    </row>
    <row r="614" spans="1:30" x14ac:dyDescent="0.2">
      <c r="A614" s="928">
        <v>8120</v>
      </c>
      <c r="B614" s="240" t="s">
        <v>1074</v>
      </c>
      <c r="C614" s="968"/>
      <c r="D614" s="968"/>
      <c r="E614" s="968"/>
      <c r="F614" s="968"/>
      <c r="G614" s="968"/>
      <c r="H614" s="968"/>
      <c r="I614" s="968"/>
      <c r="J614" s="968"/>
      <c r="K614" s="968"/>
      <c r="L614" s="968"/>
      <c r="M614" s="974"/>
      <c r="N614" s="974"/>
      <c r="O614" s="974"/>
      <c r="P614" s="1338">
        <v>42345946.300062001</v>
      </c>
      <c r="Q614" s="968">
        <v>-28749114.84</v>
      </c>
      <c r="R614" s="968">
        <f t="shared" si="161"/>
        <v>13596831.460062001</v>
      </c>
      <c r="S614" s="968"/>
      <c r="T614" s="968"/>
      <c r="U614" s="968"/>
      <c r="V614" s="968">
        <v>7595282</v>
      </c>
      <c r="W614" s="968"/>
      <c r="X614" s="1391">
        <f t="shared" si="154"/>
        <v>7595282</v>
      </c>
      <c r="Y614" s="1145"/>
      <c r="Z614" s="1145"/>
      <c r="AA614" s="1145"/>
      <c r="AB614" s="1145"/>
      <c r="AC614" s="1145"/>
      <c r="AD614" s="1145">
        <f t="shared" si="160"/>
        <v>0</v>
      </c>
    </row>
    <row r="615" spans="1:30" x14ac:dyDescent="0.2">
      <c r="A615" s="928">
        <v>8120</v>
      </c>
      <c r="B615" s="240" t="s">
        <v>1074</v>
      </c>
      <c r="C615" s="968"/>
      <c r="D615" s="968"/>
      <c r="E615" s="968"/>
      <c r="F615" s="968"/>
      <c r="G615" s="968"/>
      <c r="H615" s="968"/>
      <c r="I615" s="968"/>
      <c r="J615" s="968"/>
      <c r="K615" s="968"/>
      <c r="L615" s="968"/>
      <c r="M615" s="974"/>
      <c r="N615" s="974"/>
      <c r="O615" s="974"/>
      <c r="P615" s="968">
        <v>31628209.710000001</v>
      </c>
      <c r="Q615" s="968"/>
      <c r="R615" s="968">
        <f t="shared" si="161"/>
        <v>31628209.710000001</v>
      </c>
      <c r="S615" s="968"/>
      <c r="T615" s="968"/>
      <c r="U615" s="968"/>
      <c r="V615" s="968"/>
      <c r="W615" s="968"/>
      <c r="X615" s="968">
        <f t="shared" si="154"/>
        <v>0</v>
      </c>
      <c r="Y615" s="1145"/>
      <c r="Z615" s="1145"/>
      <c r="AA615" s="1145"/>
      <c r="AB615" s="1145">
        <v>-1225447.74</v>
      </c>
      <c r="AC615" s="1145"/>
      <c r="AD615" s="1145">
        <f t="shared" si="160"/>
        <v>-1225447.74</v>
      </c>
    </row>
    <row r="616" spans="1:30" x14ac:dyDescent="0.2">
      <c r="A616" s="928">
        <v>8120</v>
      </c>
      <c r="B616" s="240" t="s">
        <v>4101</v>
      </c>
      <c r="C616" s="968"/>
      <c r="D616" s="968"/>
      <c r="E616" s="968"/>
      <c r="F616" s="968"/>
      <c r="G616" s="968"/>
      <c r="H616" s="968"/>
      <c r="I616" s="968"/>
      <c r="J616" s="968"/>
      <c r="K616" s="968"/>
      <c r="L616" s="968"/>
      <c r="M616" s="974"/>
      <c r="N616" s="974"/>
      <c r="O616" s="974"/>
      <c r="P616" s="968">
        <v>10673492.140000001</v>
      </c>
      <c r="Q616" s="968"/>
      <c r="R616" s="968">
        <f t="shared" si="161"/>
        <v>10673492.140000001</v>
      </c>
      <c r="S616" s="968"/>
      <c r="T616" s="968"/>
      <c r="U616" s="968"/>
      <c r="V616" s="968"/>
      <c r="W616" s="968"/>
      <c r="X616" s="968">
        <f t="shared" si="154"/>
        <v>0</v>
      </c>
      <c r="Y616" s="1145"/>
      <c r="Z616" s="1145"/>
      <c r="AA616" s="1145"/>
      <c r="AB616" s="1145"/>
      <c r="AC616" s="1145"/>
      <c r="AD616" s="1145">
        <f t="shared" si="160"/>
        <v>0</v>
      </c>
    </row>
    <row r="617" spans="1:30" x14ac:dyDescent="0.2">
      <c r="A617" s="928">
        <v>8120</v>
      </c>
      <c r="B617" s="928" t="s">
        <v>3493</v>
      </c>
      <c r="C617" s="968"/>
      <c r="D617" s="968"/>
      <c r="E617" s="968"/>
      <c r="F617" s="968"/>
      <c r="G617" s="968"/>
      <c r="H617" s="968"/>
      <c r="I617" s="968"/>
      <c r="J617" s="968"/>
      <c r="K617" s="968"/>
      <c r="L617" s="968"/>
      <c r="M617" s="974"/>
      <c r="N617" s="974"/>
      <c r="O617" s="974"/>
      <c r="P617" s="968">
        <v>-13573154.23</v>
      </c>
      <c r="Q617" s="968"/>
      <c r="R617" s="968">
        <f t="shared" si="161"/>
        <v>-13573154.23</v>
      </c>
      <c r="S617" s="968"/>
      <c r="T617" s="968"/>
      <c r="U617" s="968"/>
      <c r="V617" s="968">
        <f>-16545843.26+947986.48</f>
        <v>-15597856.779999999</v>
      </c>
      <c r="W617" s="968">
        <v>15597856.779999999</v>
      </c>
      <c r="X617" s="968">
        <f t="shared" si="154"/>
        <v>0</v>
      </c>
      <c r="Y617" s="1145"/>
      <c r="Z617" s="1145"/>
      <c r="AA617" s="1145"/>
      <c r="AB617" s="1145"/>
      <c r="AC617" s="1145"/>
      <c r="AD617" s="1145">
        <f t="shared" si="160"/>
        <v>0</v>
      </c>
    </row>
    <row r="618" spans="1:30" x14ac:dyDescent="0.2">
      <c r="A618" s="928">
        <v>8120</v>
      </c>
      <c r="B618" s="928" t="s">
        <v>3495</v>
      </c>
      <c r="C618" s="1143"/>
      <c r="D618" s="1143"/>
      <c r="E618" s="1143"/>
      <c r="F618" s="1143"/>
      <c r="G618" s="1143"/>
      <c r="H618" s="1143"/>
      <c r="I618" s="1143"/>
      <c r="J618" s="1143"/>
      <c r="K618" s="1143"/>
      <c r="L618" s="1143"/>
      <c r="M618" s="974"/>
      <c r="N618" s="974"/>
      <c r="O618" s="974"/>
      <c r="P618" s="968">
        <v>-9581200.4000000004</v>
      </c>
      <c r="Q618" s="1143">
        <v>-1165517.81</v>
      </c>
      <c r="R618" s="968">
        <f t="shared" si="161"/>
        <v>-10746718.210000001</v>
      </c>
      <c r="S618" s="968"/>
      <c r="T618" s="968"/>
      <c r="U618" s="968"/>
      <c r="V618" s="968"/>
      <c r="W618" s="968"/>
      <c r="X618" s="968">
        <f t="shared" si="154"/>
        <v>0</v>
      </c>
      <c r="Y618" s="1145"/>
      <c r="Z618" s="1145"/>
      <c r="AA618" s="1145"/>
      <c r="AB618" s="1145"/>
      <c r="AC618" s="1145"/>
      <c r="AD618" s="1145">
        <f t="shared" si="160"/>
        <v>0</v>
      </c>
    </row>
    <row r="619" spans="1:30" x14ac:dyDescent="0.2">
      <c r="A619" s="928">
        <v>8120</v>
      </c>
      <c r="B619" s="928" t="s">
        <v>4226</v>
      </c>
      <c r="C619" s="1143"/>
      <c r="D619" s="1143"/>
      <c r="E619" s="1143"/>
      <c r="F619" s="1143"/>
      <c r="G619" s="1143"/>
      <c r="H619" s="1143"/>
      <c r="I619" s="1143"/>
      <c r="J619" s="1143"/>
      <c r="K619" s="1143"/>
      <c r="L619" s="1143"/>
      <c r="M619" s="974"/>
      <c r="N619" s="974"/>
      <c r="O619" s="974"/>
      <c r="P619" s="968"/>
      <c r="Q619" s="1143"/>
      <c r="R619" s="968"/>
      <c r="S619" s="968"/>
      <c r="T619" s="968"/>
      <c r="U619" s="968"/>
      <c r="V619" s="968"/>
      <c r="W619" s="968"/>
      <c r="X619" s="968"/>
      <c r="Y619" s="1145"/>
      <c r="Z619" s="1145"/>
      <c r="AA619" s="1145"/>
      <c r="AB619" s="1145">
        <f>-93449439.93+42697924.63+2334369.07</f>
        <v>-48417146.230000004</v>
      </c>
      <c r="AC619" s="1145"/>
      <c r="AD619" s="1145">
        <f t="shared" si="160"/>
        <v>-48417146.230000004</v>
      </c>
    </row>
    <row r="620" spans="1:30" x14ac:dyDescent="0.2">
      <c r="A620" s="928">
        <v>8120</v>
      </c>
      <c r="B620" s="928" t="s">
        <v>3661</v>
      </c>
      <c r="C620" s="1143"/>
      <c r="D620" s="1143"/>
      <c r="E620" s="1143"/>
      <c r="F620" s="1143"/>
      <c r="G620" s="1143"/>
      <c r="H620" s="1143"/>
      <c r="I620" s="1143"/>
      <c r="J620" s="1143"/>
      <c r="K620" s="1143"/>
      <c r="L620" s="1143"/>
      <c r="M620" s="974"/>
      <c r="N620" s="974"/>
      <c r="O620" s="974"/>
      <c r="P620" s="968"/>
      <c r="Q620" s="1143"/>
      <c r="R620" s="1143"/>
      <c r="S620" s="968"/>
      <c r="T620" s="968"/>
      <c r="U620" s="968"/>
      <c r="V620" s="968">
        <f>31074883.12-327836.15</f>
        <v>30747046.970000003</v>
      </c>
      <c r="W620" s="968">
        <v>-13618294.369999999</v>
      </c>
      <c r="X620" s="968">
        <f t="shared" si="154"/>
        <v>17128752.600000001</v>
      </c>
      <c r="Y620" s="1145"/>
      <c r="Z620" s="1145"/>
      <c r="AA620" s="1145"/>
      <c r="AB620" s="1145"/>
      <c r="AC620" s="1145"/>
      <c r="AD620" s="1145">
        <f t="shared" si="160"/>
        <v>0</v>
      </c>
    </row>
    <row r="621" spans="1:30" x14ac:dyDescent="0.2">
      <c r="A621" s="928"/>
      <c r="B621" s="976" t="s">
        <v>1362</v>
      </c>
      <c r="C621" s="1143">
        <f t="shared" ref="C621:I621" si="162">C296+C321+C327+C335+C341+C348+C404+C410+C607</f>
        <v>1508982000</v>
      </c>
      <c r="D621" s="1143">
        <f t="shared" si="162"/>
        <v>1620570583.513</v>
      </c>
      <c r="E621" s="1143">
        <f t="shared" si="162"/>
        <v>2888621.7800000003</v>
      </c>
      <c r="F621" s="1143">
        <f t="shared" si="162"/>
        <v>1623459205.293</v>
      </c>
      <c r="G621" s="1143">
        <f t="shared" si="162"/>
        <v>1670108000</v>
      </c>
      <c r="H621" s="1143">
        <f t="shared" si="162"/>
        <v>1783713790</v>
      </c>
      <c r="I621" s="1143">
        <f t="shared" si="162"/>
        <v>1783574037</v>
      </c>
      <c r="J621" s="1143">
        <f t="shared" ref="J621:O621" si="163">J296+J321+J327+J330+J335+J341+J348+J404+J410+J607+J610+J612</f>
        <v>1870917940.9900002</v>
      </c>
      <c r="K621" s="1143">
        <f t="shared" si="163"/>
        <v>45450129.012581885</v>
      </c>
      <c r="L621" s="1143">
        <f t="shared" si="163"/>
        <v>1916368070.0025818</v>
      </c>
      <c r="M621" s="1144">
        <f t="shared" si="163"/>
        <v>1944707000</v>
      </c>
      <c r="N621" s="1144">
        <f t="shared" si="163"/>
        <v>2033002000</v>
      </c>
      <c r="O621" s="1144">
        <f t="shared" si="163"/>
        <v>2033002000</v>
      </c>
      <c r="P621" s="1143">
        <f t="shared" ref="P621:U621" si="164">P296+P321+P327+P330+P335+P341+P348+P404+P410+P607+P610+P612+P613+P614+P615+P616+P617+P618</f>
        <v>2336383036.6100616</v>
      </c>
      <c r="Q621" s="1143">
        <f t="shared" si="164"/>
        <v>-41116524.910000004</v>
      </c>
      <c r="R621" s="1143">
        <f t="shared" si="164"/>
        <v>2299517809.7000618</v>
      </c>
      <c r="S621" s="1143">
        <f t="shared" si="164"/>
        <v>2145985000</v>
      </c>
      <c r="T621" s="1143">
        <f t="shared" si="164"/>
        <v>2113201000</v>
      </c>
      <c r="U621" s="1143">
        <f t="shared" si="164"/>
        <v>2112927400</v>
      </c>
      <c r="V621" s="1143">
        <f>V296+V321+V327+V330+V335+V341+V348+V404+V410+V607+V610+V611+V612+V613+V614+V615+V616+V617+V618+V620</f>
        <v>2598462861.9199996</v>
      </c>
      <c r="W621" s="1143">
        <f>W296+W321+W327+W330+W335+W341+W348+W404+W410+W607+W610+W612+W613+W614+W615+W616+W617+W618</f>
        <v>31788435.229999997</v>
      </c>
      <c r="X621" s="1143">
        <f t="shared" ref="X621:AC621" si="165">X296+X321+X327+X330+X335+X341+X348+X404+X410+X607+X610+X611+X612+X613+X614+X615+X616+X617+X618+X620</f>
        <v>2616633002.7800002</v>
      </c>
      <c r="Y621" s="1341">
        <f t="shared" si="165"/>
        <v>2288833600</v>
      </c>
      <c r="Z621" s="1341">
        <f t="shared" si="165"/>
        <v>2322243600</v>
      </c>
      <c r="AA621" s="1341">
        <f t="shared" si="165"/>
        <v>2321970000</v>
      </c>
      <c r="AB621" s="1341">
        <f>AB296+AB321+AB327+AB330+AB335+AB341+AB348+AB404+AB410+AB607+AB610+AB611+AB612+AB613+AB614+AB615+AB616+AB617+AB618+AB619+AB620</f>
        <v>2731267631.5300002</v>
      </c>
      <c r="AC621" s="1341">
        <f t="shared" si="165"/>
        <v>0</v>
      </c>
      <c r="AD621" s="1341">
        <f>AD296+AD321+AD327+AD330+AD335+AD341+AD348+AD404+AD410+AD607+AD610+AD611+AD612+AD613+AD614+AD615+AD616+AD617+AD618+AD619+AD620</f>
        <v>2731267631.5300002</v>
      </c>
    </row>
    <row r="622" spans="1:30" x14ac:dyDescent="0.2">
      <c r="A622" s="928"/>
      <c r="B622" s="928"/>
      <c r="C622" s="968"/>
      <c r="D622" s="968"/>
      <c r="E622" s="968"/>
      <c r="F622" s="968"/>
      <c r="G622" s="968"/>
      <c r="H622" s="968"/>
      <c r="I622" s="968"/>
      <c r="J622" s="968"/>
      <c r="K622" s="968"/>
      <c r="L622" s="968"/>
      <c r="M622" s="974"/>
      <c r="N622" s="974"/>
      <c r="O622" s="974"/>
      <c r="P622" s="968"/>
      <c r="Q622" s="968"/>
      <c r="R622" s="968"/>
      <c r="S622" s="968"/>
      <c r="T622" s="968"/>
      <c r="U622" s="968"/>
      <c r="V622" s="968"/>
      <c r="W622" s="968"/>
      <c r="X622" s="968"/>
      <c r="Y622" s="1145"/>
      <c r="Z622" s="1145"/>
      <c r="AA622" s="1145"/>
      <c r="AB622" s="1145"/>
      <c r="AC622" s="1145"/>
      <c r="AD622" s="1145"/>
    </row>
    <row r="623" spans="1:30" x14ac:dyDescent="0.2">
      <c r="A623" s="1149" t="s">
        <v>1363</v>
      </c>
      <c r="B623" s="976" t="s">
        <v>1364</v>
      </c>
      <c r="C623" s="1143">
        <f t="shared" ref="C623:AD623" si="166">C244+C621</f>
        <v>-433087000</v>
      </c>
      <c r="D623" s="1143">
        <f t="shared" si="166"/>
        <v>-133974948.40699983</v>
      </c>
      <c r="E623" s="1143">
        <f t="shared" si="166"/>
        <v>-41055345.270000003</v>
      </c>
      <c r="F623" s="1143">
        <f t="shared" si="166"/>
        <v>-175030293.67700005</v>
      </c>
      <c r="G623" s="1143">
        <f t="shared" si="166"/>
        <v>-485595000</v>
      </c>
      <c r="H623" s="1143">
        <f t="shared" si="166"/>
        <v>-534667020</v>
      </c>
      <c r="I623" s="1143">
        <f t="shared" si="166"/>
        <v>-534806773</v>
      </c>
      <c r="J623" s="1143">
        <f t="shared" si="166"/>
        <v>-89217401.779999733</v>
      </c>
      <c r="K623" s="1143">
        <f t="shared" si="166"/>
        <v>45450129.012581885</v>
      </c>
      <c r="L623" s="1143">
        <f t="shared" si="166"/>
        <v>-43767272.767418146</v>
      </c>
      <c r="M623" s="1144">
        <f t="shared" si="166"/>
        <v>-504033000</v>
      </c>
      <c r="N623" s="1144">
        <f t="shared" si="166"/>
        <v>-622357000</v>
      </c>
      <c r="O623" s="1144">
        <f t="shared" si="166"/>
        <v>-622357000</v>
      </c>
      <c r="P623" s="1143">
        <f t="shared" si="166"/>
        <v>65810064.260061741</v>
      </c>
      <c r="Q623" s="1143">
        <f t="shared" si="166"/>
        <v>-29361394.080000002</v>
      </c>
      <c r="R623" s="1143">
        <f t="shared" si="166"/>
        <v>40699968.180061817</v>
      </c>
      <c r="S623" s="1143">
        <f t="shared" si="166"/>
        <v>-518913000</v>
      </c>
      <c r="T623" s="1143">
        <f t="shared" si="166"/>
        <v>-787595900</v>
      </c>
      <c r="U623" s="1143">
        <f t="shared" si="166"/>
        <v>-787869500</v>
      </c>
      <c r="V623" s="1143">
        <f t="shared" si="166"/>
        <v>80291195.239999294</v>
      </c>
      <c r="W623" s="1143">
        <f t="shared" si="166"/>
        <v>63481608.779999994</v>
      </c>
      <c r="X623" s="1143">
        <f t="shared" si="166"/>
        <v>130154509.6500001</v>
      </c>
      <c r="Y623" s="1341">
        <f t="shared" si="166"/>
        <v>-581917400</v>
      </c>
      <c r="Z623" s="1341">
        <f t="shared" si="166"/>
        <v>-627226400</v>
      </c>
      <c r="AA623" s="1341">
        <f t="shared" si="166"/>
        <v>-627500000</v>
      </c>
      <c r="AB623" s="1341">
        <f t="shared" si="166"/>
        <v>-58058705.770000458</v>
      </c>
      <c r="AC623" s="1341">
        <f t="shared" si="166"/>
        <v>0</v>
      </c>
      <c r="AD623" s="1341">
        <f t="shared" si="166"/>
        <v>-58058705.770000458</v>
      </c>
    </row>
    <row r="625" spans="16:28" s="318" customFormat="1" x14ac:dyDescent="0.2">
      <c r="P625" s="620"/>
      <c r="Q625" s="620"/>
      <c r="R625" s="620"/>
      <c r="U625" s="620"/>
      <c r="V625" s="620"/>
      <c r="W625" s="620"/>
      <c r="X625" s="620"/>
      <c r="AB625" s="620"/>
    </row>
    <row r="626" spans="16:28" s="318" customFormat="1" x14ac:dyDescent="0.2">
      <c r="P626" s="620"/>
      <c r="Q626" s="620"/>
      <c r="R626" s="620"/>
      <c r="AA626" s="620"/>
      <c r="AB626" s="620"/>
    </row>
    <row r="627" spans="16:28" s="318" customFormat="1" x14ac:dyDescent="0.2">
      <c r="P627" s="620"/>
      <c r="Q627" s="620"/>
      <c r="R627" s="620"/>
      <c r="U627" s="620"/>
      <c r="V627" s="620"/>
    </row>
    <row r="629" spans="16:28" s="318" customFormat="1" x14ac:dyDescent="0.2">
      <c r="P629" s="463"/>
      <c r="Q629" s="620"/>
      <c r="R629" s="620"/>
    </row>
  </sheetData>
  <pageMargins left="0.70866141732283472" right="0.70866141732283472" top="0.74803149606299213" bottom="0.74803149606299213" header="0.31496062992125984" footer="0.31496062992125984"/>
  <pageSetup scale="49" orientation="portrait" r:id="rId1"/>
  <rowBreaks count="2" manualBreakCount="2">
    <brk id="329" max="29" man="1"/>
    <brk id="404" max="29" man="1"/>
  </rowBreaks>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1"/>
  <sheetViews>
    <sheetView topLeftCell="A259" zoomScaleNormal="100" workbookViewId="0">
      <selection activeCell="V123" sqref="V123"/>
    </sheetView>
  </sheetViews>
  <sheetFormatPr defaultRowHeight="12.75" x14ac:dyDescent="0.2"/>
  <cols>
    <col min="1" max="1" width="9.140625" style="318" customWidth="1"/>
    <col min="2" max="2" width="22.28515625" style="318" customWidth="1"/>
    <col min="3" max="3" width="2" style="1150" customWidth="1"/>
    <col min="4" max="4" width="5.28515625" style="1150" customWidth="1"/>
    <col min="5" max="5" width="6" style="1150" bestFit="1" customWidth="1"/>
    <col min="6" max="6" width="1.85546875" style="1150" customWidth="1"/>
    <col min="7" max="7" width="19" style="620" hidden="1" customWidth="1"/>
    <col min="8" max="8" width="15.7109375" style="620" hidden="1" customWidth="1"/>
    <col min="9" max="9" width="13.28515625" style="620" hidden="1" customWidth="1"/>
    <col min="10" max="10" width="20.140625" style="620" hidden="1" customWidth="1"/>
    <col min="11" max="11" width="5.7109375" style="318" hidden="1" customWidth="1"/>
    <col min="12" max="12" width="20.140625" style="620" hidden="1" customWidth="1"/>
    <col min="13" max="13" width="15.7109375" style="318" hidden="1" customWidth="1"/>
    <col min="14" max="14" width="13.42578125" style="620" hidden="1" customWidth="1"/>
    <col min="15" max="15" width="19" style="620" hidden="1" customWidth="1"/>
    <col min="16" max="16" width="17.140625" style="318" hidden="1" customWidth="1"/>
    <col min="17" max="17" width="1" style="620" hidden="1" customWidth="1"/>
    <col min="18" max="18" width="19" style="620" hidden="1" customWidth="1"/>
    <col min="19" max="19" width="17.28515625" style="620" hidden="1" customWidth="1"/>
    <col min="20" max="20" width="16.5703125" style="318" hidden="1" customWidth="1"/>
    <col min="21" max="21" width="16.7109375" style="318" customWidth="1"/>
    <col min="22" max="22" width="16.85546875" style="620" customWidth="1"/>
    <col min="23" max="23" width="14.5703125" style="620" hidden="1" customWidth="1"/>
    <col min="24" max="24" width="20.28515625" style="620" hidden="1" customWidth="1"/>
    <col min="25" max="26" width="17.28515625" style="318" bestFit="1" customWidth="1"/>
    <col min="27" max="27" width="16.42578125" style="318" bestFit="1" customWidth="1"/>
    <col min="28" max="28" width="9.140625" style="318"/>
    <col min="29" max="29" width="14.42578125" style="318" bestFit="1" customWidth="1"/>
    <col min="30" max="16384" width="9.140625" style="318"/>
  </cols>
  <sheetData>
    <row r="1" spans="1:29" ht="13.5" thickBot="1" x14ac:dyDescent="0.25"/>
    <row r="2" spans="1:29" ht="15" customHeight="1" x14ac:dyDescent="0.2">
      <c r="A2" s="357"/>
      <c r="B2" s="382" t="s">
        <v>1370</v>
      </c>
      <c r="G2" s="1140" t="s">
        <v>944</v>
      </c>
      <c r="H2" s="1140" t="s">
        <v>1366</v>
      </c>
      <c r="I2" s="1140" t="s">
        <v>1368</v>
      </c>
      <c r="J2" s="1140" t="s">
        <v>2949</v>
      </c>
      <c r="L2" s="1140" t="s">
        <v>2949</v>
      </c>
      <c r="M2" s="1140" t="s">
        <v>1366</v>
      </c>
      <c r="N2" s="1140" t="s">
        <v>1368</v>
      </c>
      <c r="O2" s="1140" t="s">
        <v>2949</v>
      </c>
      <c r="P2" s="1140" t="s">
        <v>1366</v>
      </c>
      <c r="Q2" s="1140" t="s">
        <v>1368</v>
      </c>
      <c r="R2" s="1140" t="s">
        <v>2949</v>
      </c>
      <c r="S2" s="1140" t="s">
        <v>1366</v>
      </c>
      <c r="T2" s="1140" t="s">
        <v>1368</v>
      </c>
      <c r="U2" s="1140" t="s">
        <v>2949</v>
      </c>
      <c r="V2" s="1140" t="s">
        <v>1366</v>
      </c>
      <c r="W2" s="1140" t="s">
        <v>1368</v>
      </c>
      <c r="X2" s="1140" t="s">
        <v>2949</v>
      </c>
    </row>
    <row r="3" spans="1:29" ht="13.5" thickBot="1" x14ac:dyDescent="0.25">
      <c r="A3" s="362"/>
      <c r="B3" s="385"/>
      <c r="G3" s="1141" t="s">
        <v>1047</v>
      </c>
      <c r="H3" s="1141" t="s">
        <v>1367</v>
      </c>
      <c r="I3" s="1141" t="s">
        <v>1367</v>
      </c>
      <c r="J3" s="1141" t="s">
        <v>1367</v>
      </c>
      <c r="L3" s="1141" t="s">
        <v>1367</v>
      </c>
      <c r="M3" s="1141" t="s">
        <v>2950</v>
      </c>
      <c r="N3" s="1141" t="s">
        <v>2950</v>
      </c>
      <c r="O3" s="1141" t="s">
        <v>2950</v>
      </c>
      <c r="P3" s="1141" t="s">
        <v>3155</v>
      </c>
      <c r="Q3" s="1141" t="s">
        <v>3155</v>
      </c>
      <c r="R3" s="1141" t="s">
        <v>3155</v>
      </c>
      <c r="S3" s="1141" t="s">
        <v>3574</v>
      </c>
      <c r="T3" s="1141" t="s">
        <v>3574</v>
      </c>
      <c r="U3" s="1141" t="s">
        <v>3574</v>
      </c>
      <c r="V3" s="1141" t="s">
        <v>3897</v>
      </c>
      <c r="W3" s="1141" t="s">
        <v>3897</v>
      </c>
      <c r="X3" s="1141" t="s">
        <v>3897</v>
      </c>
    </row>
    <row r="4" spans="1:29" ht="15.75" customHeight="1" thickBot="1" x14ac:dyDescent="0.25">
      <c r="A4" s="386" t="s">
        <v>94</v>
      </c>
      <c r="B4" s="387" t="s">
        <v>95</v>
      </c>
      <c r="C4" s="1151"/>
      <c r="D4" s="1152" t="s">
        <v>179</v>
      </c>
      <c r="E4" s="1152" t="s">
        <v>1371</v>
      </c>
      <c r="F4" s="1153"/>
      <c r="G4" s="1154" t="s">
        <v>1372</v>
      </c>
      <c r="H4" s="1154" t="s">
        <v>1372</v>
      </c>
      <c r="I4" s="1154" t="s">
        <v>1372</v>
      </c>
      <c r="J4" s="1155" t="s">
        <v>1372</v>
      </c>
      <c r="L4" s="1156" t="s">
        <v>1372</v>
      </c>
      <c r="M4" s="1157" t="s">
        <v>1372</v>
      </c>
      <c r="N4" s="1157" t="s">
        <v>1372</v>
      </c>
      <c r="O4" s="1158"/>
      <c r="P4" s="1157" t="s">
        <v>1372</v>
      </c>
      <c r="Q4" s="1157" t="s">
        <v>1372</v>
      </c>
      <c r="R4" s="1159"/>
      <c r="S4" s="968"/>
      <c r="T4" s="968"/>
      <c r="U4" s="968"/>
      <c r="V4" s="968"/>
      <c r="W4" s="968"/>
      <c r="X4" s="968"/>
    </row>
    <row r="5" spans="1:29" ht="15" customHeight="1" x14ac:dyDescent="0.2">
      <c r="A5" s="977"/>
      <c r="B5" s="977" t="s">
        <v>96</v>
      </c>
      <c r="C5" s="1160">
        <v>3</v>
      </c>
      <c r="D5" s="1161">
        <v>8000</v>
      </c>
      <c r="E5" s="1160" t="s">
        <v>1373</v>
      </c>
      <c r="F5" s="1161">
        <v>0</v>
      </c>
      <c r="G5" s="1162">
        <v>-11155452.939999999</v>
      </c>
      <c r="H5" s="1162">
        <v>-11247728.48</v>
      </c>
      <c r="I5" s="1162"/>
      <c r="J5" s="1163">
        <f>H5+I5</f>
        <v>-11247728.48</v>
      </c>
      <c r="L5" s="1143">
        <v>-11247728.48</v>
      </c>
      <c r="M5" s="1143">
        <v>-10754921.609999999</v>
      </c>
      <c r="N5" s="968"/>
      <c r="O5" s="1143">
        <f>M5+N5</f>
        <v>-10754921.609999999</v>
      </c>
      <c r="P5" s="1143">
        <v>-10444441.98</v>
      </c>
      <c r="Q5" s="968"/>
      <c r="R5" s="1164">
        <f>P5+Q5</f>
        <v>-10444441.98</v>
      </c>
      <c r="S5" s="1143">
        <v>-6955961.6299999999</v>
      </c>
      <c r="T5" s="1143"/>
      <c r="U5" s="1143">
        <f>S5+T5</f>
        <v>-6955961.6299999999</v>
      </c>
      <c r="V5" s="1341">
        <f>-6975636.74+6975636.74</f>
        <v>0</v>
      </c>
      <c r="W5" s="1145"/>
      <c r="X5" s="1341">
        <f>V5+W5</f>
        <v>0</v>
      </c>
    </row>
    <row r="6" spans="1:29" ht="15" customHeight="1" x14ac:dyDescent="0.2">
      <c r="A6" s="928"/>
      <c r="B6" s="928"/>
      <c r="C6" s="1165"/>
      <c r="D6" s="1165"/>
      <c r="E6" s="1165"/>
      <c r="F6" s="1165"/>
      <c r="G6" s="1166"/>
      <c r="H6" s="1166"/>
      <c r="I6" s="1166"/>
      <c r="J6" s="968"/>
      <c r="L6" s="968"/>
      <c r="M6" s="968"/>
      <c r="N6" s="968"/>
      <c r="O6" s="968"/>
      <c r="P6" s="968"/>
      <c r="Q6" s="968"/>
      <c r="R6" s="1166"/>
      <c r="S6" s="968"/>
      <c r="T6" s="968"/>
      <c r="U6" s="968"/>
      <c r="V6" s="1145"/>
      <c r="W6" s="1145"/>
      <c r="X6" s="1145"/>
    </row>
    <row r="7" spans="1:29" ht="15" customHeight="1" x14ac:dyDescent="0.2">
      <c r="A7" s="238" t="s">
        <v>97</v>
      </c>
      <c r="B7" s="238" t="s">
        <v>593</v>
      </c>
      <c r="C7" s="1165"/>
      <c r="D7" s="1165"/>
      <c r="E7" s="1165"/>
      <c r="F7" s="1165"/>
      <c r="G7" s="1166"/>
      <c r="H7" s="1166"/>
      <c r="I7" s="1166"/>
      <c r="J7" s="968"/>
      <c r="L7" s="968"/>
      <c r="M7" s="968"/>
      <c r="N7" s="968"/>
      <c r="O7" s="968"/>
      <c r="P7" s="968"/>
      <c r="Q7" s="968"/>
      <c r="R7" s="1166"/>
      <c r="S7" s="968"/>
      <c r="T7" s="968"/>
      <c r="U7" s="968"/>
      <c r="V7" s="1145"/>
      <c r="W7" s="1145"/>
      <c r="X7" s="1145"/>
    </row>
    <row r="8" spans="1:29" ht="15" customHeight="1" x14ac:dyDescent="0.25">
      <c r="A8" s="928"/>
      <c r="B8" s="928" t="s">
        <v>98</v>
      </c>
      <c r="C8" s="1165">
        <v>3</v>
      </c>
      <c r="D8" s="1165">
        <v>8001</v>
      </c>
      <c r="E8" s="1167" t="s">
        <v>1373</v>
      </c>
      <c r="F8" s="1165">
        <v>0</v>
      </c>
      <c r="G8" s="1164">
        <v>-347827216</v>
      </c>
      <c r="H8" s="1164">
        <v>-770838771.13999999</v>
      </c>
      <c r="I8" s="1164"/>
      <c r="J8" s="1143">
        <f>H8+I8</f>
        <v>-770838771.13999999</v>
      </c>
      <c r="L8" s="1143">
        <v>-770838771.13999999</v>
      </c>
      <c r="M8" s="1143">
        <v>-770838771.13999999</v>
      </c>
      <c r="N8" s="968"/>
      <c r="O8" s="1143">
        <f>M8+N8</f>
        <v>-770838771.13999999</v>
      </c>
      <c r="P8" s="1143">
        <f>-770838771.14-3395585500.56+2247685003.26+200</f>
        <v>-1918739068.4399996</v>
      </c>
      <c r="Q8" s="968">
        <v>-3773381.76</v>
      </c>
      <c r="R8" s="1164">
        <f>P8+Q8</f>
        <v>-1922512450.1999996</v>
      </c>
      <c r="S8" s="1143">
        <v>-3387175876.1100001</v>
      </c>
      <c r="T8" s="1143">
        <f>-45898891.41+0.22</f>
        <v>-45898891.189999998</v>
      </c>
      <c r="U8" s="1143">
        <f>S8+T8</f>
        <v>-3433074767.3000002</v>
      </c>
      <c r="V8" s="1143">
        <f>-3387175876.11-98517.93-2126537.83-43673835.5+24555566.57</f>
        <v>-3408519200.7999997</v>
      </c>
      <c r="W8" s="1145"/>
      <c r="X8" s="1654">
        <f>V8+W8</f>
        <v>-3408519200.7999997</v>
      </c>
      <c r="Y8" s="1655"/>
      <c r="Z8" s="620"/>
    </row>
    <row r="9" spans="1:29" ht="15" customHeight="1" x14ac:dyDescent="0.2">
      <c r="A9" s="928"/>
      <c r="B9" s="928"/>
      <c r="C9" s="1165"/>
      <c r="D9" s="1165"/>
      <c r="E9" s="1165"/>
      <c r="F9" s="1165"/>
      <c r="G9" s="1166"/>
      <c r="H9" s="1166"/>
      <c r="I9" s="1166"/>
      <c r="J9" s="968"/>
      <c r="L9" s="968"/>
      <c r="M9" s="968"/>
      <c r="N9" s="968"/>
      <c r="O9" s="968"/>
      <c r="P9" s="968"/>
      <c r="Q9" s="968"/>
      <c r="R9" s="1166"/>
      <c r="S9" s="968"/>
      <c r="T9" s="968"/>
      <c r="U9" s="968"/>
      <c r="V9" s="1145"/>
      <c r="W9" s="1145"/>
      <c r="X9" s="1145"/>
    </row>
    <row r="10" spans="1:29" ht="15" customHeight="1" x14ac:dyDescent="0.2">
      <c r="A10" s="928"/>
      <c r="B10" s="976" t="s">
        <v>99</v>
      </c>
      <c r="C10" s="1165"/>
      <c r="D10" s="1165"/>
      <c r="E10" s="1165"/>
      <c r="F10" s="1165"/>
      <c r="G10" s="1166"/>
      <c r="H10" s="1166"/>
      <c r="I10" s="1166"/>
      <c r="J10" s="968"/>
      <c r="L10" s="968"/>
      <c r="M10" s="968"/>
      <c r="N10" s="968"/>
      <c r="O10" s="968"/>
      <c r="P10" s="968"/>
      <c r="Q10" s="968"/>
      <c r="R10" s="1166"/>
      <c r="S10" s="968"/>
      <c r="T10" s="968"/>
      <c r="U10" s="968"/>
      <c r="V10" s="1145"/>
      <c r="W10" s="1145"/>
      <c r="X10" s="1145"/>
    </row>
    <row r="11" spans="1:29" x14ac:dyDescent="0.2">
      <c r="A11" s="928"/>
      <c r="B11" s="928" t="s">
        <v>99</v>
      </c>
      <c r="C11" s="1167">
        <v>3</v>
      </c>
      <c r="D11" s="1165">
        <v>8005</v>
      </c>
      <c r="E11" s="1167" t="s">
        <v>1373</v>
      </c>
      <c r="F11" s="1165">
        <v>0</v>
      </c>
      <c r="G11" s="1166">
        <v>-4496765367.1499996</v>
      </c>
      <c r="H11" s="1166">
        <f>-4589995368.86-133974948.41</f>
        <v>-4723970317.2699995</v>
      </c>
      <c r="I11" s="1166"/>
      <c r="J11" s="968">
        <f>H11+I11</f>
        <v>-4723970317.2699995</v>
      </c>
      <c r="L11" s="968">
        <v>-4723970317.2699995</v>
      </c>
      <c r="M11" s="968">
        <f>-4723762262.09-5635968.56</f>
        <v>-4729398230.6500006</v>
      </c>
      <c r="N11" s="968">
        <f>-2228853.33+35518.61+31398377</f>
        <v>29205042.280000001</v>
      </c>
      <c r="O11" s="968">
        <f>M11+N11</f>
        <v>-4700193188.3700008</v>
      </c>
      <c r="P11" s="968">
        <v>-4901853640.5799999</v>
      </c>
      <c r="Q11" s="968"/>
      <c r="R11" s="1166">
        <f>P11+Q11</f>
        <v>-4901853640.5799999</v>
      </c>
      <c r="S11" s="968">
        <v>-5795124498.3299999</v>
      </c>
      <c r="T11" s="968"/>
      <c r="U11" s="968">
        <f>S11+T11</f>
        <v>-5795124498.3299999</v>
      </c>
      <c r="V11" s="1145">
        <v>-5486968660.5100002</v>
      </c>
      <c r="W11" s="1145"/>
      <c r="X11" s="1145">
        <f>V11+W11</f>
        <v>-5486968660.5100002</v>
      </c>
    </row>
    <row r="12" spans="1:29" ht="15" customHeight="1" x14ac:dyDescent="0.2">
      <c r="A12" s="928"/>
      <c r="B12" s="928" t="s">
        <v>3535</v>
      </c>
      <c r="C12" s="1167">
        <v>3</v>
      </c>
      <c r="D12" s="1165">
        <v>8005</v>
      </c>
      <c r="E12" s="1167" t="s">
        <v>1379</v>
      </c>
      <c r="F12" s="1165">
        <v>0</v>
      </c>
      <c r="G12" s="1166"/>
      <c r="H12" s="1166"/>
      <c r="I12" s="1166"/>
      <c r="J12" s="968"/>
      <c r="L12" s="968"/>
      <c r="M12" s="968">
        <v>-133415544.09999999</v>
      </c>
      <c r="N12" s="968">
        <f>-416715.97189378+2768018.81-1624072.27+8589459.35-4340462.91</f>
        <v>4976227.0081062205</v>
      </c>
      <c r="O12" s="968">
        <f>M12+N12</f>
        <v>-128439317.09189378</v>
      </c>
      <c r="P12" s="968">
        <f>'TB3'!P623</f>
        <v>65810064.260061741</v>
      </c>
      <c r="Q12" s="968">
        <f>302899+19596731-20420279+2318540.12-665610.61-1165517.81+8753576.75+2695709.38-7077812.08-28749114.84-1000000-3950515.99</f>
        <v>-29361394.080000006</v>
      </c>
      <c r="R12" s="1166">
        <f>P12+Q12</f>
        <v>36448670.180061735</v>
      </c>
      <c r="S12" s="968">
        <f>'TB3'!V623</f>
        <v>80291195.239999294</v>
      </c>
      <c r="T12" s="968">
        <f>-216394.78-149441.81+3415055.28+640575.26+192299.48+15597856.78+1091895+4882341.64+13371354.36</f>
        <v>38825541.210000001</v>
      </c>
      <c r="U12" s="968">
        <f>S12+T12</f>
        <v>119116736.4499993</v>
      </c>
      <c r="V12" s="1145">
        <f>'TB3'!AB623</f>
        <v>-58058705.770000458</v>
      </c>
      <c r="W12" s="1145"/>
      <c r="X12" s="1145">
        <f>V12+W12</f>
        <v>-58058705.770000458</v>
      </c>
      <c r="AA12" s="620"/>
      <c r="AC12" s="620"/>
    </row>
    <row r="13" spans="1:29" ht="15" customHeight="1" x14ac:dyDescent="0.2">
      <c r="A13" s="928"/>
      <c r="B13" s="928" t="s">
        <v>3536</v>
      </c>
      <c r="C13" s="1167">
        <v>3</v>
      </c>
      <c r="D13" s="1165">
        <v>8005</v>
      </c>
      <c r="E13" s="1167" t="s">
        <v>1375</v>
      </c>
      <c r="F13" s="1165">
        <v>0</v>
      </c>
      <c r="G13" s="1166">
        <v>0</v>
      </c>
      <c r="H13" s="1166">
        <v>0</v>
      </c>
      <c r="I13" s="1166"/>
      <c r="J13" s="968">
        <f>H13+I13</f>
        <v>0</v>
      </c>
      <c r="L13" s="968">
        <v>0</v>
      </c>
      <c r="M13" s="968">
        <f>'TB3'!J623</f>
        <v>-89217401.779999733</v>
      </c>
      <c r="N13" s="968">
        <v>16180892.98</v>
      </c>
      <c r="O13" s="968">
        <f>M13+N13</f>
        <v>-73036508.799999729</v>
      </c>
      <c r="P13" s="968">
        <f>66150.23-16745532.43-14645730+7498537.76+5863469229.44+988824898.65-29968742.65-16448576.25+36655436.84+4730621.73-6641417304.08-30028826.98+11886960.55-12215834.71+496830.5-612064.31+323296.65+10108905.99+16745532.43-66150.23+0.87+2892467334.45-863732941.91-24789.13+26192013.46-16578565.65-629528285.08+238869746.06+42754158.58+8698083.2-80289000-310370118.33-2247685003.26+432686.75+3202728.13-37739570.42+20422825.64+6914865.85-31398377-10108905.99+17377479.54-5028.28-0.19-0.02+65418.78+3405848-9062647.42-18469449.08</f>
        <v>-815531853.32000041</v>
      </c>
      <c r="Q13" s="968">
        <f>10849839.26-1860667.82-84014903.57-52810800.16-1221682.03+218008.11+2276167.44+142820+83771.41+6225161.94+1969063.82+5031+3950515.99</f>
        <v>-114187674.61000001</v>
      </c>
      <c r="R13" s="1166">
        <f>P13+Q13</f>
        <v>-929719527.93000042</v>
      </c>
      <c r="S13" s="968">
        <f>207215452.45-12812671+8217389</f>
        <v>202620170.44999999</v>
      </c>
      <c r="T13" s="968">
        <f>-1000+1933236.89+126433-41882.19-15597856.78</f>
        <v>-13581069.08</v>
      </c>
      <c r="U13" s="968">
        <f>S13+T13</f>
        <v>189039101.36999997</v>
      </c>
      <c r="V13" s="1145">
        <f>-29494590.2</f>
        <v>-29494590.199999999</v>
      </c>
      <c r="W13" s="1145"/>
      <c r="X13" s="1145">
        <f>V13+W13</f>
        <v>-29494590.199999999</v>
      </c>
      <c r="AA13" s="620"/>
      <c r="AC13" s="620"/>
    </row>
    <row r="14" spans="1:29" ht="15" customHeight="1" x14ac:dyDescent="0.2">
      <c r="A14" s="928"/>
      <c r="B14" s="928" t="s">
        <v>101</v>
      </c>
      <c r="C14" s="1165"/>
      <c r="D14" s="1165"/>
      <c r="E14" s="1165"/>
      <c r="F14" s="1165"/>
      <c r="G14" s="1164">
        <f>SUM(G11:G13)</f>
        <v>-4496765367.1499996</v>
      </c>
      <c r="H14" s="1164">
        <f>SUM(H11:H13)</f>
        <v>-4723970317.2699995</v>
      </c>
      <c r="I14" s="1164">
        <f>SUM(I11:I13)</f>
        <v>0</v>
      </c>
      <c r="J14" s="1143">
        <f>SUM(J11:J13)</f>
        <v>-4723970317.2699995</v>
      </c>
      <c r="L14" s="1143">
        <f t="shared" ref="L14:X14" si="0">SUM(L11:L13)</f>
        <v>-4723970317.2699995</v>
      </c>
      <c r="M14" s="1143">
        <f t="shared" si="0"/>
        <v>-4952031176.5300007</v>
      </c>
      <c r="N14" s="1143">
        <f t="shared" si="0"/>
        <v>50362162.268106222</v>
      </c>
      <c r="O14" s="1143">
        <f t="shared" si="0"/>
        <v>-4901669014.2618952</v>
      </c>
      <c r="P14" s="1143">
        <f t="shared" si="0"/>
        <v>-5651575429.6399393</v>
      </c>
      <c r="Q14" s="1143">
        <f t="shared" si="0"/>
        <v>-143549068.69000003</v>
      </c>
      <c r="R14" s="1164">
        <f t="shared" si="0"/>
        <v>-5795124498.3299389</v>
      </c>
      <c r="S14" s="1143">
        <f t="shared" si="0"/>
        <v>-5512213132.6400003</v>
      </c>
      <c r="T14" s="1143">
        <f t="shared" si="0"/>
        <v>25244472.130000003</v>
      </c>
      <c r="U14" s="1143">
        <f t="shared" si="0"/>
        <v>-5486968660.5100012</v>
      </c>
      <c r="V14" s="1341">
        <f t="shared" si="0"/>
        <v>-5574521956.4800005</v>
      </c>
      <c r="W14" s="1341">
        <f t="shared" si="0"/>
        <v>0</v>
      </c>
      <c r="X14" s="1341">
        <f t="shared" si="0"/>
        <v>-5574521956.4800005</v>
      </c>
      <c r="Z14" s="620"/>
    </row>
    <row r="15" spans="1:29" ht="15" customHeight="1" x14ac:dyDescent="0.2">
      <c r="A15" s="928"/>
      <c r="B15" s="928"/>
      <c r="C15" s="1167"/>
      <c r="D15" s="1165"/>
      <c r="E15" s="1167"/>
      <c r="F15" s="1165"/>
      <c r="G15" s="1164"/>
      <c r="H15" s="1164"/>
      <c r="I15" s="1164"/>
      <c r="J15" s="1143"/>
      <c r="L15" s="1143"/>
      <c r="M15" s="1143"/>
      <c r="N15" s="968"/>
      <c r="O15" s="968"/>
      <c r="P15" s="1143"/>
      <c r="Q15" s="968"/>
      <c r="R15" s="1166"/>
      <c r="S15" s="968"/>
      <c r="T15" s="968"/>
      <c r="U15" s="968"/>
      <c r="V15" s="1145"/>
      <c r="W15" s="1145"/>
      <c r="X15" s="1145"/>
    </row>
    <row r="16" spans="1:29" ht="15" customHeight="1" x14ac:dyDescent="0.2">
      <c r="A16" s="928"/>
      <c r="B16" s="928"/>
      <c r="C16" s="1165"/>
      <c r="D16" s="1165"/>
      <c r="E16" s="1165"/>
      <c r="F16" s="1165"/>
      <c r="G16" s="1166"/>
      <c r="H16" s="1166"/>
      <c r="I16" s="1166"/>
      <c r="J16" s="968"/>
      <c r="L16" s="968"/>
      <c r="M16" s="968"/>
      <c r="N16" s="968"/>
      <c r="O16" s="968"/>
      <c r="P16" s="968"/>
      <c r="Q16" s="968"/>
      <c r="R16" s="1166"/>
      <c r="S16" s="968"/>
      <c r="T16" s="968"/>
      <c r="U16" s="968"/>
      <c r="V16" s="1145"/>
      <c r="W16" s="1145"/>
      <c r="X16" s="1145"/>
    </row>
    <row r="17" spans="1:24" ht="15" customHeight="1" x14ac:dyDescent="0.2">
      <c r="A17" s="238" t="s">
        <v>102</v>
      </c>
      <c r="B17" s="238" t="s">
        <v>160</v>
      </c>
      <c r="C17" s="1165"/>
      <c r="D17" s="1165"/>
      <c r="E17" s="1165"/>
      <c r="F17" s="1165"/>
      <c r="G17" s="1166"/>
      <c r="H17" s="1166"/>
      <c r="I17" s="1166"/>
      <c r="J17" s="968"/>
      <c r="L17" s="968"/>
      <c r="M17" s="968"/>
      <c r="N17" s="968"/>
      <c r="O17" s="968"/>
      <c r="P17" s="968"/>
      <c r="Q17" s="968"/>
      <c r="R17" s="1166"/>
      <c r="S17" s="968"/>
      <c r="T17" s="968"/>
      <c r="U17" s="968"/>
      <c r="V17" s="1145"/>
      <c r="W17" s="1145"/>
      <c r="X17" s="1145"/>
    </row>
    <row r="18" spans="1:24" ht="15" customHeight="1" x14ac:dyDescent="0.2">
      <c r="A18" s="928"/>
      <c r="B18" s="928" t="s">
        <v>1376</v>
      </c>
      <c r="C18" s="1165">
        <v>3</v>
      </c>
      <c r="D18" s="1165">
        <v>8010</v>
      </c>
      <c r="E18" s="1167" t="s">
        <v>1373</v>
      </c>
      <c r="F18" s="1165">
        <v>0</v>
      </c>
      <c r="G18" s="1166">
        <v>-781994.9</v>
      </c>
      <c r="H18" s="1166">
        <v>-516594.57299999997</v>
      </c>
      <c r="I18" s="1166"/>
      <c r="J18" s="968">
        <f>H18+I18</f>
        <v>-516594.57299999997</v>
      </c>
      <c r="L18" s="968">
        <v>-516594.57299999997</v>
      </c>
      <c r="M18" s="968">
        <v>-516594.57299999997</v>
      </c>
      <c r="N18" s="968"/>
      <c r="O18" s="968">
        <f>M18+N18</f>
        <v>-516594.57299999997</v>
      </c>
      <c r="P18" s="968">
        <v>-357961.23</v>
      </c>
      <c r="Q18" s="968"/>
      <c r="R18" s="1166">
        <f>P18+Q18</f>
        <v>-357961.23</v>
      </c>
      <c r="S18" s="968">
        <v>-164627.89000000001</v>
      </c>
      <c r="T18" s="968"/>
      <c r="U18" s="968">
        <f>S18+T18</f>
        <v>-164627.89000000001</v>
      </c>
      <c r="V18" s="1145"/>
      <c r="W18" s="1145"/>
      <c r="X18" s="1145">
        <f>V18+W18</f>
        <v>0</v>
      </c>
    </row>
    <row r="19" spans="1:24" ht="15" customHeight="1" x14ac:dyDescent="0.2">
      <c r="A19" s="928"/>
      <c r="B19" s="928" t="s">
        <v>286</v>
      </c>
      <c r="C19" s="1165">
        <v>3</v>
      </c>
      <c r="D19" s="1165">
        <v>8010</v>
      </c>
      <c r="E19" s="1167" t="s">
        <v>1377</v>
      </c>
      <c r="F19" s="1165">
        <v>0</v>
      </c>
      <c r="G19" s="1166">
        <v>-280277094.81</v>
      </c>
      <c r="H19" s="1166">
        <v>-333879228.54000002</v>
      </c>
      <c r="I19" s="1166"/>
      <c r="J19" s="968">
        <f>H19+I19</f>
        <v>-333879228.54000002</v>
      </c>
      <c r="L19" s="968">
        <v>-333879228.54000002</v>
      </c>
      <c r="M19" s="968">
        <v>-298071321.93000001</v>
      </c>
      <c r="N19" s="968"/>
      <c r="O19" s="968">
        <f>M19+N19</f>
        <v>-298071321.93000001</v>
      </c>
      <c r="P19" s="968">
        <v>-261836365.61000001</v>
      </c>
      <c r="Q19" s="968"/>
      <c r="R19" s="1166">
        <f>P19+Q19</f>
        <v>-261836365.61000001</v>
      </c>
      <c r="S19" s="968">
        <v>-225123746.71000001</v>
      </c>
      <c r="T19" s="968"/>
      <c r="U19" s="968">
        <f>S19+T19</f>
        <v>-225123746.71000001</v>
      </c>
      <c r="V19" s="1145">
        <v>-230687558.33000001</v>
      </c>
      <c r="W19" s="1145"/>
      <c r="X19" s="1145">
        <f>V19+W19</f>
        <v>-230687558.33000001</v>
      </c>
    </row>
    <row r="20" spans="1:24" ht="15" customHeight="1" x14ac:dyDescent="0.2">
      <c r="A20" s="238" t="s">
        <v>3946</v>
      </c>
      <c r="B20" s="928" t="s">
        <v>1078</v>
      </c>
      <c r="C20" s="1165">
        <v>3</v>
      </c>
      <c r="D20" s="1165">
        <v>8010</v>
      </c>
      <c r="E20" s="1167" t="s">
        <v>1378</v>
      </c>
      <c r="F20" s="1165">
        <v>0</v>
      </c>
      <c r="G20" s="1166">
        <v>-6566299.2199999997</v>
      </c>
      <c r="H20" s="1166">
        <v>-2597003.5499999998</v>
      </c>
      <c r="I20" s="1166"/>
      <c r="J20" s="968">
        <f>H20+I20</f>
        <v>-2597003.5499999998</v>
      </c>
      <c r="L20" s="968">
        <v>-2597003.5499999998</v>
      </c>
      <c r="M20" s="968">
        <v>0</v>
      </c>
      <c r="N20" s="968">
        <f>-24060149.95+292598.71</f>
        <v>-23767551.239999998</v>
      </c>
      <c r="O20" s="968">
        <f>M20+N20</f>
        <v>-23767551.239999998</v>
      </c>
      <c r="P20" s="968">
        <f>-23767551.24+35654511.79-11886960.55-25905959.27-113542198.96+612064.31+20149918.6-3405848-4032186.3</f>
        <v>-126124209.61999999</v>
      </c>
      <c r="Q20" s="968">
        <f>6453272.96+17395808.25-2276167.44-2695709.38-142820-83771.41</f>
        <v>18650612.98</v>
      </c>
      <c r="R20" s="1166">
        <f>P20+Q20</f>
        <v>-107473596.63999999</v>
      </c>
      <c r="S20" s="968">
        <v>-90597800.680000007</v>
      </c>
      <c r="T20" s="968"/>
      <c r="U20" s="968">
        <f>S20+T20</f>
        <v>-90597800.680000007</v>
      </c>
      <c r="V20" s="968">
        <v>-64348171.969999999</v>
      </c>
      <c r="W20" s="1145"/>
      <c r="X20" s="1145">
        <f>V20+W20</f>
        <v>-64348171.969999999</v>
      </c>
    </row>
    <row r="21" spans="1:24" ht="15" customHeight="1" x14ac:dyDescent="0.2">
      <c r="A21" s="238"/>
      <c r="B21" s="928"/>
      <c r="C21" s="1165"/>
      <c r="D21" s="1165"/>
      <c r="E21" s="1167"/>
      <c r="F21" s="1165"/>
      <c r="G21" s="1166"/>
      <c r="H21" s="1166"/>
      <c r="I21" s="1166"/>
      <c r="J21" s="968"/>
      <c r="L21" s="968"/>
      <c r="M21" s="968"/>
      <c r="N21" s="968"/>
      <c r="O21" s="968"/>
      <c r="P21" s="968"/>
      <c r="Q21" s="968"/>
      <c r="R21" s="1166"/>
      <c r="S21" s="968"/>
      <c r="T21" s="968"/>
      <c r="U21" s="968"/>
      <c r="V21" s="1145"/>
      <c r="W21" s="1145"/>
      <c r="X21" s="1145"/>
    </row>
    <row r="22" spans="1:24" ht="15" customHeight="1" x14ac:dyDescent="0.2">
      <c r="A22" s="928"/>
      <c r="B22" s="928"/>
      <c r="C22" s="1165"/>
      <c r="D22" s="1165"/>
      <c r="E22" s="1165"/>
      <c r="F22" s="1165"/>
      <c r="G22" s="1164">
        <f>SUM(G18:G20)</f>
        <v>-287625388.93000001</v>
      </c>
      <c r="H22" s="1164">
        <f>SUM(H18:H20)</f>
        <v>-336992826.66300005</v>
      </c>
      <c r="I22" s="1164">
        <f>SUM(I18:I20)</f>
        <v>0</v>
      </c>
      <c r="J22" s="1143">
        <f>SUM(J18:J20)</f>
        <v>-336992826.66300005</v>
      </c>
      <c r="L22" s="1143">
        <f t="shared" ref="L22:X22" si="1">SUM(L18:L20)</f>
        <v>-336992826.66300005</v>
      </c>
      <c r="M22" s="1143">
        <f t="shared" si="1"/>
        <v>-298587916.50300002</v>
      </c>
      <c r="N22" s="1143">
        <f t="shared" si="1"/>
        <v>-23767551.239999998</v>
      </c>
      <c r="O22" s="1143">
        <f t="shared" si="1"/>
        <v>-322355467.74300003</v>
      </c>
      <c r="P22" s="1143">
        <f t="shared" si="1"/>
        <v>-388318536.45999998</v>
      </c>
      <c r="Q22" s="1143">
        <f t="shared" si="1"/>
        <v>18650612.98</v>
      </c>
      <c r="R22" s="1164">
        <f t="shared" si="1"/>
        <v>-369667923.48000002</v>
      </c>
      <c r="S22" s="1143">
        <f t="shared" si="1"/>
        <v>-315886175.27999997</v>
      </c>
      <c r="T22" s="1143">
        <f t="shared" si="1"/>
        <v>0</v>
      </c>
      <c r="U22" s="1143">
        <f t="shared" si="1"/>
        <v>-315886175.27999997</v>
      </c>
      <c r="V22" s="1341">
        <f t="shared" si="1"/>
        <v>-295035730.30000001</v>
      </c>
      <c r="W22" s="1341">
        <f t="shared" si="1"/>
        <v>0</v>
      </c>
      <c r="X22" s="1341">
        <f t="shared" si="1"/>
        <v>-295035730.30000001</v>
      </c>
    </row>
    <row r="23" spans="1:24" ht="15" customHeight="1" x14ac:dyDescent="0.2">
      <c r="A23" s="928"/>
      <c r="B23" s="928"/>
      <c r="C23" s="1165"/>
      <c r="D23" s="1165"/>
      <c r="E23" s="1165"/>
      <c r="F23" s="1165"/>
      <c r="G23" s="1166"/>
      <c r="H23" s="1166"/>
      <c r="I23" s="1166"/>
      <c r="J23" s="968"/>
      <c r="L23" s="968"/>
      <c r="M23" s="968"/>
      <c r="N23" s="968"/>
      <c r="O23" s="968"/>
      <c r="P23" s="968"/>
      <c r="Q23" s="968"/>
      <c r="R23" s="1166"/>
      <c r="S23" s="968"/>
      <c r="T23" s="968"/>
      <c r="U23" s="968"/>
      <c r="V23" s="1145"/>
      <c r="W23" s="1145"/>
      <c r="X23" s="1145"/>
    </row>
    <row r="24" spans="1:24" ht="15" customHeight="1" x14ac:dyDescent="0.2">
      <c r="A24" s="238" t="s">
        <v>104</v>
      </c>
      <c r="B24" s="238" t="s">
        <v>600</v>
      </c>
      <c r="C24" s="1165"/>
      <c r="D24" s="1165"/>
      <c r="E24" s="1165"/>
      <c r="F24" s="1165"/>
      <c r="G24" s="1166"/>
      <c r="H24" s="1166"/>
      <c r="I24" s="1166"/>
      <c r="J24" s="968"/>
      <c r="L24" s="968"/>
      <c r="M24" s="968"/>
      <c r="N24" s="968"/>
      <c r="O24" s="968"/>
      <c r="P24" s="968"/>
      <c r="Q24" s="968"/>
      <c r="R24" s="1166"/>
      <c r="S24" s="968"/>
      <c r="T24" s="968"/>
      <c r="U24" s="968"/>
      <c r="V24" s="1145"/>
      <c r="W24" s="1145"/>
      <c r="X24" s="1145"/>
    </row>
    <row r="25" spans="1:24" ht="15" customHeight="1" x14ac:dyDescent="0.2">
      <c r="A25" s="928"/>
      <c r="B25" s="928" t="s">
        <v>809</v>
      </c>
      <c r="C25" s="1165">
        <v>3</v>
      </c>
      <c r="D25" s="1165">
        <v>8030</v>
      </c>
      <c r="E25" s="1167" t="s">
        <v>1373</v>
      </c>
      <c r="F25" s="1165">
        <v>0</v>
      </c>
      <c r="G25" s="1166">
        <v>-57596426.710000001</v>
      </c>
      <c r="H25" s="1166">
        <v>-61979213.090000004</v>
      </c>
      <c r="I25" s="1166"/>
      <c r="J25" s="968">
        <f>H25+I25</f>
        <v>-61979213.090000004</v>
      </c>
      <c r="L25" s="968">
        <v>-61979213.090000004</v>
      </c>
      <c r="M25" s="968">
        <v>-61979213.090000004</v>
      </c>
      <c r="N25" s="968"/>
      <c r="O25" s="968">
        <f>M25+N25</f>
        <v>-61979213.090000004</v>
      </c>
      <c r="P25" s="968">
        <f>-61979213.09+61979213.09</f>
        <v>0</v>
      </c>
      <c r="Q25" s="968"/>
      <c r="R25" s="1166">
        <f>P25+Q25</f>
        <v>0</v>
      </c>
      <c r="S25" s="968">
        <v>0</v>
      </c>
      <c r="T25" s="968"/>
      <c r="U25" s="968"/>
      <c r="V25" s="1145"/>
      <c r="W25" s="1145"/>
      <c r="X25" s="1145"/>
    </row>
    <row r="26" spans="1:24" s="1169" customFormat="1" ht="15" customHeight="1" x14ac:dyDescent="0.2">
      <c r="A26" s="928"/>
      <c r="B26" s="928" t="s">
        <v>438</v>
      </c>
      <c r="C26" s="1165">
        <v>3</v>
      </c>
      <c r="D26" s="1165">
        <v>8030</v>
      </c>
      <c r="E26" s="1167" t="s">
        <v>1379</v>
      </c>
      <c r="F26" s="1165">
        <v>0</v>
      </c>
      <c r="G26" s="1166">
        <v>0</v>
      </c>
      <c r="H26" s="1166">
        <v>-140258.5</v>
      </c>
      <c r="I26" s="1166"/>
      <c r="J26" s="968">
        <f>H26+I26</f>
        <v>-140258.5</v>
      </c>
      <c r="K26" s="318"/>
      <c r="L26" s="968">
        <v>-140258.5</v>
      </c>
      <c r="M26" s="968">
        <v>-1969448.24</v>
      </c>
      <c r="N26" s="1168"/>
      <c r="O26" s="968">
        <f>M26+N26</f>
        <v>-1969448.24</v>
      </c>
      <c r="P26" s="968">
        <f>-3626218.98-4300</f>
        <v>-3630518.98</v>
      </c>
      <c r="Q26" s="1168"/>
      <c r="R26" s="1166">
        <f>P26+Q26</f>
        <v>-3630518.98</v>
      </c>
      <c r="S26" s="1168">
        <v>-5528159.3899999997</v>
      </c>
      <c r="T26" s="1168"/>
      <c r="U26" s="968">
        <f>S26+T26</f>
        <v>-5528159.3899999997</v>
      </c>
      <c r="V26" s="1168">
        <f>-7135247.88+120934</f>
        <v>-7014313.8799999999</v>
      </c>
      <c r="W26" s="1168"/>
      <c r="X26" s="1145">
        <f>V26+W26</f>
        <v>-7014313.8799999999</v>
      </c>
    </row>
    <row r="27" spans="1:24" s="1169" customFormat="1" ht="15" customHeight="1" x14ac:dyDescent="0.2">
      <c r="A27" s="928"/>
      <c r="B27" s="928" t="s">
        <v>321</v>
      </c>
      <c r="C27" s="1165">
        <v>3</v>
      </c>
      <c r="D27" s="1165">
        <v>8030</v>
      </c>
      <c r="E27" s="1167" t="s">
        <v>1380</v>
      </c>
      <c r="F27" s="1165">
        <v>0</v>
      </c>
      <c r="G27" s="1166">
        <v>0</v>
      </c>
      <c r="H27" s="1166">
        <v>436155.72</v>
      </c>
      <c r="I27" s="1166"/>
      <c r="J27" s="968">
        <f>H27+I27</f>
        <v>436155.72</v>
      </c>
      <c r="K27" s="318"/>
      <c r="L27" s="968">
        <v>436155.72</v>
      </c>
      <c r="M27" s="968">
        <v>2572390.35</v>
      </c>
      <c r="N27" s="1168"/>
      <c r="O27" s="968">
        <f>M27+N27</f>
        <v>2572390.35</v>
      </c>
      <c r="P27" s="968">
        <f>3934279.4-57977.43-61979213.09</f>
        <v>-58102911.120000005</v>
      </c>
      <c r="Q27" s="1168"/>
      <c r="R27" s="1166">
        <f>P27+Q27</f>
        <v>-58102911.120000005</v>
      </c>
      <c r="S27" s="1168">
        <v>-56520688.57</v>
      </c>
      <c r="T27" s="1168"/>
      <c r="U27" s="968">
        <f>S27+T27</f>
        <v>-56520688.57</v>
      </c>
      <c r="V27" s="1168">
        <f>-55376347.43+38855</f>
        <v>-55337492.43</v>
      </c>
      <c r="W27" s="1168"/>
      <c r="X27" s="1145">
        <f>V27+W27</f>
        <v>-55337492.43</v>
      </c>
    </row>
    <row r="28" spans="1:24" s="1169" customFormat="1" ht="15" customHeight="1" x14ac:dyDescent="0.2">
      <c r="A28" s="928"/>
      <c r="B28" s="928" t="s">
        <v>1381</v>
      </c>
      <c r="C28" s="1165">
        <v>3</v>
      </c>
      <c r="D28" s="1165">
        <v>8030</v>
      </c>
      <c r="E28" s="1167" t="s">
        <v>1382</v>
      </c>
      <c r="F28" s="1165">
        <v>0</v>
      </c>
      <c r="G28" s="1166">
        <v>0</v>
      </c>
      <c r="H28" s="1166">
        <v>-388878.52</v>
      </c>
      <c r="I28" s="1166"/>
      <c r="J28" s="968">
        <f>H28+I28</f>
        <v>-388878.52</v>
      </c>
      <c r="K28" s="318"/>
      <c r="L28" s="968">
        <v>-388878.52</v>
      </c>
      <c r="M28" s="968">
        <v>-2411843.19</v>
      </c>
      <c r="N28" s="1168"/>
      <c r="O28" s="968">
        <f>M28+N28</f>
        <v>-2411843.19</v>
      </c>
      <c r="P28" s="968">
        <f>-3912969.92-3872.8</f>
        <v>-3916842.7199999997</v>
      </c>
      <c r="Q28" s="1168"/>
      <c r="R28" s="1166">
        <f>P28+Q28</f>
        <v>-3916842.7199999997</v>
      </c>
      <c r="S28" s="1168">
        <v>-5412845.6100000003</v>
      </c>
      <c r="T28" s="1168">
        <v>-150565.26</v>
      </c>
      <c r="U28" s="968">
        <f>S28+T28</f>
        <v>-5563410.8700000001</v>
      </c>
      <c r="V28" s="1168">
        <f>-6664403.05+152706.33</f>
        <v>-6511696.7199999997</v>
      </c>
      <c r="W28" s="1168"/>
      <c r="X28" s="1145">
        <f>V28+W28</f>
        <v>-6511696.7199999997</v>
      </c>
    </row>
    <row r="29" spans="1:24" s="1169" customFormat="1" ht="15" customHeight="1" x14ac:dyDescent="0.2">
      <c r="A29" s="928"/>
      <c r="B29" s="928"/>
      <c r="C29" s="1165"/>
      <c r="D29" s="1165"/>
      <c r="E29" s="1165"/>
      <c r="F29" s="1165"/>
      <c r="G29" s="1164">
        <f>SUM(G25:G28)</f>
        <v>-57596426.710000001</v>
      </c>
      <c r="H29" s="1164">
        <f>SUM(H25:H28)</f>
        <v>-62072194.390000008</v>
      </c>
      <c r="I29" s="1164">
        <f>SUM(I25:I28)</f>
        <v>0</v>
      </c>
      <c r="J29" s="1143">
        <f>SUM(J25:J28)</f>
        <v>-62072194.390000008</v>
      </c>
      <c r="K29" s="318"/>
      <c r="L29" s="1143">
        <f t="shared" ref="L29:X29" si="2">SUM(L25:L28)</f>
        <v>-62072194.390000008</v>
      </c>
      <c r="M29" s="1143">
        <f t="shared" si="2"/>
        <v>-63788114.170000002</v>
      </c>
      <c r="N29" s="1143">
        <f t="shared" si="2"/>
        <v>0</v>
      </c>
      <c r="O29" s="1143">
        <f t="shared" si="2"/>
        <v>-63788114.170000002</v>
      </c>
      <c r="P29" s="1143">
        <f t="shared" si="2"/>
        <v>-65650272.82</v>
      </c>
      <c r="Q29" s="1143">
        <f t="shared" si="2"/>
        <v>0</v>
      </c>
      <c r="R29" s="1164">
        <f t="shared" si="2"/>
        <v>-65650272.82</v>
      </c>
      <c r="S29" s="1143">
        <f t="shared" si="2"/>
        <v>-67461693.570000008</v>
      </c>
      <c r="T29" s="1143">
        <f t="shared" si="2"/>
        <v>-150565.26</v>
      </c>
      <c r="U29" s="1143">
        <f t="shared" si="2"/>
        <v>-67612258.829999998</v>
      </c>
      <c r="V29" s="1341">
        <f t="shared" si="2"/>
        <v>-68863503.030000001</v>
      </c>
      <c r="W29" s="1341">
        <f t="shared" si="2"/>
        <v>0</v>
      </c>
      <c r="X29" s="1341">
        <f t="shared" si="2"/>
        <v>-68863503.030000001</v>
      </c>
    </row>
    <row r="30" spans="1:24" s="1169" customFormat="1" ht="15" customHeight="1" x14ac:dyDescent="0.2">
      <c r="A30" s="928"/>
      <c r="B30" s="928"/>
      <c r="C30" s="1165"/>
      <c r="D30" s="1165"/>
      <c r="E30" s="1165"/>
      <c r="F30" s="1165"/>
      <c r="G30" s="1166"/>
      <c r="H30" s="1166"/>
      <c r="I30" s="1166"/>
      <c r="J30" s="968"/>
      <c r="K30" s="318"/>
      <c r="L30" s="968"/>
      <c r="M30" s="968"/>
      <c r="N30" s="1168"/>
      <c r="O30" s="1168"/>
      <c r="P30" s="968"/>
      <c r="Q30" s="1168"/>
      <c r="R30" s="1170"/>
      <c r="S30" s="1168"/>
      <c r="T30" s="1168"/>
      <c r="U30" s="968"/>
      <c r="V30" s="1168"/>
      <c r="W30" s="1168"/>
      <c r="X30" s="1168"/>
    </row>
    <row r="31" spans="1:24" s="1169" customFormat="1" ht="15" customHeight="1" x14ac:dyDescent="0.2">
      <c r="A31" s="238" t="s">
        <v>105</v>
      </c>
      <c r="B31" s="238" t="s">
        <v>106</v>
      </c>
      <c r="C31" s="1165"/>
      <c r="D31" s="1165"/>
      <c r="E31" s="1165"/>
      <c r="F31" s="1165"/>
      <c r="G31" s="1166"/>
      <c r="H31" s="1166"/>
      <c r="I31" s="1166"/>
      <c r="J31" s="968"/>
      <c r="K31" s="318"/>
      <c r="L31" s="968"/>
      <c r="M31" s="968"/>
      <c r="N31" s="1168"/>
      <c r="O31" s="1168"/>
      <c r="P31" s="968"/>
      <c r="Q31" s="1168"/>
      <c r="R31" s="1170"/>
      <c r="S31" s="1168"/>
      <c r="T31" s="1168"/>
      <c r="U31" s="968"/>
      <c r="V31" s="1168"/>
      <c r="W31" s="1168"/>
      <c r="X31" s="1168"/>
    </row>
    <row r="32" spans="1:24" s="1169" customFormat="1" ht="15" customHeight="1" x14ac:dyDescent="0.2">
      <c r="A32" s="238"/>
      <c r="B32" s="238" t="s">
        <v>107</v>
      </c>
      <c r="C32" s="1165"/>
      <c r="D32" s="1165"/>
      <c r="E32" s="1165"/>
      <c r="F32" s="1165"/>
      <c r="G32" s="1166"/>
      <c r="H32" s="1166"/>
      <c r="I32" s="1166"/>
      <c r="J32" s="968"/>
      <c r="K32" s="318"/>
      <c r="L32" s="968"/>
      <c r="M32" s="968"/>
      <c r="N32" s="1168"/>
      <c r="O32" s="1168"/>
      <c r="P32" s="968"/>
      <c r="Q32" s="1168"/>
      <c r="R32" s="1170"/>
      <c r="S32" s="1168"/>
      <c r="T32" s="1168"/>
      <c r="U32" s="968"/>
      <c r="V32" s="1168"/>
      <c r="W32" s="1168"/>
      <c r="X32" s="1168"/>
    </row>
    <row r="33" spans="1:26" s="1169" customFormat="1" ht="15" customHeight="1" x14ac:dyDescent="0.2">
      <c r="A33" s="238"/>
      <c r="B33" s="239" t="s">
        <v>107</v>
      </c>
      <c r="C33" s="1165">
        <v>3</v>
      </c>
      <c r="D33" s="1165">
        <v>8050</v>
      </c>
      <c r="E33" s="1167" t="s">
        <v>1373</v>
      </c>
      <c r="F33" s="1165">
        <v>0</v>
      </c>
      <c r="G33" s="1166"/>
      <c r="H33" s="1166"/>
      <c r="I33" s="1166"/>
      <c r="J33" s="968">
        <f t="shared" ref="J33:J80" si="3">H33+I33</f>
        <v>0</v>
      </c>
      <c r="K33" s="318"/>
      <c r="L33" s="968">
        <v>0</v>
      </c>
      <c r="M33" s="968">
        <v>0</v>
      </c>
      <c r="N33" s="1168"/>
      <c r="O33" s="968">
        <f>M33+N33</f>
        <v>0</v>
      </c>
      <c r="P33" s="968">
        <v>0</v>
      </c>
      <c r="Q33" s="1168"/>
      <c r="R33" s="1166">
        <f>P33+Q33</f>
        <v>0</v>
      </c>
      <c r="S33" s="1168">
        <v>0</v>
      </c>
      <c r="T33" s="1168"/>
      <c r="U33" s="968"/>
      <c r="V33" s="1168"/>
      <c r="W33" s="1168"/>
      <c r="X33" s="1145">
        <f>V33+W33</f>
        <v>0</v>
      </c>
    </row>
    <row r="34" spans="1:26" s="1169" customFormat="1" ht="15" customHeight="1" x14ac:dyDescent="0.2">
      <c r="A34" s="238"/>
      <c r="B34" s="239" t="s">
        <v>1383</v>
      </c>
      <c r="C34" s="1165">
        <v>3</v>
      </c>
      <c r="D34" s="1165">
        <v>8050</v>
      </c>
      <c r="E34" s="1167" t="s">
        <v>1379</v>
      </c>
      <c r="F34" s="1165">
        <v>0</v>
      </c>
      <c r="G34" s="1166">
        <v>-69811674.709999993</v>
      </c>
      <c r="H34" s="1166">
        <v>-90279194.5</v>
      </c>
      <c r="I34" s="1166">
        <v>-237182.91</v>
      </c>
      <c r="J34" s="968">
        <f t="shared" si="3"/>
        <v>-90516377.409999996</v>
      </c>
      <c r="K34" s="318"/>
      <c r="L34" s="968">
        <v>-90516377.409999996</v>
      </c>
      <c r="M34" s="968">
        <v>-105115011.93000001</v>
      </c>
      <c r="N34" s="1143"/>
      <c r="O34" s="968">
        <f>M34+N34</f>
        <v>-105115011.93000001</v>
      </c>
      <c r="P34" s="968">
        <v>-125957226.26000001</v>
      </c>
      <c r="Q34" s="1143"/>
      <c r="R34" s="1166">
        <f>P34+Q34</f>
        <v>-125957226.26000001</v>
      </c>
      <c r="S34" s="1168">
        <v>-133877203</v>
      </c>
      <c r="T34" s="1168"/>
      <c r="U34" s="968">
        <f>S34+T34</f>
        <v>-133877203</v>
      </c>
      <c r="V34" s="1168">
        <v>-145101867.08000001</v>
      </c>
      <c r="W34" s="1168"/>
      <c r="X34" s="1145">
        <f>V34+W34</f>
        <v>-145101867.08000001</v>
      </c>
      <c r="Z34" s="1431"/>
    </row>
    <row r="35" spans="1:26" s="1169" customFormat="1" ht="15" customHeight="1" x14ac:dyDescent="0.2">
      <c r="A35" s="238"/>
      <c r="B35" s="239" t="s">
        <v>2970</v>
      </c>
      <c r="C35" s="1165">
        <v>3</v>
      </c>
      <c r="D35" s="1165">
        <v>8050</v>
      </c>
      <c r="E35" s="1167" t="s">
        <v>1380</v>
      </c>
      <c r="F35" s="1165">
        <v>0</v>
      </c>
      <c r="G35" s="1166"/>
      <c r="H35" s="1166"/>
      <c r="I35" s="1166"/>
      <c r="J35" s="968"/>
      <c r="K35" s="318"/>
      <c r="L35" s="968"/>
      <c r="M35" s="968">
        <v>-12527814.630000001</v>
      </c>
      <c r="N35" s="1143"/>
      <c r="O35" s="968">
        <f>M35+N35</f>
        <v>-12527814.630000001</v>
      </c>
      <c r="P35" s="968">
        <f>-7107851.18-180000-369600-443984.4-51744-62157.86</f>
        <v>-8215337.4400000004</v>
      </c>
      <c r="Q35" s="968">
        <f>951372.68</f>
        <v>951372.68</v>
      </c>
      <c r="R35" s="1166">
        <f>P35+Q35</f>
        <v>-7263964.7600000007</v>
      </c>
      <c r="S35" s="1168">
        <f>-18240389.8-226459.5</f>
        <v>-18466849.300000001</v>
      </c>
      <c r="T35" s="1168">
        <v>-3893163.01</v>
      </c>
      <c r="U35" s="968">
        <f>S35+T35</f>
        <v>-22360012.310000002</v>
      </c>
      <c r="V35" s="1168">
        <v>-6232324.8799999999</v>
      </c>
      <c r="W35" s="1168"/>
      <c r="X35" s="1145">
        <f>V35+W35</f>
        <v>-6232324.8799999999</v>
      </c>
      <c r="Z35" s="1431"/>
    </row>
    <row r="36" spans="1:26" s="1169" customFormat="1" ht="15" customHeight="1" x14ac:dyDescent="0.2">
      <c r="A36" s="928"/>
      <c r="B36" s="928" t="s">
        <v>110</v>
      </c>
      <c r="C36" s="1165">
        <v>3</v>
      </c>
      <c r="D36" s="1165">
        <v>8050</v>
      </c>
      <c r="E36" s="1167" t="s">
        <v>1384</v>
      </c>
      <c r="F36" s="1165">
        <v>0</v>
      </c>
      <c r="G36" s="1166">
        <v>-1030397.27</v>
      </c>
      <c r="H36" s="1166">
        <v>-1030397.27</v>
      </c>
      <c r="I36" s="1166"/>
      <c r="J36" s="968">
        <f t="shared" si="3"/>
        <v>-1030397.27</v>
      </c>
      <c r="K36" s="318"/>
      <c r="L36" s="968">
        <v>-1030397.27</v>
      </c>
      <c r="M36" s="968">
        <v>0</v>
      </c>
      <c r="N36" s="1168"/>
      <c r="O36" s="968">
        <f>M36+N36</f>
        <v>0</v>
      </c>
      <c r="P36" s="968">
        <v>0</v>
      </c>
      <c r="Q36" s="1168"/>
      <c r="R36" s="1166">
        <f>P36+Q36</f>
        <v>0</v>
      </c>
      <c r="S36" s="1168"/>
      <c r="T36" s="1168"/>
      <c r="U36" s="968"/>
      <c r="V36" s="1168"/>
      <c r="W36" s="1168"/>
      <c r="X36" s="1145">
        <f>V36+W36</f>
        <v>0</v>
      </c>
    </row>
    <row r="37" spans="1:26" s="620" customFormat="1" ht="15" customHeight="1" x14ac:dyDescent="0.2">
      <c r="A37" s="238"/>
      <c r="B37" s="239" t="s">
        <v>1497</v>
      </c>
      <c r="C37" s="1165">
        <v>4</v>
      </c>
      <c r="D37" s="1165">
        <v>9060</v>
      </c>
      <c r="E37" s="1167" t="s">
        <v>1385</v>
      </c>
      <c r="F37" s="1165">
        <v>0</v>
      </c>
      <c r="G37" s="968">
        <v>0</v>
      </c>
      <c r="H37" s="968">
        <v>10191589.23</v>
      </c>
      <c r="I37" s="968">
        <v>-10191589.23</v>
      </c>
      <c r="J37" s="968">
        <f t="shared" si="3"/>
        <v>0</v>
      </c>
      <c r="K37" s="318"/>
      <c r="L37" s="968">
        <v>0</v>
      </c>
      <c r="M37" s="968">
        <v>0</v>
      </c>
      <c r="N37" s="968"/>
      <c r="O37" s="968">
        <f>M37+N37</f>
        <v>0</v>
      </c>
      <c r="P37" s="968">
        <v>0</v>
      </c>
      <c r="Q37" s="968"/>
      <c r="R37" s="1166">
        <f>P37+Q37</f>
        <v>0</v>
      </c>
      <c r="S37" s="968"/>
      <c r="T37" s="968"/>
      <c r="U37" s="968"/>
      <c r="V37" s="1145"/>
      <c r="W37" s="1145"/>
      <c r="X37" s="1145">
        <f>V37+W37</f>
        <v>0</v>
      </c>
    </row>
    <row r="38" spans="1:26" ht="15" customHeight="1" x14ac:dyDescent="0.2">
      <c r="A38" s="928"/>
      <c r="B38" s="928"/>
      <c r="C38" s="1165"/>
      <c r="D38" s="1165"/>
      <c r="E38" s="1165"/>
      <c r="F38" s="1165"/>
      <c r="G38" s="1143">
        <f>SUM(G33:G37)</f>
        <v>-70842071.979999989</v>
      </c>
      <c r="H38" s="1143">
        <f>SUM(H33:H37)</f>
        <v>-81118002.539999992</v>
      </c>
      <c r="I38" s="1143">
        <f>SUM(I33:I37)</f>
        <v>-10428772.140000001</v>
      </c>
      <c r="J38" s="1143">
        <f>SUM(J33:J37)</f>
        <v>-91546774.679999992</v>
      </c>
      <c r="L38" s="1143">
        <f t="shared" ref="L38:X38" si="4">SUM(L33:L37)</f>
        <v>-91546774.679999992</v>
      </c>
      <c r="M38" s="1143">
        <f t="shared" si="4"/>
        <v>-117642826.56</v>
      </c>
      <c r="N38" s="1143">
        <f t="shared" si="4"/>
        <v>0</v>
      </c>
      <c r="O38" s="1143">
        <f t="shared" si="4"/>
        <v>-117642826.56</v>
      </c>
      <c r="P38" s="1143">
        <f t="shared" si="4"/>
        <v>-134172563.7</v>
      </c>
      <c r="Q38" s="1143">
        <f t="shared" si="4"/>
        <v>951372.68</v>
      </c>
      <c r="R38" s="1164">
        <f t="shared" si="4"/>
        <v>-133221191.02000001</v>
      </c>
      <c r="S38" s="1143">
        <f t="shared" si="4"/>
        <v>-152344052.30000001</v>
      </c>
      <c r="T38" s="1143">
        <f t="shared" si="4"/>
        <v>-3893163.01</v>
      </c>
      <c r="U38" s="1143">
        <f t="shared" si="4"/>
        <v>-156237215.31</v>
      </c>
      <c r="V38" s="1341">
        <f t="shared" si="4"/>
        <v>-151334191.96000001</v>
      </c>
      <c r="W38" s="1341">
        <f t="shared" si="4"/>
        <v>0</v>
      </c>
      <c r="X38" s="1341">
        <f t="shared" si="4"/>
        <v>-151334191.96000001</v>
      </c>
    </row>
    <row r="39" spans="1:26" ht="15" customHeight="1" x14ac:dyDescent="0.2">
      <c r="A39" s="928"/>
      <c r="B39" s="928"/>
      <c r="C39" s="1165"/>
      <c r="D39" s="1165"/>
      <c r="E39" s="1165"/>
      <c r="F39" s="1165"/>
      <c r="G39" s="968"/>
      <c r="H39" s="968"/>
      <c r="I39" s="968"/>
      <c r="J39" s="968"/>
      <c r="L39" s="968"/>
      <c r="M39" s="968"/>
      <c r="N39" s="968"/>
      <c r="O39" s="968"/>
      <c r="P39" s="968"/>
      <c r="Q39" s="968"/>
      <c r="R39" s="1166"/>
      <c r="S39" s="968"/>
      <c r="T39" s="968"/>
      <c r="U39" s="968"/>
      <c r="V39" s="1145"/>
      <c r="W39" s="1145"/>
      <c r="X39" s="1145"/>
    </row>
    <row r="40" spans="1:26" s="459" customFormat="1" ht="15" customHeight="1" x14ac:dyDescent="0.2">
      <c r="A40" s="976"/>
      <c r="B40" s="976" t="s">
        <v>328</v>
      </c>
      <c r="C40" s="1171">
        <v>3</v>
      </c>
      <c r="D40" s="1171">
        <v>8050</v>
      </c>
      <c r="E40" s="1172" t="s">
        <v>1450</v>
      </c>
      <c r="F40" s="1171">
        <v>0</v>
      </c>
      <c r="G40" s="1143">
        <v>-15568870.789999999</v>
      </c>
      <c r="H40" s="1143">
        <v>-21564913.140000001</v>
      </c>
      <c r="I40" s="1143">
        <v>-6990992.9000000004</v>
      </c>
      <c r="J40" s="1143">
        <f t="shared" si="3"/>
        <v>-28555906.039999999</v>
      </c>
      <c r="K40" s="318"/>
      <c r="L40" s="1143">
        <v>-28555906.039999999</v>
      </c>
      <c r="M40" s="1143">
        <v>-33522919.399999999</v>
      </c>
      <c r="N40" s="1143">
        <v>1443781.54</v>
      </c>
      <c r="O40" s="1143">
        <f>M40+N40</f>
        <v>-32079137.859999999</v>
      </c>
      <c r="P40" s="1143">
        <f>-39557759.6+4336452.23</f>
        <v>-35221307.370000005</v>
      </c>
      <c r="Q40" s="1143">
        <f>507797.46+1044580.2</f>
        <v>1552377.66</v>
      </c>
      <c r="R40" s="1164">
        <f>P40+Q40</f>
        <v>-33668929.710000008</v>
      </c>
      <c r="S40" s="1143">
        <v>-40815699.579999998</v>
      </c>
      <c r="T40" s="1143"/>
      <c r="U40" s="1143">
        <f>S40+T40</f>
        <v>-40815699.579999998</v>
      </c>
      <c r="V40" s="1341">
        <f>-41766320.77-7301977.61</f>
        <v>-49068298.380000003</v>
      </c>
      <c r="W40" s="1341"/>
      <c r="X40" s="1341">
        <f>V40+W40</f>
        <v>-49068298.380000003</v>
      </c>
    </row>
    <row r="41" spans="1:26" ht="15" customHeight="1" x14ac:dyDescent="0.2">
      <c r="A41" s="928"/>
      <c r="B41" s="928"/>
      <c r="C41" s="1165"/>
      <c r="D41" s="1165"/>
      <c r="E41" s="1167"/>
      <c r="F41" s="1165"/>
      <c r="G41" s="1166"/>
      <c r="H41" s="1166"/>
      <c r="I41" s="1166"/>
      <c r="J41" s="968"/>
      <c r="L41" s="968"/>
      <c r="M41" s="968"/>
      <c r="N41" s="968"/>
      <c r="O41" s="968"/>
      <c r="P41" s="968"/>
      <c r="Q41" s="968"/>
      <c r="R41" s="1166"/>
      <c r="S41" s="968"/>
      <c r="T41" s="968"/>
      <c r="U41" s="968"/>
      <c r="V41" s="1145"/>
      <c r="W41" s="1145"/>
      <c r="X41" s="1145"/>
    </row>
    <row r="42" spans="1:26" s="1169" customFormat="1" ht="15" customHeight="1" x14ac:dyDescent="0.2">
      <c r="A42" s="928"/>
      <c r="B42" s="928" t="s">
        <v>108</v>
      </c>
      <c r="C42" s="1165">
        <v>3</v>
      </c>
      <c r="D42" s="1165">
        <v>8050</v>
      </c>
      <c r="E42" s="1167" t="s">
        <v>1380</v>
      </c>
      <c r="F42" s="1165">
        <v>0</v>
      </c>
      <c r="G42" s="1166">
        <v>0</v>
      </c>
      <c r="H42" s="1166">
        <v>0</v>
      </c>
      <c r="I42" s="1166"/>
      <c r="J42" s="968">
        <f>H42+I42</f>
        <v>0</v>
      </c>
      <c r="K42" s="318"/>
      <c r="L42" s="968">
        <v>0</v>
      </c>
      <c r="M42" s="968">
        <v>0</v>
      </c>
      <c r="N42" s="1168">
        <v>-1634938.26</v>
      </c>
      <c r="O42" s="968">
        <f t="shared" ref="O42:O80" si="5">M42+N42</f>
        <v>-1634938.26</v>
      </c>
      <c r="P42" s="968">
        <v>0</v>
      </c>
      <c r="Q42" s="1168"/>
      <c r="R42" s="1166">
        <f t="shared" ref="R42:R80" si="6">P42+Q42</f>
        <v>0</v>
      </c>
      <c r="S42" s="1147">
        <v>0</v>
      </c>
      <c r="T42" s="1168">
        <v>-99704.41</v>
      </c>
      <c r="U42" s="968">
        <f t="shared" ref="U42:U71" si="7">S42+T42</f>
        <v>-99704.41</v>
      </c>
      <c r="V42" s="1168"/>
      <c r="W42" s="1168"/>
      <c r="X42" s="1145">
        <f t="shared" ref="X42:X80" si="8">V42+W42</f>
        <v>0</v>
      </c>
    </row>
    <row r="43" spans="1:26" s="1169" customFormat="1" ht="15" customHeight="1" x14ac:dyDescent="0.2">
      <c r="A43" s="928"/>
      <c r="B43" s="928" t="s">
        <v>111</v>
      </c>
      <c r="C43" s="1165">
        <v>3</v>
      </c>
      <c r="D43" s="1165">
        <v>8050</v>
      </c>
      <c r="E43" s="1167" t="s">
        <v>1382</v>
      </c>
      <c r="F43" s="1165">
        <v>0</v>
      </c>
      <c r="G43" s="1166">
        <v>-201243.27</v>
      </c>
      <c r="H43" s="1166">
        <v>0</v>
      </c>
      <c r="I43" s="1166"/>
      <c r="J43" s="968">
        <f>H43+I43</f>
        <v>0</v>
      </c>
      <c r="K43" s="318"/>
      <c r="L43" s="968">
        <v>0</v>
      </c>
      <c r="M43" s="968">
        <v>0</v>
      </c>
      <c r="N43" s="1168"/>
      <c r="O43" s="968">
        <f t="shared" si="5"/>
        <v>0</v>
      </c>
      <c r="P43" s="968">
        <v>0</v>
      </c>
      <c r="Q43" s="1168"/>
      <c r="R43" s="1166">
        <f t="shared" si="6"/>
        <v>0</v>
      </c>
      <c r="S43" s="1147">
        <v>0</v>
      </c>
      <c r="T43" s="1168"/>
      <c r="U43" s="968">
        <f t="shared" si="7"/>
        <v>0</v>
      </c>
      <c r="V43" s="1168"/>
      <c r="W43" s="1168"/>
      <c r="X43" s="1145">
        <f t="shared" si="8"/>
        <v>0</v>
      </c>
    </row>
    <row r="44" spans="1:26" s="1169" customFormat="1" ht="15" customHeight="1" x14ac:dyDescent="0.2">
      <c r="A44" s="928"/>
      <c r="B44" s="928" t="s">
        <v>110</v>
      </c>
      <c r="C44" s="1165">
        <v>3</v>
      </c>
      <c r="D44" s="1165">
        <v>8050</v>
      </c>
      <c r="E44" s="1167" t="s">
        <v>1384</v>
      </c>
      <c r="F44" s="1165">
        <v>0</v>
      </c>
      <c r="G44" s="1166"/>
      <c r="H44" s="1166"/>
      <c r="I44" s="1166"/>
      <c r="J44" s="968"/>
      <c r="K44" s="318"/>
      <c r="L44" s="968"/>
      <c r="M44" s="968">
        <v>-1030397.27</v>
      </c>
      <c r="N44" s="1168"/>
      <c r="O44" s="968">
        <f t="shared" si="5"/>
        <v>-1030397.27</v>
      </c>
      <c r="P44" s="968">
        <v>0</v>
      </c>
      <c r="Q44" s="1168"/>
      <c r="R44" s="1166">
        <f t="shared" si="6"/>
        <v>0</v>
      </c>
      <c r="S44" s="1147">
        <v>0</v>
      </c>
      <c r="T44" s="1168"/>
      <c r="U44" s="968">
        <f t="shared" si="7"/>
        <v>0</v>
      </c>
      <c r="V44" s="1168"/>
      <c r="W44" s="1168"/>
      <c r="X44" s="1145">
        <f t="shared" si="8"/>
        <v>0</v>
      </c>
    </row>
    <row r="45" spans="1:26" s="1169" customFormat="1" ht="15" customHeight="1" x14ac:dyDescent="0.2">
      <c r="A45" s="928"/>
      <c r="B45" s="928" t="s">
        <v>114</v>
      </c>
      <c r="C45" s="1165">
        <v>3</v>
      </c>
      <c r="D45" s="1165">
        <v>8050</v>
      </c>
      <c r="E45" s="1167" t="s">
        <v>1385</v>
      </c>
      <c r="F45" s="1165">
        <v>0</v>
      </c>
      <c r="G45" s="1166">
        <v>-5488.76</v>
      </c>
      <c r="H45" s="1166">
        <v>-36466.39</v>
      </c>
      <c r="I45" s="1166"/>
      <c r="J45" s="968">
        <f>H45+I45</f>
        <v>-36466.39</v>
      </c>
      <c r="K45" s="318"/>
      <c r="L45" s="968">
        <v>-36466.39</v>
      </c>
      <c r="M45" s="968">
        <v>-2545</v>
      </c>
      <c r="N45" s="1168">
        <v>-538572</v>
      </c>
      <c r="O45" s="968">
        <f t="shared" si="5"/>
        <v>-541117</v>
      </c>
      <c r="P45" s="968">
        <v>0</v>
      </c>
      <c r="Q45" s="1168"/>
      <c r="R45" s="1166">
        <f t="shared" si="6"/>
        <v>0</v>
      </c>
      <c r="S45" s="1147">
        <v>-7600</v>
      </c>
      <c r="T45" s="1168"/>
      <c r="U45" s="968">
        <f t="shared" si="7"/>
        <v>-7600</v>
      </c>
      <c r="V45" s="1168"/>
      <c r="W45" s="1168"/>
      <c r="X45" s="1145">
        <f t="shared" si="8"/>
        <v>0</v>
      </c>
    </row>
    <row r="46" spans="1:26" ht="15" customHeight="1" x14ac:dyDescent="0.2">
      <c r="A46" s="928"/>
      <c r="B46" s="928" t="s">
        <v>1388</v>
      </c>
      <c r="C46" s="1165">
        <v>3</v>
      </c>
      <c r="D46" s="1165">
        <v>8050</v>
      </c>
      <c r="E46" s="1167" t="s">
        <v>1450</v>
      </c>
      <c r="F46" s="1165">
        <v>0</v>
      </c>
      <c r="G46" s="1166">
        <v>0</v>
      </c>
      <c r="H46" s="1166">
        <v>0</v>
      </c>
      <c r="I46" s="1166"/>
      <c r="J46" s="968">
        <f t="shared" si="3"/>
        <v>0</v>
      </c>
      <c r="L46" s="968">
        <v>0</v>
      </c>
      <c r="M46" s="968">
        <v>0</v>
      </c>
      <c r="N46" s="968"/>
      <c r="O46" s="968">
        <f t="shared" si="5"/>
        <v>0</v>
      </c>
      <c r="P46" s="968">
        <v>0</v>
      </c>
      <c r="Q46" s="968"/>
      <c r="R46" s="1166">
        <f t="shared" si="6"/>
        <v>0</v>
      </c>
      <c r="S46" s="968">
        <v>-6750214.1900000004</v>
      </c>
      <c r="T46" s="968">
        <v>6750214.1900000004</v>
      </c>
      <c r="U46" s="968">
        <f t="shared" si="7"/>
        <v>0</v>
      </c>
      <c r="V46" s="1145"/>
      <c r="W46" s="1145"/>
      <c r="X46" s="1145">
        <f t="shared" si="8"/>
        <v>0</v>
      </c>
    </row>
    <row r="47" spans="1:26" ht="15" customHeight="1" x14ac:dyDescent="0.2">
      <c r="A47" s="928"/>
      <c r="B47" s="928" t="s">
        <v>112</v>
      </c>
      <c r="C47" s="1165">
        <v>3</v>
      </c>
      <c r="D47" s="1165">
        <v>8050</v>
      </c>
      <c r="E47" s="1167" t="s">
        <v>1389</v>
      </c>
      <c r="F47" s="1165">
        <v>0</v>
      </c>
      <c r="G47" s="1166">
        <v>-2559186.08</v>
      </c>
      <c r="H47" s="1166">
        <v>-2559186.08</v>
      </c>
      <c r="I47" s="1166"/>
      <c r="J47" s="968">
        <f t="shared" si="3"/>
        <v>-2559186.08</v>
      </c>
      <c r="L47" s="968">
        <v>-2559186.08</v>
      </c>
      <c r="M47" s="968">
        <v>-2559186.08</v>
      </c>
      <c r="N47" s="968"/>
      <c r="O47" s="968">
        <f t="shared" si="5"/>
        <v>-2559186.08</v>
      </c>
      <c r="P47" s="968">
        <v>0</v>
      </c>
      <c r="Q47" s="968"/>
      <c r="R47" s="1166">
        <f t="shared" si="6"/>
        <v>0</v>
      </c>
      <c r="S47" s="968">
        <v>0</v>
      </c>
      <c r="T47" s="968"/>
      <c r="U47" s="968">
        <f t="shared" si="7"/>
        <v>0</v>
      </c>
      <c r="V47" s="1145"/>
      <c r="W47" s="1145"/>
      <c r="X47" s="1145">
        <f t="shared" si="8"/>
        <v>0</v>
      </c>
    </row>
    <row r="48" spans="1:26" ht="15" customHeight="1" x14ac:dyDescent="0.2">
      <c r="A48" s="928"/>
      <c r="B48" s="928" t="s">
        <v>113</v>
      </c>
      <c r="C48" s="1165">
        <v>3</v>
      </c>
      <c r="D48" s="1165">
        <v>8050</v>
      </c>
      <c r="E48" s="1167" t="s">
        <v>1390</v>
      </c>
      <c r="F48" s="1165">
        <v>0</v>
      </c>
      <c r="G48" s="1166">
        <v>-258904</v>
      </c>
      <c r="H48" s="1166">
        <v>-241348</v>
      </c>
      <c r="I48" s="1166"/>
      <c r="J48" s="968">
        <f t="shared" si="3"/>
        <v>-241348</v>
      </c>
      <c r="L48" s="968">
        <v>-241348</v>
      </c>
      <c r="M48" s="968">
        <v>-334762</v>
      </c>
      <c r="N48" s="968"/>
      <c r="O48" s="968">
        <f t="shared" si="5"/>
        <v>-334762</v>
      </c>
      <c r="P48" s="968">
        <v>-409809</v>
      </c>
      <c r="Q48" s="968"/>
      <c r="R48" s="1166">
        <f t="shared" si="6"/>
        <v>-409809</v>
      </c>
      <c r="S48" s="968">
        <v>-396462</v>
      </c>
      <c r="T48" s="968"/>
      <c r="U48" s="968">
        <f t="shared" si="7"/>
        <v>-396462</v>
      </c>
      <c r="V48" s="1145">
        <v>-577996.75</v>
      </c>
      <c r="W48" s="1145"/>
      <c r="X48" s="1145">
        <f t="shared" si="8"/>
        <v>-577996.75</v>
      </c>
    </row>
    <row r="49" spans="1:24" ht="15" customHeight="1" x14ac:dyDescent="0.2">
      <c r="A49" s="928"/>
      <c r="B49" s="928" t="s">
        <v>3622</v>
      </c>
      <c r="C49" s="1165">
        <v>3</v>
      </c>
      <c r="D49" s="1165">
        <v>8050</v>
      </c>
      <c r="E49" s="1167" t="s">
        <v>1391</v>
      </c>
      <c r="F49" s="1165">
        <v>0</v>
      </c>
      <c r="G49" s="1166">
        <v>-598819.07999999996</v>
      </c>
      <c r="H49" s="1166">
        <v>-598819.07999999996</v>
      </c>
      <c r="I49" s="1166"/>
      <c r="J49" s="968">
        <f t="shared" si="3"/>
        <v>-598819.07999999996</v>
      </c>
      <c r="L49" s="968">
        <v>-598819.07999999996</v>
      </c>
      <c r="M49" s="968">
        <v>-598819.07999999996</v>
      </c>
      <c r="N49" s="968"/>
      <c r="O49" s="968">
        <f t="shared" si="5"/>
        <v>-598819.07999999996</v>
      </c>
      <c r="P49" s="968">
        <v>0</v>
      </c>
      <c r="Q49" s="968"/>
      <c r="R49" s="1166">
        <f t="shared" si="6"/>
        <v>0</v>
      </c>
      <c r="S49" s="968">
        <v>0</v>
      </c>
      <c r="T49" s="968"/>
      <c r="U49" s="968">
        <f t="shared" si="7"/>
        <v>0</v>
      </c>
      <c r="V49" s="1145"/>
      <c r="W49" s="1145"/>
      <c r="X49" s="1145">
        <f t="shared" si="8"/>
        <v>0</v>
      </c>
    </row>
    <row r="50" spans="1:24" ht="15" customHeight="1" x14ac:dyDescent="0.2">
      <c r="A50" s="928"/>
      <c r="B50" s="928" t="s">
        <v>115</v>
      </c>
      <c r="C50" s="1165">
        <v>3</v>
      </c>
      <c r="D50" s="1165">
        <v>8050</v>
      </c>
      <c r="E50" s="1167" t="s">
        <v>1392</v>
      </c>
      <c r="F50" s="1165">
        <v>0</v>
      </c>
      <c r="G50" s="1166">
        <v>-115967.2</v>
      </c>
      <c r="H50" s="1166">
        <v>-96607.15</v>
      </c>
      <c r="I50" s="1166"/>
      <c r="J50" s="968">
        <f t="shared" si="3"/>
        <v>-96607.15</v>
      </c>
      <c r="L50" s="968">
        <v>-96607.15</v>
      </c>
      <c r="M50" s="968">
        <v>-96959.32</v>
      </c>
      <c r="N50" s="968"/>
      <c r="O50" s="968">
        <f t="shared" si="5"/>
        <v>-96959.32</v>
      </c>
      <c r="P50" s="968">
        <v>-101563.34</v>
      </c>
      <c r="Q50" s="968"/>
      <c r="R50" s="1166">
        <f t="shared" si="6"/>
        <v>-101563.34</v>
      </c>
      <c r="S50" s="968">
        <f>-99649.58+99649.58</f>
        <v>0</v>
      </c>
      <c r="T50" s="968"/>
      <c r="U50" s="968">
        <f t="shared" si="7"/>
        <v>0</v>
      </c>
      <c r="V50" s="1145"/>
      <c r="W50" s="1145"/>
      <c r="X50" s="1145">
        <f t="shared" si="8"/>
        <v>0</v>
      </c>
    </row>
    <row r="51" spans="1:24" s="620" customFormat="1" ht="15" customHeight="1" x14ac:dyDescent="0.2">
      <c r="A51" s="928"/>
      <c r="B51" s="928" t="s">
        <v>1080</v>
      </c>
      <c r="C51" s="1165">
        <v>3</v>
      </c>
      <c r="D51" s="1165">
        <v>8050</v>
      </c>
      <c r="E51" s="1167" t="s">
        <v>1395</v>
      </c>
      <c r="F51" s="1165">
        <v>0</v>
      </c>
      <c r="G51" s="1166">
        <v>-3869958.96</v>
      </c>
      <c r="H51" s="1166">
        <v>-4724929.96</v>
      </c>
      <c r="I51" s="1166"/>
      <c r="J51" s="968">
        <f t="shared" si="3"/>
        <v>-4724929.96</v>
      </c>
      <c r="K51" s="318"/>
      <c r="L51" s="968">
        <v>-4724929.96</v>
      </c>
      <c r="M51" s="968">
        <v>-3690186.35</v>
      </c>
      <c r="N51" s="968"/>
      <c r="O51" s="968">
        <f t="shared" si="5"/>
        <v>-3690186.35</v>
      </c>
      <c r="P51" s="968">
        <v>-3309185</v>
      </c>
      <c r="Q51" s="968">
        <v>-302899</v>
      </c>
      <c r="R51" s="1166">
        <f t="shared" si="6"/>
        <v>-3612084</v>
      </c>
      <c r="S51" s="968">
        <f>-3612084+3612084-4060115</f>
        <v>-4060115</v>
      </c>
      <c r="T51" s="968"/>
      <c r="U51" s="968">
        <f t="shared" si="7"/>
        <v>-4060115</v>
      </c>
      <c r="V51" s="968">
        <v>-4020914</v>
      </c>
      <c r="W51" s="1145"/>
      <c r="X51" s="1145">
        <f t="shared" si="8"/>
        <v>-4020914</v>
      </c>
    </row>
    <row r="52" spans="1:24" s="620" customFormat="1" ht="15" customHeight="1" x14ac:dyDescent="0.2">
      <c r="A52" s="928"/>
      <c r="B52" s="928" t="s">
        <v>4243</v>
      </c>
      <c r="C52" s="1165">
        <v>3</v>
      </c>
      <c r="D52" s="1165">
        <v>8050</v>
      </c>
      <c r="E52" s="1167" t="s">
        <v>4244</v>
      </c>
      <c r="F52" s="1165">
        <v>0</v>
      </c>
      <c r="G52" s="1166"/>
      <c r="H52" s="1166"/>
      <c r="I52" s="1166"/>
      <c r="J52" s="968"/>
      <c r="K52" s="318"/>
      <c r="L52" s="968"/>
      <c r="M52" s="968"/>
      <c r="N52" s="968"/>
      <c r="O52" s="968"/>
      <c r="P52" s="968"/>
      <c r="Q52" s="968"/>
      <c r="R52" s="1166"/>
      <c r="S52" s="968"/>
      <c r="T52" s="968"/>
      <c r="U52" s="968">
        <v>0</v>
      </c>
      <c r="V52" s="968">
        <v>-977497.68</v>
      </c>
      <c r="W52" s="1145"/>
      <c r="X52" s="1145">
        <f t="shared" si="8"/>
        <v>-977497.68</v>
      </c>
    </row>
    <row r="53" spans="1:24" s="620" customFormat="1" ht="15" customHeight="1" x14ac:dyDescent="0.2">
      <c r="A53" s="928"/>
      <c r="B53" s="928" t="s">
        <v>1396</v>
      </c>
      <c r="C53" s="1165">
        <v>3</v>
      </c>
      <c r="D53" s="1165">
        <v>8050</v>
      </c>
      <c r="E53" s="1167" t="s">
        <v>1397</v>
      </c>
      <c r="F53" s="1165">
        <v>0</v>
      </c>
      <c r="G53" s="1166">
        <v>0</v>
      </c>
      <c r="H53" s="1166">
        <v>0</v>
      </c>
      <c r="I53" s="1166"/>
      <c r="J53" s="968">
        <f t="shared" si="3"/>
        <v>0</v>
      </c>
      <c r="K53" s="318"/>
      <c r="L53" s="968">
        <v>0</v>
      </c>
      <c r="M53" s="968">
        <v>0</v>
      </c>
      <c r="N53" s="968"/>
      <c r="O53" s="968">
        <f t="shared" si="5"/>
        <v>0</v>
      </c>
      <c r="P53" s="968">
        <v>0</v>
      </c>
      <c r="Q53" s="968"/>
      <c r="R53" s="1166">
        <f t="shared" si="6"/>
        <v>0</v>
      </c>
      <c r="S53" s="968">
        <v>0</v>
      </c>
      <c r="T53" s="968"/>
      <c r="U53" s="968">
        <f t="shared" si="7"/>
        <v>0</v>
      </c>
      <c r="V53" s="1145">
        <f>W53-23500+23500</f>
        <v>0</v>
      </c>
      <c r="W53" s="1145"/>
      <c r="X53" s="1145">
        <f t="shared" si="8"/>
        <v>0</v>
      </c>
    </row>
    <row r="54" spans="1:24" s="620" customFormat="1" ht="15" customHeight="1" x14ac:dyDescent="0.2">
      <c r="A54" s="928"/>
      <c r="B54" s="928" t="s">
        <v>3963</v>
      </c>
      <c r="C54" s="1165">
        <v>3</v>
      </c>
      <c r="D54" s="1165">
        <v>8050</v>
      </c>
      <c r="E54" s="1167" t="s">
        <v>3962</v>
      </c>
      <c r="F54" s="1165">
        <v>0</v>
      </c>
      <c r="G54" s="1166"/>
      <c r="H54" s="1166"/>
      <c r="I54" s="1166"/>
      <c r="J54" s="968"/>
      <c r="K54" s="318"/>
      <c r="L54" s="968"/>
      <c r="M54" s="968"/>
      <c r="N54" s="968"/>
      <c r="O54" s="968"/>
      <c r="P54" s="968"/>
      <c r="Q54" s="968"/>
      <c r="R54" s="1166"/>
      <c r="S54" s="968"/>
      <c r="T54" s="968"/>
      <c r="U54" s="968">
        <v>0</v>
      </c>
      <c r="V54" s="1145">
        <v>-289047.61</v>
      </c>
      <c r="W54" s="1145"/>
      <c r="X54" s="1145">
        <f t="shared" si="8"/>
        <v>-289047.61</v>
      </c>
    </row>
    <row r="55" spans="1:24" s="620" customFormat="1" ht="15" customHeight="1" x14ac:dyDescent="0.2">
      <c r="A55" s="928"/>
      <c r="B55" s="928" t="s">
        <v>2971</v>
      </c>
      <c r="C55" s="1165">
        <v>3</v>
      </c>
      <c r="D55" s="1165">
        <v>8050</v>
      </c>
      <c r="E55" s="1167" t="s">
        <v>2972</v>
      </c>
      <c r="F55" s="1165">
        <v>0</v>
      </c>
      <c r="G55" s="1166"/>
      <c r="H55" s="1166"/>
      <c r="I55" s="1166"/>
      <c r="J55" s="968"/>
      <c r="K55" s="318"/>
      <c r="L55" s="968"/>
      <c r="M55" s="968">
        <v>0</v>
      </c>
      <c r="N55" s="968"/>
      <c r="O55" s="968">
        <f t="shared" si="5"/>
        <v>0</v>
      </c>
      <c r="P55" s="968">
        <v>0</v>
      </c>
      <c r="Q55" s="968"/>
      <c r="R55" s="1166">
        <f t="shared" si="6"/>
        <v>0</v>
      </c>
      <c r="S55" s="968">
        <v>0</v>
      </c>
      <c r="T55" s="968"/>
      <c r="U55" s="968">
        <f t="shared" si="7"/>
        <v>0</v>
      </c>
      <c r="V55" s="1145"/>
      <c r="W55" s="1145"/>
      <c r="X55" s="1145">
        <f t="shared" si="8"/>
        <v>0</v>
      </c>
    </row>
    <row r="56" spans="1:24" s="620" customFormat="1" ht="15" customHeight="1" x14ac:dyDescent="0.2">
      <c r="A56" s="928"/>
      <c r="B56" s="928" t="s">
        <v>1398</v>
      </c>
      <c r="C56" s="1165">
        <v>3</v>
      </c>
      <c r="D56" s="1165">
        <v>8050</v>
      </c>
      <c r="E56" s="1167" t="s">
        <v>1399</v>
      </c>
      <c r="F56" s="1165">
        <v>0</v>
      </c>
      <c r="G56" s="1166"/>
      <c r="H56" s="1166">
        <v>0</v>
      </c>
      <c r="I56" s="1166"/>
      <c r="J56" s="968">
        <f t="shared" si="3"/>
        <v>0</v>
      </c>
      <c r="K56" s="318"/>
      <c r="L56" s="968">
        <v>0</v>
      </c>
      <c r="M56" s="968">
        <v>0</v>
      </c>
      <c r="N56" s="968"/>
      <c r="O56" s="968">
        <f t="shared" si="5"/>
        <v>0</v>
      </c>
      <c r="P56" s="968">
        <v>0</v>
      </c>
      <c r="Q56" s="968"/>
      <c r="R56" s="1166">
        <f t="shared" si="6"/>
        <v>0</v>
      </c>
      <c r="S56" s="968">
        <v>0</v>
      </c>
      <c r="T56" s="968"/>
      <c r="U56" s="968">
        <f t="shared" si="7"/>
        <v>0</v>
      </c>
      <c r="V56" s="1145"/>
      <c r="W56" s="1145"/>
      <c r="X56" s="1145">
        <f t="shared" si="8"/>
        <v>0</v>
      </c>
    </row>
    <row r="57" spans="1:24" s="620" customFormat="1" ht="15" customHeight="1" x14ac:dyDescent="0.2">
      <c r="A57" s="928"/>
      <c r="B57" s="928" t="s">
        <v>1401</v>
      </c>
      <c r="C57" s="1165">
        <v>3</v>
      </c>
      <c r="D57" s="1165">
        <v>8050</v>
      </c>
      <c r="E57" s="1167" t="s">
        <v>1402</v>
      </c>
      <c r="F57" s="1165">
        <v>0</v>
      </c>
      <c r="G57" s="1166">
        <v>0</v>
      </c>
      <c r="H57" s="1166">
        <v>-63159.57</v>
      </c>
      <c r="I57" s="1166"/>
      <c r="J57" s="968">
        <f t="shared" si="3"/>
        <v>-63159.57</v>
      </c>
      <c r="K57" s="318"/>
      <c r="L57" s="968">
        <v>-63159.57</v>
      </c>
      <c r="M57" s="968">
        <v>0</v>
      </c>
      <c r="N57" s="968"/>
      <c r="O57" s="968">
        <f t="shared" si="5"/>
        <v>0</v>
      </c>
      <c r="P57" s="968">
        <v>0</v>
      </c>
      <c r="Q57" s="968"/>
      <c r="R57" s="1166">
        <f t="shared" si="6"/>
        <v>0</v>
      </c>
      <c r="S57" s="968">
        <v>0</v>
      </c>
      <c r="T57" s="968"/>
      <c r="U57" s="968">
        <f t="shared" si="7"/>
        <v>0</v>
      </c>
      <c r="V57" s="1145"/>
      <c r="W57" s="1145"/>
      <c r="X57" s="1145">
        <f t="shared" si="8"/>
        <v>0</v>
      </c>
    </row>
    <row r="58" spans="1:24" s="620" customFormat="1" ht="15" customHeight="1" x14ac:dyDescent="0.2">
      <c r="A58" s="928"/>
      <c r="B58" s="928" t="s">
        <v>1403</v>
      </c>
      <c r="C58" s="1165">
        <v>3</v>
      </c>
      <c r="D58" s="1165">
        <v>8050</v>
      </c>
      <c r="E58" s="1167" t="s">
        <v>1404</v>
      </c>
      <c r="F58" s="1165">
        <v>0</v>
      </c>
      <c r="G58" s="1166">
        <v>0</v>
      </c>
      <c r="H58" s="1166">
        <v>0</v>
      </c>
      <c r="I58" s="1166"/>
      <c r="J58" s="968">
        <f t="shared" si="3"/>
        <v>0</v>
      </c>
      <c r="K58" s="318"/>
      <c r="L58" s="968">
        <v>0</v>
      </c>
      <c r="M58" s="968">
        <v>0</v>
      </c>
      <c r="N58" s="968"/>
      <c r="O58" s="968">
        <f t="shared" si="5"/>
        <v>0</v>
      </c>
      <c r="P58" s="968">
        <v>0</v>
      </c>
      <c r="Q58" s="968"/>
      <c r="R58" s="1166">
        <f t="shared" si="6"/>
        <v>0</v>
      </c>
      <c r="S58" s="968">
        <v>0</v>
      </c>
      <c r="T58" s="968"/>
      <c r="U58" s="968">
        <f t="shared" si="7"/>
        <v>0</v>
      </c>
      <c r="V58" s="1145"/>
      <c r="W58" s="1145"/>
      <c r="X58" s="1145">
        <f t="shared" si="8"/>
        <v>0</v>
      </c>
    </row>
    <row r="59" spans="1:24" s="620" customFormat="1" ht="15" customHeight="1" x14ac:dyDescent="0.2">
      <c r="A59" s="928"/>
      <c r="B59" s="928" t="s">
        <v>49</v>
      </c>
      <c r="C59" s="1165">
        <v>3</v>
      </c>
      <c r="D59" s="1165">
        <v>8050</v>
      </c>
      <c r="E59" s="1167" t="s">
        <v>2974</v>
      </c>
      <c r="F59" s="1165">
        <v>0</v>
      </c>
      <c r="G59" s="1166"/>
      <c r="H59" s="1166"/>
      <c r="I59" s="1166"/>
      <c r="J59" s="968"/>
      <c r="K59" s="318"/>
      <c r="L59" s="968"/>
      <c r="M59" s="968"/>
      <c r="N59" s="968"/>
      <c r="O59" s="968"/>
      <c r="P59" s="968">
        <v>-504471.1</v>
      </c>
      <c r="Q59" s="968"/>
      <c r="R59" s="1166">
        <f t="shared" si="6"/>
        <v>-504471.1</v>
      </c>
      <c r="S59" s="968">
        <v>-216394.78</v>
      </c>
      <c r="T59" s="968">
        <v>216394.78</v>
      </c>
      <c r="U59" s="968">
        <f t="shared" si="7"/>
        <v>0</v>
      </c>
      <c r="V59" s="1145"/>
      <c r="W59" s="1145"/>
      <c r="X59" s="1145">
        <f t="shared" si="8"/>
        <v>0</v>
      </c>
    </row>
    <row r="60" spans="1:24" s="620" customFormat="1" ht="15" customHeight="1" x14ac:dyDescent="0.2">
      <c r="A60" s="928"/>
      <c r="B60" s="928" t="s">
        <v>1405</v>
      </c>
      <c r="C60" s="1165">
        <v>3</v>
      </c>
      <c r="D60" s="1165">
        <v>8050</v>
      </c>
      <c r="E60" s="1167" t="s">
        <v>1406</v>
      </c>
      <c r="F60" s="1165">
        <v>0</v>
      </c>
      <c r="G60" s="1166">
        <v>0</v>
      </c>
      <c r="H60" s="1166">
        <v>0</v>
      </c>
      <c r="I60" s="1166"/>
      <c r="J60" s="968">
        <f t="shared" si="3"/>
        <v>0</v>
      </c>
      <c r="K60" s="318"/>
      <c r="L60" s="968">
        <v>0</v>
      </c>
      <c r="M60" s="968">
        <v>0</v>
      </c>
      <c r="N60" s="968"/>
      <c r="O60" s="968">
        <f t="shared" si="5"/>
        <v>0</v>
      </c>
      <c r="P60" s="968">
        <v>0</v>
      </c>
      <c r="Q60" s="968"/>
      <c r="R60" s="1166">
        <f t="shared" si="6"/>
        <v>0</v>
      </c>
      <c r="S60" s="968">
        <v>0</v>
      </c>
      <c r="T60" s="968"/>
      <c r="U60" s="968">
        <f t="shared" si="7"/>
        <v>0</v>
      </c>
      <c r="V60" s="1145"/>
      <c r="W60" s="1145"/>
      <c r="X60" s="1145">
        <f t="shared" si="8"/>
        <v>0</v>
      </c>
    </row>
    <row r="61" spans="1:24" s="620" customFormat="1" ht="15" customHeight="1" x14ac:dyDescent="0.2">
      <c r="A61" s="928"/>
      <c r="B61" s="928" t="s">
        <v>217</v>
      </c>
      <c r="C61" s="1165">
        <v>3</v>
      </c>
      <c r="D61" s="1165">
        <v>8050</v>
      </c>
      <c r="E61" s="1167" t="s">
        <v>1407</v>
      </c>
      <c r="F61" s="1165">
        <v>0</v>
      </c>
      <c r="G61" s="1166">
        <v>-2085416.23</v>
      </c>
      <c r="H61" s="1166">
        <v>0</v>
      </c>
      <c r="I61" s="1166"/>
      <c r="J61" s="968">
        <f t="shared" si="3"/>
        <v>0</v>
      </c>
      <c r="K61" s="318"/>
      <c r="L61" s="968">
        <v>0</v>
      </c>
      <c r="M61" s="968">
        <v>0</v>
      </c>
      <c r="N61" s="968"/>
      <c r="O61" s="968">
        <f t="shared" si="5"/>
        <v>0</v>
      </c>
      <c r="P61" s="968">
        <f>-3050339.84+1287220.13-238155.39</f>
        <v>-2001275.1</v>
      </c>
      <c r="Q61" s="968"/>
      <c r="R61" s="1166">
        <f t="shared" si="6"/>
        <v>-2001275.1</v>
      </c>
      <c r="S61" s="968">
        <v>0</v>
      </c>
      <c r="T61" s="968"/>
      <c r="U61" s="968">
        <f t="shared" si="7"/>
        <v>0</v>
      </c>
      <c r="V61" s="1145">
        <f>-39326.84+39326.84</f>
        <v>0</v>
      </c>
      <c r="W61" s="1145"/>
      <c r="X61" s="1145">
        <f t="shared" si="8"/>
        <v>0</v>
      </c>
    </row>
    <row r="62" spans="1:24" s="620" customFormat="1" ht="15" customHeight="1" x14ac:dyDescent="0.2">
      <c r="A62" s="928"/>
      <c r="B62" s="928" t="s">
        <v>1408</v>
      </c>
      <c r="C62" s="1165">
        <v>3</v>
      </c>
      <c r="D62" s="1165">
        <v>8050</v>
      </c>
      <c r="E62" s="1167" t="s">
        <v>1409</v>
      </c>
      <c r="F62" s="1165">
        <v>0</v>
      </c>
      <c r="G62" s="1166">
        <v>0</v>
      </c>
      <c r="H62" s="1166">
        <v>0</v>
      </c>
      <c r="I62" s="1166"/>
      <c r="J62" s="968">
        <f t="shared" si="3"/>
        <v>0</v>
      </c>
      <c r="K62" s="318"/>
      <c r="L62" s="968">
        <v>0</v>
      </c>
      <c r="M62" s="968">
        <v>0</v>
      </c>
      <c r="N62" s="968"/>
      <c r="O62" s="968">
        <f t="shared" si="5"/>
        <v>0</v>
      </c>
      <c r="P62" s="968">
        <v>0</v>
      </c>
      <c r="Q62" s="968"/>
      <c r="R62" s="1166">
        <f t="shared" si="6"/>
        <v>0</v>
      </c>
      <c r="S62" s="968">
        <v>0</v>
      </c>
      <c r="T62" s="968"/>
      <c r="U62" s="968">
        <f t="shared" si="7"/>
        <v>0</v>
      </c>
      <c r="V62" s="1145"/>
      <c r="W62" s="1145"/>
      <c r="X62" s="1145">
        <f t="shared" si="8"/>
        <v>0</v>
      </c>
    </row>
    <row r="63" spans="1:24" s="620" customFormat="1" ht="15" customHeight="1" x14ac:dyDescent="0.2">
      <c r="A63" s="928"/>
      <c r="B63" s="928" t="s">
        <v>1410</v>
      </c>
      <c r="C63" s="1165">
        <v>3</v>
      </c>
      <c r="D63" s="1165">
        <v>8050</v>
      </c>
      <c r="E63" s="1167" t="s">
        <v>1411</v>
      </c>
      <c r="F63" s="1165">
        <v>0</v>
      </c>
      <c r="G63" s="1166">
        <v>0</v>
      </c>
      <c r="H63" s="1166">
        <v>0</v>
      </c>
      <c r="I63" s="1166"/>
      <c r="J63" s="968">
        <f t="shared" si="3"/>
        <v>0</v>
      </c>
      <c r="K63" s="318"/>
      <c r="L63" s="968">
        <v>0</v>
      </c>
      <c r="M63" s="968">
        <v>0</v>
      </c>
      <c r="N63" s="968"/>
      <c r="O63" s="968">
        <f t="shared" si="5"/>
        <v>0</v>
      </c>
      <c r="P63" s="968">
        <v>0</v>
      </c>
      <c r="Q63" s="968"/>
      <c r="R63" s="1166">
        <f t="shared" si="6"/>
        <v>0</v>
      </c>
      <c r="S63" s="968">
        <v>0</v>
      </c>
      <c r="T63" s="968"/>
      <c r="U63" s="968">
        <f t="shared" si="7"/>
        <v>0</v>
      </c>
      <c r="V63" s="1145"/>
      <c r="W63" s="1145"/>
      <c r="X63" s="1145">
        <f t="shared" si="8"/>
        <v>0</v>
      </c>
    </row>
    <row r="64" spans="1:24" s="620" customFormat="1" ht="15" customHeight="1" x14ac:dyDescent="0.2">
      <c r="A64" s="928"/>
      <c r="B64" s="928" t="s">
        <v>1412</v>
      </c>
      <c r="C64" s="1165">
        <v>3</v>
      </c>
      <c r="D64" s="1165">
        <v>8050</v>
      </c>
      <c r="E64" s="1167" t="s">
        <v>1413</v>
      </c>
      <c r="F64" s="1165">
        <v>0</v>
      </c>
      <c r="G64" s="1166">
        <v>0</v>
      </c>
      <c r="H64" s="1166">
        <v>0</v>
      </c>
      <c r="I64" s="1166"/>
      <c r="J64" s="968">
        <f t="shared" si="3"/>
        <v>0</v>
      </c>
      <c r="K64" s="318"/>
      <c r="L64" s="968">
        <v>0</v>
      </c>
      <c r="M64" s="968">
        <v>0</v>
      </c>
      <c r="N64" s="968"/>
      <c r="O64" s="968">
        <f t="shared" si="5"/>
        <v>0</v>
      </c>
      <c r="P64" s="968">
        <v>0</v>
      </c>
      <c r="Q64" s="968"/>
      <c r="R64" s="1166">
        <f t="shared" si="6"/>
        <v>0</v>
      </c>
      <c r="S64" s="968">
        <v>0</v>
      </c>
      <c r="T64" s="968"/>
      <c r="U64" s="968">
        <f t="shared" si="7"/>
        <v>0</v>
      </c>
      <c r="V64" s="1145"/>
      <c r="W64" s="1145"/>
      <c r="X64" s="1145">
        <f t="shared" si="8"/>
        <v>0</v>
      </c>
    </row>
    <row r="65" spans="1:24" ht="15" customHeight="1" x14ac:dyDescent="0.2">
      <c r="A65" s="928"/>
      <c r="B65" s="928" t="s">
        <v>3006</v>
      </c>
      <c r="C65" s="1165">
        <v>3</v>
      </c>
      <c r="D65" s="1165">
        <v>8050</v>
      </c>
      <c r="E65" s="1167" t="s">
        <v>1414</v>
      </c>
      <c r="F65" s="1165">
        <v>0</v>
      </c>
      <c r="G65" s="1166">
        <v>0</v>
      </c>
      <c r="H65" s="1166">
        <v>0</v>
      </c>
      <c r="I65" s="1166"/>
      <c r="J65" s="968">
        <f t="shared" si="3"/>
        <v>0</v>
      </c>
      <c r="L65" s="968">
        <v>0</v>
      </c>
      <c r="M65" s="968">
        <v>-184099.36</v>
      </c>
      <c r="N65" s="968"/>
      <c r="O65" s="968">
        <f t="shared" si="5"/>
        <v>-184099.36</v>
      </c>
      <c r="P65" s="968">
        <v>0</v>
      </c>
      <c r="Q65" s="968"/>
      <c r="R65" s="1166">
        <f t="shared" si="6"/>
        <v>0</v>
      </c>
      <c r="S65" s="968">
        <v>0</v>
      </c>
      <c r="T65" s="968"/>
      <c r="U65" s="968">
        <f t="shared" si="7"/>
        <v>0</v>
      </c>
      <c r="V65" s="1145"/>
      <c r="W65" s="1145"/>
      <c r="X65" s="1145">
        <f t="shared" si="8"/>
        <v>0</v>
      </c>
    </row>
    <row r="66" spans="1:24" ht="15" customHeight="1" x14ac:dyDescent="0.2">
      <c r="A66" s="928"/>
      <c r="B66" s="928" t="s">
        <v>1415</v>
      </c>
      <c r="C66" s="1165">
        <v>3</v>
      </c>
      <c r="D66" s="1165">
        <v>8050</v>
      </c>
      <c r="E66" s="1167" t="s">
        <v>1416</v>
      </c>
      <c r="F66" s="1165">
        <v>0</v>
      </c>
      <c r="G66" s="1166">
        <v>0</v>
      </c>
      <c r="H66" s="1166">
        <v>0</v>
      </c>
      <c r="I66" s="1166"/>
      <c r="J66" s="968">
        <f t="shared" si="3"/>
        <v>0</v>
      </c>
      <c r="L66" s="968">
        <v>0</v>
      </c>
      <c r="M66" s="968">
        <v>0</v>
      </c>
      <c r="N66" s="968"/>
      <c r="O66" s="968">
        <f t="shared" si="5"/>
        <v>0</v>
      </c>
      <c r="P66" s="968">
        <v>0</v>
      </c>
      <c r="Q66" s="968"/>
      <c r="R66" s="1166">
        <f t="shared" si="6"/>
        <v>0</v>
      </c>
      <c r="S66" s="968">
        <v>0</v>
      </c>
      <c r="T66" s="968"/>
      <c r="U66" s="968">
        <f t="shared" si="7"/>
        <v>0</v>
      </c>
      <c r="V66" s="1145"/>
      <c r="W66" s="1145"/>
      <c r="X66" s="1145">
        <f t="shared" si="8"/>
        <v>0</v>
      </c>
    </row>
    <row r="67" spans="1:24" ht="15" customHeight="1" x14ac:dyDescent="0.2">
      <c r="A67" s="928"/>
      <c r="B67" s="928" t="s">
        <v>1417</v>
      </c>
      <c r="C67" s="1165">
        <v>3</v>
      </c>
      <c r="D67" s="1165">
        <v>8050</v>
      </c>
      <c r="E67" s="1167" t="s">
        <v>1418</v>
      </c>
      <c r="F67" s="1165">
        <v>0</v>
      </c>
      <c r="G67" s="1166">
        <v>0</v>
      </c>
      <c r="H67" s="1166">
        <v>0</v>
      </c>
      <c r="I67" s="1166"/>
      <c r="J67" s="968">
        <f t="shared" si="3"/>
        <v>0</v>
      </c>
      <c r="L67" s="968">
        <v>0</v>
      </c>
      <c r="M67" s="968">
        <v>0</v>
      </c>
      <c r="N67" s="968"/>
      <c r="O67" s="968">
        <f t="shared" si="5"/>
        <v>0</v>
      </c>
      <c r="P67" s="968">
        <v>0</v>
      </c>
      <c r="Q67" s="968"/>
      <c r="R67" s="1166">
        <f t="shared" si="6"/>
        <v>0</v>
      </c>
      <c r="S67" s="968">
        <v>0</v>
      </c>
      <c r="T67" s="968"/>
      <c r="U67" s="968">
        <f t="shared" si="7"/>
        <v>0</v>
      </c>
      <c r="V67" s="1145"/>
      <c r="W67" s="1145"/>
      <c r="X67" s="1145">
        <f t="shared" si="8"/>
        <v>0</v>
      </c>
    </row>
    <row r="68" spans="1:24" ht="15" customHeight="1" x14ac:dyDescent="0.2">
      <c r="A68" s="928"/>
      <c r="B68" s="928" t="s">
        <v>1419</v>
      </c>
      <c r="C68" s="1165">
        <v>3</v>
      </c>
      <c r="D68" s="1165">
        <v>8050</v>
      </c>
      <c r="E68" s="1167" t="s">
        <v>1418</v>
      </c>
      <c r="F68" s="1165">
        <v>0</v>
      </c>
      <c r="G68" s="1166">
        <v>0</v>
      </c>
      <c r="H68" s="1166">
        <v>0</v>
      </c>
      <c r="I68" s="1166"/>
      <c r="J68" s="968">
        <f t="shared" si="3"/>
        <v>0</v>
      </c>
      <c r="L68" s="968">
        <v>0</v>
      </c>
      <c r="M68" s="968">
        <v>0</v>
      </c>
      <c r="N68" s="968"/>
      <c r="O68" s="968">
        <f t="shared" si="5"/>
        <v>0</v>
      </c>
      <c r="P68" s="968">
        <v>0</v>
      </c>
      <c r="Q68" s="968"/>
      <c r="R68" s="1166">
        <f t="shared" si="6"/>
        <v>0</v>
      </c>
      <c r="S68" s="968">
        <v>0</v>
      </c>
      <c r="T68" s="968"/>
      <c r="U68" s="968">
        <f t="shared" si="7"/>
        <v>0</v>
      </c>
      <c r="V68" s="1145"/>
      <c r="W68" s="1145"/>
      <c r="X68" s="1145">
        <f t="shared" si="8"/>
        <v>0</v>
      </c>
    </row>
    <row r="69" spans="1:24" ht="15" customHeight="1" x14ac:dyDescent="0.2">
      <c r="A69" s="928"/>
      <c r="B69" s="928" t="s">
        <v>1420</v>
      </c>
      <c r="C69" s="1165">
        <v>3</v>
      </c>
      <c r="D69" s="1165">
        <v>8050</v>
      </c>
      <c r="E69" s="1167" t="s">
        <v>1421</v>
      </c>
      <c r="F69" s="1165">
        <v>0</v>
      </c>
      <c r="G69" s="1166">
        <v>0</v>
      </c>
      <c r="H69" s="1166">
        <v>0</v>
      </c>
      <c r="I69" s="1166"/>
      <c r="J69" s="968">
        <f t="shared" si="3"/>
        <v>0</v>
      </c>
      <c r="L69" s="968">
        <v>0</v>
      </c>
      <c r="M69" s="968">
        <v>0</v>
      </c>
      <c r="N69" s="968"/>
      <c r="O69" s="968">
        <f t="shared" si="5"/>
        <v>0</v>
      </c>
      <c r="P69" s="968">
        <v>0</v>
      </c>
      <c r="Q69" s="968"/>
      <c r="R69" s="1166">
        <f t="shared" si="6"/>
        <v>0</v>
      </c>
      <c r="S69" s="968">
        <v>0</v>
      </c>
      <c r="T69" s="968"/>
      <c r="U69" s="968">
        <f t="shared" si="7"/>
        <v>0</v>
      </c>
      <c r="V69" s="1145"/>
      <c r="W69" s="1145"/>
      <c r="X69" s="1145">
        <f t="shared" si="8"/>
        <v>0</v>
      </c>
    </row>
    <row r="70" spans="1:24" ht="15" customHeight="1" x14ac:dyDescent="0.2">
      <c r="A70" s="928"/>
      <c r="B70" s="928" t="s">
        <v>1422</v>
      </c>
      <c r="C70" s="1165">
        <v>3</v>
      </c>
      <c r="D70" s="1165">
        <v>8050</v>
      </c>
      <c r="E70" s="1167" t="s">
        <v>1423</v>
      </c>
      <c r="F70" s="1165">
        <v>0</v>
      </c>
      <c r="G70" s="1166">
        <v>0</v>
      </c>
      <c r="H70" s="1166">
        <v>0</v>
      </c>
      <c r="I70" s="1166"/>
      <c r="J70" s="968">
        <f t="shared" si="3"/>
        <v>0</v>
      </c>
      <c r="L70" s="968">
        <v>0</v>
      </c>
      <c r="M70" s="968">
        <v>0</v>
      </c>
      <c r="N70" s="968"/>
      <c r="O70" s="968">
        <f t="shared" si="5"/>
        <v>0</v>
      </c>
      <c r="P70" s="968">
        <v>0</v>
      </c>
      <c r="Q70" s="968"/>
      <c r="R70" s="1166">
        <f t="shared" si="6"/>
        <v>0</v>
      </c>
      <c r="S70" s="968">
        <v>0</v>
      </c>
      <c r="T70" s="968"/>
      <c r="U70" s="968">
        <f t="shared" si="7"/>
        <v>0</v>
      </c>
      <c r="V70" s="1145"/>
      <c r="W70" s="1145"/>
      <c r="X70" s="1145">
        <f t="shared" si="8"/>
        <v>0</v>
      </c>
    </row>
    <row r="71" spans="1:24" ht="15" customHeight="1" x14ac:dyDescent="0.2">
      <c r="A71" s="928"/>
      <c r="B71" s="928" t="s">
        <v>1424</v>
      </c>
      <c r="C71" s="1165">
        <v>3</v>
      </c>
      <c r="D71" s="1165">
        <v>8050</v>
      </c>
      <c r="E71" s="1167" t="s">
        <v>1425</v>
      </c>
      <c r="F71" s="1165">
        <v>0</v>
      </c>
      <c r="G71" s="1166">
        <v>0</v>
      </c>
      <c r="H71" s="1166">
        <v>0</v>
      </c>
      <c r="I71" s="1166"/>
      <c r="J71" s="968">
        <f t="shared" si="3"/>
        <v>0</v>
      </c>
      <c r="L71" s="968">
        <v>0</v>
      </c>
      <c r="M71" s="968">
        <v>0</v>
      </c>
      <c r="N71" s="968"/>
      <c r="O71" s="968">
        <f t="shared" si="5"/>
        <v>0</v>
      </c>
      <c r="P71" s="968">
        <v>0</v>
      </c>
      <c r="Q71" s="968"/>
      <c r="R71" s="1166">
        <f t="shared" si="6"/>
        <v>0</v>
      </c>
      <c r="S71" s="968">
        <v>0</v>
      </c>
      <c r="T71" s="968"/>
      <c r="U71" s="968">
        <f t="shared" si="7"/>
        <v>0</v>
      </c>
      <c r="V71" s="1145"/>
      <c r="W71" s="1145"/>
      <c r="X71" s="1145">
        <f t="shared" si="8"/>
        <v>0</v>
      </c>
    </row>
    <row r="72" spans="1:24" ht="15" customHeight="1" x14ac:dyDescent="0.2">
      <c r="A72" s="928"/>
      <c r="B72" s="928" t="s">
        <v>1426</v>
      </c>
      <c r="C72" s="1165">
        <v>3</v>
      </c>
      <c r="D72" s="1165">
        <v>8050</v>
      </c>
      <c r="E72" s="1167" t="s">
        <v>1427</v>
      </c>
      <c r="F72" s="1165">
        <v>0</v>
      </c>
      <c r="G72" s="1166">
        <v>0</v>
      </c>
      <c r="H72" s="1166">
        <v>0</v>
      </c>
      <c r="I72" s="1166"/>
      <c r="J72" s="968">
        <f t="shared" si="3"/>
        <v>0</v>
      </c>
      <c r="L72" s="968">
        <v>0</v>
      </c>
      <c r="M72" s="968">
        <v>0</v>
      </c>
      <c r="N72" s="968"/>
      <c r="O72" s="968">
        <f t="shared" si="5"/>
        <v>0</v>
      </c>
      <c r="P72" s="968">
        <v>0</v>
      </c>
      <c r="Q72" s="968"/>
      <c r="R72" s="1166">
        <f t="shared" si="6"/>
        <v>0</v>
      </c>
      <c r="S72" s="968">
        <v>0</v>
      </c>
      <c r="T72" s="968"/>
      <c r="U72" s="968">
        <f t="shared" ref="U72:U80" si="9">S72+T72</f>
        <v>0</v>
      </c>
      <c r="V72" s="1145"/>
      <c r="W72" s="1145"/>
      <c r="X72" s="1145">
        <f t="shared" si="8"/>
        <v>0</v>
      </c>
    </row>
    <row r="73" spans="1:24" ht="15" customHeight="1" x14ac:dyDescent="0.2">
      <c r="A73" s="928"/>
      <c r="B73" s="928" t="s">
        <v>1428</v>
      </c>
      <c r="C73" s="1165">
        <v>3</v>
      </c>
      <c r="D73" s="1165">
        <v>8050</v>
      </c>
      <c r="E73" s="1167" t="s">
        <v>1429</v>
      </c>
      <c r="F73" s="1165">
        <v>0</v>
      </c>
      <c r="G73" s="1166">
        <v>0</v>
      </c>
      <c r="H73" s="1166">
        <v>0</v>
      </c>
      <c r="I73" s="1166"/>
      <c r="J73" s="968">
        <f t="shared" si="3"/>
        <v>0</v>
      </c>
      <c r="L73" s="968">
        <v>0</v>
      </c>
      <c r="M73" s="968">
        <v>0</v>
      </c>
      <c r="N73" s="968"/>
      <c r="O73" s="968">
        <f t="shared" si="5"/>
        <v>0</v>
      </c>
      <c r="P73" s="968">
        <v>0</v>
      </c>
      <c r="Q73" s="968"/>
      <c r="R73" s="1166">
        <f t="shared" si="6"/>
        <v>0</v>
      </c>
      <c r="S73" s="968">
        <v>0</v>
      </c>
      <c r="T73" s="968"/>
      <c r="U73" s="968">
        <f t="shared" si="9"/>
        <v>0</v>
      </c>
      <c r="V73" s="1145"/>
      <c r="W73" s="1145"/>
      <c r="X73" s="1145">
        <f t="shared" si="8"/>
        <v>0</v>
      </c>
    </row>
    <row r="74" spans="1:24" ht="15" customHeight="1" x14ac:dyDescent="0.2">
      <c r="A74" s="928"/>
      <c r="B74" s="928" t="s">
        <v>1430</v>
      </c>
      <c r="C74" s="1165">
        <v>3</v>
      </c>
      <c r="D74" s="1165">
        <v>8050</v>
      </c>
      <c r="E74" s="1167" t="s">
        <v>1431</v>
      </c>
      <c r="F74" s="1165">
        <v>0</v>
      </c>
      <c r="G74" s="1166">
        <v>0</v>
      </c>
      <c r="H74" s="1166">
        <v>0</v>
      </c>
      <c r="I74" s="1166"/>
      <c r="J74" s="968">
        <f t="shared" si="3"/>
        <v>0</v>
      </c>
      <c r="L74" s="968">
        <v>0</v>
      </c>
      <c r="M74" s="968">
        <v>0</v>
      </c>
      <c r="N74" s="968"/>
      <c r="O74" s="968">
        <f t="shared" si="5"/>
        <v>0</v>
      </c>
      <c r="P74" s="968">
        <v>0</v>
      </c>
      <c r="Q74" s="968"/>
      <c r="R74" s="1166">
        <f t="shared" si="6"/>
        <v>0</v>
      </c>
      <c r="S74" s="968">
        <v>0</v>
      </c>
      <c r="T74" s="968"/>
      <c r="U74" s="968">
        <f t="shared" si="9"/>
        <v>0</v>
      </c>
      <c r="V74" s="1145"/>
      <c r="W74" s="1145"/>
      <c r="X74" s="1145">
        <f t="shared" si="8"/>
        <v>0</v>
      </c>
    </row>
    <row r="75" spans="1:24" s="620" customFormat="1" ht="15" customHeight="1" x14ac:dyDescent="0.2">
      <c r="A75" s="928"/>
      <c r="B75" s="928" t="s">
        <v>2979</v>
      </c>
      <c r="C75" s="1165">
        <v>4</v>
      </c>
      <c r="D75" s="1165">
        <v>9044</v>
      </c>
      <c r="E75" s="1167">
        <v>1114</v>
      </c>
      <c r="F75" s="1165">
        <v>0</v>
      </c>
      <c r="G75" s="1166">
        <v>0</v>
      </c>
      <c r="H75" s="1166">
        <v>0</v>
      </c>
      <c r="I75" s="1166"/>
      <c r="J75" s="968">
        <f t="shared" si="3"/>
        <v>0</v>
      </c>
      <c r="K75" s="318"/>
      <c r="L75" s="968">
        <v>0</v>
      </c>
      <c r="M75" s="968">
        <v>-103318.9</v>
      </c>
      <c r="N75" s="968"/>
      <c r="O75" s="968">
        <f t="shared" si="5"/>
        <v>-103318.9</v>
      </c>
      <c r="P75" s="968">
        <v>0</v>
      </c>
      <c r="Q75" s="968"/>
      <c r="R75" s="1166">
        <f t="shared" si="6"/>
        <v>0</v>
      </c>
      <c r="S75" s="968">
        <v>0</v>
      </c>
      <c r="T75" s="968"/>
      <c r="U75" s="968">
        <f t="shared" si="9"/>
        <v>0</v>
      </c>
      <c r="V75" s="1145"/>
      <c r="W75" s="1145"/>
      <c r="X75" s="1145">
        <f t="shared" si="8"/>
        <v>0</v>
      </c>
    </row>
    <row r="76" spans="1:24" s="620" customFormat="1" ht="15" customHeight="1" x14ac:dyDescent="0.2">
      <c r="A76" s="928"/>
      <c r="B76" s="928" t="s">
        <v>3204</v>
      </c>
      <c r="C76" s="1165">
        <v>4</v>
      </c>
      <c r="D76" s="1165">
        <v>9047</v>
      </c>
      <c r="E76" s="1167" t="s">
        <v>1373</v>
      </c>
      <c r="F76" s="1165">
        <v>0</v>
      </c>
      <c r="G76" s="1166"/>
      <c r="H76" s="1166"/>
      <c r="I76" s="1166"/>
      <c r="J76" s="968"/>
      <c r="K76" s="318"/>
      <c r="L76" s="968"/>
      <c r="M76" s="968"/>
      <c r="N76" s="968"/>
      <c r="O76" s="968"/>
      <c r="P76" s="968">
        <v>-57193.79</v>
      </c>
      <c r="Q76" s="968"/>
      <c r="R76" s="1166">
        <f t="shared" si="6"/>
        <v>-57193.79</v>
      </c>
      <c r="S76" s="968">
        <v>-1040874.72</v>
      </c>
      <c r="T76" s="968"/>
      <c r="U76" s="968">
        <f t="shared" si="9"/>
        <v>-1040874.72</v>
      </c>
      <c r="V76" s="1145"/>
      <c r="W76" s="1145"/>
      <c r="X76" s="1145">
        <f t="shared" si="8"/>
        <v>0</v>
      </c>
    </row>
    <row r="77" spans="1:24" s="620" customFormat="1" ht="15" customHeight="1" x14ac:dyDescent="0.2">
      <c r="A77" s="928"/>
      <c r="B77" s="239" t="s">
        <v>49</v>
      </c>
      <c r="C77" s="1165">
        <v>4</v>
      </c>
      <c r="D77" s="1165">
        <v>9047</v>
      </c>
      <c r="E77" s="1167" t="s">
        <v>1387</v>
      </c>
      <c r="F77" s="1165">
        <v>0</v>
      </c>
      <c r="G77" s="1166">
        <v>77130.27</v>
      </c>
      <c r="H77" s="1166">
        <v>-1065349.43</v>
      </c>
      <c r="I77" s="1166"/>
      <c r="J77" s="968">
        <f t="shared" si="3"/>
        <v>-1065349.43</v>
      </c>
      <c r="K77" s="318"/>
      <c r="L77" s="968">
        <v>-1065349.43</v>
      </c>
      <c r="M77" s="968">
        <v>-665261.04</v>
      </c>
      <c r="N77" s="968"/>
      <c r="O77" s="968">
        <f t="shared" si="5"/>
        <v>-665261.04</v>
      </c>
      <c r="P77" s="968">
        <v>-149441.81</v>
      </c>
      <c r="Q77" s="968"/>
      <c r="R77" s="1166">
        <f t="shared" si="6"/>
        <v>-149441.81</v>
      </c>
      <c r="S77" s="968">
        <v>-149441.81</v>
      </c>
      <c r="T77" s="968">
        <v>149441.81</v>
      </c>
      <c r="U77" s="968">
        <f t="shared" si="9"/>
        <v>0</v>
      </c>
      <c r="V77" s="1145"/>
      <c r="W77" s="1145"/>
      <c r="X77" s="1145">
        <f t="shared" si="8"/>
        <v>0</v>
      </c>
    </row>
    <row r="78" spans="1:24" s="620" customFormat="1" ht="15" customHeight="1" x14ac:dyDescent="0.2">
      <c r="A78" s="928"/>
      <c r="B78" s="928" t="s">
        <v>1504</v>
      </c>
      <c r="C78" s="1165">
        <v>4</v>
      </c>
      <c r="D78" s="1165">
        <v>9047</v>
      </c>
      <c r="E78" s="1167" t="s">
        <v>1379</v>
      </c>
      <c r="F78" s="1165">
        <v>0</v>
      </c>
      <c r="G78" s="1166"/>
      <c r="H78" s="1166"/>
      <c r="I78" s="1166"/>
      <c r="J78" s="968"/>
      <c r="K78" s="318"/>
      <c r="L78" s="968"/>
      <c r="M78" s="968">
        <f>-15290001.34+2197120.7</f>
        <v>-13092880.640000001</v>
      </c>
      <c r="N78" s="968">
        <v>13092880.640000001</v>
      </c>
      <c r="O78" s="968">
        <f t="shared" si="5"/>
        <v>0</v>
      </c>
      <c r="P78" s="968">
        <v>0</v>
      </c>
      <c r="Q78" s="968"/>
      <c r="R78" s="1166">
        <f t="shared" si="6"/>
        <v>0</v>
      </c>
      <c r="S78" s="968">
        <v>0</v>
      </c>
      <c r="T78" s="968"/>
      <c r="U78" s="968">
        <f t="shared" si="9"/>
        <v>0</v>
      </c>
      <c r="V78" s="1145"/>
      <c r="W78" s="1145"/>
      <c r="X78" s="1145">
        <f t="shared" si="8"/>
        <v>0</v>
      </c>
    </row>
    <row r="79" spans="1:24" s="620" customFormat="1" ht="15" customHeight="1" x14ac:dyDescent="0.2">
      <c r="A79" s="928"/>
      <c r="B79" s="928" t="s">
        <v>3205</v>
      </c>
      <c r="C79" s="1165">
        <v>4</v>
      </c>
      <c r="D79" s="1165">
        <v>9047</v>
      </c>
      <c r="E79" s="1167" t="s">
        <v>1447</v>
      </c>
      <c r="F79" s="1165">
        <v>0</v>
      </c>
      <c r="G79" s="1166"/>
      <c r="H79" s="1166"/>
      <c r="I79" s="1166"/>
      <c r="J79" s="968"/>
      <c r="K79" s="318"/>
      <c r="L79" s="968"/>
      <c r="M79" s="968"/>
      <c r="N79" s="968"/>
      <c r="O79" s="968"/>
      <c r="P79" s="968"/>
      <c r="Q79" s="968"/>
      <c r="R79" s="1166"/>
      <c r="S79" s="968"/>
      <c r="T79" s="968"/>
      <c r="U79" s="968">
        <v>0</v>
      </c>
      <c r="V79" s="1145">
        <f>-9853903.51+9853903.51</f>
        <v>0</v>
      </c>
      <c r="W79" s="1145"/>
      <c r="X79" s="1145">
        <f t="shared" si="8"/>
        <v>0</v>
      </c>
    </row>
    <row r="80" spans="1:24" s="620" customFormat="1" ht="15" customHeight="1" x14ac:dyDescent="0.2">
      <c r="A80" s="238"/>
      <c r="B80" s="239" t="s">
        <v>3964</v>
      </c>
      <c r="C80" s="1165">
        <v>4</v>
      </c>
      <c r="D80" s="1165">
        <v>9047</v>
      </c>
      <c r="E80" s="1167" t="s">
        <v>1513</v>
      </c>
      <c r="F80" s="1165">
        <v>0</v>
      </c>
      <c r="G80" s="1166">
        <v>0</v>
      </c>
      <c r="H80" s="1166">
        <v>-1932391.62</v>
      </c>
      <c r="I80" s="1166"/>
      <c r="J80" s="968">
        <f t="shared" si="3"/>
        <v>-1932391.62</v>
      </c>
      <c r="K80" s="318"/>
      <c r="L80" s="968">
        <v>-1932391.62</v>
      </c>
      <c r="M80" s="968">
        <v>-23920628.039999999</v>
      </c>
      <c r="N80" s="968">
        <v>23920628.039999999</v>
      </c>
      <c r="O80" s="968">
        <f t="shared" si="5"/>
        <v>0</v>
      </c>
      <c r="P80" s="968">
        <v>0</v>
      </c>
      <c r="Q80" s="968"/>
      <c r="R80" s="1166">
        <f t="shared" si="6"/>
        <v>0</v>
      </c>
      <c r="S80" s="968">
        <v>0</v>
      </c>
      <c r="T80" s="968"/>
      <c r="U80" s="968">
        <f t="shared" si="9"/>
        <v>0</v>
      </c>
      <c r="V80" s="1145"/>
      <c r="W80" s="1145"/>
      <c r="X80" s="1145">
        <f t="shared" si="8"/>
        <v>0</v>
      </c>
    </row>
    <row r="81" spans="1:24" s="620" customFormat="1" ht="15" customHeight="1" x14ac:dyDescent="0.2">
      <c r="A81" s="928"/>
      <c r="B81" s="928"/>
      <c r="C81" s="1165"/>
      <c r="D81" s="1165"/>
      <c r="E81" s="1167"/>
      <c r="F81" s="1165"/>
      <c r="G81" s="1164">
        <f>SUM(G42:G80)</f>
        <v>-9617853.3100000005</v>
      </c>
      <c r="H81" s="1164">
        <f>SUM(H42:H80)</f>
        <v>-11318257.280000001</v>
      </c>
      <c r="I81" s="1164">
        <f>SUM(I42:I80)</f>
        <v>0</v>
      </c>
      <c r="J81" s="1164">
        <f>SUM(J42:J80)</f>
        <v>-11318257.280000001</v>
      </c>
      <c r="K81" s="318"/>
      <c r="L81" s="1143">
        <f t="shared" ref="L81:X81" si="10">SUM(L42:L80)</f>
        <v>-11318257.280000001</v>
      </c>
      <c r="M81" s="1143">
        <f t="shared" si="10"/>
        <v>-46279043.079999998</v>
      </c>
      <c r="N81" s="1143">
        <f t="shared" si="10"/>
        <v>34839998.420000002</v>
      </c>
      <c r="O81" s="1143">
        <f t="shared" si="10"/>
        <v>-11439044.66</v>
      </c>
      <c r="P81" s="1143">
        <f t="shared" si="10"/>
        <v>-6532939.1399999987</v>
      </c>
      <c r="Q81" s="1143">
        <f t="shared" si="10"/>
        <v>-302899</v>
      </c>
      <c r="R81" s="1164">
        <f t="shared" si="10"/>
        <v>-6835838.1399999987</v>
      </c>
      <c r="S81" s="1143">
        <f>SUM(S42:S80)</f>
        <v>-12621102.500000002</v>
      </c>
      <c r="T81" s="1143">
        <f>SUM(T42:T80)</f>
        <v>7016346.3700000001</v>
      </c>
      <c r="U81" s="1143">
        <f t="shared" si="10"/>
        <v>-5604756.1299999999</v>
      </c>
      <c r="V81" s="1341">
        <f t="shared" si="10"/>
        <v>-5865456.04</v>
      </c>
      <c r="W81" s="1341">
        <f t="shared" si="10"/>
        <v>0</v>
      </c>
      <c r="X81" s="1341">
        <f t="shared" si="10"/>
        <v>-5865456.04</v>
      </c>
    </row>
    <row r="82" spans="1:24" s="620" customFormat="1" ht="15" customHeight="1" x14ac:dyDescent="0.2">
      <c r="A82" s="928"/>
      <c r="B82" s="928"/>
      <c r="C82" s="1165"/>
      <c r="D82" s="1165"/>
      <c r="E82" s="1167"/>
      <c r="F82" s="1165"/>
      <c r="G82" s="1166"/>
      <c r="H82" s="1166"/>
      <c r="I82" s="1166"/>
      <c r="J82" s="968"/>
      <c r="K82" s="318"/>
      <c r="L82" s="968"/>
      <c r="M82" s="968"/>
      <c r="N82" s="968"/>
      <c r="O82" s="968"/>
      <c r="P82" s="968"/>
      <c r="Q82" s="968"/>
      <c r="R82" s="1166"/>
      <c r="S82" s="968"/>
      <c r="T82" s="968"/>
      <c r="U82" s="968"/>
      <c r="V82" s="1145"/>
      <c r="W82" s="1145"/>
      <c r="X82" s="1145"/>
    </row>
    <row r="83" spans="1:24" ht="15" customHeight="1" x14ac:dyDescent="0.2">
      <c r="A83" s="928"/>
      <c r="B83" s="928" t="s">
        <v>116</v>
      </c>
      <c r="C83" s="1165">
        <v>3</v>
      </c>
      <c r="D83" s="1165">
        <v>8050</v>
      </c>
      <c r="E83" s="1167" t="s">
        <v>1393</v>
      </c>
      <c r="F83" s="1165">
        <v>0</v>
      </c>
      <c r="G83" s="1166">
        <v>-261795.36</v>
      </c>
      <c r="H83" s="1166">
        <v>-261795.36</v>
      </c>
      <c r="I83" s="1166"/>
      <c r="J83" s="968">
        <f>H83+I83</f>
        <v>-261795.36</v>
      </c>
      <c r="L83" s="968">
        <v>-261795.36</v>
      </c>
      <c r="M83" s="968">
        <v>0</v>
      </c>
      <c r="N83" s="968"/>
      <c r="O83" s="968">
        <f t="shared" ref="O83:O88" si="11">M83+N83</f>
        <v>0</v>
      </c>
      <c r="P83" s="968">
        <v>0</v>
      </c>
      <c r="Q83" s="968"/>
      <c r="R83" s="1166">
        <f t="shared" ref="R83:R88" si="12">P83+Q83</f>
        <v>0</v>
      </c>
      <c r="S83" s="968">
        <v>0</v>
      </c>
      <c r="T83" s="968"/>
      <c r="U83" s="968">
        <f>S83+T83</f>
        <v>0</v>
      </c>
      <c r="V83" s="1145"/>
      <c r="W83" s="1145"/>
      <c r="X83" s="1145">
        <f t="shared" ref="X83:X88" si="13">V83+W83</f>
        <v>0</v>
      </c>
    </row>
    <row r="84" spans="1:24" s="620" customFormat="1" ht="15" customHeight="1" x14ac:dyDescent="0.2">
      <c r="A84" s="928"/>
      <c r="B84" s="928" t="s">
        <v>1079</v>
      </c>
      <c r="C84" s="1165">
        <v>3</v>
      </c>
      <c r="D84" s="1165">
        <v>8050</v>
      </c>
      <c r="E84" s="1167" t="s">
        <v>1400</v>
      </c>
      <c r="F84" s="1165">
        <v>0</v>
      </c>
      <c r="G84" s="1166">
        <v>-7384390</v>
      </c>
      <c r="H84" s="1166">
        <v>-7701607</v>
      </c>
      <c r="I84" s="1166"/>
      <c r="J84" s="968">
        <f>H84+I84</f>
        <v>-7701607</v>
      </c>
      <c r="K84" s="318"/>
      <c r="L84" s="968">
        <v>-7701607</v>
      </c>
      <c r="M84" s="968">
        <v>-10357827</v>
      </c>
      <c r="N84" s="968"/>
      <c r="O84" s="968">
        <f t="shared" si="11"/>
        <v>-10357827</v>
      </c>
      <c r="P84" s="968">
        <v>-9224415</v>
      </c>
      <c r="Q84" s="968"/>
      <c r="R84" s="1166">
        <f t="shared" si="12"/>
        <v>-9224415</v>
      </c>
      <c r="S84" s="968">
        <v>-10145041</v>
      </c>
      <c r="T84" s="968"/>
      <c r="U84" s="968">
        <f>S84+T84</f>
        <v>-10145041</v>
      </c>
      <c r="V84" s="968">
        <v>-12544832</v>
      </c>
      <c r="W84" s="1145"/>
      <c r="X84" s="1145">
        <f>V84+W84</f>
        <v>-12544832</v>
      </c>
    </row>
    <row r="85" spans="1:24" s="1169" customFormat="1" ht="15" customHeight="1" x14ac:dyDescent="0.2">
      <c r="A85" s="928"/>
      <c r="B85" s="928" t="s">
        <v>814</v>
      </c>
      <c r="C85" s="1165">
        <v>3</v>
      </c>
      <c r="D85" s="1165">
        <v>8050</v>
      </c>
      <c r="E85" s="1167" t="s">
        <v>1386</v>
      </c>
      <c r="F85" s="1165">
        <v>0</v>
      </c>
      <c r="G85" s="1166">
        <v>-40099206</v>
      </c>
      <c r="H85" s="1166">
        <v>-43831646</v>
      </c>
      <c r="I85" s="1166"/>
      <c r="J85" s="968">
        <f>H85+I85</f>
        <v>-43831646</v>
      </c>
      <c r="K85" s="318"/>
      <c r="L85" s="968">
        <v>-43831646</v>
      </c>
      <c r="M85" s="968">
        <v>-44166793</v>
      </c>
      <c r="N85" s="1168"/>
      <c r="O85" s="968">
        <f t="shared" si="11"/>
        <v>-44166793</v>
      </c>
      <c r="P85" s="968">
        <v>-52351415</v>
      </c>
      <c r="Q85" s="1168"/>
      <c r="R85" s="1166">
        <f t="shared" si="12"/>
        <v>-52351415</v>
      </c>
      <c r="S85" s="1168">
        <v>-66759454</v>
      </c>
      <c r="T85" s="1168"/>
      <c r="U85" s="968">
        <f>S85+T85</f>
        <v>-66759454</v>
      </c>
      <c r="V85" s="968">
        <v>-82607480</v>
      </c>
      <c r="W85" s="1168"/>
      <c r="X85" s="1145">
        <f t="shared" si="13"/>
        <v>-82607480</v>
      </c>
    </row>
    <row r="86" spans="1:24" ht="15" customHeight="1" x14ac:dyDescent="0.2">
      <c r="A86" s="928"/>
      <c r="B86" s="928" t="s">
        <v>117</v>
      </c>
      <c r="C86" s="1165">
        <v>3</v>
      </c>
      <c r="D86" s="1165">
        <v>8050</v>
      </c>
      <c r="E86" s="1167" t="s">
        <v>1394</v>
      </c>
      <c r="F86" s="1165">
        <v>0</v>
      </c>
      <c r="G86" s="1166">
        <v>-36457268.020000003</v>
      </c>
      <c r="H86" s="1166">
        <v>-35203057.740000002</v>
      </c>
      <c r="I86" s="1166"/>
      <c r="J86" s="968">
        <f>H86+I86</f>
        <v>-35203057.740000002</v>
      </c>
      <c r="L86" s="968">
        <v>-35203057.740000002</v>
      </c>
      <c r="M86" s="968">
        <v>-34326540.369999997</v>
      </c>
      <c r="N86" s="968"/>
      <c r="O86" s="968">
        <f t="shared" si="11"/>
        <v>-34326540.369999997</v>
      </c>
      <c r="P86" s="968">
        <v>-29648336.16</v>
      </c>
      <c r="Q86" s="968"/>
      <c r="R86" s="1166">
        <f t="shared" si="12"/>
        <v>-29648336.16</v>
      </c>
      <c r="S86" s="968">
        <v>-48026977.710000001</v>
      </c>
      <c r="T86" s="968"/>
      <c r="U86" s="968">
        <f>S86+T86</f>
        <v>-48026977.710000001</v>
      </c>
      <c r="V86" s="1145">
        <f>X88-49257064.35</f>
        <v>-49257064.350000001</v>
      </c>
      <c r="W86" s="1145"/>
      <c r="X86" s="1145">
        <f t="shared" si="13"/>
        <v>-49257064.350000001</v>
      </c>
    </row>
    <row r="87" spans="1:24" ht="15" customHeight="1" x14ac:dyDescent="0.2">
      <c r="A87" s="928"/>
      <c r="B87" s="928" t="s">
        <v>1504</v>
      </c>
      <c r="C87" s="1165">
        <v>4</v>
      </c>
      <c r="D87" s="1165">
        <v>9047</v>
      </c>
      <c r="E87" s="1167" t="s">
        <v>1379</v>
      </c>
      <c r="F87" s="1165">
        <v>0</v>
      </c>
      <c r="G87" s="1166"/>
      <c r="H87" s="1166"/>
      <c r="I87" s="1166"/>
      <c r="J87" s="1166"/>
      <c r="L87" s="968"/>
      <c r="M87" s="968"/>
      <c r="N87" s="968">
        <f>-15290001.34+2197120.7-1443781.54</f>
        <v>-14536662.18</v>
      </c>
      <c r="O87" s="968">
        <f t="shared" si="11"/>
        <v>-14536662.18</v>
      </c>
      <c r="P87" s="968">
        <v>-12863556.9</v>
      </c>
      <c r="Q87" s="968">
        <f>-507797.46-1044580.2</f>
        <v>-1552377.66</v>
      </c>
      <c r="R87" s="1166">
        <f t="shared" si="12"/>
        <v>-14415934.560000001</v>
      </c>
      <c r="S87" s="968">
        <f>-26371144.01+621856.54+557895.78+13371354.36</f>
        <v>-11820037.330000002</v>
      </c>
      <c r="T87" s="968">
        <v>-13371354.359999999</v>
      </c>
      <c r="U87" s="968">
        <f>S87+T87</f>
        <v>-25191391.690000001</v>
      </c>
      <c r="V87" s="1145">
        <v>-19487590.370000001</v>
      </c>
      <c r="W87" s="1145"/>
      <c r="X87" s="1145">
        <f t="shared" si="13"/>
        <v>-19487590.370000001</v>
      </c>
    </row>
    <row r="88" spans="1:24" ht="15" customHeight="1" x14ac:dyDescent="0.2">
      <c r="A88" s="928"/>
      <c r="B88" s="239" t="s">
        <v>1496</v>
      </c>
      <c r="C88" s="1165">
        <v>4</v>
      </c>
      <c r="D88" s="1165">
        <v>9060</v>
      </c>
      <c r="E88" s="1167" t="s">
        <v>1373</v>
      </c>
      <c r="F88" s="1165">
        <v>0</v>
      </c>
      <c r="G88" s="1166"/>
      <c r="H88" s="1166"/>
      <c r="I88" s="1166"/>
      <c r="J88" s="1166"/>
      <c r="L88" s="968"/>
      <c r="M88" s="968"/>
      <c r="N88" s="968">
        <v>-23920628.039999999</v>
      </c>
      <c r="O88" s="968">
        <f t="shared" si="11"/>
        <v>-23920628.039999999</v>
      </c>
      <c r="P88" s="968">
        <f>-34166034.33</f>
        <v>-34166034.329999998</v>
      </c>
      <c r="Q88" s="968"/>
      <c r="R88" s="1166">
        <f t="shared" si="12"/>
        <v>-34166034.329999998</v>
      </c>
      <c r="S88" s="968">
        <v>-41360350.590000004</v>
      </c>
      <c r="T88" s="968"/>
      <c r="U88" s="968">
        <v>0</v>
      </c>
      <c r="V88" s="1145">
        <v>0</v>
      </c>
      <c r="W88" s="1145"/>
      <c r="X88" s="1145">
        <f t="shared" si="13"/>
        <v>0</v>
      </c>
    </row>
    <row r="89" spans="1:24" s="620" customFormat="1" ht="15" customHeight="1" x14ac:dyDescent="0.2">
      <c r="A89" s="928"/>
      <c r="B89" s="928"/>
      <c r="C89" s="1165"/>
      <c r="D89" s="1165"/>
      <c r="E89" s="1165"/>
      <c r="F89" s="1165"/>
      <c r="G89" s="1164">
        <f>G38+G40+G81+G83+G84+G85+G86</f>
        <v>-180231455.46000001</v>
      </c>
      <c r="H89" s="1164">
        <f>H38+H40+H81+H83+H84+H85+H86</f>
        <v>-200999279.06</v>
      </c>
      <c r="I89" s="1164">
        <f>I38+I40+I81+I83+I84+I85+I86</f>
        <v>-17419765.039999999</v>
      </c>
      <c r="J89" s="1164">
        <f>J38+J40+J81+J83+J84+J85+J86</f>
        <v>-218419044.10000002</v>
      </c>
      <c r="K89" s="318"/>
      <c r="L89" s="1143">
        <f t="shared" ref="L89:X89" si="14">L38+L40+L81+L83+L84+L85+L86+L87+L88</f>
        <v>-218419044.10000002</v>
      </c>
      <c r="M89" s="1143">
        <f t="shared" si="14"/>
        <v>-286295949.41000003</v>
      </c>
      <c r="N89" s="1143">
        <f t="shared" si="14"/>
        <v>-2173510.2599999979</v>
      </c>
      <c r="O89" s="1143">
        <f t="shared" si="14"/>
        <v>-288469459.67000002</v>
      </c>
      <c r="P89" s="1143">
        <f t="shared" si="14"/>
        <v>-314180567.59999996</v>
      </c>
      <c r="Q89" s="1143">
        <f t="shared" si="14"/>
        <v>648473.67999999993</v>
      </c>
      <c r="R89" s="1164">
        <f t="shared" si="14"/>
        <v>-313532093.91999996</v>
      </c>
      <c r="S89" s="1143">
        <f t="shared" si="14"/>
        <v>-383892715.00999999</v>
      </c>
      <c r="T89" s="1143">
        <f t="shared" si="14"/>
        <v>-10248171</v>
      </c>
      <c r="U89" s="1143">
        <f t="shared" si="14"/>
        <v>-352780535.41999996</v>
      </c>
      <c r="V89" s="1341">
        <f t="shared" si="14"/>
        <v>-370164913.10000002</v>
      </c>
      <c r="W89" s="1341">
        <f t="shared" si="14"/>
        <v>0</v>
      </c>
      <c r="X89" s="1341">
        <f t="shared" si="14"/>
        <v>-370164913.10000002</v>
      </c>
    </row>
    <row r="90" spans="1:24" s="620" customFormat="1" ht="15" customHeight="1" x14ac:dyDescent="0.2">
      <c r="A90" s="928"/>
      <c r="B90" s="928"/>
      <c r="C90" s="1165"/>
      <c r="D90" s="1165"/>
      <c r="E90" s="1165"/>
      <c r="F90" s="1165"/>
      <c r="G90" s="1166"/>
      <c r="H90" s="1166"/>
      <c r="I90" s="1166"/>
      <c r="J90" s="968"/>
      <c r="K90" s="318"/>
      <c r="L90" s="968"/>
      <c r="M90" s="968"/>
      <c r="N90" s="968"/>
      <c r="O90" s="968"/>
      <c r="P90" s="968"/>
      <c r="Q90" s="968"/>
      <c r="R90" s="1166"/>
      <c r="S90" s="968"/>
      <c r="T90" s="968"/>
      <c r="U90" s="968"/>
      <c r="V90" s="1145"/>
      <c r="W90" s="1145"/>
      <c r="X90" s="1145"/>
    </row>
    <row r="91" spans="1:24" s="620" customFormat="1" ht="15" customHeight="1" x14ac:dyDescent="0.2">
      <c r="A91" s="238" t="s">
        <v>3947</v>
      </c>
      <c r="B91" s="238" t="s">
        <v>547</v>
      </c>
      <c r="C91" s="1165"/>
      <c r="D91" s="1165"/>
      <c r="E91" s="1165"/>
      <c r="F91" s="1165"/>
      <c r="G91" s="1166"/>
      <c r="H91" s="1166"/>
      <c r="I91" s="1166"/>
      <c r="J91" s="968"/>
      <c r="K91" s="318"/>
      <c r="L91" s="968"/>
      <c r="M91" s="968"/>
      <c r="N91" s="968"/>
      <c r="O91" s="968">
        <f t="shared" ref="O91:O96" si="15">M91+N91</f>
        <v>0</v>
      </c>
      <c r="P91" s="968"/>
      <c r="Q91" s="968"/>
      <c r="R91" s="1166">
        <f t="shared" ref="R91:R96" si="16">P91+Q91</f>
        <v>0</v>
      </c>
      <c r="S91" s="968">
        <v>0</v>
      </c>
      <c r="T91" s="968"/>
      <c r="U91" s="968"/>
      <c r="V91" s="1145"/>
      <c r="W91" s="1145"/>
      <c r="X91" s="1145"/>
    </row>
    <row r="92" spans="1:24" s="620" customFormat="1" ht="15" customHeight="1" x14ac:dyDescent="0.2">
      <c r="A92" s="928"/>
      <c r="B92" s="928" t="s">
        <v>1038</v>
      </c>
      <c r="C92" s="1165">
        <v>3</v>
      </c>
      <c r="D92" s="1165">
        <v>8020</v>
      </c>
      <c r="E92" s="1167" t="s">
        <v>1373</v>
      </c>
      <c r="F92" s="1165">
        <v>0</v>
      </c>
      <c r="G92" s="1166">
        <v>-138685784.47999999</v>
      </c>
      <c r="H92" s="1166">
        <v>-154437733.25999999</v>
      </c>
      <c r="I92" s="1166"/>
      <c r="J92" s="968">
        <f>H92+I92</f>
        <v>-154437733.25999999</v>
      </c>
      <c r="K92" s="318"/>
      <c r="L92" s="968">
        <v>-154437733.25999999</v>
      </c>
      <c r="M92" s="968">
        <v>-160387000</v>
      </c>
      <c r="N92" s="968"/>
      <c r="O92" s="968">
        <f t="shared" si="15"/>
        <v>-160387000</v>
      </c>
      <c r="P92" s="968">
        <f>-160387000+9360000</f>
        <v>-151027000</v>
      </c>
      <c r="Q92" s="968"/>
      <c r="R92" s="1166">
        <f t="shared" si="16"/>
        <v>-151027000</v>
      </c>
      <c r="S92" s="968">
        <f>-151027000-4549000</f>
        <v>-155576000</v>
      </c>
      <c r="T92" s="968"/>
      <c r="U92" s="968">
        <f>S92+T92</f>
        <v>-155576000</v>
      </c>
      <c r="V92" s="968">
        <v>-162094000</v>
      </c>
      <c r="W92" s="1145"/>
      <c r="X92" s="1145">
        <f>V92+W92</f>
        <v>-162094000</v>
      </c>
    </row>
    <row r="93" spans="1:24" s="620" customFormat="1" ht="15" customHeight="1" x14ac:dyDescent="0.2">
      <c r="A93" s="928"/>
      <c r="B93" s="928" t="s">
        <v>157</v>
      </c>
      <c r="C93" s="1165">
        <v>3</v>
      </c>
      <c r="D93" s="1165">
        <v>8020</v>
      </c>
      <c r="E93" s="1167" t="s">
        <v>1382</v>
      </c>
      <c r="F93" s="1165">
        <v>0</v>
      </c>
      <c r="G93" s="1166">
        <v>-3046683</v>
      </c>
      <c r="H93" s="1166">
        <v>-3351351</v>
      </c>
      <c r="I93" s="1166"/>
      <c r="J93" s="968">
        <f>H93+I93</f>
        <v>-3351351</v>
      </c>
      <c r="K93" s="318"/>
      <c r="L93" s="968">
        <v>-3351351</v>
      </c>
      <c r="M93" s="968">
        <v>-3686486</v>
      </c>
      <c r="N93" s="968"/>
      <c r="O93" s="968">
        <f t="shared" si="15"/>
        <v>-3686486</v>
      </c>
      <c r="P93" s="968">
        <v>-4055135</v>
      </c>
      <c r="Q93" s="968"/>
      <c r="R93" s="1166">
        <f t="shared" si="16"/>
        <v>-4055135</v>
      </c>
      <c r="S93" s="968">
        <f>-4055135-39130748.09-4377785.91-4875276</f>
        <v>-52438945</v>
      </c>
      <c r="T93" s="968"/>
      <c r="U93" s="968">
        <f>S93+T93</f>
        <v>-52438945</v>
      </c>
      <c r="V93" s="968">
        <v>-60513655</v>
      </c>
      <c r="W93" s="1145"/>
      <c r="X93" s="1145">
        <f>V93+W93</f>
        <v>-60513655</v>
      </c>
    </row>
    <row r="94" spans="1:24" s="620" customFormat="1" ht="15" customHeight="1" x14ac:dyDescent="0.2">
      <c r="A94" s="928"/>
      <c r="B94" s="928" t="s">
        <v>3249</v>
      </c>
      <c r="C94" s="1165">
        <v>3</v>
      </c>
      <c r="D94" s="1165">
        <v>8020</v>
      </c>
      <c r="E94" s="1167" t="s">
        <v>1384</v>
      </c>
      <c r="F94" s="1165">
        <v>0</v>
      </c>
      <c r="G94" s="1166"/>
      <c r="H94" s="1166"/>
      <c r="I94" s="1166"/>
      <c r="J94" s="968"/>
      <c r="K94" s="318"/>
      <c r="L94" s="968"/>
      <c r="M94" s="968"/>
      <c r="N94" s="968"/>
      <c r="O94" s="968"/>
      <c r="P94" s="968">
        <v>-14536585.699999999</v>
      </c>
      <c r="Q94" s="968"/>
      <c r="R94" s="1166">
        <f t="shared" si="16"/>
        <v>-14536585.699999999</v>
      </c>
      <c r="S94" s="968">
        <f>-14536585.7+1091895-14726109.76</f>
        <v>-28170800.460000001</v>
      </c>
      <c r="T94" s="968">
        <v>-1091895</v>
      </c>
      <c r="U94" s="968">
        <v>0</v>
      </c>
      <c r="V94" s="968"/>
      <c r="W94" s="1145"/>
      <c r="X94" s="1145">
        <f>V94+W94</f>
        <v>0</v>
      </c>
    </row>
    <row r="95" spans="1:24" s="620" customFormat="1" ht="15" customHeight="1" x14ac:dyDescent="0.2">
      <c r="A95" s="928"/>
      <c r="B95" s="928" t="s">
        <v>382</v>
      </c>
      <c r="C95" s="1165">
        <v>3</v>
      </c>
      <c r="D95" s="1165">
        <v>8020</v>
      </c>
      <c r="E95" s="1167" t="s">
        <v>1432</v>
      </c>
      <c r="F95" s="1165">
        <v>0</v>
      </c>
      <c r="G95" s="1166">
        <v>-10891470.720000001</v>
      </c>
      <c r="H95" s="1166">
        <v>-13154853.74</v>
      </c>
      <c r="I95" s="1166"/>
      <c r="J95" s="968">
        <f>H95+I95</f>
        <v>-13154853.74</v>
      </c>
      <c r="K95" s="318"/>
      <c r="L95" s="968">
        <v>-13154853.74</v>
      </c>
      <c r="M95" s="968">
        <v>-24897000</v>
      </c>
      <c r="N95" s="968"/>
      <c r="O95" s="968">
        <f t="shared" si="15"/>
        <v>-24897000</v>
      </c>
      <c r="P95" s="968">
        <f>-24897000-2035000</f>
        <v>-26932000</v>
      </c>
      <c r="Q95" s="968"/>
      <c r="R95" s="1166">
        <f t="shared" si="16"/>
        <v>-26932000</v>
      </c>
      <c r="S95" s="968">
        <f>-26932000-935000</f>
        <v>-27867000</v>
      </c>
      <c r="T95" s="968"/>
      <c r="U95" s="968">
        <f>S95+T95</f>
        <v>-27867000</v>
      </c>
      <c r="V95" s="968">
        <v>-31892000</v>
      </c>
      <c r="W95" s="1145"/>
      <c r="X95" s="1145">
        <f>V95+W95</f>
        <v>-31892000</v>
      </c>
    </row>
    <row r="96" spans="1:24" s="620" customFormat="1" ht="15" customHeight="1" x14ac:dyDescent="0.2">
      <c r="A96" s="928"/>
      <c r="B96" s="928" t="s">
        <v>1039</v>
      </c>
      <c r="C96" s="1165">
        <v>3</v>
      </c>
      <c r="D96" s="1165">
        <v>8020</v>
      </c>
      <c r="E96" s="1167" t="s">
        <v>1433</v>
      </c>
      <c r="F96" s="1165">
        <v>0</v>
      </c>
      <c r="G96" s="1166">
        <v>-6186486.1900000004</v>
      </c>
      <c r="H96" s="1166">
        <v>-6807810.5099999998</v>
      </c>
      <c r="I96" s="1166"/>
      <c r="J96" s="968">
        <f>H96+I96</f>
        <v>-6807810.5099999998</v>
      </c>
      <c r="K96" s="318"/>
      <c r="L96" s="968">
        <v>-6807810.5099999998</v>
      </c>
      <c r="M96" s="968">
        <v>-5417000</v>
      </c>
      <c r="N96" s="968"/>
      <c r="O96" s="968">
        <f t="shared" si="15"/>
        <v>-5417000</v>
      </c>
      <c r="P96" s="968">
        <f>-5417000-2821000</f>
        <v>-8238000</v>
      </c>
      <c r="Q96" s="968"/>
      <c r="R96" s="1166">
        <f t="shared" si="16"/>
        <v>-8238000</v>
      </c>
      <c r="S96" s="968">
        <f>-8238000-593000</f>
        <v>-8831000</v>
      </c>
      <c r="T96" s="968"/>
      <c r="U96" s="968">
        <f>S96+T96</f>
        <v>-8831000</v>
      </c>
      <c r="V96" s="968">
        <v>-9585000</v>
      </c>
      <c r="W96" s="1145"/>
      <c r="X96" s="1145">
        <f>V96+W96</f>
        <v>-9585000</v>
      </c>
    </row>
    <row r="97" spans="1:24" s="620" customFormat="1" ht="15" customHeight="1" x14ac:dyDescent="0.2">
      <c r="A97" s="928"/>
      <c r="B97" s="928"/>
      <c r="C97" s="1165"/>
      <c r="D97" s="1165"/>
      <c r="E97" s="1165"/>
      <c r="F97" s="1165"/>
      <c r="G97" s="1164">
        <f t="shared" ref="G97:O97" si="17">SUM(G92:G96)</f>
        <v>-158810424.38999999</v>
      </c>
      <c r="H97" s="1164">
        <f t="shared" si="17"/>
        <v>-177751748.50999999</v>
      </c>
      <c r="I97" s="1164">
        <f t="shared" si="17"/>
        <v>0</v>
      </c>
      <c r="J97" s="1143">
        <f t="shared" si="17"/>
        <v>-177751748.50999999</v>
      </c>
      <c r="K97" s="318"/>
      <c r="L97" s="1143">
        <f t="shared" si="17"/>
        <v>-177751748.50999999</v>
      </c>
      <c r="M97" s="1143">
        <f>SUM(M92:M96)</f>
        <v>-194387486</v>
      </c>
      <c r="N97" s="1143">
        <f t="shared" si="17"/>
        <v>0</v>
      </c>
      <c r="O97" s="1143">
        <f t="shared" si="17"/>
        <v>-194387486</v>
      </c>
      <c r="P97" s="1143">
        <f t="shared" ref="P97:X97" si="18">SUM(P92:P96)</f>
        <v>-204788720.69999999</v>
      </c>
      <c r="Q97" s="1143">
        <f t="shared" si="18"/>
        <v>0</v>
      </c>
      <c r="R97" s="1164">
        <f t="shared" si="18"/>
        <v>-204788720.69999999</v>
      </c>
      <c r="S97" s="1143">
        <f t="shared" si="18"/>
        <v>-272883745.46000004</v>
      </c>
      <c r="T97" s="1143">
        <f t="shared" si="18"/>
        <v>-1091895</v>
      </c>
      <c r="U97" s="1143">
        <f t="shared" si="18"/>
        <v>-244712945</v>
      </c>
      <c r="V97" s="1341">
        <f t="shared" si="18"/>
        <v>-264084655</v>
      </c>
      <c r="W97" s="1341">
        <f t="shared" si="18"/>
        <v>0</v>
      </c>
      <c r="X97" s="1341">
        <f t="shared" si="18"/>
        <v>-264084655</v>
      </c>
    </row>
    <row r="98" spans="1:24" s="620" customFormat="1" ht="15" customHeight="1" x14ac:dyDescent="0.2">
      <c r="A98" s="928"/>
      <c r="B98" s="928"/>
      <c r="C98" s="1165"/>
      <c r="D98" s="1165"/>
      <c r="E98" s="1165"/>
      <c r="F98" s="1165"/>
      <c r="G98" s="1166"/>
      <c r="H98" s="1166"/>
      <c r="I98" s="1166"/>
      <c r="J98" s="968"/>
      <c r="K98" s="318"/>
      <c r="L98" s="968"/>
      <c r="M98" s="968"/>
      <c r="N98" s="968"/>
      <c r="O98" s="968"/>
      <c r="P98" s="968"/>
      <c r="Q98" s="968"/>
      <c r="R98" s="1166"/>
      <c r="S98" s="968"/>
      <c r="T98" s="968"/>
      <c r="U98" s="968"/>
      <c r="V98" s="1145"/>
      <c r="W98" s="1145"/>
      <c r="X98" s="1145"/>
    </row>
    <row r="99" spans="1:24" s="620" customFormat="1" ht="15" customHeight="1" x14ac:dyDescent="0.2">
      <c r="A99" s="928"/>
      <c r="B99" s="928"/>
      <c r="C99" s="1165"/>
      <c r="D99" s="1165"/>
      <c r="E99" s="1165"/>
      <c r="F99" s="1165"/>
      <c r="G99" s="1166"/>
      <c r="H99" s="1166"/>
      <c r="I99" s="1166"/>
      <c r="J99" s="968"/>
      <c r="K99" s="318"/>
      <c r="L99" s="968"/>
      <c r="M99" s="968"/>
      <c r="N99" s="968"/>
      <c r="O99" s="968"/>
      <c r="P99" s="968"/>
      <c r="Q99" s="968"/>
      <c r="R99" s="1166"/>
      <c r="S99" s="968"/>
      <c r="T99" s="968"/>
      <c r="U99" s="968"/>
      <c r="V99" s="1145"/>
      <c r="W99" s="1145"/>
      <c r="X99" s="1145"/>
    </row>
    <row r="100" spans="1:24" s="620" customFormat="1" ht="15" customHeight="1" x14ac:dyDescent="0.2">
      <c r="A100" s="238" t="s">
        <v>118</v>
      </c>
      <c r="B100" s="238" t="s">
        <v>119</v>
      </c>
      <c r="C100" s="1165"/>
      <c r="D100" s="1165"/>
      <c r="E100" s="1165"/>
      <c r="F100" s="1165"/>
      <c r="G100" s="1166"/>
      <c r="H100" s="1166"/>
      <c r="I100" s="1166"/>
      <c r="J100" s="968"/>
      <c r="K100" s="318"/>
      <c r="L100" s="968"/>
      <c r="M100" s="968"/>
      <c r="N100" s="968"/>
      <c r="O100" s="968"/>
      <c r="P100" s="968"/>
      <c r="Q100" s="968"/>
      <c r="R100" s="1166"/>
      <c r="S100" s="968"/>
      <c r="T100" s="968"/>
      <c r="U100" s="968"/>
      <c r="V100" s="1145"/>
      <c r="W100" s="1145"/>
      <c r="X100" s="1145"/>
    </row>
    <row r="101" spans="1:24" s="620" customFormat="1" ht="25.5" customHeight="1" x14ac:dyDescent="0.2">
      <c r="A101" s="928"/>
      <c r="B101" s="240" t="s">
        <v>331</v>
      </c>
      <c r="C101" s="1165">
        <v>3</v>
      </c>
      <c r="D101" s="1165">
        <v>8060</v>
      </c>
      <c r="E101" s="1167" t="s">
        <v>1379</v>
      </c>
      <c r="F101" s="1165">
        <v>0</v>
      </c>
      <c r="G101" s="1166">
        <v>-953926.67</v>
      </c>
      <c r="H101" s="1166">
        <v>-953926.67</v>
      </c>
      <c r="I101" s="1166"/>
      <c r="J101" s="968">
        <f>H101+I101</f>
        <v>-953926.67</v>
      </c>
      <c r="K101" s="318"/>
      <c r="L101" s="968">
        <v>-953926.67</v>
      </c>
      <c r="M101" s="968">
        <v>-953926.67</v>
      </c>
      <c r="N101" s="968"/>
      <c r="O101" s="968">
        <f t="shared" ref="O101:O116" si="19">M101+N101</f>
        <v>-953926.67</v>
      </c>
      <c r="P101" s="968">
        <v>0</v>
      </c>
      <c r="Q101" s="968"/>
      <c r="R101" s="1166">
        <f t="shared" ref="R101:R116" si="20">P101+Q101</f>
        <v>0</v>
      </c>
      <c r="S101" s="968">
        <v>0</v>
      </c>
      <c r="T101" s="968"/>
      <c r="U101" s="968">
        <f t="shared" ref="U101:U116" si="21">S101+T101</f>
        <v>0</v>
      </c>
      <c r="V101" s="1145"/>
      <c r="W101" s="1145"/>
      <c r="X101" s="1145">
        <f t="shared" ref="X101:X116" si="22">V101+W101</f>
        <v>0</v>
      </c>
    </row>
    <row r="102" spans="1:24" s="620" customFormat="1" ht="25.5" customHeight="1" x14ac:dyDescent="0.2">
      <c r="A102" s="928"/>
      <c r="B102" s="240" t="s">
        <v>332</v>
      </c>
      <c r="C102" s="1165">
        <v>3</v>
      </c>
      <c r="D102" s="1165">
        <v>8060</v>
      </c>
      <c r="E102" s="1167" t="s">
        <v>1380</v>
      </c>
      <c r="F102" s="1165">
        <v>0</v>
      </c>
      <c r="G102" s="1166">
        <v>-649873.88</v>
      </c>
      <c r="H102" s="1166">
        <v>-649873.88</v>
      </c>
      <c r="I102" s="1166"/>
      <c r="J102" s="968">
        <f>H102+I102</f>
        <v>-649873.88</v>
      </c>
      <c r="K102" s="318"/>
      <c r="L102" s="968">
        <v>-649873.88</v>
      </c>
      <c r="M102" s="968">
        <v>-649873.88</v>
      </c>
      <c r="N102" s="968"/>
      <c r="O102" s="968">
        <f t="shared" si="19"/>
        <v>-649873.88</v>
      </c>
      <c r="P102" s="968">
        <v>0</v>
      </c>
      <c r="Q102" s="968"/>
      <c r="R102" s="1166">
        <f t="shared" si="20"/>
        <v>0</v>
      </c>
      <c r="S102" s="968">
        <v>0</v>
      </c>
      <c r="T102" s="968"/>
      <c r="U102" s="968">
        <f t="shared" si="21"/>
        <v>0</v>
      </c>
      <c r="V102" s="1145"/>
      <c r="W102" s="1145"/>
      <c r="X102" s="1145">
        <f t="shared" si="22"/>
        <v>0</v>
      </c>
    </row>
    <row r="103" spans="1:24" s="620" customFormat="1" ht="15" customHeight="1" x14ac:dyDescent="0.2">
      <c r="A103" s="928"/>
      <c r="B103" s="240" t="s">
        <v>1495</v>
      </c>
      <c r="C103" s="1165">
        <v>3</v>
      </c>
      <c r="D103" s="1165">
        <v>8060</v>
      </c>
      <c r="E103" s="1167" t="s">
        <v>1384</v>
      </c>
      <c r="F103" s="1165">
        <v>0</v>
      </c>
      <c r="G103" s="1166"/>
      <c r="H103" s="1166">
        <v>-6153144.4800000004</v>
      </c>
      <c r="I103" s="1166"/>
      <c r="J103" s="968">
        <f>H103+I103</f>
        <v>-6153144.4800000004</v>
      </c>
      <c r="K103" s="318"/>
      <c r="L103" s="968">
        <v>-6153144.4800000004</v>
      </c>
      <c r="M103" s="968">
        <v>-6153144.4800000004</v>
      </c>
      <c r="N103" s="968"/>
      <c r="O103" s="968">
        <f t="shared" si="19"/>
        <v>-6153144.4800000004</v>
      </c>
      <c r="P103" s="968">
        <v>-6153144.4800000004</v>
      </c>
      <c r="Q103" s="968"/>
      <c r="R103" s="1166">
        <f t="shared" si="20"/>
        <v>-6153144.4800000004</v>
      </c>
      <c r="S103" s="968">
        <v>-3355674.42</v>
      </c>
      <c r="T103" s="968"/>
      <c r="U103" s="968">
        <f t="shared" si="21"/>
        <v>-3355674.42</v>
      </c>
      <c r="V103" s="968"/>
      <c r="W103" s="1145"/>
      <c r="X103" s="1145">
        <f t="shared" si="22"/>
        <v>0</v>
      </c>
    </row>
    <row r="104" spans="1:24" s="620" customFormat="1" ht="15" customHeight="1" x14ac:dyDescent="0.2">
      <c r="A104" s="928"/>
      <c r="B104" s="240" t="s">
        <v>596</v>
      </c>
      <c r="C104" s="1165">
        <v>3</v>
      </c>
      <c r="D104" s="1165">
        <v>8060</v>
      </c>
      <c r="E104" s="1167" t="s">
        <v>1447</v>
      </c>
      <c r="F104" s="1165">
        <v>0</v>
      </c>
      <c r="G104" s="1166"/>
      <c r="H104" s="1166">
        <v>-371197.42</v>
      </c>
      <c r="I104" s="1166"/>
      <c r="J104" s="968">
        <f>H104+I104</f>
        <v>-371197.42</v>
      </c>
      <c r="K104" s="318"/>
      <c r="L104" s="968">
        <v>-371197.42</v>
      </c>
      <c r="M104" s="968">
        <v>0</v>
      </c>
      <c r="N104" s="968"/>
      <c r="O104" s="968">
        <f t="shared" si="19"/>
        <v>0</v>
      </c>
      <c r="P104" s="968">
        <v>-3270507.53</v>
      </c>
      <c r="Q104" s="968"/>
      <c r="R104" s="1166">
        <f t="shared" si="20"/>
        <v>-3270507.53</v>
      </c>
      <c r="S104" s="968">
        <v>0</v>
      </c>
      <c r="T104" s="968"/>
      <c r="U104" s="968">
        <f t="shared" si="21"/>
        <v>0</v>
      </c>
      <c r="V104" s="1145"/>
      <c r="W104" s="1145"/>
      <c r="X104" s="1145">
        <f t="shared" si="22"/>
        <v>0</v>
      </c>
    </row>
    <row r="105" spans="1:24" s="620" customFormat="1" ht="15" customHeight="1" x14ac:dyDescent="0.2">
      <c r="A105" s="928"/>
      <c r="B105" s="240" t="s">
        <v>329</v>
      </c>
      <c r="C105" s="1165">
        <v>3</v>
      </c>
      <c r="D105" s="1165">
        <v>8060</v>
      </c>
      <c r="E105" s="1167" t="s">
        <v>1432</v>
      </c>
      <c r="F105" s="1165">
        <v>0</v>
      </c>
      <c r="G105" s="1166">
        <v>-54714.19</v>
      </c>
      <c r="H105" s="1166">
        <v>-54714.19</v>
      </c>
      <c r="I105" s="1166"/>
      <c r="J105" s="968">
        <f t="shared" ref="J105:J116" si="23">H105+I105</f>
        <v>-54714.19</v>
      </c>
      <c r="K105" s="318"/>
      <c r="L105" s="968">
        <v>-54714.19</v>
      </c>
      <c r="M105" s="968">
        <v>-54714.19</v>
      </c>
      <c r="N105" s="968"/>
      <c r="O105" s="968">
        <f t="shared" si="19"/>
        <v>-54714.19</v>
      </c>
      <c r="P105" s="968">
        <v>0</v>
      </c>
      <c r="Q105" s="968"/>
      <c r="R105" s="1166">
        <f t="shared" si="20"/>
        <v>0</v>
      </c>
      <c r="S105" s="968">
        <v>0</v>
      </c>
      <c r="T105" s="968"/>
      <c r="U105" s="968">
        <f t="shared" si="21"/>
        <v>0</v>
      </c>
      <c r="V105" s="1145"/>
      <c r="W105" s="1145"/>
      <c r="X105" s="1145">
        <f t="shared" si="22"/>
        <v>0</v>
      </c>
    </row>
    <row r="106" spans="1:24" ht="15" customHeight="1" x14ac:dyDescent="0.2">
      <c r="A106" s="928"/>
      <c r="B106" s="241" t="s">
        <v>919</v>
      </c>
      <c r="C106" s="1165">
        <v>3</v>
      </c>
      <c r="D106" s="1165">
        <v>8060</v>
      </c>
      <c r="E106" s="1167" t="s">
        <v>1433</v>
      </c>
      <c r="F106" s="1165">
        <v>0</v>
      </c>
      <c r="G106" s="1166"/>
      <c r="H106" s="1166">
        <v>-6407000</v>
      </c>
      <c r="I106" s="1166"/>
      <c r="J106" s="968">
        <f t="shared" si="23"/>
        <v>-6407000</v>
      </c>
      <c r="L106" s="968">
        <v>-6407000</v>
      </c>
      <c r="M106" s="968">
        <v>-2057677.42</v>
      </c>
      <c r="N106" s="968"/>
      <c r="O106" s="968">
        <f t="shared" si="19"/>
        <v>-2057677.42</v>
      </c>
      <c r="P106" s="968">
        <v>-7731052.3700000001</v>
      </c>
      <c r="Q106" s="968"/>
      <c r="R106" s="1166">
        <f t="shared" si="20"/>
        <v>-7731052.3700000001</v>
      </c>
      <c r="S106" s="968">
        <v>-20840183.75</v>
      </c>
      <c r="T106" s="968"/>
      <c r="U106" s="968">
        <f t="shared" si="21"/>
        <v>-20840183.75</v>
      </c>
      <c r="V106" s="1145"/>
      <c r="W106" s="1145"/>
      <c r="X106" s="1145">
        <f t="shared" si="22"/>
        <v>0</v>
      </c>
    </row>
    <row r="107" spans="1:24" ht="15" customHeight="1" x14ac:dyDescent="0.2">
      <c r="A107" s="928"/>
      <c r="B107" s="241" t="s">
        <v>1434</v>
      </c>
      <c r="C107" s="1165">
        <v>3</v>
      </c>
      <c r="D107" s="1165">
        <v>8060</v>
      </c>
      <c r="E107" s="1167" t="s">
        <v>1435</v>
      </c>
      <c r="F107" s="1165">
        <v>0</v>
      </c>
      <c r="G107" s="1166">
        <v>-7992204</v>
      </c>
      <c r="H107" s="1166">
        <v>0</v>
      </c>
      <c r="I107" s="1166"/>
      <c r="J107" s="968">
        <f t="shared" si="23"/>
        <v>0</v>
      </c>
      <c r="L107" s="968">
        <v>0</v>
      </c>
      <c r="M107" s="968">
        <v>-1374328.2</v>
      </c>
      <c r="N107" s="968"/>
      <c r="O107" s="968">
        <f t="shared" si="19"/>
        <v>-1374328.2</v>
      </c>
      <c r="P107" s="968">
        <v>0</v>
      </c>
      <c r="Q107" s="968"/>
      <c r="R107" s="1166">
        <f t="shared" si="20"/>
        <v>0</v>
      </c>
      <c r="S107" s="968">
        <v>0</v>
      </c>
      <c r="T107" s="968"/>
      <c r="U107" s="968">
        <f t="shared" si="21"/>
        <v>0</v>
      </c>
      <c r="V107" s="1145"/>
      <c r="W107" s="1145"/>
      <c r="X107" s="1145">
        <f t="shared" si="22"/>
        <v>0</v>
      </c>
    </row>
    <row r="108" spans="1:24" ht="15" customHeight="1" x14ac:dyDescent="0.2">
      <c r="A108" s="928"/>
      <c r="B108" s="240" t="s">
        <v>334</v>
      </c>
      <c r="C108" s="1165">
        <v>3</v>
      </c>
      <c r="D108" s="1165">
        <v>8060</v>
      </c>
      <c r="E108" s="1167" t="s">
        <v>1436</v>
      </c>
      <c r="F108" s="1165">
        <v>0</v>
      </c>
      <c r="G108" s="1166">
        <v>-2949709.53</v>
      </c>
      <c r="H108" s="1166">
        <v>-2949709.53</v>
      </c>
      <c r="I108" s="1166"/>
      <c r="J108" s="968">
        <f t="shared" si="23"/>
        <v>-2949709.53</v>
      </c>
      <c r="L108" s="968">
        <v>-2949709.53</v>
      </c>
      <c r="M108" s="968">
        <v>-2949709.53</v>
      </c>
      <c r="N108" s="968"/>
      <c r="O108" s="968">
        <f t="shared" si="19"/>
        <v>-2949709.53</v>
      </c>
      <c r="P108" s="968">
        <v>-2949709.53</v>
      </c>
      <c r="Q108" s="968"/>
      <c r="R108" s="1166">
        <f t="shared" si="20"/>
        <v>-2949709.53</v>
      </c>
      <c r="S108" s="968">
        <v>-2949709.53</v>
      </c>
      <c r="T108" s="968"/>
      <c r="U108" s="968">
        <f t="shared" si="21"/>
        <v>-2949709.53</v>
      </c>
      <c r="V108" s="968">
        <f>T108+U108</f>
        <v>-2949709.53</v>
      </c>
      <c r="W108" s="1145"/>
      <c r="X108" s="1145">
        <f t="shared" si="22"/>
        <v>-2949709.53</v>
      </c>
    </row>
    <row r="109" spans="1:24" ht="15" customHeight="1" x14ac:dyDescent="0.2">
      <c r="A109" s="928"/>
      <c r="B109" s="240" t="s">
        <v>333</v>
      </c>
      <c r="C109" s="1165">
        <v>3</v>
      </c>
      <c r="D109" s="1165">
        <v>8060</v>
      </c>
      <c r="E109" s="1167" t="s">
        <v>1437</v>
      </c>
      <c r="F109" s="1165">
        <v>0</v>
      </c>
      <c r="G109" s="1166">
        <v>-5250000</v>
      </c>
      <c r="H109" s="1166">
        <v>-34276855.210000001</v>
      </c>
      <c r="I109" s="1166"/>
      <c r="J109" s="968">
        <f t="shared" si="23"/>
        <v>-34276855.210000001</v>
      </c>
      <c r="L109" s="968">
        <v>-34276855.210000001</v>
      </c>
      <c r="M109" s="968">
        <v>-42338276.600000001</v>
      </c>
      <c r="N109" s="968"/>
      <c r="O109" s="968">
        <f t="shared" si="19"/>
        <v>-42338276.600000001</v>
      </c>
      <c r="P109" s="968">
        <v>-111917691.28</v>
      </c>
      <c r="Q109" s="968"/>
      <c r="R109" s="1166">
        <f t="shared" si="20"/>
        <v>-111917691.28</v>
      </c>
      <c r="S109" s="968">
        <v>-28167868.030000001</v>
      </c>
      <c r="T109" s="968"/>
      <c r="U109" s="968">
        <f t="shared" si="21"/>
        <v>-28167868.030000001</v>
      </c>
      <c r="V109" s="968"/>
      <c r="W109" s="1145"/>
      <c r="X109" s="1145">
        <f t="shared" si="22"/>
        <v>0</v>
      </c>
    </row>
    <row r="110" spans="1:24" ht="15" customHeight="1" x14ac:dyDescent="0.2">
      <c r="A110" s="928"/>
      <c r="B110" s="240" t="s">
        <v>330</v>
      </c>
      <c r="C110" s="1165">
        <v>3</v>
      </c>
      <c r="D110" s="1165">
        <v>8060</v>
      </c>
      <c r="E110" s="1167" t="s">
        <v>1438</v>
      </c>
      <c r="F110" s="1165">
        <v>0</v>
      </c>
      <c r="G110" s="1166">
        <v>-333424.02</v>
      </c>
      <c r="H110" s="1166">
        <v>-349571.77</v>
      </c>
      <c r="I110" s="1166"/>
      <c r="J110" s="968">
        <f t="shared" si="23"/>
        <v>-349571.77</v>
      </c>
      <c r="L110" s="968">
        <v>-349571.77</v>
      </c>
      <c r="M110" s="968">
        <v>-364781.03</v>
      </c>
      <c r="N110" s="968"/>
      <c r="O110" s="968">
        <f t="shared" si="19"/>
        <v>-364781.03</v>
      </c>
      <c r="P110" s="968">
        <v>-385777.15</v>
      </c>
      <c r="Q110" s="968"/>
      <c r="R110" s="1166">
        <f t="shared" si="20"/>
        <v>-385777.15</v>
      </c>
      <c r="S110" s="968">
        <v>-404429.07</v>
      </c>
      <c r="T110" s="968"/>
      <c r="U110" s="968">
        <f t="shared" si="21"/>
        <v>-404429.07</v>
      </c>
      <c r="V110" s="1145">
        <v>-427591.02</v>
      </c>
      <c r="W110" s="1145"/>
      <c r="X110" s="1145">
        <f t="shared" si="22"/>
        <v>-427591.02</v>
      </c>
    </row>
    <row r="111" spans="1:24" ht="15" customHeight="1" x14ac:dyDescent="0.2">
      <c r="A111" s="928"/>
      <c r="B111" s="240" t="s">
        <v>815</v>
      </c>
      <c r="C111" s="1165">
        <v>3</v>
      </c>
      <c r="D111" s="1165">
        <v>8060</v>
      </c>
      <c r="E111" s="1167" t="s">
        <v>1439</v>
      </c>
      <c r="F111" s="1165">
        <v>0</v>
      </c>
      <c r="G111" s="1166">
        <v>-118520005.75</v>
      </c>
      <c r="H111" s="1166">
        <v>-111398780.28</v>
      </c>
      <c r="I111" s="1166"/>
      <c r="J111" s="968">
        <f t="shared" si="23"/>
        <v>-111398780.28</v>
      </c>
      <c r="L111" s="968">
        <v>-111398780.28</v>
      </c>
      <c r="M111" s="968">
        <v>-137656169.13</v>
      </c>
      <c r="N111" s="968"/>
      <c r="O111" s="968">
        <f t="shared" si="19"/>
        <v>-137656169.13</v>
      </c>
      <c r="P111" s="968">
        <v>-136106614.19999999</v>
      </c>
      <c r="Q111" s="968"/>
      <c r="R111" s="1166">
        <f t="shared" si="20"/>
        <v>-136106614.19999999</v>
      </c>
      <c r="S111" s="968">
        <v>-133711393.54000001</v>
      </c>
      <c r="T111" s="968"/>
      <c r="U111" s="968">
        <f t="shared" si="21"/>
        <v>-133711393.54000001</v>
      </c>
      <c r="V111" s="1145"/>
      <c r="W111" s="1145"/>
      <c r="X111" s="1145">
        <f t="shared" si="22"/>
        <v>0</v>
      </c>
    </row>
    <row r="112" spans="1:24" ht="15" customHeight="1" x14ac:dyDescent="0.2">
      <c r="A112" s="928"/>
      <c r="B112" s="241" t="s">
        <v>1440</v>
      </c>
      <c r="C112" s="1165">
        <v>3</v>
      </c>
      <c r="D112" s="1165">
        <v>8060</v>
      </c>
      <c r="E112" s="1167" t="s">
        <v>1441</v>
      </c>
      <c r="F112" s="1165">
        <v>0</v>
      </c>
      <c r="G112" s="1166">
        <v>-257208.3</v>
      </c>
      <c r="H112" s="1166">
        <v>-8537557.9900000002</v>
      </c>
      <c r="I112" s="1166"/>
      <c r="J112" s="968">
        <f t="shared" si="23"/>
        <v>-8537557.9900000002</v>
      </c>
      <c r="L112" s="968">
        <v>-8537557.9900000002</v>
      </c>
      <c r="M112" s="968">
        <v>0</v>
      </c>
      <c r="N112" s="968"/>
      <c r="O112" s="968">
        <f t="shared" si="19"/>
        <v>0</v>
      </c>
      <c r="P112" s="968">
        <v>-4057089.67</v>
      </c>
      <c r="Q112" s="968"/>
      <c r="R112" s="1166">
        <f t="shared" si="20"/>
        <v>-4057089.67</v>
      </c>
      <c r="S112" s="968">
        <v>0</v>
      </c>
      <c r="T112" s="968"/>
      <c r="U112" s="968">
        <f t="shared" si="21"/>
        <v>0</v>
      </c>
      <c r="V112" s="1145"/>
      <c r="W112" s="1145"/>
      <c r="X112" s="1145">
        <f t="shared" si="22"/>
        <v>0</v>
      </c>
    </row>
    <row r="113" spans="1:24" ht="15" customHeight="1" x14ac:dyDescent="0.2">
      <c r="A113" s="238"/>
      <c r="B113" s="239" t="s">
        <v>791</v>
      </c>
      <c r="C113" s="1165">
        <v>3</v>
      </c>
      <c r="D113" s="1165">
        <v>8060</v>
      </c>
      <c r="E113" s="1167" t="s">
        <v>1442</v>
      </c>
      <c r="F113" s="1165">
        <v>0</v>
      </c>
      <c r="G113" s="1166">
        <v>-970098</v>
      </c>
      <c r="H113" s="1166">
        <v>-2464616.52</v>
      </c>
      <c r="I113" s="1166"/>
      <c r="J113" s="968">
        <f t="shared" si="23"/>
        <v>-2464616.52</v>
      </c>
      <c r="L113" s="968">
        <v>-2464616.52</v>
      </c>
      <c r="M113" s="968">
        <v>0</v>
      </c>
      <c r="N113" s="968"/>
      <c r="O113" s="968">
        <f t="shared" si="19"/>
        <v>0</v>
      </c>
      <c r="P113" s="968">
        <v>0</v>
      </c>
      <c r="Q113" s="968"/>
      <c r="R113" s="1166">
        <f t="shared" si="20"/>
        <v>0</v>
      </c>
      <c r="S113" s="968">
        <v>0</v>
      </c>
      <c r="T113" s="968"/>
      <c r="U113" s="968">
        <f t="shared" si="21"/>
        <v>0</v>
      </c>
      <c r="V113" s="1145"/>
      <c r="W113" s="1145"/>
      <c r="X113" s="1145">
        <f t="shared" si="22"/>
        <v>0</v>
      </c>
    </row>
    <row r="114" spans="1:24" ht="15" customHeight="1" x14ac:dyDescent="0.2">
      <c r="A114" s="238"/>
      <c r="B114" s="239" t="s">
        <v>215</v>
      </c>
      <c r="C114" s="1165">
        <v>3</v>
      </c>
      <c r="D114" s="1165">
        <v>8060</v>
      </c>
      <c r="E114" s="1167" t="s">
        <v>1443</v>
      </c>
      <c r="F114" s="1165">
        <v>0</v>
      </c>
      <c r="G114" s="1166">
        <v>-25000000</v>
      </c>
      <c r="H114" s="1166">
        <v>0</v>
      </c>
      <c r="I114" s="1166"/>
      <c r="J114" s="968">
        <f t="shared" si="23"/>
        <v>0</v>
      </c>
      <c r="L114" s="968">
        <v>0</v>
      </c>
      <c r="M114" s="968">
        <v>0</v>
      </c>
      <c r="N114" s="968"/>
      <c r="O114" s="968">
        <f t="shared" si="19"/>
        <v>0</v>
      </c>
      <c r="P114" s="968">
        <v>0</v>
      </c>
      <c r="Q114" s="968"/>
      <c r="R114" s="1166">
        <f t="shared" si="20"/>
        <v>0</v>
      </c>
      <c r="S114" s="968">
        <v>0</v>
      </c>
      <c r="T114" s="968"/>
      <c r="U114" s="968">
        <f t="shared" si="21"/>
        <v>0</v>
      </c>
      <c r="V114" s="1145"/>
      <c r="W114" s="1145"/>
      <c r="X114" s="1145">
        <f t="shared" si="22"/>
        <v>0</v>
      </c>
    </row>
    <row r="115" spans="1:24" ht="15" customHeight="1" x14ac:dyDescent="0.2">
      <c r="A115" s="238"/>
      <c r="B115" s="239" t="s">
        <v>216</v>
      </c>
      <c r="C115" s="1165">
        <v>3</v>
      </c>
      <c r="D115" s="1165">
        <v>8060</v>
      </c>
      <c r="E115" s="1167" t="s">
        <v>1444</v>
      </c>
      <c r="F115" s="1165">
        <v>0</v>
      </c>
      <c r="G115" s="1166">
        <v>-2605292.38</v>
      </c>
      <c r="H115" s="1166">
        <v>0</v>
      </c>
      <c r="I115" s="1166"/>
      <c r="J115" s="968">
        <f t="shared" si="23"/>
        <v>0</v>
      </c>
      <c r="L115" s="968">
        <v>0</v>
      </c>
      <c r="M115" s="968">
        <v>0</v>
      </c>
      <c r="N115" s="968"/>
      <c r="O115" s="968">
        <f t="shared" si="19"/>
        <v>0</v>
      </c>
      <c r="P115" s="968">
        <v>0</v>
      </c>
      <c r="Q115" s="968"/>
      <c r="R115" s="1166">
        <f t="shared" si="20"/>
        <v>0</v>
      </c>
      <c r="S115" s="968">
        <v>-5705691.5700000003</v>
      </c>
      <c r="T115" s="968"/>
      <c r="U115" s="968">
        <f t="shared" si="21"/>
        <v>-5705691.5700000003</v>
      </c>
      <c r="V115" s="1145">
        <v>-8450451.3699999992</v>
      </c>
      <c r="W115" s="1145"/>
      <c r="X115" s="1145">
        <f t="shared" si="22"/>
        <v>-8450451.3699999992</v>
      </c>
    </row>
    <row r="116" spans="1:24" ht="15" customHeight="1" x14ac:dyDescent="0.2">
      <c r="A116" s="928"/>
      <c r="B116" s="240" t="s">
        <v>3188</v>
      </c>
      <c r="C116" s="1165">
        <v>3</v>
      </c>
      <c r="D116" s="1165">
        <v>8060</v>
      </c>
      <c r="E116" s="1167" t="s">
        <v>1448</v>
      </c>
      <c r="F116" s="1165">
        <v>0</v>
      </c>
      <c r="G116" s="1166">
        <v>-1296000</v>
      </c>
      <c r="H116" s="1166">
        <v>0</v>
      </c>
      <c r="I116" s="1166"/>
      <c r="J116" s="968">
        <f t="shared" si="23"/>
        <v>0</v>
      </c>
      <c r="L116" s="968">
        <v>0</v>
      </c>
      <c r="M116" s="968">
        <v>0</v>
      </c>
      <c r="N116" s="968"/>
      <c r="O116" s="968">
        <f t="shared" si="19"/>
        <v>0</v>
      </c>
      <c r="P116" s="968">
        <v>-2007735.35</v>
      </c>
      <c r="Q116" s="968"/>
      <c r="R116" s="1166">
        <f t="shared" si="20"/>
        <v>-2007735.35</v>
      </c>
      <c r="S116" s="968">
        <v>0</v>
      </c>
      <c r="T116" s="968"/>
      <c r="U116" s="968">
        <f t="shared" si="21"/>
        <v>0</v>
      </c>
      <c r="V116" s="1145"/>
      <c r="W116" s="1145"/>
      <c r="X116" s="1145">
        <f t="shared" si="22"/>
        <v>0</v>
      </c>
    </row>
    <row r="117" spans="1:24" ht="15" customHeight="1" x14ac:dyDescent="0.2">
      <c r="A117" s="928"/>
      <c r="B117" s="928"/>
      <c r="C117" s="1165"/>
      <c r="D117" s="1165"/>
      <c r="E117" s="1165"/>
      <c r="F117" s="1165"/>
      <c r="G117" s="1164">
        <f>SUM(G101:G116)</f>
        <v>-166832456.72</v>
      </c>
      <c r="H117" s="1164">
        <f>SUM(H101:H116)</f>
        <v>-174566947.94000003</v>
      </c>
      <c r="I117" s="1164">
        <f>SUM(I101:I116)</f>
        <v>0</v>
      </c>
      <c r="J117" s="1143">
        <f>SUM(J101:J116)</f>
        <v>-174566947.94000003</v>
      </c>
      <c r="L117" s="1143">
        <f t="shared" ref="L117:X117" si="24">SUM(L101:L116)</f>
        <v>-174566947.94000003</v>
      </c>
      <c r="M117" s="1143">
        <f t="shared" si="24"/>
        <v>-194552601.13</v>
      </c>
      <c r="N117" s="1143">
        <f t="shared" si="24"/>
        <v>0</v>
      </c>
      <c r="O117" s="1143">
        <f t="shared" si="24"/>
        <v>-194552601.13</v>
      </c>
      <c r="P117" s="1143">
        <f t="shared" si="24"/>
        <v>-274579321.56</v>
      </c>
      <c r="Q117" s="1143">
        <f t="shared" si="24"/>
        <v>0</v>
      </c>
      <c r="R117" s="1164">
        <f t="shared" si="24"/>
        <v>-274579321.56</v>
      </c>
      <c r="S117" s="1143">
        <f t="shared" si="24"/>
        <v>-195134949.91</v>
      </c>
      <c r="T117" s="1143">
        <f t="shared" si="24"/>
        <v>0</v>
      </c>
      <c r="U117" s="1143">
        <f t="shared" si="24"/>
        <v>-195134949.91</v>
      </c>
      <c r="V117" s="1341">
        <f t="shared" si="24"/>
        <v>-11827751.919999998</v>
      </c>
      <c r="W117" s="1341">
        <f t="shared" si="24"/>
        <v>0</v>
      </c>
      <c r="X117" s="1341">
        <f t="shared" si="24"/>
        <v>-11827751.919999998</v>
      </c>
    </row>
    <row r="118" spans="1:24" ht="15" customHeight="1" x14ac:dyDescent="0.2">
      <c r="A118" s="928"/>
      <c r="B118" s="928"/>
      <c r="C118" s="1165"/>
      <c r="D118" s="1165"/>
      <c r="E118" s="1165"/>
      <c r="F118" s="1165"/>
      <c r="G118" s="1166"/>
      <c r="H118" s="1166"/>
      <c r="I118" s="1166"/>
      <c r="J118" s="968"/>
      <c r="L118" s="968"/>
      <c r="M118" s="968"/>
      <c r="N118" s="968"/>
      <c r="O118" s="968"/>
      <c r="P118" s="968"/>
      <c r="Q118" s="968"/>
      <c r="R118" s="1166"/>
      <c r="S118" s="968"/>
      <c r="T118" s="968"/>
      <c r="U118" s="968"/>
      <c r="V118" s="1145"/>
      <c r="W118" s="1145"/>
      <c r="X118" s="1145"/>
    </row>
    <row r="119" spans="1:24" ht="15" customHeight="1" x14ac:dyDescent="0.2">
      <c r="A119" s="928"/>
      <c r="B119" s="976" t="s">
        <v>1445</v>
      </c>
      <c r="C119" s="1165"/>
      <c r="D119" s="1165"/>
      <c r="E119" s="1165"/>
      <c r="F119" s="1165"/>
      <c r="G119" s="1164">
        <f>G5+G8+G14+G22+G29+G89+G97+G117</f>
        <v>-5706844188.3000002</v>
      </c>
      <c r="H119" s="1164">
        <f>H5+H8+H14+H22+H29+H89+H97+H117</f>
        <v>-6458439813.4530001</v>
      </c>
      <c r="I119" s="1164">
        <f>I5+I8+I14+I22+I29+I89+I97+I117</f>
        <v>-17419765.039999999</v>
      </c>
      <c r="J119" s="1164">
        <f>J5+J8+J14+J22+J29+J89+J97+J117</f>
        <v>-6475859578.493</v>
      </c>
      <c r="L119" s="1164">
        <f t="shared" ref="L119:V119" si="25">L5+L8+L14+L22+L29+L89+L97+L117</f>
        <v>-6475859578.493</v>
      </c>
      <c r="M119" s="1164">
        <f t="shared" si="25"/>
        <v>-6771236936.493001</v>
      </c>
      <c r="N119" s="1164">
        <f t="shared" si="25"/>
        <v>24421100.768106226</v>
      </c>
      <c r="O119" s="1164">
        <f t="shared" si="25"/>
        <v>-6746815835.7248955</v>
      </c>
      <c r="P119" s="1164">
        <f t="shared" si="25"/>
        <v>-8828276359.1999378</v>
      </c>
      <c r="Q119" s="1164">
        <f t="shared" si="25"/>
        <v>-128023363.79000001</v>
      </c>
      <c r="R119" s="1164">
        <f t="shared" si="25"/>
        <v>-8956299722.9899387</v>
      </c>
      <c r="S119" s="1143">
        <f t="shared" si="25"/>
        <v>-10141604249.610001</v>
      </c>
      <c r="T119" s="1164">
        <f t="shared" si="25"/>
        <v>-32145050.319999997</v>
      </c>
      <c r="U119" s="1164">
        <f t="shared" si="25"/>
        <v>-10103126253.880003</v>
      </c>
      <c r="V119" s="1341">
        <f t="shared" si="25"/>
        <v>-9993017710.6300011</v>
      </c>
      <c r="W119" s="1145"/>
      <c r="X119" s="1341">
        <f>V119+W119</f>
        <v>-9993017710.6300011</v>
      </c>
    </row>
    <row r="120" spans="1:24" ht="15" customHeight="1" x14ac:dyDescent="0.2">
      <c r="A120" s="1371"/>
      <c r="B120" s="1371"/>
      <c r="C120" s="1673"/>
      <c r="D120" s="1673"/>
      <c r="E120" s="1673"/>
      <c r="F120" s="1673"/>
      <c r="G120" s="1674"/>
      <c r="H120" s="1674"/>
      <c r="I120" s="1674"/>
      <c r="J120" s="1148"/>
      <c r="K120" s="1373"/>
      <c r="L120" s="1148"/>
      <c r="M120" s="1148"/>
      <c r="N120" s="1148"/>
      <c r="O120" s="1148"/>
      <c r="P120" s="1148"/>
      <c r="Q120" s="1148"/>
      <c r="R120" s="1674"/>
      <c r="S120" s="1148"/>
      <c r="T120" s="1148"/>
      <c r="U120" s="1148"/>
      <c r="V120" s="1370"/>
      <c r="W120" s="1370"/>
      <c r="X120" s="1370"/>
    </row>
    <row r="121" spans="1:24" ht="15" customHeight="1" x14ac:dyDescent="0.2">
      <c r="A121" s="238" t="s">
        <v>120</v>
      </c>
      <c r="B121" s="238" t="s">
        <v>121</v>
      </c>
      <c r="C121" s="1165"/>
      <c r="D121" s="1165"/>
      <c r="E121" s="1165"/>
      <c r="F121" s="1165"/>
      <c r="G121" s="1166"/>
      <c r="H121" s="1166"/>
      <c r="I121" s="1166"/>
      <c r="J121" s="968"/>
      <c r="L121" s="968"/>
      <c r="M121" s="968"/>
      <c r="N121" s="968"/>
      <c r="O121" s="968"/>
      <c r="P121" s="968"/>
      <c r="Q121" s="968"/>
      <c r="R121" s="1166"/>
      <c r="S121" s="968"/>
      <c r="T121" s="968"/>
      <c r="U121" s="968"/>
      <c r="V121" s="1145"/>
      <c r="W121" s="1145"/>
      <c r="X121" s="1145"/>
    </row>
    <row r="122" spans="1:24" s="620" customFormat="1" ht="15" customHeight="1" x14ac:dyDescent="0.2">
      <c r="A122" s="928"/>
      <c r="B122" s="928" t="s">
        <v>916</v>
      </c>
      <c r="C122" s="1165">
        <v>4</v>
      </c>
      <c r="D122" s="1165">
        <v>9001</v>
      </c>
      <c r="E122" s="1167" t="s">
        <v>1373</v>
      </c>
      <c r="F122" s="1165">
        <v>0</v>
      </c>
      <c r="G122" s="1166">
        <v>3197528509.3099999</v>
      </c>
      <c r="H122" s="1166">
        <v>3457329925.7199998</v>
      </c>
      <c r="I122" s="1166"/>
      <c r="J122" s="968">
        <f>H122+I122</f>
        <v>3457329925.7199998</v>
      </c>
      <c r="K122" s="318"/>
      <c r="L122" s="968">
        <v>3457329925.7199998</v>
      </c>
      <c r="M122" s="968">
        <v>3558879854.98</v>
      </c>
      <c r="N122" s="968">
        <f>416715.97+2228853.33</f>
        <v>2645569.2999999998</v>
      </c>
      <c r="O122" s="968">
        <f t="shared" ref="O122:O140" si="26">M122+N122</f>
        <v>3561525424.2800002</v>
      </c>
      <c r="P122" s="968">
        <f>3561525424.28+3395585500.56+325355465.99+6641417304.08-2892467334.45</f>
        <v>11031416360.459999</v>
      </c>
      <c r="Q122" s="968"/>
      <c r="R122" s="1166">
        <f t="shared" ref="R122:R140" si="27">P122+Q122</f>
        <v>11031416360.459999</v>
      </c>
      <c r="S122" s="968">
        <f>11031416360.46+3403642561.42-375789146.85</f>
        <v>14059269775.029999</v>
      </c>
      <c r="T122" s="968"/>
      <c r="U122" s="968">
        <f t="shared" ref="U122:V137" si="28">S122+T122</f>
        <v>14059269775.029999</v>
      </c>
      <c r="V122" s="1145">
        <f>14539376233.38-2699718+0.07</f>
        <v>14536676515.449999</v>
      </c>
      <c r="W122" s="1145"/>
      <c r="X122" s="1145">
        <f t="shared" ref="X122:X141" si="29">V122+W122</f>
        <v>14536676515.449999</v>
      </c>
    </row>
    <row r="123" spans="1:24" s="620" customFormat="1" ht="15" customHeight="1" x14ac:dyDescent="0.2">
      <c r="A123" s="928"/>
      <c r="B123" s="928" t="s">
        <v>916</v>
      </c>
      <c r="C123" s="1165">
        <v>4</v>
      </c>
      <c r="D123" s="1165">
        <v>9002</v>
      </c>
      <c r="E123" s="1167" t="s">
        <v>1373</v>
      </c>
      <c r="F123" s="1165">
        <v>0</v>
      </c>
      <c r="G123" s="1166">
        <v>-251853570.22</v>
      </c>
      <c r="H123" s="1166">
        <v>-357249325.45999998</v>
      </c>
      <c r="I123" s="1166"/>
      <c r="J123" s="968">
        <f t="shared" ref="J123:J137" si="30">H123+I123</f>
        <v>-357249325.45999998</v>
      </c>
      <c r="K123" s="318"/>
      <c r="L123" s="968">
        <v>-357249325.45999998</v>
      </c>
      <c r="M123" s="968">
        <v>-505267052.06999999</v>
      </c>
      <c r="N123" s="968">
        <v>-35518.61</v>
      </c>
      <c r="O123" s="968">
        <f t="shared" si="26"/>
        <v>-505302570.68000001</v>
      </c>
      <c r="P123" s="968">
        <f>-505302570.68-354755832.82-5863469229.44-90389.27+863732941.91+0.19</f>
        <v>-5859885080.1100006</v>
      </c>
      <c r="Q123" s="968"/>
      <c r="R123" s="1166">
        <f t="shared" si="27"/>
        <v>-5859885080.1100006</v>
      </c>
      <c r="S123" s="968">
        <f>-5859885080.11-1674377552.96+217905679</f>
        <v>-7316356954.0699997</v>
      </c>
      <c r="T123" s="968"/>
      <c r="U123" s="968">
        <f t="shared" si="28"/>
        <v>-7316356954.0699997</v>
      </c>
      <c r="V123" s="968">
        <f>-7781712756.56-20.19+64776820.69-58262.75</f>
        <v>-7716994218.8100004</v>
      </c>
      <c r="W123" s="1145"/>
      <c r="X123" s="1145">
        <f t="shared" si="29"/>
        <v>-7716994218.8100004</v>
      </c>
    </row>
    <row r="124" spans="1:24" s="620" customFormat="1" x14ac:dyDescent="0.2">
      <c r="A124" s="928"/>
      <c r="B124" s="928" t="s">
        <v>798</v>
      </c>
      <c r="C124" s="1165">
        <v>4</v>
      </c>
      <c r="D124" s="1165">
        <v>9001</v>
      </c>
      <c r="E124" s="1167" t="s">
        <v>1384</v>
      </c>
      <c r="F124" s="1165">
        <v>0</v>
      </c>
      <c r="G124" s="1166">
        <v>8388577.4900000002</v>
      </c>
      <c r="H124" s="1166">
        <v>8388577.4500000002</v>
      </c>
      <c r="I124" s="1166"/>
      <c r="J124" s="968">
        <f t="shared" si="30"/>
        <v>8388577.4500000002</v>
      </c>
      <c r="K124" s="318"/>
      <c r="L124" s="968">
        <v>8388577.4500000002</v>
      </c>
      <c r="M124" s="968">
        <v>11145452.74</v>
      </c>
      <c r="N124" s="968"/>
      <c r="O124" s="968">
        <f t="shared" si="26"/>
        <v>11145452.74</v>
      </c>
      <c r="P124" s="968">
        <f>11145452.74-7498537.76+24789.13</f>
        <v>3671704.1100000003</v>
      </c>
      <c r="Q124" s="968"/>
      <c r="R124" s="1166">
        <f t="shared" si="27"/>
        <v>3671704.1100000003</v>
      </c>
      <c r="S124" s="968">
        <f>3671704.11+916456.14-31</f>
        <v>4588129.25</v>
      </c>
      <c r="T124" s="968"/>
      <c r="U124" s="968">
        <f t="shared" si="28"/>
        <v>4588129.25</v>
      </c>
      <c r="V124" s="968">
        <v>15609153.25</v>
      </c>
      <c r="W124" s="1145"/>
      <c r="X124" s="1145">
        <f t="shared" si="29"/>
        <v>15609153.25</v>
      </c>
    </row>
    <row r="125" spans="1:24" s="620" customFormat="1" x14ac:dyDescent="0.2">
      <c r="A125" s="928"/>
      <c r="B125" s="928" t="s">
        <v>798</v>
      </c>
      <c r="C125" s="1165">
        <v>4</v>
      </c>
      <c r="D125" s="1165">
        <v>9002</v>
      </c>
      <c r="E125" s="1167" t="s">
        <v>1384</v>
      </c>
      <c r="F125" s="1165">
        <v>0</v>
      </c>
      <c r="G125" s="1166">
        <v>-1709474.91</v>
      </c>
      <c r="H125" s="1166">
        <v>-5049876.93</v>
      </c>
      <c r="I125" s="1166"/>
      <c r="J125" s="968">
        <f t="shared" si="30"/>
        <v>-5049876.93</v>
      </c>
      <c r="K125" s="318"/>
      <c r="L125" s="968">
        <v>-5049876.93</v>
      </c>
      <c r="M125" s="968">
        <f>-5049876.93+5049876.93</f>
        <v>0</v>
      </c>
      <c r="N125" s="968"/>
      <c r="O125" s="968">
        <f t="shared" si="26"/>
        <v>0</v>
      </c>
      <c r="P125" s="968">
        <v>0</v>
      </c>
      <c r="Q125" s="968"/>
      <c r="R125" s="1166">
        <f t="shared" si="27"/>
        <v>0</v>
      </c>
      <c r="S125" s="968">
        <v>0</v>
      </c>
      <c r="T125" s="968"/>
      <c r="U125" s="968">
        <f t="shared" si="28"/>
        <v>0</v>
      </c>
      <c r="V125" s="968">
        <f t="shared" si="28"/>
        <v>0</v>
      </c>
      <c r="W125" s="1145"/>
      <c r="X125" s="1145">
        <f t="shared" si="29"/>
        <v>0</v>
      </c>
    </row>
    <row r="126" spans="1:24" s="620" customFormat="1" ht="15" customHeight="1" x14ac:dyDescent="0.2">
      <c r="A126" s="928"/>
      <c r="B126" s="928" t="s">
        <v>1076</v>
      </c>
      <c r="C126" s="1165">
        <v>4</v>
      </c>
      <c r="D126" s="1165">
        <v>9001</v>
      </c>
      <c r="E126" s="1167" t="s">
        <v>1432</v>
      </c>
      <c r="F126" s="1165">
        <v>0</v>
      </c>
      <c r="G126" s="1166">
        <v>205068926.84999999</v>
      </c>
      <c r="H126" s="1166">
        <v>241909930.59999999</v>
      </c>
      <c r="I126" s="1166">
        <v>597039.32999999996</v>
      </c>
      <c r="J126" s="968">
        <f t="shared" si="30"/>
        <v>242506969.93000001</v>
      </c>
      <c r="K126" s="318"/>
      <c r="L126" s="968">
        <v>242506969.93000001</v>
      </c>
      <c r="M126" s="968">
        <v>250452635.68000001</v>
      </c>
      <c r="N126" s="968"/>
      <c r="O126" s="968">
        <f t="shared" si="26"/>
        <v>250452635.68000001</v>
      </c>
      <c r="P126" s="968">
        <f>250452635.68+12000+2147141.93-1835280-27865886.59-36265196.84-36655436.84-26192013.46+37739570.42-17377479.54</f>
        <v>144160054.76000002</v>
      </c>
      <c r="Q126" s="968">
        <f>-27017459.95-6225161.94-20177921.22-1969063.82+33960465.71+7077812.08+28749114.84</f>
        <v>14397785.700000001</v>
      </c>
      <c r="R126" s="1166">
        <f t="shared" si="27"/>
        <v>158557840.46000001</v>
      </c>
      <c r="S126" s="968">
        <f>158557840.46+1555407.16+18000-17799663.11+7444393.62+66705.52</f>
        <v>149842683.65000001</v>
      </c>
      <c r="T126" s="968">
        <f>-126433-18675863.7-4882341.64</f>
        <v>-23684638.34</v>
      </c>
      <c r="U126" s="968">
        <f t="shared" si="28"/>
        <v>126158045.31</v>
      </c>
      <c r="V126" s="968">
        <f>135385173.23+14900815.38+1.53</f>
        <v>150285990.13999999</v>
      </c>
      <c r="W126" s="1145"/>
      <c r="X126" s="1145">
        <f t="shared" si="29"/>
        <v>150285990.13999999</v>
      </c>
    </row>
    <row r="127" spans="1:24" s="620" customFormat="1" ht="15" customHeight="1" x14ac:dyDescent="0.2">
      <c r="A127" s="928"/>
      <c r="B127" s="928" t="s">
        <v>1076</v>
      </c>
      <c r="C127" s="1165">
        <v>4</v>
      </c>
      <c r="D127" s="1165">
        <v>9002</v>
      </c>
      <c r="E127" s="1167" t="s">
        <v>1432</v>
      </c>
      <c r="F127" s="1165">
        <v>0</v>
      </c>
      <c r="G127" s="1166">
        <v>-55736226.229999997</v>
      </c>
      <c r="H127" s="1166">
        <v>-76334292.930000007</v>
      </c>
      <c r="I127" s="1166">
        <v>-9261370.9600000009</v>
      </c>
      <c r="J127" s="968">
        <f t="shared" si="30"/>
        <v>-85595663.890000015</v>
      </c>
      <c r="K127" s="318"/>
      <c r="L127" s="968">
        <v>-85595663.890000015</v>
      </c>
      <c r="M127" s="968">
        <v>-105435936.87</v>
      </c>
      <c r="N127" s="968"/>
      <c r="O127" s="968">
        <f t="shared" si="26"/>
        <v>-105435936.87</v>
      </c>
      <c r="P127" s="968">
        <f>-105435936.87-22744384.72-6674298.52+36265196.84-4730621.73+2031592.24+16578565.65-20422825.64+5028.28</f>
        <v>-105127684.47000001</v>
      </c>
      <c r="Q127" s="968">
        <f>27017459.95+20177921.22-33960465.71+1000000-5031</f>
        <v>14229884.460000001</v>
      </c>
      <c r="R127" s="1166">
        <f t="shared" si="27"/>
        <v>-90897800.01000002</v>
      </c>
      <c r="S127" s="968">
        <f>-90897800.01-151902.8-269447.73-20673873.48+14005564.87+52470.85</f>
        <v>-97934988.300000012</v>
      </c>
      <c r="T127" s="968">
        <f>41882.19+18675863.7</f>
        <v>18717745.890000001</v>
      </c>
      <c r="U127" s="968">
        <f t="shared" si="28"/>
        <v>-79217242.410000011</v>
      </c>
      <c r="V127" s="968">
        <f>-99856168.37+15800.52-10.72-61444.6-1225447.74+1225447.74</f>
        <v>-99901823.170000002</v>
      </c>
      <c r="W127" s="1145"/>
      <c r="X127" s="1145">
        <f t="shared" si="29"/>
        <v>-99901823.170000002</v>
      </c>
    </row>
    <row r="128" spans="1:24" s="620" customFormat="1" ht="15.75" customHeight="1" x14ac:dyDescent="0.2">
      <c r="A128" s="928"/>
      <c r="B128" s="928" t="s">
        <v>1075</v>
      </c>
      <c r="C128" s="1165">
        <v>4</v>
      </c>
      <c r="D128" s="1165">
        <v>9001</v>
      </c>
      <c r="E128" s="1167" t="s">
        <v>1386</v>
      </c>
      <c r="F128" s="1165">
        <v>0</v>
      </c>
      <c r="G128" s="1166">
        <v>2058407188</v>
      </c>
      <c r="H128" s="1166">
        <v>2534243131.0999999</v>
      </c>
      <c r="I128" s="1166"/>
      <c r="J128" s="968">
        <f t="shared" si="30"/>
        <v>2534243131.0999999</v>
      </c>
      <c r="K128" s="318"/>
      <c r="L128" s="968">
        <v>2534243131.0999999</v>
      </c>
      <c r="M128" s="968">
        <f>2562632530.57+8272000</f>
        <v>2570904530.5700002</v>
      </c>
      <c r="N128" s="968"/>
      <c r="O128" s="968">
        <f t="shared" si="26"/>
        <v>2570904530.5700002</v>
      </c>
      <c r="P128" s="968">
        <f>2570904530.57+43213968.84+30028826.98+629528285.08</f>
        <v>3273675611.4700003</v>
      </c>
      <c r="Q128" s="968"/>
      <c r="R128" s="1166">
        <f t="shared" si="27"/>
        <v>3273675611.4700003</v>
      </c>
      <c r="S128" s="968">
        <f>3273675611.47-156841542.55</f>
        <v>3116834068.9199996</v>
      </c>
      <c r="T128" s="968"/>
      <c r="U128" s="968">
        <f t="shared" si="28"/>
        <v>3116834068.9199996</v>
      </c>
      <c r="V128" s="968">
        <f>3172190410.17-1103861.29-0.07</f>
        <v>3171086548.8099999</v>
      </c>
      <c r="W128" s="1145"/>
      <c r="X128" s="1145">
        <f t="shared" si="29"/>
        <v>3171086548.8099999</v>
      </c>
    </row>
    <row r="129" spans="1:25" s="620" customFormat="1" ht="15.75" customHeight="1" x14ac:dyDescent="0.2">
      <c r="A129" s="928"/>
      <c r="B129" s="928" t="s">
        <v>1075</v>
      </c>
      <c r="C129" s="1165">
        <v>4</v>
      </c>
      <c r="D129" s="1165">
        <v>9002</v>
      </c>
      <c r="E129" s="1167" t="s">
        <v>1386</v>
      </c>
      <c r="F129" s="1165">
        <v>0</v>
      </c>
      <c r="G129" s="1166">
        <v>-162208078.74000001</v>
      </c>
      <c r="H129" s="1166">
        <v>-222796704.06</v>
      </c>
      <c r="I129" s="1166"/>
      <c r="J129" s="968">
        <f t="shared" si="30"/>
        <v>-222796704.06</v>
      </c>
      <c r="K129" s="318"/>
      <c r="L129" s="968">
        <v>-222796704.06</v>
      </c>
      <c r="M129" s="968">
        <v>-128609566.09999999</v>
      </c>
      <c r="N129" s="968"/>
      <c r="O129" s="968">
        <f t="shared" si="26"/>
        <v>-128609566.09999999</v>
      </c>
      <c r="P129" s="968">
        <f>-128609566.1-59528428.29-988824898.65-1437.66-238869746.06</f>
        <v>-1415834076.76</v>
      </c>
      <c r="Q129" s="968"/>
      <c r="R129" s="1166">
        <f t="shared" si="27"/>
        <v>-1415834076.76</v>
      </c>
      <c r="S129" s="968">
        <f>-1415834076.76-151073539.12-5578.51</f>
        <v>-1566913194.3900001</v>
      </c>
      <c r="T129" s="968"/>
      <c r="U129" s="968">
        <f t="shared" si="28"/>
        <v>-1566913194.3900001</v>
      </c>
      <c r="V129" s="968">
        <f>-1658138074.37-1.5+197482.81+3.24</f>
        <v>-1657940589.8199999</v>
      </c>
      <c r="W129" s="1145"/>
      <c r="X129" s="1145">
        <f t="shared" si="29"/>
        <v>-1657940589.8199999</v>
      </c>
    </row>
    <row r="130" spans="1:25" s="620" customFormat="1" ht="15.75" hidden="1" customHeight="1" x14ac:dyDescent="0.2">
      <c r="A130" s="928"/>
      <c r="B130" s="928" t="s">
        <v>3488</v>
      </c>
      <c r="C130" s="1165"/>
      <c r="D130" s="1165"/>
      <c r="E130" s="1167"/>
      <c r="F130" s="1165"/>
      <c r="G130" s="1166"/>
      <c r="H130" s="1166"/>
      <c r="I130" s="1166"/>
      <c r="J130" s="968"/>
      <c r="K130" s="318"/>
      <c r="L130" s="968"/>
      <c r="M130" s="968"/>
      <c r="N130" s="968"/>
      <c r="O130" s="968"/>
      <c r="P130" s="968"/>
      <c r="Q130" s="968"/>
      <c r="R130" s="1166"/>
      <c r="S130" s="968"/>
      <c r="T130" s="968"/>
      <c r="U130" s="968">
        <f t="shared" si="28"/>
        <v>0</v>
      </c>
      <c r="V130" s="968">
        <f t="shared" si="28"/>
        <v>0</v>
      </c>
      <c r="W130" s="1145"/>
      <c r="X130" s="1145">
        <f t="shared" si="29"/>
        <v>0</v>
      </c>
    </row>
    <row r="131" spans="1:25" s="620" customFormat="1" ht="15.75" hidden="1" customHeight="1" x14ac:dyDescent="0.2">
      <c r="A131" s="928"/>
      <c r="B131" s="928" t="s">
        <v>3488</v>
      </c>
      <c r="C131" s="1165"/>
      <c r="D131" s="1165"/>
      <c r="E131" s="1167"/>
      <c r="F131" s="1165"/>
      <c r="G131" s="1166"/>
      <c r="H131" s="1166"/>
      <c r="I131" s="1166"/>
      <c r="J131" s="968"/>
      <c r="K131" s="318"/>
      <c r="L131" s="968"/>
      <c r="M131" s="968"/>
      <c r="N131" s="968"/>
      <c r="O131" s="968"/>
      <c r="P131" s="968"/>
      <c r="Q131" s="968"/>
      <c r="R131" s="1166"/>
      <c r="S131" s="968">
        <v>0</v>
      </c>
      <c r="T131" s="968"/>
      <c r="U131" s="968">
        <f t="shared" si="28"/>
        <v>0</v>
      </c>
      <c r="V131" s="968">
        <f t="shared" si="28"/>
        <v>0</v>
      </c>
      <c r="W131" s="1145"/>
      <c r="X131" s="1145">
        <f t="shared" si="29"/>
        <v>0</v>
      </c>
    </row>
    <row r="132" spans="1:25" s="620" customFormat="1" x14ac:dyDescent="0.2">
      <c r="A132" s="928"/>
      <c r="B132" s="928" t="s">
        <v>800</v>
      </c>
      <c r="C132" s="1165">
        <v>4</v>
      </c>
      <c r="D132" s="1165">
        <v>9001</v>
      </c>
      <c r="E132" s="1167" t="s">
        <v>1437</v>
      </c>
      <c r="F132" s="1165">
        <v>0</v>
      </c>
      <c r="G132" s="1166">
        <v>48555935.670000002</v>
      </c>
      <c r="H132" s="1166">
        <v>56955313.399999999</v>
      </c>
      <c r="I132" s="1166">
        <v>-597039.32999999996</v>
      </c>
      <c r="J132" s="968">
        <f t="shared" si="30"/>
        <v>56358274.07</v>
      </c>
      <c r="K132" s="318"/>
      <c r="L132" s="968">
        <v>56358274.07</v>
      </c>
      <c r="M132" s="968">
        <v>45640356.18</v>
      </c>
      <c r="N132" s="968">
        <f>-2768018.81-8589459.35</f>
        <v>-11357478.16</v>
      </c>
      <c r="O132" s="968">
        <f t="shared" si="26"/>
        <v>34282878.019999996</v>
      </c>
      <c r="P132" s="968">
        <f>34282878.02+29968742.65-42754158.58+0.02</f>
        <v>21497462.110000003</v>
      </c>
      <c r="Q132" s="968">
        <v>-10849839.26</v>
      </c>
      <c r="R132" s="1166">
        <f t="shared" si="27"/>
        <v>10647622.850000003</v>
      </c>
      <c r="S132" s="968">
        <f>10647622.85+927367.48</f>
        <v>11574990.33</v>
      </c>
      <c r="T132" s="968"/>
      <c r="U132" s="968">
        <f t="shared" si="28"/>
        <v>11574990.33</v>
      </c>
      <c r="V132" s="968">
        <v>10553695.300000001</v>
      </c>
      <c r="W132" s="1145"/>
      <c r="X132" s="1145">
        <f t="shared" si="29"/>
        <v>10553695.300000001</v>
      </c>
    </row>
    <row r="133" spans="1:25" s="620" customFormat="1" x14ac:dyDescent="0.2">
      <c r="A133" s="928"/>
      <c r="B133" s="928" t="s">
        <v>800</v>
      </c>
      <c r="C133" s="1165">
        <v>4</v>
      </c>
      <c r="D133" s="1165">
        <v>9002</v>
      </c>
      <c r="E133" s="1167" t="s">
        <v>1437</v>
      </c>
      <c r="F133" s="1165">
        <v>0</v>
      </c>
      <c r="G133" s="1166">
        <v>-7370654.1299999999</v>
      </c>
      <c r="H133" s="1166">
        <v>-31789053.129999999</v>
      </c>
      <c r="I133" s="1166">
        <v>9261370.9600000009</v>
      </c>
      <c r="J133" s="968">
        <f t="shared" si="30"/>
        <v>-22527682.169999998</v>
      </c>
      <c r="K133" s="318"/>
      <c r="L133" s="968">
        <v>-22527682.169999998</v>
      </c>
      <c r="M133" s="968">
        <v>-25086802.82</v>
      </c>
      <c r="N133" s="968">
        <f>548617.25+1624072.27+2125074.14+4340462.91</f>
        <v>8638226.5700000003</v>
      </c>
      <c r="O133" s="968">
        <f t="shared" si="26"/>
        <v>-16448576.25</v>
      </c>
      <c r="P133" s="968">
        <v>-8698083.1999999993</v>
      </c>
      <c r="Q133" s="968">
        <f>1860667.82+665610.61</f>
        <v>2526278.4300000002</v>
      </c>
      <c r="R133" s="1166">
        <f t="shared" si="27"/>
        <v>-6171804.7699999996</v>
      </c>
      <c r="S133" s="968">
        <f>-6171804.77-896788.33+575075.73</f>
        <v>-6493517.3699999992</v>
      </c>
      <c r="T133" s="968">
        <f>-1933236.89-640575.26-192299.48</f>
        <v>-2766111.63</v>
      </c>
      <c r="U133" s="968">
        <f t="shared" si="28"/>
        <v>-9259629</v>
      </c>
      <c r="V133" s="968">
        <f>-8442431.79-37295.09</f>
        <v>-8479726.879999999</v>
      </c>
      <c r="W133" s="1145"/>
      <c r="X133" s="1145">
        <f t="shared" si="29"/>
        <v>-8479726.879999999</v>
      </c>
    </row>
    <row r="134" spans="1:25" s="620" customFormat="1" ht="15" customHeight="1" x14ac:dyDescent="0.2">
      <c r="A134" s="928"/>
      <c r="B134" s="928" t="s">
        <v>799</v>
      </c>
      <c r="C134" s="1165">
        <v>4</v>
      </c>
      <c r="D134" s="1165">
        <v>9001</v>
      </c>
      <c r="E134" s="1167" t="s">
        <v>1444</v>
      </c>
      <c r="F134" s="1165">
        <v>0</v>
      </c>
      <c r="G134" s="1166">
        <v>10353325</v>
      </c>
      <c r="H134" s="1166">
        <v>14609293</v>
      </c>
      <c r="I134" s="1166"/>
      <c r="J134" s="968">
        <f t="shared" si="30"/>
        <v>14609293</v>
      </c>
      <c r="K134" s="318"/>
      <c r="L134" s="968">
        <v>14609293</v>
      </c>
      <c r="M134" s="968">
        <v>13356983.960000001</v>
      </c>
      <c r="N134" s="968">
        <v>608364.56000000006</v>
      </c>
      <c r="O134" s="968">
        <f t="shared" si="26"/>
        <v>13965348.520000001</v>
      </c>
      <c r="P134" s="968">
        <f>13965348.52+2667651.48</f>
        <v>16633000</v>
      </c>
      <c r="Q134" s="968"/>
      <c r="R134" s="1166">
        <f t="shared" si="27"/>
        <v>16633000</v>
      </c>
      <c r="S134" s="968">
        <f>16633000-1626750-728500</f>
        <v>14277750</v>
      </c>
      <c r="T134" s="968"/>
      <c r="U134" s="968">
        <f t="shared" si="28"/>
        <v>14277750</v>
      </c>
      <c r="V134" s="968">
        <v>8087720.6600000001</v>
      </c>
      <c r="W134" s="1145"/>
      <c r="X134" s="1145">
        <f t="shared" si="29"/>
        <v>8087720.6600000001</v>
      </c>
    </row>
    <row r="135" spans="1:25" s="620" customFormat="1" ht="15" customHeight="1" x14ac:dyDescent="0.2">
      <c r="A135" s="928"/>
      <c r="B135" s="928" t="s">
        <v>799</v>
      </c>
      <c r="C135" s="1165">
        <v>4</v>
      </c>
      <c r="D135" s="1165">
        <v>9002</v>
      </c>
      <c r="E135" s="1167" t="s">
        <v>1444</v>
      </c>
      <c r="F135" s="1165">
        <v>0</v>
      </c>
      <c r="G135" s="1166">
        <v>0</v>
      </c>
      <c r="H135" s="1166">
        <v>-7304646.5</v>
      </c>
      <c r="I135" s="1166"/>
      <c r="J135" s="968">
        <f t="shared" si="30"/>
        <v>-7304646.5</v>
      </c>
      <c r="K135" s="318"/>
      <c r="L135" s="968">
        <v>-7304646.5</v>
      </c>
      <c r="M135" s="968">
        <v>0</v>
      </c>
      <c r="N135" s="968"/>
      <c r="O135" s="968">
        <f t="shared" si="26"/>
        <v>0</v>
      </c>
      <c r="P135" s="968">
        <v>0</v>
      </c>
      <c r="Q135" s="968"/>
      <c r="R135" s="1166">
        <f t="shared" si="27"/>
        <v>0</v>
      </c>
      <c r="S135" s="968">
        <v>0</v>
      </c>
      <c r="T135" s="968"/>
      <c r="U135" s="968">
        <f t="shared" si="28"/>
        <v>0</v>
      </c>
      <c r="V135" s="968">
        <f t="shared" si="28"/>
        <v>0</v>
      </c>
      <c r="W135" s="1145"/>
      <c r="X135" s="1145">
        <f t="shared" si="29"/>
        <v>0</v>
      </c>
    </row>
    <row r="136" spans="1:25" s="620" customFormat="1" x14ac:dyDescent="0.2">
      <c r="A136" s="928"/>
      <c r="B136" s="928" t="s">
        <v>1077</v>
      </c>
      <c r="C136" s="1165">
        <v>4</v>
      </c>
      <c r="D136" s="1165">
        <v>9001</v>
      </c>
      <c r="E136" s="1167" t="s">
        <v>1446</v>
      </c>
      <c r="F136" s="1165">
        <v>0</v>
      </c>
      <c r="G136" s="1166">
        <v>11594361.84</v>
      </c>
      <c r="H136" s="1166">
        <v>11594361.84</v>
      </c>
      <c r="I136" s="1166"/>
      <c r="J136" s="968">
        <f t="shared" si="30"/>
        <v>11594361.84</v>
      </c>
      <c r="K136" s="318"/>
      <c r="L136" s="968">
        <v>11594361.84</v>
      </c>
      <c r="M136" s="968">
        <v>11594361.84</v>
      </c>
      <c r="N136" s="968">
        <v>24060149.949999999</v>
      </c>
      <c r="O136" s="968">
        <f t="shared" si="26"/>
        <v>35654511.789999999</v>
      </c>
      <c r="P136" s="968">
        <f>35654511.79-35654511.79+25905959.27+113542198.96+9062647.42</f>
        <v>148510805.64999998</v>
      </c>
      <c r="Q136" s="968">
        <f>-6453272.96-17395808.25</f>
        <v>-23849081.210000001</v>
      </c>
      <c r="R136" s="1166">
        <f t="shared" si="27"/>
        <v>124661724.43999997</v>
      </c>
      <c r="S136" s="968">
        <f>124661724.44+6357369.86</f>
        <v>131019094.3</v>
      </c>
      <c r="T136" s="968"/>
      <c r="U136" s="968">
        <f t="shared" si="28"/>
        <v>131019094.3</v>
      </c>
      <c r="V136" s="1145">
        <f>130430667.11+0.07</f>
        <v>130430667.17999999</v>
      </c>
      <c r="W136" s="1145"/>
      <c r="X136" s="1145">
        <f t="shared" si="29"/>
        <v>130430667.17999999</v>
      </c>
    </row>
    <row r="137" spans="1:25" s="620" customFormat="1" x14ac:dyDescent="0.2">
      <c r="A137" s="928"/>
      <c r="B137" s="928" t="s">
        <v>1077</v>
      </c>
      <c r="C137" s="1165">
        <v>4</v>
      </c>
      <c r="D137" s="1165">
        <v>9002</v>
      </c>
      <c r="E137" s="1167" t="s">
        <v>1446</v>
      </c>
      <c r="F137" s="1165">
        <v>0</v>
      </c>
      <c r="G137" s="1166">
        <v>-5427025.4199999999</v>
      </c>
      <c r="H137" s="1166">
        <v>-9261370.9600000009</v>
      </c>
      <c r="I137" s="1166"/>
      <c r="J137" s="968">
        <f t="shared" si="30"/>
        <v>-9261370.9600000009</v>
      </c>
      <c r="K137" s="318"/>
      <c r="L137" s="968">
        <v>-9261370.9600000009</v>
      </c>
      <c r="M137" s="968">
        <f>-9261370.96-2332990.88</f>
        <v>-11594361.84</v>
      </c>
      <c r="N137" s="968">
        <v>-621472.87</v>
      </c>
      <c r="O137" s="968">
        <f t="shared" si="26"/>
        <v>-12215834.709999999</v>
      </c>
      <c r="P137" s="968">
        <f>-12215834.71+12215834.71-496830.5-12428035.73-823374.23-65418.78</f>
        <v>-13813659.24</v>
      </c>
      <c r="Q137" s="968">
        <f>-218008.11-8753576.75</f>
        <v>-8971584.8599999994</v>
      </c>
      <c r="R137" s="1166">
        <f>P137+Q137</f>
        <v>-22785244.100000001</v>
      </c>
      <c r="S137" s="968">
        <f>-22785244.1-27142504.24</f>
        <v>-49927748.340000004</v>
      </c>
      <c r="T137" s="968"/>
      <c r="U137" s="968">
        <f t="shared" si="28"/>
        <v>-49927748.340000004</v>
      </c>
      <c r="V137" s="968">
        <f>-75864499.54-0.09</f>
        <v>-75864499.63000001</v>
      </c>
      <c r="W137" s="1145"/>
      <c r="X137" s="1145">
        <f t="shared" si="29"/>
        <v>-75864499.63000001</v>
      </c>
    </row>
    <row r="138" spans="1:25" s="620" customFormat="1" x14ac:dyDescent="0.2">
      <c r="A138" s="928"/>
      <c r="B138" s="928" t="s">
        <v>607</v>
      </c>
      <c r="C138" s="1165">
        <v>4</v>
      </c>
      <c r="D138" s="1165">
        <v>9001</v>
      </c>
      <c r="E138" s="1167" t="s">
        <v>2977</v>
      </c>
      <c r="F138" s="1165">
        <v>0</v>
      </c>
      <c r="G138" s="1166"/>
      <c r="H138" s="1166"/>
      <c r="I138" s="1166"/>
      <c r="J138" s="1166"/>
      <c r="K138" s="318"/>
      <c r="L138" s="968"/>
      <c r="M138" s="968"/>
      <c r="N138" s="968"/>
      <c r="O138" s="968"/>
      <c r="P138" s="968"/>
      <c r="Q138" s="968"/>
      <c r="R138" s="1166"/>
      <c r="S138" s="968">
        <f>608570789.42-927367.48-607643421.94</f>
        <v>0</v>
      </c>
      <c r="T138" s="968"/>
      <c r="U138" s="968"/>
      <c r="V138" s="1559"/>
      <c r="W138" s="1145"/>
      <c r="X138" s="1652"/>
      <c r="Y138" s="1653"/>
    </row>
    <row r="139" spans="1:25" s="620" customFormat="1" x14ac:dyDescent="0.2">
      <c r="A139" s="928"/>
      <c r="B139" s="928" t="s">
        <v>607</v>
      </c>
      <c r="C139" s="1165">
        <v>4</v>
      </c>
      <c r="D139" s="1165">
        <v>9002</v>
      </c>
      <c r="E139" s="1167" t="s">
        <v>2977</v>
      </c>
      <c r="F139" s="1165">
        <v>0</v>
      </c>
      <c r="G139" s="1166"/>
      <c r="H139" s="1166"/>
      <c r="I139" s="1166"/>
      <c r="J139" s="1166"/>
      <c r="K139" s="318"/>
      <c r="L139" s="968"/>
      <c r="M139" s="968"/>
      <c r="N139" s="968"/>
      <c r="O139" s="968"/>
      <c r="P139" s="968"/>
      <c r="Q139" s="968"/>
      <c r="R139" s="1166"/>
      <c r="S139" s="968"/>
      <c r="T139" s="968"/>
      <c r="U139" s="968"/>
      <c r="V139" s="1559"/>
      <c r="W139" s="1145"/>
      <c r="X139" s="1652"/>
      <c r="Y139" s="1653"/>
    </row>
    <row r="140" spans="1:25" s="620" customFormat="1" x14ac:dyDescent="0.2">
      <c r="A140" s="928"/>
      <c r="B140" s="928" t="s">
        <v>879</v>
      </c>
      <c r="C140" s="1165">
        <v>4</v>
      </c>
      <c r="D140" s="1165">
        <v>9001</v>
      </c>
      <c r="E140" s="1167" t="s">
        <v>2976</v>
      </c>
      <c r="F140" s="1165">
        <v>0</v>
      </c>
      <c r="G140" s="1166"/>
      <c r="H140" s="1166"/>
      <c r="I140" s="1166"/>
      <c r="J140" s="1166"/>
      <c r="K140" s="318"/>
      <c r="L140" s="968"/>
      <c r="M140" s="968">
        <f>313297756.22-313297756.22</f>
        <v>0</v>
      </c>
      <c r="N140" s="968"/>
      <c r="O140" s="968">
        <f t="shared" si="26"/>
        <v>0</v>
      </c>
      <c r="P140" s="968">
        <v>80289000</v>
      </c>
      <c r="Q140" s="968">
        <f>84014903.57+3773381.76</f>
        <v>87788285.329999998</v>
      </c>
      <c r="R140" s="1166">
        <f t="shared" si="27"/>
        <v>168077285.32999998</v>
      </c>
      <c r="S140" s="968">
        <f>168077285.33+610000</f>
        <v>168687285.33000001</v>
      </c>
      <c r="T140" s="968"/>
      <c r="U140" s="968">
        <f>S140+T140</f>
        <v>168687285.33000001</v>
      </c>
      <c r="V140" s="968">
        <f>168687285.33+2126537.83+98517.93+67421000-1000</f>
        <v>238332341.09000003</v>
      </c>
      <c r="W140" s="1145"/>
      <c r="X140" s="1145">
        <f t="shared" si="29"/>
        <v>238332341.09000003</v>
      </c>
    </row>
    <row r="141" spans="1:25" s="620" customFormat="1" ht="15" customHeight="1" x14ac:dyDescent="0.2">
      <c r="A141" s="928"/>
      <c r="B141" s="928"/>
      <c r="C141" s="1165"/>
      <c r="D141" s="1165"/>
      <c r="E141" s="1165"/>
      <c r="F141" s="1165"/>
      <c r="G141" s="1164">
        <f>SUM(G122:G137)</f>
        <v>5055591794.5100002</v>
      </c>
      <c r="H141" s="1164">
        <f>SUM(H122:H137)</f>
        <v>5615245263.1399984</v>
      </c>
      <c r="I141" s="1164">
        <f>SUM(I122:I137)</f>
        <v>0</v>
      </c>
      <c r="J141" s="1164">
        <f>SUM(J122:J137)</f>
        <v>5615245263.1399994</v>
      </c>
      <c r="K141" s="318"/>
      <c r="L141" s="1143">
        <f>SUM(L122:L137)</f>
        <v>5615245263.1399994</v>
      </c>
      <c r="M141" s="1143">
        <f>SUM(M122:M140)</f>
        <v>5685980456.25</v>
      </c>
      <c r="N141" s="1143">
        <f>SUM(N122:N137)</f>
        <v>23937840.739999998</v>
      </c>
      <c r="O141" s="1143">
        <f t="shared" ref="O141:W141" si="31">SUM(O122:O140)</f>
        <v>5709918296.9900007</v>
      </c>
      <c r="P141" s="1143">
        <f t="shared" si="31"/>
        <v>7316495414.7799978</v>
      </c>
      <c r="Q141" s="1143">
        <f t="shared" si="31"/>
        <v>75271728.590000004</v>
      </c>
      <c r="R141" s="1164">
        <f t="shared" si="31"/>
        <v>7391767143.369997</v>
      </c>
      <c r="S141" s="1143">
        <f>SUM(S122:S140)</f>
        <v>8618467374.3399982</v>
      </c>
      <c r="T141" s="1143">
        <f t="shared" si="31"/>
        <v>-7733004.0799999991</v>
      </c>
      <c r="U141" s="1143">
        <f t="shared" si="31"/>
        <v>8610734370.2599983</v>
      </c>
      <c r="V141" s="1341">
        <f t="shared" si="31"/>
        <v>8701881773.5699978</v>
      </c>
      <c r="W141" s="1341">
        <f t="shared" si="31"/>
        <v>0</v>
      </c>
      <c r="X141" s="1145">
        <f t="shared" si="29"/>
        <v>8701881773.5699978</v>
      </c>
    </row>
    <row r="142" spans="1:25" s="620" customFormat="1" ht="15" customHeight="1" x14ac:dyDescent="0.2">
      <c r="A142" s="928"/>
      <c r="B142" s="928"/>
      <c r="C142" s="1165"/>
      <c r="D142" s="1165"/>
      <c r="E142" s="1165"/>
      <c r="F142" s="1165"/>
      <c r="G142" s="1166"/>
      <c r="H142" s="1166"/>
      <c r="I142" s="1166"/>
      <c r="J142" s="968"/>
      <c r="K142" s="318"/>
      <c r="L142" s="968"/>
      <c r="M142" s="968"/>
      <c r="N142" s="968"/>
      <c r="O142" s="968"/>
      <c r="P142" s="968"/>
      <c r="Q142" s="968"/>
      <c r="R142" s="1166"/>
      <c r="S142" s="968"/>
      <c r="T142" s="968"/>
      <c r="U142" s="968"/>
      <c r="V142" s="1145"/>
      <c r="W142" s="1145"/>
      <c r="X142" s="1145"/>
    </row>
    <row r="143" spans="1:25" s="620" customFormat="1" x14ac:dyDescent="0.2">
      <c r="A143" s="238" t="s">
        <v>3648</v>
      </c>
      <c r="B143" s="238" t="s">
        <v>191</v>
      </c>
      <c r="C143" s="1165">
        <v>4</v>
      </c>
      <c r="D143" s="1165">
        <v>9001</v>
      </c>
      <c r="E143" s="1167" t="s">
        <v>1435</v>
      </c>
      <c r="F143" s="1165">
        <v>0</v>
      </c>
      <c r="G143" s="1164">
        <v>125510500</v>
      </c>
      <c r="H143" s="1164">
        <f>125510500+12849167</f>
        <v>138359667</v>
      </c>
      <c r="I143" s="1164"/>
      <c r="J143" s="1143">
        <f>H143+I143</f>
        <v>138359667</v>
      </c>
      <c r="K143" s="318"/>
      <c r="L143" s="1143">
        <v>138359667</v>
      </c>
      <c r="M143" s="1143">
        <f>138359667+104514662.42-8272000</f>
        <v>234602329.42000002</v>
      </c>
      <c r="N143" s="968"/>
      <c r="O143" s="1143">
        <f>M143+N143</f>
        <v>234602329.42000002</v>
      </c>
      <c r="P143" s="1143">
        <f>234602329.42+310370118.33</f>
        <v>544972447.75</v>
      </c>
      <c r="Q143" s="968">
        <f>52810800.16+1221682.03+1165517.81</f>
        <v>55198000</v>
      </c>
      <c r="R143" s="1164">
        <f>P143+Q143</f>
        <v>600170447.75</v>
      </c>
      <c r="S143" s="1143">
        <f>600170447.75+24253551.28+23822460.24-31088000</f>
        <v>617158459.26999998</v>
      </c>
      <c r="T143" s="1143"/>
      <c r="U143" s="1143">
        <f>S143+T143</f>
        <v>617158459.26999998</v>
      </c>
      <c r="V143" s="1143">
        <f>658488237.57+1000</f>
        <v>658489237.57000005</v>
      </c>
      <c r="W143" s="1145"/>
      <c r="X143" s="1341">
        <f>V143+W143</f>
        <v>658489237.57000005</v>
      </c>
    </row>
    <row r="144" spans="1:25" s="620" customFormat="1" ht="15" customHeight="1" x14ac:dyDescent="0.2">
      <c r="A144" s="928"/>
      <c r="B144" s="928"/>
      <c r="C144" s="1165"/>
      <c r="D144" s="1165"/>
      <c r="E144" s="1165"/>
      <c r="F144" s="1165"/>
      <c r="G144" s="1166"/>
      <c r="H144" s="1166"/>
      <c r="I144" s="1166"/>
      <c r="J144" s="968"/>
      <c r="K144" s="318"/>
      <c r="L144" s="968"/>
      <c r="M144" s="968"/>
      <c r="N144" s="968"/>
      <c r="O144" s="968"/>
      <c r="P144" s="968"/>
      <c r="Q144" s="968"/>
      <c r="R144" s="1166"/>
      <c r="S144" s="968"/>
      <c r="T144" s="968"/>
      <c r="U144" s="968"/>
      <c r="V144" s="1145"/>
      <c r="W144" s="1145"/>
      <c r="X144" s="1145"/>
    </row>
    <row r="145" spans="1:24" s="620" customFormat="1" ht="15" customHeight="1" x14ac:dyDescent="0.2">
      <c r="A145" s="238" t="s">
        <v>122</v>
      </c>
      <c r="B145" s="238" t="s">
        <v>606</v>
      </c>
      <c r="C145" s="1165"/>
      <c r="D145" s="1165"/>
      <c r="E145" s="1165"/>
      <c r="F145" s="1165"/>
      <c r="G145" s="1166"/>
      <c r="H145" s="1166"/>
      <c r="I145" s="1166"/>
      <c r="J145" s="968"/>
      <c r="K145" s="318"/>
      <c r="L145" s="968"/>
      <c r="M145" s="968"/>
      <c r="N145" s="968"/>
      <c r="O145" s="968"/>
      <c r="P145" s="968"/>
      <c r="Q145" s="968"/>
      <c r="R145" s="1166"/>
      <c r="S145" s="968"/>
      <c r="T145" s="968"/>
      <c r="U145" s="968"/>
      <c r="V145" s="1145"/>
      <c r="W145" s="1145"/>
      <c r="X145" s="1145"/>
    </row>
    <row r="146" spans="1:24" s="620" customFormat="1" ht="15" customHeight="1" x14ac:dyDescent="0.2">
      <c r="A146" s="928"/>
      <c r="B146" s="928" t="s">
        <v>123</v>
      </c>
      <c r="C146" s="1165">
        <v>4</v>
      </c>
      <c r="D146" s="1165">
        <v>9010</v>
      </c>
      <c r="E146" s="1167" t="s">
        <v>1373</v>
      </c>
      <c r="F146" s="1165">
        <v>0</v>
      </c>
      <c r="G146" s="1166">
        <v>219993222.44</v>
      </c>
      <c r="H146" s="1166">
        <v>282807853.91000003</v>
      </c>
      <c r="I146" s="1166"/>
      <c r="J146" s="968">
        <f>H146+I146</f>
        <v>282807853.91000003</v>
      </c>
      <c r="K146" s="318"/>
      <c r="L146" s="968">
        <v>282807853.91000003</v>
      </c>
      <c r="M146" s="968">
        <v>278999800</v>
      </c>
      <c r="N146" s="968"/>
      <c r="O146" s="968">
        <f>M146+N146</f>
        <v>278999800</v>
      </c>
      <c r="P146" s="968">
        <v>168999800</v>
      </c>
      <c r="Q146" s="968"/>
      <c r="R146" s="1166">
        <f>P146+Q146</f>
        <v>168999800</v>
      </c>
      <c r="S146" s="968">
        <v>88999800</v>
      </c>
      <c r="T146" s="968">
        <v>-30000000</v>
      </c>
      <c r="U146" s="968">
        <f>S146+T146</f>
        <v>58999800</v>
      </c>
      <c r="V146" s="1145">
        <v>58999800</v>
      </c>
      <c r="W146" s="1145"/>
      <c r="X146" s="1145">
        <f>V146+W146</f>
        <v>58999800</v>
      </c>
    </row>
    <row r="147" spans="1:24" s="620" customFormat="1" ht="15" customHeight="1" x14ac:dyDescent="0.2">
      <c r="A147" s="928"/>
      <c r="B147" s="928" t="s">
        <v>2481</v>
      </c>
      <c r="C147" s="1165">
        <v>4</v>
      </c>
      <c r="D147" s="1165">
        <v>9015</v>
      </c>
      <c r="E147" s="1167" t="s">
        <v>1373</v>
      </c>
      <c r="F147" s="1165">
        <v>0</v>
      </c>
      <c r="G147" s="1166">
        <v>8217389</v>
      </c>
      <c r="H147" s="1166">
        <v>8217389</v>
      </c>
      <c r="I147" s="1166"/>
      <c r="J147" s="968">
        <f>H147+I147</f>
        <v>8217389</v>
      </c>
      <c r="K147" s="318"/>
      <c r="L147" s="968">
        <v>8217389</v>
      </c>
      <c r="M147" s="968">
        <v>8217389</v>
      </c>
      <c r="N147" s="968"/>
      <c r="O147" s="968">
        <f>M147+N147</f>
        <v>8217389</v>
      </c>
      <c r="P147" s="968">
        <v>8217389</v>
      </c>
      <c r="Q147" s="968"/>
      <c r="R147" s="1166">
        <f>P147+Q147</f>
        <v>8217389</v>
      </c>
      <c r="S147" s="968">
        <v>0</v>
      </c>
      <c r="T147" s="968">
        <v>1000</v>
      </c>
      <c r="U147" s="968">
        <f>S147+T147</f>
        <v>1000</v>
      </c>
      <c r="V147" s="1145">
        <v>1000</v>
      </c>
      <c r="W147" s="1145"/>
      <c r="X147" s="1145">
        <f>V147+W147</f>
        <v>1000</v>
      </c>
    </row>
    <row r="148" spans="1:24" s="620" customFormat="1" ht="15" customHeight="1" x14ac:dyDescent="0.2">
      <c r="A148" s="928"/>
      <c r="B148" s="928"/>
      <c r="C148" s="1165"/>
      <c r="D148" s="1165"/>
      <c r="E148" s="1165"/>
      <c r="F148" s="1165"/>
      <c r="G148" s="1164">
        <f t="shared" ref="G148:O148" si="32">SUM(G146:G147)</f>
        <v>228210611.44</v>
      </c>
      <c r="H148" s="1164">
        <f t="shared" si="32"/>
        <v>291025242.91000003</v>
      </c>
      <c r="I148" s="1164">
        <f t="shared" si="32"/>
        <v>0</v>
      </c>
      <c r="J148" s="1143">
        <f t="shared" si="32"/>
        <v>291025242.91000003</v>
      </c>
      <c r="K148" s="318"/>
      <c r="L148" s="1143">
        <f t="shared" si="32"/>
        <v>291025242.91000003</v>
      </c>
      <c r="M148" s="1143">
        <f>SUM(M146:M147)</f>
        <v>287217189</v>
      </c>
      <c r="N148" s="1143">
        <f t="shared" si="32"/>
        <v>0</v>
      </c>
      <c r="O148" s="1143">
        <f t="shared" si="32"/>
        <v>287217189</v>
      </c>
      <c r="P148" s="1143">
        <f t="shared" ref="P148:X148" si="33">SUM(P146:P147)</f>
        <v>177217189</v>
      </c>
      <c r="Q148" s="1143">
        <f t="shared" si="33"/>
        <v>0</v>
      </c>
      <c r="R148" s="1164">
        <f t="shared" si="33"/>
        <v>177217189</v>
      </c>
      <c r="S148" s="1143">
        <f t="shared" si="33"/>
        <v>88999800</v>
      </c>
      <c r="T148" s="1143">
        <f t="shared" si="33"/>
        <v>-29999000</v>
      </c>
      <c r="U148" s="1143">
        <f t="shared" si="33"/>
        <v>59000800</v>
      </c>
      <c r="V148" s="1341">
        <f t="shared" si="33"/>
        <v>59000800</v>
      </c>
      <c r="W148" s="1341">
        <f t="shared" si="33"/>
        <v>0</v>
      </c>
      <c r="X148" s="1341">
        <f t="shared" si="33"/>
        <v>59000800</v>
      </c>
    </row>
    <row r="149" spans="1:24" s="620" customFormat="1" ht="15" customHeight="1" x14ac:dyDescent="0.2">
      <c r="A149" s="238" t="s">
        <v>124</v>
      </c>
      <c r="B149" s="238" t="s">
        <v>125</v>
      </c>
      <c r="C149" s="1165"/>
      <c r="D149" s="1165"/>
      <c r="E149" s="1165"/>
      <c r="F149" s="1165"/>
      <c r="G149" s="1166"/>
      <c r="H149" s="1166"/>
      <c r="I149" s="1166"/>
      <c r="J149" s="968"/>
      <c r="K149" s="318"/>
      <c r="L149" s="968"/>
      <c r="M149" s="968"/>
      <c r="N149" s="968"/>
      <c r="O149" s="968"/>
      <c r="P149" s="968"/>
      <c r="Q149" s="968"/>
      <c r="R149" s="1166"/>
      <c r="S149" s="968"/>
      <c r="T149" s="968"/>
      <c r="U149" s="968"/>
      <c r="V149" s="1145"/>
      <c r="W149" s="1145"/>
      <c r="X149" s="1145"/>
    </row>
    <row r="150" spans="1:24" s="620" customFormat="1" ht="15" customHeight="1" x14ac:dyDescent="0.2">
      <c r="A150" s="928"/>
      <c r="B150" s="240" t="s">
        <v>424</v>
      </c>
      <c r="C150" s="1165"/>
      <c r="D150" s="1165"/>
      <c r="E150" s="1165"/>
      <c r="F150" s="1165"/>
      <c r="G150" s="1166"/>
      <c r="H150" s="1166"/>
      <c r="I150" s="1166"/>
      <c r="J150" s="968"/>
      <c r="K150" s="318"/>
      <c r="L150" s="968"/>
      <c r="M150" s="968"/>
      <c r="N150" s="968"/>
      <c r="O150" s="968"/>
      <c r="P150" s="968"/>
      <c r="Q150" s="968"/>
      <c r="R150" s="1166"/>
      <c r="S150" s="968"/>
      <c r="T150" s="968"/>
      <c r="U150" s="968"/>
      <c r="V150" s="1145"/>
      <c r="W150" s="1145"/>
      <c r="X150" s="1145"/>
    </row>
    <row r="151" spans="1:24" s="620" customFormat="1" ht="25.5" customHeight="1" x14ac:dyDescent="0.2">
      <c r="A151" s="928"/>
      <c r="B151" s="215" t="s">
        <v>425</v>
      </c>
      <c r="C151" s="1165"/>
      <c r="D151" s="1165"/>
      <c r="E151" s="1165"/>
      <c r="F151" s="1165"/>
      <c r="G151" s="1166"/>
      <c r="H151" s="1166"/>
      <c r="I151" s="1166"/>
      <c r="J151" s="968"/>
      <c r="K151" s="318"/>
      <c r="L151" s="968"/>
      <c r="M151" s="968"/>
      <c r="N151" s="968"/>
      <c r="O151" s="968"/>
      <c r="P151" s="968"/>
      <c r="Q151" s="968"/>
      <c r="R151" s="1166"/>
      <c r="S151" s="968"/>
      <c r="T151" s="968"/>
      <c r="U151" s="968"/>
      <c r="V151" s="1145"/>
      <c r="W151" s="1145"/>
      <c r="X151" s="1145"/>
    </row>
    <row r="152" spans="1:24" s="620" customFormat="1" ht="15" customHeight="1" x14ac:dyDescent="0.2">
      <c r="A152" s="928"/>
      <c r="B152" s="240" t="s">
        <v>126</v>
      </c>
      <c r="C152" s="1165">
        <v>4</v>
      </c>
      <c r="D152" s="1165">
        <v>9026</v>
      </c>
      <c r="E152" s="1167" t="s">
        <v>1379</v>
      </c>
      <c r="F152" s="1165">
        <v>0</v>
      </c>
      <c r="G152" s="1166">
        <v>12846.77</v>
      </c>
      <c r="H152" s="1166">
        <v>11346.73</v>
      </c>
      <c r="I152" s="1166"/>
      <c r="J152" s="968">
        <f t="shared" ref="J152:J161" si="34">H152+I152</f>
        <v>11346.73</v>
      </c>
      <c r="K152" s="318"/>
      <c r="L152" s="968">
        <v>11346.73</v>
      </c>
      <c r="M152" s="968">
        <v>11282.4</v>
      </c>
      <c r="N152" s="968"/>
      <c r="O152" s="968">
        <f t="shared" ref="O152:O161" si="35">M152+N152</f>
        <v>11282.4</v>
      </c>
      <c r="P152" s="968">
        <v>11198.62</v>
      </c>
      <c r="Q152" s="968"/>
      <c r="R152" s="1166">
        <f t="shared" ref="R152:R161" si="36">P152+Q152</f>
        <v>11198.62</v>
      </c>
      <c r="S152" s="968">
        <v>2317.41</v>
      </c>
      <c r="T152" s="968"/>
      <c r="U152" s="968">
        <f t="shared" ref="U152:U161" si="37">S152+T152</f>
        <v>2317.41</v>
      </c>
      <c r="V152" s="1145">
        <v>2297.4</v>
      </c>
      <c r="W152" s="1145"/>
      <c r="X152" s="1145">
        <f t="shared" ref="X152:X161" si="38">V152+W152</f>
        <v>2297.4</v>
      </c>
    </row>
    <row r="153" spans="1:24" s="620" customFormat="1" ht="15" customHeight="1" x14ac:dyDescent="0.2">
      <c r="A153" s="928"/>
      <c r="B153" s="240" t="s">
        <v>127</v>
      </c>
      <c r="C153" s="1165">
        <v>4</v>
      </c>
      <c r="D153" s="1165">
        <v>9026</v>
      </c>
      <c r="E153" s="1167" t="s">
        <v>1382</v>
      </c>
      <c r="F153" s="1165">
        <v>0</v>
      </c>
      <c r="G153" s="1166">
        <v>5471.99</v>
      </c>
      <c r="H153" s="1166">
        <v>4823.55</v>
      </c>
      <c r="I153" s="1166"/>
      <c r="J153" s="968">
        <f t="shared" si="34"/>
        <v>4823.55</v>
      </c>
      <c r="K153" s="318"/>
      <c r="L153" s="968">
        <v>4823.55</v>
      </c>
      <c r="M153" s="968">
        <v>4796.1000000000004</v>
      </c>
      <c r="N153" s="968"/>
      <c r="O153" s="968">
        <f t="shared" si="35"/>
        <v>4796.1000000000004</v>
      </c>
      <c r="P153" s="968">
        <v>4760.32</v>
      </c>
      <c r="Q153" s="968"/>
      <c r="R153" s="1166">
        <f t="shared" si="36"/>
        <v>4760.32</v>
      </c>
      <c r="S153" s="968">
        <v>670.86</v>
      </c>
      <c r="T153" s="968"/>
      <c r="U153" s="968">
        <f t="shared" si="37"/>
        <v>670.86</v>
      </c>
      <c r="V153" s="1145">
        <v>665.04</v>
      </c>
      <c r="W153" s="1145"/>
      <c r="X153" s="1145">
        <f t="shared" si="38"/>
        <v>665.04</v>
      </c>
    </row>
    <row r="154" spans="1:24" s="620" customFormat="1" ht="15" customHeight="1" x14ac:dyDescent="0.2">
      <c r="A154" s="928"/>
      <c r="B154" s="240" t="s">
        <v>128</v>
      </c>
      <c r="C154" s="1165">
        <v>4</v>
      </c>
      <c r="D154" s="1165">
        <v>9026</v>
      </c>
      <c r="E154" s="1167" t="s">
        <v>1447</v>
      </c>
      <c r="F154" s="1165">
        <v>0</v>
      </c>
      <c r="G154" s="1166">
        <v>120829.53</v>
      </c>
      <c r="H154" s="1166">
        <v>470795.9</v>
      </c>
      <c r="I154" s="1166"/>
      <c r="J154" s="968">
        <f t="shared" si="34"/>
        <v>470795.9</v>
      </c>
      <c r="K154" s="318"/>
      <c r="L154" s="968">
        <v>470795.9</v>
      </c>
      <c r="M154" s="968">
        <v>462957.87</v>
      </c>
      <c r="N154" s="968"/>
      <c r="O154" s="968">
        <f t="shared" si="35"/>
        <v>462957.87</v>
      </c>
      <c r="P154" s="968">
        <v>121056.67</v>
      </c>
      <c r="Q154" s="968"/>
      <c r="R154" s="1166">
        <f t="shared" si="36"/>
        <v>121056.67</v>
      </c>
      <c r="S154" s="968">
        <v>76940.94</v>
      </c>
      <c r="T154" s="968"/>
      <c r="U154" s="968">
        <f t="shared" si="37"/>
        <v>76940.94</v>
      </c>
      <c r="V154" s="1145">
        <v>74713.67</v>
      </c>
      <c r="W154" s="1145"/>
      <c r="X154" s="1145">
        <f t="shared" si="38"/>
        <v>74713.67</v>
      </c>
    </row>
    <row r="155" spans="1:24" s="620" customFormat="1" ht="15" customHeight="1" x14ac:dyDescent="0.2">
      <c r="A155" s="928"/>
      <c r="B155" s="240" t="s">
        <v>128</v>
      </c>
      <c r="C155" s="1165">
        <v>4</v>
      </c>
      <c r="D155" s="1165">
        <v>9026</v>
      </c>
      <c r="E155" s="1167" t="s">
        <v>1432</v>
      </c>
      <c r="F155" s="1165">
        <v>0</v>
      </c>
      <c r="G155" s="1166">
        <v>409606.24</v>
      </c>
      <c r="H155" s="1166">
        <v>9180.68</v>
      </c>
      <c r="I155" s="1166"/>
      <c r="J155" s="968">
        <f t="shared" si="34"/>
        <v>9180.68</v>
      </c>
      <c r="K155" s="318"/>
      <c r="L155" s="968">
        <v>9180.68</v>
      </c>
      <c r="M155" s="968">
        <v>9038.44</v>
      </c>
      <c r="N155" s="968"/>
      <c r="O155" s="968">
        <f t="shared" si="35"/>
        <v>9038.44</v>
      </c>
      <c r="P155" s="968">
        <v>8869.19</v>
      </c>
      <c r="Q155" s="968"/>
      <c r="R155" s="1166">
        <f t="shared" si="36"/>
        <v>8869.19</v>
      </c>
      <c r="S155" s="968">
        <v>8667.99</v>
      </c>
      <c r="T155" s="968"/>
      <c r="U155" s="968">
        <f t="shared" si="37"/>
        <v>8667.99</v>
      </c>
      <c r="V155" s="1145">
        <v>8452.99</v>
      </c>
      <c r="W155" s="1145"/>
      <c r="X155" s="1145">
        <f t="shared" si="38"/>
        <v>8452.99</v>
      </c>
    </row>
    <row r="156" spans="1:24" s="620" customFormat="1" ht="15" customHeight="1" x14ac:dyDescent="0.2">
      <c r="A156" s="928"/>
      <c r="B156" s="240" t="s">
        <v>128</v>
      </c>
      <c r="C156" s="1165">
        <v>4</v>
      </c>
      <c r="D156" s="1165">
        <v>9026</v>
      </c>
      <c r="E156" s="1167" t="s">
        <v>1433</v>
      </c>
      <c r="F156" s="1165">
        <v>0</v>
      </c>
      <c r="G156" s="1166">
        <v>1960.96</v>
      </c>
      <c r="H156" s="1166">
        <v>1802.48</v>
      </c>
      <c r="I156" s="1166"/>
      <c r="J156" s="968">
        <f t="shared" si="34"/>
        <v>1802.48</v>
      </c>
      <c r="K156" s="318"/>
      <c r="L156" s="968">
        <v>1802.48</v>
      </c>
      <c r="M156" s="968">
        <v>1802.48</v>
      </c>
      <c r="N156" s="968"/>
      <c r="O156" s="968">
        <f t="shared" si="35"/>
        <v>1802.48</v>
      </c>
      <c r="P156" s="968">
        <v>1801.49</v>
      </c>
      <c r="Q156" s="968"/>
      <c r="R156" s="1166">
        <f t="shared" si="36"/>
        <v>1801.49</v>
      </c>
      <c r="S156" s="968">
        <v>1789.06</v>
      </c>
      <c r="T156" s="968"/>
      <c r="U156" s="968">
        <f t="shared" si="37"/>
        <v>1789.06</v>
      </c>
      <c r="V156" s="1145">
        <v>1776.04</v>
      </c>
      <c r="W156" s="1145"/>
      <c r="X156" s="1145">
        <f t="shared" si="38"/>
        <v>1776.04</v>
      </c>
    </row>
    <row r="157" spans="1:24" s="620" customFormat="1" ht="15" customHeight="1" x14ac:dyDescent="0.2">
      <c r="A157" s="928"/>
      <c r="B157" s="240" t="s">
        <v>128</v>
      </c>
      <c r="C157" s="1165">
        <v>4</v>
      </c>
      <c r="D157" s="1165">
        <v>9026</v>
      </c>
      <c r="E157" s="1167" t="s">
        <v>1435</v>
      </c>
      <c r="F157" s="1165">
        <v>0</v>
      </c>
      <c r="G157" s="1166">
        <v>679665.38</v>
      </c>
      <c r="H157" s="1166">
        <v>624271.59</v>
      </c>
      <c r="I157" s="1166"/>
      <c r="J157" s="968">
        <f t="shared" si="34"/>
        <v>624271.59</v>
      </c>
      <c r="K157" s="318"/>
      <c r="L157" s="968">
        <v>624271.59</v>
      </c>
      <c r="M157" s="968">
        <v>0</v>
      </c>
      <c r="N157" s="968"/>
      <c r="O157" s="968">
        <f t="shared" si="35"/>
        <v>0</v>
      </c>
      <c r="P157" s="968">
        <v>0</v>
      </c>
      <c r="Q157" s="968"/>
      <c r="R157" s="1166">
        <f t="shared" si="36"/>
        <v>0</v>
      </c>
      <c r="S157" s="968">
        <v>0</v>
      </c>
      <c r="T157" s="968"/>
      <c r="U157" s="968">
        <f t="shared" si="37"/>
        <v>0</v>
      </c>
      <c r="V157" s="1145"/>
      <c r="W157" s="1145"/>
      <c r="X157" s="1145">
        <f t="shared" si="38"/>
        <v>0</v>
      </c>
    </row>
    <row r="158" spans="1:24" s="620" customFormat="1" ht="15" customHeight="1" x14ac:dyDescent="0.2">
      <c r="A158" s="928"/>
      <c r="B158" s="240" t="s">
        <v>128</v>
      </c>
      <c r="C158" s="1165">
        <v>4</v>
      </c>
      <c r="D158" s="1165">
        <v>9026</v>
      </c>
      <c r="E158" s="1167" t="s">
        <v>1385</v>
      </c>
      <c r="F158" s="1165">
        <v>0</v>
      </c>
      <c r="G158" s="1166">
        <v>86349.59</v>
      </c>
      <c r="H158" s="1166">
        <v>77022.05</v>
      </c>
      <c r="I158" s="1166"/>
      <c r="J158" s="968">
        <f t="shared" si="34"/>
        <v>77022.05</v>
      </c>
      <c r="K158" s="318"/>
      <c r="L158" s="968">
        <v>77022.05</v>
      </c>
      <c r="M158" s="968">
        <v>77022.05</v>
      </c>
      <c r="N158" s="968"/>
      <c r="O158" s="968">
        <f t="shared" si="35"/>
        <v>77022.05</v>
      </c>
      <c r="P158" s="968">
        <v>76979.95</v>
      </c>
      <c r="Q158" s="968"/>
      <c r="R158" s="1166">
        <f t="shared" si="36"/>
        <v>76979.95</v>
      </c>
      <c r="S158" s="968">
        <v>76449.3</v>
      </c>
      <c r="T158" s="968"/>
      <c r="U158" s="968">
        <f t="shared" si="37"/>
        <v>76449.3</v>
      </c>
      <c r="V158" s="1145">
        <v>75923.48</v>
      </c>
      <c r="W158" s="1145"/>
      <c r="X158" s="1145">
        <f t="shared" si="38"/>
        <v>75923.48</v>
      </c>
    </row>
    <row r="159" spans="1:24" s="620" customFormat="1" ht="15" customHeight="1" x14ac:dyDescent="0.2">
      <c r="A159" s="928"/>
      <c r="B159" s="240" t="s">
        <v>128</v>
      </c>
      <c r="C159" s="1165">
        <v>4</v>
      </c>
      <c r="D159" s="1165">
        <v>9026</v>
      </c>
      <c r="E159" s="1167" t="s">
        <v>1386</v>
      </c>
      <c r="F159" s="1165">
        <v>0</v>
      </c>
      <c r="G159" s="1166">
        <v>108064.6</v>
      </c>
      <c r="H159" s="1166">
        <v>97869.21</v>
      </c>
      <c r="I159" s="1166"/>
      <c r="J159" s="968">
        <f t="shared" si="34"/>
        <v>97869.21</v>
      </c>
      <c r="K159" s="318"/>
      <c r="L159" s="968">
        <v>97869.21</v>
      </c>
      <c r="M159" s="968">
        <v>97316.11</v>
      </c>
      <c r="N159" s="968"/>
      <c r="O159" s="968">
        <f t="shared" si="35"/>
        <v>97316.11</v>
      </c>
      <c r="P159" s="968">
        <v>96595.45</v>
      </c>
      <c r="Q159" s="968"/>
      <c r="R159" s="1166">
        <f t="shared" si="36"/>
        <v>96595.45</v>
      </c>
      <c r="S159" s="968">
        <v>0</v>
      </c>
      <c r="T159" s="968"/>
      <c r="U159" s="968">
        <f t="shared" si="37"/>
        <v>0</v>
      </c>
      <c r="V159" s="1145"/>
      <c r="W159" s="1145"/>
      <c r="X159" s="1145">
        <f t="shared" si="38"/>
        <v>0</v>
      </c>
    </row>
    <row r="160" spans="1:24" s="620" customFormat="1" ht="15" customHeight="1" x14ac:dyDescent="0.2">
      <c r="A160" s="928"/>
      <c r="B160" s="240" t="s">
        <v>128</v>
      </c>
      <c r="C160" s="1165">
        <v>4</v>
      </c>
      <c r="D160" s="1165">
        <v>9026</v>
      </c>
      <c r="E160" s="1167" t="s">
        <v>1436</v>
      </c>
      <c r="F160" s="1165">
        <v>0</v>
      </c>
      <c r="G160" s="1166">
        <v>4319.6899999999996</v>
      </c>
      <c r="H160" s="1166">
        <v>2885.09</v>
      </c>
      <c r="I160" s="1166"/>
      <c r="J160" s="968">
        <f t="shared" si="34"/>
        <v>2885.09</v>
      </c>
      <c r="K160" s="318"/>
      <c r="L160" s="968">
        <v>2885.09</v>
      </c>
      <c r="M160" s="968">
        <v>2885.09</v>
      </c>
      <c r="N160" s="968"/>
      <c r="O160" s="968">
        <f t="shared" si="35"/>
        <v>2885.09</v>
      </c>
      <c r="P160" s="968">
        <v>2883.51</v>
      </c>
      <c r="Q160" s="968"/>
      <c r="R160" s="1166">
        <f t="shared" si="36"/>
        <v>2883.51</v>
      </c>
      <c r="S160" s="968">
        <v>0</v>
      </c>
      <c r="T160" s="968"/>
      <c r="U160" s="968">
        <f t="shared" si="37"/>
        <v>0</v>
      </c>
      <c r="V160" s="1145"/>
      <c r="W160" s="1145"/>
      <c r="X160" s="1145">
        <f t="shared" si="38"/>
        <v>0</v>
      </c>
    </row>
    <row r="161" spans="1:24" s="620" customFormat="1" ht="15" customHeight="1" x14ac:dyDescent="0.2">
      <c r="A161" s="928"/>
      <c r="B161" s="240" t="s">
        <v>128</v>
      </c>
      <c r="C161" s="1165">
        <v>4</v>
      </c>
      <c r="D161" s="1165">
        <v>9026</v>
      </c>
      <c r="E161" s="1167" t="s">
        <v>1437</v>
      </c>
      <c r="F161" s="1165">
        <v>0</v>
      </c>
      <c r="G161" s="1166">
        <v>968604.56</v>
      </c>
      <c r="H161" s="1166">
        <v>943266.42</v>
      </c>
      <c r="I161" s="1166"/>
      <c r="J161" s="968">
        <f t="shared" si="34"/>
        <v>943266.42</v>
      </c>
      <c r="K161" s="318"/>
      <c r="L161" s="968">
        <v>943266.42</v>
      </c>
      <c r="M161" s="968">
        <v>937936.84</v>
      </c>
      <c r="N161" s="968"/>
      <c r="O161" s="968">
        <f t="shared" si="35"/>
        <v>937936.84</v>
      </c>
      <c r="P161" s="968">
        <v>930992.77</v>
      </c>
      <c r="Q161" s="968"/>
      <c r="R161" s="1166">
        <f t="shared" si="36"/>
        <v>930992.77</v>
      </c>
      <c r="S161" s="968">
        <v>0</v>
      </c>
      <c r="T161" s="968"/>
      <c r="U161" s="968">
        <f t="shared" si="37"/>
        <v>0</v>
      </c>
      <c r="V161" s="1145"/>
      <c r="W161" s="1145"/>
      <c r="X161" s="1145">
        <f t="shared" si="38"/>
        <v>0</v>
      </c>
    </row>
    <row r="162" spans="1:24" s="620" customFormat="1" ht="15" customHeight="1" x14ac:dyDescent="0.2">
      <c r="A162" s="928"/>
      <c r="B162" s="240"/>
      <c r="C162" s="1165"/>
      <c r="D162" s="1165"/>
      <c r="E162" s="1165"/>
      <c r="F162" s="1165"/>
      <c r="G162" s="374">
        <f>SUM(G152:G161)</f>
        <v>2397719.3100000005</v>
      </c>
      <c r="H162" s="374">
        <f>SUM(H152:H161)</f>
        <v>2243263.7000000002</v>
      </c>
      <c r="I162" s="374">
        <f>SUM(I152:I161)</f>
        <v>0</v>
      </c>
      <c r="J162" s="373">
        <f>SUM(J152:J161)</f>
        <v>2243263.7000000002</v>
      </c>
      <c r="K162" s="318"/>
      <c r="L162" s="373">
        <f t="shared" ref="L162:X162" si="39">SUM(L152:L161)</f>
        <v>2243263.7000000002</v>
      </c>
      <c r="M162" s="373">
        <f t="shared" si="39"/>
        <v>1605037.38</v>
      </c>
      <c r="N162" s="373">
        <f t="shared" si="39"/>
        <v>0</v>
      </c>
      <c r="O162" s="373">
        <f t="shared" si="39"/>
        <v>1605037.38</v>
      </c>
      <c r="P162" s="373">
        <f t="shared" si="39"/>
        <v>1255137.97</v>
      </c>
      <c r="Q162" s="373">
        <f t="shared" si="39"/>
        <v>0</v>
      </c>
      <c r="R162" s="374">
        <f t="shared" si="39"/>
        <v>1255137.97</v>
      </c>
      <c r="S162" s="373">
        <f t="shared" si="39"/>
        <v>166835.56</v>
      </c>
      <c r="T162" s="373">
        <f t="shared" si="39"/>
        <v>0</v>
      </c>
      <c r="U162" s="373">
        <f t="shared" si="39"/>
        <v>166835.56</v>
      </c>
      <c r="V162" s="1342">
        <f t="shared" si="39"/>
        <v>163828.62</v>
      </c>
      <c r="W162" s="1342">
        <f t="shared" si="39"/>
        <v>0</v>
      </c>
      <c r="X162" s="1342">
        <f t="shared" si="39"/>
        <v>163828.62</v>
      </c>
    </row>
    <row r="163" spans="1:24" s="620" customFormat="1" ht="15" customHeight="1" x14ac:dyDescent="0.2">
      <c r="A163" s="928"/>
      <c r="B163" s="240"/>
      <c r="C163" s="1165"/>
      <c r="D163" s="1165"/>
      <c r="E163" s="1165"/>
      <c r="F163" s="1165"/>
      <c r="G163" s="374"/>
      <c r="H163" s="374"/>
      <c r="I163" s="374"/>
      <c r="J163" s="373"/>
      <c r="K163" s="318"/>
      <c r="L163" s="373"/>
      <c r="M163" s="373"/>
      <c r="N163" s="373"/>
      <c r="O163" s="373"/>
      <c r="P163" s="373"/>
      <c r="Q163" s="373"/>
      <c r="R163" s="374"/>
      <c r="S163" s="373"/>
      <c r="T163" s="373"/>
      <c r="U163" s="373"/>
      <c r="V163" s="1145"/>
      <c r="W163" s="1145"/>
      <c r="X163" s="1145"/>
    </row>
    <row r="164" spans="1:24" s="1173" customFormat="1" ht="15" customHeight="1" x14ac:dyDescent="0.2">
      <c r="A164" s="976"/>
      <c r="B164" s="215" t="s">
        <v>886</v>
      </c>
      <c r="C164" s="1171">
        <v>4</v>
      </c>
      <c r="D164" s="1171">
        <v>9026</v>
      </c>
      <c r="E164" s="1172" t="s">
        <v>1438</v>
      </c>
      <c r="F164" s="1171">
        <v>0</v>
      </c>
      <c r="G164" s="1164">
        <v>932015.54</v>
      </c>
      <c r="H164" s="1164">
        <v>662637.64</v>
      </c>
      <c r="I164" s="1164"/>
      <c r="J164" s="1143">
        <f>H164+I164</f>
        <v>662637.64</v>
      </c>
      <c r="K164" s="459"/>
      <c r="L164" s="1143">
        <v>662637.64</v>
      </c>
      <c r="M164" s="1143">
        <v>718297.09</v>
      </c>
      <c r="N164" s="1143"/>
      <c r="O164" s="1143">
        <f>M164+N164</f>
        <v>718297.09</v>
      </c>
      <c r="P164" s="1143">
        <v>413448.1</v>
      </c>
      <c r="Q164" s="1143"/>
      <c r="R164" s="1164">
        <f>P164+Q164</f>
        <v>413448.1</v>
      </c>
      <c r="S164" s="1143">
        <v>187670.31</v>
      </c>
      <c r="T164" s="1143"/>
      <c r="U164" s="1143">
        <f>S164+T164</f>
        <v>187670.31</v>
      </c>
      <c r="V164" s="1341">
        <v>0</v>
      </c>
      <c r="W164" s="1341"/>
      <c r="X164" s="1341">
        <f>V164+W164</f>
        <v>0</v>
      </c>
    </row>
    <row r="165" spans="1:24" s="620" customFormat="1" ht="15" customHeight="1" x14ac:dyDescent="0.2">
      <c r="A165" s="928"/>
      <c r="B165" s="215" t="s">
        <v>887</v>
      </c>
      <c r="C165" s="1165"/>
      <c r="D165" s="1165"/>
      <c r="E165" s="1165"/>
      <c r="F165" s="1165"/>
      <c r="G165" s="1166"/>
      <c r="H165" s="1166"/>
      <c r="I165" s="1166"/>
      <c r="J165" s="968"/>
      <c r="K165" s="318"/>
      <c r="L165" s="968"/>
      <c r="M165" s="968"/>
      <c r="N165" s="968"/>
      <c r="O165" s="968"/>
      <c r="P165" s="968"/>
      <c r="Q165" s="968"/>
      <c r="R165" s="1166"/>
      <c r="S165" s="968"/>
      <c r="T165" s="968"/>
      <c r="U165" s="968"/>
      <c r="V165" s="1145"/>
      <c r="W165" s="1145"/>
      <c r="X165" s="1145"/>
    </row>
    <row r="166" spans="1:24" s="620" customFormat="1" ht="15" customHeight="1" x14ac:dyDescent="0.2">
      <c r="A166" s="928"/>
      <c r="B166" s="240" t="s">
        <v>128</v>
      </c>
      <c r="C166" s="1165">
        <v>4</v>
      </c>
      <c r="D166" s="1165">
        <v>9026</v>
      </c>
      <c r="E166" s="1167" t="s">
        <v>1387</v>
      </c>
      <c r="F166" s="1165">
        <v>0</v>
      </c>
      <c r="G166" s="1166">
        <v>13242977.73</v>
      </c>
      <c r="H166" s="1166">
        <v>3687543.44</v>
      </c>
      <c r="I166" s="1166"/>
      <c r="J166" s="968">
        <f>H166+I166</f>
        <v>3687543.44</v>
      </c>
      <c r="K166" s="318"/>
      <c r="L166" s="968">
        <v>3687543.44</v>
      </c>
      <c r="M166" s="968">
        <v>3687543.44</v>
      </c>
      <c r="N166" s="968"/>
      <c r="O166" s="968">
        <f>M166+N166</f>
        <v>3687543.44</v>
      </c>
      <c r="P166" s="968">
        <v>3221429.5</v>
      </c>
      <c r="Q166" s="968"/>
      <c r="R166" s="1166">
        <f>P166+Q166</f>
        <v>3221429.5</v>
      </c>
      <c r="S166" s="968">
        <v>2324732.71</v>
      </c>
      <c r="T166" s="968"/>
      <c r="U166" s="968">
        <f>S166+T166</f>
        <v>2324732.71</v>
      </c>
      <c r="V166" s="1145">
        <v>2151137.11</v>
      </c>
      <c r="W166" s="1145"/>
      <c r="X166" s="1145">
        <f>V166+W166</f>
        <v>2151137.11</v>
      </c>
    </row>
    <row r="167" spans="1:24" s="620" customFormat="1" ht="15" customHeight="1" x14ac:dyDescent="0.2">
      <c r="A167" s="928"/>
      <c r="B167" s="240" t="s">
        <v>128</v>
      </c>
      <c r="C167" s="1165">
        <v>4</v>
      </c>
      <c r="D167" s="1165">
        <v>9026</v>
      </c>
      <c r="E167" s="1167" t="s">
        <v>1446</v>
      </c>
      <c r="F167" s="1165">
        <v>0</v>
      </c>
      <c r="G167" s="1166">
        <v>560514</v>
      </c>
      <c r="H167" s="1166">
        <v>560514</v>
      </c>
      <c r="I167" s="1166"/>
      <c r="J167" s="968">
        <f>H167+I167</f>
        <v>560514</v>
      </c>
      <c r="K167" s="318"/>
      <c r="L167" s="968">
        <v>560514</v>
      </c>
      <c r="M167" s="968">
        <v>560514</v>
      </c>
      <c r="N167" s="968"/>
      <c r="O167" s="968">
        <f>M167+N167</f>
        <v>560514</v>
      </c>
      <c r="P167" s="968">
        <v>560514</v>
      </c>
      <c r="Q167" s="968"/>
      <c r="R167" s="1166">
        <f>P167+Q167</f>
        <v>560514</v>
      </c>
      <c r="S167" s="968">
        <v>560514</v>
      </c>
      <c r="T167" s="968"/>
      <c r="U167" s="968">
        <f>S167+T167</f>
        <v>560514</v>
      </c>
      <c r="V167" s="1145">
        <v>560514</v>
      </c>
      <c r="W167" s="1145"/>
      <c r="X167" s="1145">
        <f>V167+W167</f>
        <v>560514</v>
      </c>
    </row>
    <row r="168" spans="1:24" s="620" customFormat="1" ht="15" customHeight="1" x14ac:dyDescent="0.2">
      <c r="A168" s="928"/>
      <c r="B168" s="240" t="s">
        <v>128</v>
      </c>
      <c r="C168" s="1165">
        <v>4</v>
      </c>
      <c r="D168" s="1165">
        <v>9026</v>
      </c>
      <c r="E168" s="1167" t="s">
        <v>1448</v>
      </c>
      <c r="F168" s="1165">
        <v>0</v>
      </c>
      <c r="G168" s="1166">
        <v>1198012.3899999999</v>
      </c>
      <c r="H168" s="1166">
        <v>931677.8</v>
      </c>
      <c r="I168" s="1166"/>
      <c r="J168" s="968">
        <f>H168+I168</f>
        <v>931677.8</v>
      </c>
      <c r="K168" s="318"/>
      <c r="L168" s="968">
        <v>931677.8</v>
      </c>
      <c r="M168" s="968">
        <v>931677.8</v>
      </c>
      <c r="N168" s="968"/>
      <c r="O168" s="968">
        <f>M168+N168</f>
        <v>931677.8</v>
      </c>
      <c r="P168" s="968">
        <v>931677.8</v>
      </c>
      <c r="Q168" s="968"/>
      <c r="R168" s="1166">
        <f>P168+Q168</f>
        <v>931677.8</v>
      </c>
      <c r="S168" s="968">
        <v>931677.8</v>
      </c>
      <c r="T168" s="968"/>
      <c r="U168" s="968">
        <f>S168+T168</f>
        <v>931677.8</v>
      </c>
      <c r="V168" s="1145">
        <v>931677.8</v>
      </c>
      <c r="W168" s="1145"/>
      <c r="X168" s="1145">
        <f>V168+W168</f>
        <v>931677.8</v>
      </c>
    </row>
    <row r="169" spans="1:24" s="620" customFormat="1" ht="15" customHeight="1" x14ac:dyDescent="0.2">
      <c r="A169" s="928"/>
      <c r="B169" s="240" t="s">
        <v>128</v>
      </c>
      <c r="C169" s="1165">
        <v>4</v>
      </c>
      <c r="D169" s="1165">
        <v>9026</v>
      </c>
      <c r="E169" s="1167" t="s">
        <v>1449</v>
      </c>
      <c r="F169" s="1165">
        <v>0</v>
      </c>
      <c r="G169" s="1166">
        <v>6310846.1100000003</v>
      </c>
      <c r="H169" s="1166">
        <v>2239744.66</v>
      </c>
      <c r="I169" s="1166"/>
      <c r="J169" s="968">
        <f>H169+I169</f>
        <v>2239744.66</v>
      </c>
      <c r="K169" s="318"/>
      <c r="L169" s="968">
        <v>2239744.66</v>
      </c>
      <c r="M169" s="968">
        <v>2238885.21</v>
      </c>
      <c r="N169" s="968"/>
      <c r="O169" s="968">
        <f>M169+N169</f>
        <v>2238885.21</v>
      </c>
      <c r="P169" s="968">
        <v>2021652.39</v>
      </c>
      <c r="Q169" s="968"/>
      <c r="R169" s="1166">
        <f>P169+Q169</f>
        <v>2021652.39</v>
      </c>
      <c r="S169" s="968">
        <v>1870427.53</v>
      </c>
      <c r="T169" s="968"/>
      <c r="U169" s="968">
        <f>S169+T169</f>
        <v>1870427.53</v>
      </c>
      <c r="V169" s="1145">
        <v>1869118.7</v>
      </c>
      <c r="W169" s="1145"/>
      <c r="X169" s="1145">
        <f>V169+W169</f>
        <v>1869118.7</v>
      </c>
    </row>
    <row r="170" spans="1:24" s="620" customFormat="1" ht="15" customHeight="1" x14ac:dyDescent="0.2">
      <c r="A170" s="928"/>
      <c r="B170" s="240" t="s">
        <v>128</v>
      </c>
      <c r="C170" s="1165"/>
      <c r="D170" s="1165"/>
      <c r="E170" s="1165"/>
      <c r="F170" s="1165"/>
      <c r="G170" s="374">
        <f t="shared" ref="G170:O170" si="40">SUM(G166:G169)</f>
        <v>21312350.23</v>
      </c>
      <c r="H170" s="374">
        <f t="shared" si="40"/>
        <v>7419479.8999999994</v>
      </c>
      <c r="I170" s="374">
        <f t="shared" si="40"/>
        <v>0</v>
      </c>
      <c r="J170" s="373">
        <f t="shared" si="40"/>
        <v>7419479.8999999994</v>
      </c>
      <c r="K170" s="318"/>
      <c r="L170" s="373">
        <f t="shared" si="40"/>
        <v>7419479.8999999994</v>
      </c>
      <c r="M170" s="373">
        <f>SUM(M166:M169)</f>
        <v>7418620.4499999993</v>
      </c>
      <c r="N170" s="373">
        <f t="shared" si="40"/>
        <v>0</v>
      </c>
      <c r="O170" s="373">
        <f t="shared" si="40"/>
        <v>7418620.4499999993</v>
      </c>
      <c r="P170" s="373">
        <f t="shared" ref="P170:X170" si="41">SUM(P166:P169)</f>
        <v>6735273.6899999995</v>
      </c>
      <c r="Q170" s="373">
        <f t="shared" si="41"/>
        <v>0</v>
      </c>
      <c r="R170" s="374">
        <f t="shared" si="41"/>
        <v>6735273.6899999995</v>
      </c>
      <c r="S170" s="373">
        <f t="shared" si="41"/>
        <v>5687352.04</v>
      </c>
      <c r="T170" s="373">
        <f t="shared" si="41"/>
        <v>0</v>
      </c>
      <c r="U170" s="373">
        <f t="shared" si="41"/>
        <v>5687352.04</v>
      </c>
      <c r="V170" s="1342">
        <f t="shared" si="41"/>
        <v>5512447.6100000003</v>
      </c>
      <c r="W170" s="1342">
        <f t="shared" si="41"/>
        <v>0</v>
      </c>
      <c r="X170" s="1342">
        <f t="shared" si="41"/>
        <v>5512447.6100000003</v>
      </c>
    </row>
    <row r="171" spans="1:24" s="620" customFormat="1" ht="15" customHeight="1" x14ac:dyDescent="0.2">
      <c r="A171" s="928"/>
      <c r="B171" s="240" t="s">
        <v>888</v>
      </c>
      <c r="C171" s="1165"/>
      <c r="D171" s="1165"/>
      <c r="E171" s="1165"/>
      <c r="F171" s="1165"/>
      <c r="G171" s="1166"/>
      <c r="H171" s="1166"/>
      <c r="I171" s="1166"/>
      <c r="J171" s="968"/>
      <c r="K171" s="318"/>
      <c r="L171" s="968"/>
      <c r="M171" s="968"/>
      <c r="N171" s="968"/>
      <c r="O171" s="968"/>
      <c r="P171" s="968"/>
      <c r="Q171" s="968"/>
      <c r="R171" s="1166"/>
      <c r="S171" s="968"/>
      <c r="T171" s="968"/>
      <c r="U171" s="968">
        <f>S171+T171</f>
        <v>0</v>
      </c>
      <c r="V171" s="1145">
        <f>T171+U171</f>
        <v>0</v>
      </c>
      <c r="W171" s="1145"/>
      <c r="X171" s="1145"/>
    </row>
    <row r="172" spans="1:24" s="620" customFormat="1" ht="25.5" customHeight="1" x14ac:dyDescent="0.2">
      <c r="A172" s="928"/>
      <c r="B172" s="240" t="s">
        <v>129</v>
      </c>
      <c r="C172" s="1165">
        <v>4</v>
      </c>
      <c r="D172" s="1165">
        <v>9026</v>
      </c>
      <c r="E172" s="1167" t="s">
        <v>1450</v>
      </c>
      <c r="F172" s="1165">
        <v>0</v>
      </c>
      <c r="G172" s="1166">
        <v>5126599</v>
      </c>
      <c r="H172" s="1166">
        <v>5844323</v>
      </c>
      <c r="I172" s="1166"/>
      <c r="J172" s="968">
        <f>H172+I172</f>
        <v>5844323</v>
      </c>
      <c r="K172" s="318"/>
      <c r="L172" s="968">
        <v>5844323</v>
      </c>
      <c r="M172" s="968">
        <v>6662528</v>
      </c>
      <c r="N172" s="968"/>
      <c r="O172" s="968">
        <f>M172+N172</f>
        <v>6662528</v>
      </c>
      <c r="P172" s="968">
        <v>7595282</v>
      </c>
      <c r="Q172" s="968"/>
      <c r="R172" s="1166">
        <f>P172+Q172</f>
        <v>7595282</v>
      </c>
      <c r="S172" s="968">
        <v>0</v>
      </c>
      <c r="T172" s="968"/>
      <c r="U172" s="968">
        <f>S172+T172</f>
        <v>0</v>
      </c>
      <c r="V172" s="1145">
        <f>T172+U172</f>
        <v>0</v>
      </c>
      <c r="W172" s="1145"/>
      <c r="X172" s="1145">
        <f>V172+W172</f>
        <v>0</v>
      </c>
    </row>
    <row r="173" spans="1:24" s="620" customFormat="1" ht="15" customHeight="1" x14ac:dyDescent="0.2">
      <c r="A173" s="928"/>
      <c r="B173" s="928"/>
      <c r="C173" s="1165"/>
      <c r="D173" s="1165"/>
      <c r="E173" s="1165"/>
      <c r="F173" s="1165"/>
      <c r="G173" s="374">
        <f t="shared" ref="G173:O173" si="42">G150+G162+G164+G170+G171+G172</f>
        <v>29768684.080000002</v>
      </c>
      <c r="H173" s="374">
        <f t="shared" si="42"/>
        <v>16169704.24</v>
      </c>
      <c r="I173" s="374">
        <f t="shared" si="42"/>
        <v>0</v>
      </c>
      <c r="J173" s="373">
        <f t="shared" si="42"/>
        <v>16169704.24</v>
      </c>
      <c r="K173" s="318"/>
      <c r="L173" s="373">
        <f t="shared" si="42"/>
        <v>16169704.24</v>
      </c>
      <c r="M173" s="373">
        <f>M150+M162+M164+M170+M171+M172</f>
        <v>16404482.919999998</v>
      </c>
      <c r="N173" s="373">
        <f t="shared" si="42"/>
        <v>0</v>
      </c>
      <c r="O173" s="373">
        <f t="shared" si="42"/>
        <v>16404482.919999998</v>
      </c>
      <c r="P173" s="373">
        <f t="shared" ref="P173:X173" si="43">P150+P162+P164+P170+P171+P172</f>
        <v>15999141.76</v>
      </c>
      <c r="Q173" s="373">
        <f t="shared" si="43"/>
        <v>0</v>
      </c>
      <c r="R173" s="374">
        <f t="shared" si="43"/>
        <v>15999141.76</v>
      </c>
      <c r="S173" s="373">
        <f t="shared" si="43"/>
        <v>6041857.9100000001</v>
      </c>
      <c r="T173" s="373">
        <f t="shared" si="43"/>
        <v>0</v>
      </c>
      <c r="U173" s="373">
        <f t="shared" si="43"/>
        <v>6041857.9100000001</v>
      </c>
      <c r="V173" s="1342">
        <f t="shared" si="43"/>
        <v>5676276.2300000004</v>
      </c>
      <c r="W173" s="1342">
        <f t="shared" si="43"/>
        <v>0</v>
      </c>
      <c r="X173" s="1342">
        <f t="shared" si="43"/>
        <v>5676276.2300000004</v>
      </c>
    </row>
    <row r="174" spans="1:24" s="620" customFormat="1" ht="15" customHeight="1" x14ac:dyDescent="0.2">
      <c r="A174" s="928"/>
      <c r="B174" s="928"/>
      <c r="C174" s="1165"/>
      <c r="D174" s="1165"/>
      <c r="E174" s="1165"/>
      <c r="F174" s="1165"/>
      <c r="G174" s="1166"/>
      <c r="H174" s="1166"/>
      <c r="I174" s="1166"/>
      <c r="J174" s="968"/>
      <c r="K174" s="318"/>
      <c r="L174" s="968"/>
      <c r="M174" s="968"/>
      <c r="N174" s="968"/>
      <c r="O174" s="968"/>
      <c r="P174" s="968"/>
      <c r="Q174" s="968"/>
      <c r="R174" s="1166"/>
      <c r="S174" s="968"/>
      <c r="T174" s="968"/>
      <c r="U174" s="968"/>
      <c r="V174" s="1145"/>
      <c r="W174" s="1145"/>
      <c r="X174" s="1145"/>
    </row>
    <row r="175" spans="1:24" s="620" customFormat="1" ht="15" customHeight="1" x14ac:dyDescent="0.2">
      <c r="A175" s="238" t="s">
        <v>130</v>
      </c>
      <c r="B175" s="215" t="s">
        <v>607</v>
      </c>
      <c r="C175" s="1165"/>
      <c r="D175" s="1165"/>
      <c r="E175" s="1165"/>
      <c r="F175" s="1165"/>
      <c r="G175" s="1166"/>
      <c r="H175" s="1166"/>
      <c r="I175" s="1166"/>
      <c r="J175" s="968"/>
      <c r="K175" s="318"/>
      <c r="L175" s="968"/>
      <c r="M175" s="968"/>
      <c r="N175" s="968"/>
      <c r="O175" s="968"/>
      <c r="P175" s="968"/>
      <c r="Q175" s="968"/>
      <c r="R175" s="1166"/>
      <c r="S175" s="968"/>
      <c r="T175" s="968"/>
      <c r="U175" s="968"/>
      <c r="V175" s="1145"/>
      <c r="W175" s="1145"/>
      <c r="X175" s="1145"/>
    </row>
    <row r="176" spans="1:24" s="620" customFormat="1" ht="15" customHeight="1" x14ac:dyDescent="0.2">
      <c r="A176" s="928"/>
      <c r="B176" s="928" t="s">
        <v>131</v>
      </c>
      <c r="C176" s="1165">
        <v>4</v>
      </c>
      <c r="D176" s="1165">
        <v>9040</v>
      </c>
      <c r="E176" s="1167" t="s">
        <v>1373</v>
      </c>
      <c r="F176" s="1165">
        <v>0</v>
      </c>
      <c r="G176" s="1166">
        <v>50056087.32</v>
      </c>
      <c r="H176" s="1166">
        <f>47713277.97+160509.82-1028317.28</f>
        <v>46845470.509999998</v>
      </c>
      <c r="I176" s="1166"/>
      <c r="J176" s="968">
        <f>H176+I176</f>
        <v>46845470.509999998</v>
      </c>
      <c r="K176" s="318"/>
      <c r="L176" s="968">
        <v>46845470.509999998</v>
      </c>
      <c r="M176" s="968">
        <v>40487443.710000001</v>
      </c>
      <c r="N176" s="968"/>
      <c r="O176" s="968">
        <f>M176+N176</f>
        <v>40487443.710000001</v>
      </c>
      <c r="P176" s="968">
        <v>40810843.869999997</v>
      </c>
      <c r="Q176" s="968">
        <v>-834537.44</v>
      </c>
      <c r="R176" s="1166">
        <f>P176+Q176</f>
        <v>39976306.43</v>
      </c>
      <c r="S176" s="968">
        <v>35817952.310000002</v>
      </c>
      <c r="T176" s="968"/>
      <c r="U176" s="968">
        <f>S176+T176</f>
        <v>35817952.310000002</v>
      </c>
      <c r="V176" s="1145">
        <f>35614210.32+3830730.93</f>
        <v>39444941.25</v>
      </c>
      <c r="W176" s="1145"/>
      <c r="X176" s="1145">
        <f>V176+W176</f>
        <v>39444941.25</v>
      </c>
    </row>
    <row r="177" spans="1:24" s="620" customFormat="1" ht="15" customHeight="1" x14ac:dyDescent="0.2">
      <c r="A177" s="928"/>
      <c r="B177" s="928" t="s">
        <v>133</v>
      </c>
      <c r="C177" s="1165">
        <v>4</v>
      </c>
      <c r="D177" s="1167">
        <v>9040</v>
      </c>
      <c r="E177" s="1167" t="s">
        <v>1377</v>
      </c>
      <c r="F177" s="1165">
        <v>0</v>
      </c>
      <c r="G177" s="1166">
        <v>3564846.98</v>
      </c>
      <c r="H177" s="1166">
        <v>13068650.76</v>
      </c>
      <c r="I177" s="1166"/>
      <c r="J177" s="968">
        <f>H177+I177</f>
        <v>13068650.76</v>
      </c>
      <c r="K177" s="318"/>
      <c r="L177" s="968">
        <v>13068650.76</v>
      </c>
      <c r="M177" s="968">
        <v>13068650.76</v>
      </c>
      <c r="N177" s="968"/>
      <c r="O177" s="968">
        <f>M177+N177</f>
        <v>13068650.76</v>
      </c>
      <c r="P177" s="968">
        <f>13068650.76-13068650.76</f>
        <v>0</v>
      </c>
      <c r="Q177" s="968"/>
      <c r="R177" s="1166">
        <f>P177+Q177</f>
        <v>0</v>
      </c>
      <c r="S177" s="968">
        <v>0</v>
      </c>
      <c r="T177" s="968"/>
      <c r="U177" s="968">
        <f>S177+T177</f>
        <v>0</v>
      </c>
      <c r="V177" s="1145"/>
      <c r="W177" s="1145"/>
      <c r="X177" s="1145">
        <f>V177+W177</f>
        <v>0</v>
      </c>
    </row>
    <row r="178" spans="1:24" s="620" customFormat="1" ht="15" customHeight="1" x14ac:dyDescent="0.2">
      <c r="A178" s="928"/>
      <c r="B178" s="928" t="s">
        <v>134</v>
      </c>
      <c r="C178" s="1165">
        <v>4</v>
      </c>
      <c r="D178" s="1165">
        <v>9040</v>
      </c>
      <c r="E178" s="1167" t="s">
        <v>1451</v>
      </c>
      <c r="F178" s="1165">
        <v>0</v>
      </c>
      <c r="G178" s="1166">
        <v>258904</v>
      </c>
      <c r="H178" s="1166">
        <v>241348</v>
      </c>
      <c r="I178" s="1166"/>
      <c r="J178" s="968">
        <f>H178+I178</f>
        <v>241348</v>
      </c>
      <c r="K178" s="318"/>
      <c r="L178" s="968">
        <v>241348</v>
      </c>
      <c r="M178" s="968">
        <v>334762</v>
      </c>
      <c r="N178" s="968"/>
      <c r="O178" s="968">
        <f>M178+N178</f>
        <v>334762</v>
      </c>
      <c r="P178" s="968">
        <v>409809</v>
      </c>
      <c r="Q178" s="968"/>
      <c r="R178" s="1166">
        <f>P178+Q178</f>
        <v>409809</v>
      </c>
      <c r="S178" s="968">
        <v>396462</v>
      </c>
      <c r="T178" s="968"/>
      <c r="U178" s="968">
        <f>S178+T178</f>
        <v>396462</v>
      </c>
      <c r="V178" s="1145">
        <v>577996.75</v>
      </c>
      <c r="W178" s="1145"/>
      <c r="X178" s="1145">
        <f>V178+W178</f>
        <v>577996.75</v>
      </c>
    </row>
    <row r="179" spans="1:24" s="620" customFormat="1" ht="15" customHeight="1" x14ac:dyDescent="0.2">
      <c r="A179" s="928"/>
      <c r="B179" s="928"/>
      <c r="C179" s="1165"/>
      <c r="D179" s="1165"/>
      <c r="E179" s="1165"/>
      <c r="F179" s="1165"/>
      <c r="G179" s="374">
        <f>SUM(G176:G178)</f>
        <v>53879838.299999997</v>
      </c>
      <c r="H179" s="374">
        <f>SUM(H176:H178)</f>
        <v>60155469.269999996</v>
      </c>
      <c r="I179" s="374">
        <f>SUM(I176:I178)</f>
        <v>0</v>
      </c>
      <c r="J179" s="373">
        <f>SUM(J176:J178)</f>
        <v>60155469.269999996</v>
      </c>
      <c r="K179" s="318"/>
      <c r="L179" s="373">
        <f t="shared" ref="L179:X179" si="44">SUM(L176:L178)</f>
        <v>60155469.269999996</v>
      </c>
      <c r="M179" s="373">
        <f t="shared" si="44"/>
        <v>53890856.469999999</v>
      </c>
      <c r="N179" s="373">
        <f t="shared" si="44"/>
        <v>0</v>
      </c>
      <c r="O179" s="373">
        <f t="shared" si="44"/>
        <v>53890856.469999999</v>
      </c>
      <c r="P179" s="373">
        <f t="shared" si="44"/>
        <v>41220652.869999997</v>
      </c>
      <c r="Q179" s="373">
        <f t="shared" si="44"/>
        <v>-834537.44</v>
      </c>
      <c r="R179" s="374">
        <f t="shared" si="44"/>
        <v>40386115.43</v>
      </c>
      <c r="S179" s="373">
        <f t="shared" si="44"/>
        <v>36214414.310000002</v>
      </c>
      <c r="T179" s="373">
        <f t="shared" si="44"/>
        <v>0</v>
      </c>
      <c r="U179" s="373">
        <f t="shared" si="44"/>
        <v>36214414.310000002</v>
      </c>
      <c r="V179" s="1342">
        <f t="shared" si="44"/>
        <v>40022938</v>
      </c>
      <c r="W179" s="1342">
        <f t="shared" si="44"/>
        <v>0</v>
      </c>
      <c r="X179" s="1342">
        <f t="shared" si="44"/>
        <v>40022938</v>
      </c>
    </row>
    <row r="180" spans="1:24" s="620" customFormat="1" ht="15" customHeight="1" x14ac:dyDescent="0.2">
      <c r="A180" s="928"/>
      <c r="B180" s="928"/>
      <c r="C180" s="1165"/>
      <c r="D180" s="1165"/>
      <c r="E180" s="1165"/>
      <c r="F180" s="1165"/>
      <c r="G180" s="1166"/>
      <c r="H180" s="1166"/>
      <c r="I180" s="1166"/>
      <c r="J180" s="968"/>
      <c r="K180" s="318"/>
      <c r="L180" s="968"/>
      <c r="M180" s="968"/>
      <c r="N180" s="968"/>
      <c r="O180" s="968"/>
      <c r="P180" s="968"/>
      <c r="Q180" s="968"/>
      <c r="R180" s="1166"/>
      <c r="S180" s="968"/>
      <c r="T180" s="968"/>
      <c r="U180" s="968"/>
      <c r="V180" s="1145"/>
      <c r="W180" s="1145"/>
      <c r="X180" s="1145"/>
    </row>
    <row r="181" spans="1:24" s="620" customFormat="1" ht="15" customHeight="1" x14ac:dyDescent="0.2">
      <c r="A181" s="238" t="s">
        <v>135</v>
      </c>
      <c r="B181" s="238" t="s">
        <v>609</v>
      </c>
      <c r="C181" s="1165"/>
      <c r="D181" s="1165"/>
      <c r="E181" s="1165"/>
      <c r="F181" s="1165"/>
      <c r="G181" s="1166"/>
      <c r="H181" s="1166"/>
      <c r="I181" s="1166"/>
      <c r="J181" s="968"/>
      <c r="K181" s="318"/>
      <c r="L181" s="968"/>
      <c r="M181" s="968"/>
      <c r="N181" s="968"/>
      <c r="O181" s="968"/>
      <c r="P181" s="968"/>
      <c r="Q181" s="968"/>
      <c r="R181" s="1166"/>
      <c r="S181" s="968"/>
      <c r="T181" s="968"/>
      <c r="U181" s="968"/>
      <c r="V181" s="1145"/>
      <c r="W181" s="1145"/>
      <c r="X181" s="1145"/>
    </row>
    <row r="182" spans="1:24" s="620" customFormat="1" ht="15" customHeight="1" x14ac:dyDescent="0.2">
      <c r="A182" s="239"/>
      <c r="B182" s="239"/>
      <c r="C182" s="1165"/>
      <c r="D182" s="1165"/>
      <c r="E182" s="1167"/>
      <c r="F182" s="1165"/>
      <c r="G182" s="1166"/>
      <c r="H182" s="1166"/>
      <c r="I182" s="1166"/>
      <c r="J182" s="968"/>
      <c r="K182" s="318"/>
      <c r="L182" s="968"/>
      <c r="M182" s="968"/>
      <c r="N182" s="968"/>
      <c r="O182" s="968"/>
      <c r="P182" s="968"/>
      <c r="Q182" s="968"/>
      <c r="R182" s="1166"/>
      <c r="S182" s="968"/>
      <c r="T182" s="968"/>
      <c r="U182" s="968"/>
      <c r="V182" s="1145"/>
      <c r="W182" s="1145"/>
      <c r="X182" s="1145"/>
    </row>
    <row r="183" spans="1:24" s="620" customFormat="1" ht="15" customHeight="1" x14ac:dyDescent="0.2">
      <c r="A183" s="928"/>
      <c r="B183" s="928" t="s">
        <v>609</v>
      </c>
      <c r="C183" s="1165">
        <v>4</v>
      </c>
      <c r="D183" s="1165">
        <v>9044</v>
      </c>
      <c r="E183" s="1167" t="s">
        <v>1373</v>
      </c>
      <c r="F183" s="1165">
        <v>0</v>
      </c>
      <c r="G183" s="1166">
        <v>330403418.98000002</v>
      </c>
      <c r="H183" s="1166">
        <f>321737891.3-26246587.68</f>
        <v>295491303.62</v>
      </c>
      <c r="I183" s="1166">
        <v>6990992.9000000004</v>
      </c>
      <c r="J183" s="968">
        <f>H183+I183</f>
        <v>302482296.51999998</v>
      </c>
      <c r="K183" s="318"/>
      <c r="L183" s="968">
        <v>302482296.51999998</v>
      </c>
      <c r="M183" s="968">
        <v>288159700.56999999</v>
      </c>
      <c r="N183" s="968"/>
      <c r="O183" s="968">
        <f t="shared" ref="O183:O219" si="45">M183+N183</f>
        <v>288159700.56999999</v>
      </c>
      <c r="P183" s="968">
        <f>244041224.83+16745532.43-51152680.86</f>
        <v>209634076.40000004</v>
      </c>
      <c r="Q183" s="968"/>
      <c r="R183" s="1166">
        <f t="shared" ref="R183:R213" si="46">P183+Q183</f>
        <v>209634076.40000004</v>
      </c>
      <c r="S183" s="968">
        <v>163111127.52000001</v>
      </c>
      <c r="T183" s="968"/>
      <c r="U183" s="968">
        <f t="shared" ref="U183:U197" si="47">S183+T183</f>
        <v>163111127.52000001</v>
      </c>
      <c r="V183" s="1145">
        <f>162852780.21-10337221.57</f>
        <v>152515558.64000002</v>
      </c>
      <c r="W183" s="1145"/>
      <c r="X183" s="1145">
        <f t="shared" ref="X183:X213" si="48">V183+W183</f>
        <v>152515558.64000002</v>
      </c>
    </row>
    <row r="184" spans="1:24" s="620" customFormat="1" ht="15" customHeight="1" x14ac:dyDescent="0.2">
      <c r="A184" s="928"/>
      <c r="B184" s="928" t="s">
        <v>1452</v>
      </c>
      <c r="C184" s="1165">
        <v>4</v>
      </c>
      <c r="D184" s="1165">
        <v>9044</v>
      </c>
      <c r="E184" s="1167" t="s">
        <v>1379</v>
      </c>
      <c r="F184" s="1165">
        <v>0</v>
      </c>
      <c r="G184" s="1166">
        <v>0</v>
      </c>
      <c r="H184" s="1166">
        <v>23847820.710000001</v>
      </c>
      <c r="I184" s="1166"/>
      <c r="J184" s="968">
        <f t="shared" ref="J184:J213" si="49">H184+I184</f>
        <v>23847820.710000001</v>
      </c>
      <c r="K184" s="318"/>
      <c r="L184" s="968">
        <v>23847820.710000001</v>
      </c>
      <c r="M184" s="968">
        <v>81163155.530000001</v>
      </c>
      <c r="N184" s="968"/>
      <c r="O184" s="968">
        <f t="shared" si="45"/>
        <v>81163155.530000001</v>
      </c>
      <c r="P184" s="968">
        <f>149884939.99-2048094.24</f>
        <v>147836845.75</v>
      </c>
      <c r="Q184" s="968"/>
      <c r="R184" s="1166">
        <f t="shared" si="46"/>
        <v>147836845.75</v>
      </c>
      <c r="S184" s="968">
        <v>159256369.78</v>
      </c>
      <c r="T184" s="968"/>
      <c r="U184" s="968">
        <f t="shared" si="47"/>
        <v>159256369.78</v>
      </c>
      <c r="V184" s="1145">
        <f>153737705.23+19105850.32</f>
        <v>172843555.54999998</v>
      </c>
      <c r="W184" s="1145"/>
      <c r="X184" s="1145">
        <f t="shared" si="48"/>
        <v>172843555.54999998</v>
      </c>
    </row>
    <row r="185" spans="1:24" s="620" customFormat="1" ht="15" customHeight="1" x14ac:dyDescent="0.2">
      <c r="A185" s="928"/>
      <c r="B185" s="239" t="s">
        <v>220</v>
      </c>
      <c r="C185" s="1165">
        <v>4</v>
      </c>
      <c r="D185" s="1165">
        <v>9044</v>
      </c>
      <c r="E185" s="1167" t="s">
        <v>1384</v>
      </c>
      <c r="F185" s="1165">
        <v>0</v>
      </c>
      <c r="G185" s="1166">
        <v>20058221</v>
      </c>
      <c r="H185" s="1166">
        <f>6767886.1+19478701.58</f>
        <v>26246587.68</v>
      </c>
      <c r="I185" s="1166"/>
      <c r="J185" s="968">
        <f t="shared" si="49"/>
        <v>26246587.68</v>
      </c>
      <c r="K185" s="318"/>
      <c r="L185" s="968">
        <v>26246587.68</v>
      </c>
      <c r="M185" s="968">
        <v>27245872.809999999</v>
      </c>
      <c r="N185" s="968"/>
      <c r="O185" s="968">
        <f t="shared" si="45"/>
        <v>27245872.809999999</v>
      </c>
      <c r="P185" s="968">
        <v>29291140</v>
      </c>
      <c r="Q185" s="968"/>
      <c r="R185" s="1166">
        <f t="shared" si="46"/>
        <v>29291140</v>
      </c>
      <c r="S185" s="968">
        <f>Q185+R185-29291140+23051126+6263381</f>
        <v>29314507</v>
      </c>
      <c r="T185" s="968"/>
      <c r="U185" s="968">
        <f t="shared" si="47"/>
        <v>29314507</v>
      </c>
      <c r="V185" s="968">
        <f>T185+U185-6263381-23051126+8821183+24699369</f>
        <v>33520552</v>
      </c>
      <c r="W185" s="1145"/>
      <c r="X185" s="1145">
        <f t="shared" si="48"/>
        <v>33520552</v>
      </c>
    </row>
    <row r="186" spans="1:24" s="620" customFormat="1" ht="15" customHeight="1" x14ac:dyDescent="0.2">
      <c r="A186" s="928"/>
      <c r="B186" s="928" t="s">
        <v>1453</v>
      </c>
      <c r="C186" s="1165">
        <v>4</v>
      </c>
      <c r="D186" s="1165">
        <v>9044</v>
      </c>
      <c r="E186" s="1167" t="s">
        <v>1447</v>
      </c>
      <c r="F186" s="1165">
        <v>0</v>
      </c>
      <c r="G186" s="1166">
        <v>0</v>
      </c>
      <c r="H186" s="1166">
        <v>2791674.45</v>
      </c>
      <c r="I186" s="1166"/>
      <c r="J186" s="968">
        <f t="shared" si="49"/>
        <v>2791674.45</v>
      </c>
      <c r="K186" s="318"/>
      <c r="L186" s="968">
        <v>2791674.45</v>
      </c>
      <c r="M186" s="968">
        <v>-39157564.189999998</v>
      </c>
      <c r="N186" s="968"/>
      <c r="O186" s="968">
        <f t="shared" si="45"/>
        <v>-39157564.189999998</v>
      </c>
      <c r="P186" s="968">
        <f>-39268994.65+39268994.65</f>
        <v>0</v>
      </c>
      <c r="Q186" s="968">
        <f>-19596731-2318540.12</f>
        <v>-21915271.120000001</v>
      </c>
      <c r="R186" s="1166">
        <f t="shared" si="46"/>
        <v>-21915271.120000001</v>
      </c>
      <c r="S186" s="968">
        <v>15296.7</v>
      </c>
      <c r="T186" s="968"/>
      <c r="U186" s="968">
        <f t="shared" si="47"/>
        <v>15296.7</v>
      </c>
      <c r="V186" s="968">
        <f>T186+U186-15296.7</f>
        <v>0</v>
      </c>
      <c r="W186" s="1145"/>
      <c r="X186" s="1145">
        <f t="shared" si="48"/>
        <v>0</v>
      </c>
    </row>
    <row r="187" spans="1:24" s="620" customFormat="1" ht="15" customHeight="1" x14ac:dyDescent="0.2">
      <c r="A187" s="928"/>
      <c r="B187" s="928" t="s">
        <v>1455</v>
      </c>
      <c r="C187" s="1165">
        <v>4</v>
      </c>
      <c r="D187" s="1165">
        <v>9044</v>
      </c>
      <c r="E187" s="1167" t="s">
        <v>1385</v>
      </c>
      <c r="F187" s="1165">
        <v>0</v>
      </c>
      <c r="G187" s="1166">
        <v>0</v>
      </c>
      <c r="H187" s="1166">
        <v>20123955.77</v>
      </c>
      <c r="I187" s="1166"/>
      <c r="J187" s="968">
        <f t="shared" si="49"/>
        <v>20123955.77</v>
      </c>
      <c r="K187" s="318"/>
      <c r="L187" s="968">
        <v>20123955.77</v>
      </c>
      <c r="M187" s="968">
        <v>98741331.140000001</v>
      </c>
      <c r="N187" s="968"/>
      <c r="O187" s="968">
        <f t="shared" si="45"/>
        <v>98741331.140000001</v>
      </c>
      <c r="P187" s="968">
        <f>148877475.31+12134619.1</f>
        <v>161012094.41</v>
      </c>
      <c r="Q187" s="968"/>
      <c r="R187" s="1166">
        <f t="shared" si="46"/>
        <v>161012094.41</v>
      </c>
      <c r="S187" s="968">
        <v>192398551.02000001</v>
      </c>
      <c r="T187" s="968"/>
      <c r="U187" s="968">
        <f t="shared" si="47"/>
        <v>192398551.02000001</v>
      </c>
      <c r="V187" s="1145">
        <f>266150923.12-6290507.28</f>
        <v>259860415.84</v>
      </c>
      <c r="W187" s="1145"/>
      <c r="X187" s="1145">
        <f t="shared" si="48"/>
        <v>259860415.84</v>
      </c>
    </row>
    <row r="188" spans="1:24" s="620" customFormat="1" ht="15" hidden="1" customHeight="1" x14ac:dyDescent="0.2">
      <c r="A188" s="928"/>
      <c r="B188" s="928" t="s">
        <v>1456</v>
      </c>
      <c r="C188" s="1165">
        <v>4</v>
      </c>
      <c r="D188" s="1165">
        <v>9044</v>
      </c>
      <c r="E188" s="1167" t="s">
        <v>1386</v>
      </c>
      <c r="F188" s="1165">
        <v>0</v>
      </c>
      <c r="G188" s="1166">
        <v>0</v>
      </c>
      <c r="H188" s="1166"/>
      <c r="I188" s="1166"/>
      <c r="J188" s="968">
        <f t="shared" si="49"/>
        <v>0</v>
      </c>
      <c r="K188" s="318"/>
      <c r="L188" s="968">
        <v>0</v>
      </c>
      <c r="M188" s="968">
        <v>0</v>
      </c>
      <c r="N188" s="968"/>
      <c r="O188" s="968">
        <f t="shared" si="45"/>
        <v>0</v>
      </c>
      <c r="P188" s="968">
        <v>0</v>
      </c>
      <c r="Q188" s="968"/>
      <c r="R188" s="1166">
        <f t="shared" si="46"/>
        <v>0</v>
      </c>
      <c r="S188" s="968">
        <v>0</v>
      </c>
      <c r="T188" s="968"/>
      <c r="U188" s="968">
        <f t="shared" si="47"/>
        <v>0</v>
      </c>
      <c r="V188" s="1145"/>
      <c r="W188" s="1145"/>
      <c r="X188" s="1145">
        <f t="shared" si="48"/>
        <v>0</v>
      </c>
    </row>
    <row r="189" spans="1:24" s="620" customFormat="1" ht="15" customHeight="1" x14ac:dyDescent="0.2">
      <c r="A189" s="928"/>
      <c r="B189" s="928" t="s">
        <v>1457</v>
      </c>
      <c r="C189" s="1165">
        <v>4</v>
      </c>
      <c r="D189" s="1165">
        <v>9044</v>
      </c>
      <c r="E189" s="1167" t="s">
        <v>1446</v>
      </c>
      <c r="F189" s="1165">
        <v>0</v>
      </c>
      <c r="G189" s="1166">
        <v>0</v>
      </c>
      <c r="H189" s="1166">
        <v>4832455.3099999996</v>
      </c>
      <c r="I189" s="1166"/>
      <c r="J189" s="968">
        <f t="shared" si="49"/>
        <v>4832455.3099999996</v>
      </c>
      <c r="K189" s="318"/>
      <c r="L189" s="968">
        <v>4832455.3099999996</v>
      </c>
      <c r="M189" s="968">
        <v>14700475.359999999</v>
      </c>
      <c r="N189" s="968"/>
      <c r="O189" s="968">
        <f t="shared" si="45"/>
        <v>14700475.359999999</v>
      </c>
      <c r="P189" s="968">
        <f>23238290.57-1192659.25-654539.48+1192659.25-1192659.25</f>
        <v>21391091.84</v>
      </c>
      <c r="Q189" s="968"/>
      <c r="R189" s="1166">
        <f t="shared" si="46"/>
        <v>21391091.84</v>
      </c>
      <c r="S189" s="968">
        <v>26638553.510000002</v>
      </c>
      <c r="T189" s="968"/>
      <c r="U189" s="968">
        <f t="shared" si="47"/>
        <v>26638553.510000002</v>
      </c>
      <c r="V189" s="1145">
        <f>31731311.67-59262.97</f>
        <v>31672048.700000003</v>
      </c>
      <c r="W189" s="1145"/>
      <c r="X189" s="1145">
        <f t="shared" si="48"/>
        <v>31672048.700000003</v>
      </c>
    </row>
    <row r="190" spans="1:24" s="620" customFormat="1" ht="15" hidden="1" customHeight="1" x14ac:dyDescent="0.2">
      <c r="A190" s="928"/>
      <c r="B190" s="928" t="s">
        <v>1458</v>
      </c>
      <c r="C190" s="1165">
        <v>4</v>
      </c>
      <c r="D190" s="1165">
        <v>9044</v>
      </c>
      <c r="E190" s="1167" t="s">
        <v>1448</v>
      </c>
      <c r="F190" s="1165">
        <v>0</v>
      </c>
      <c r="G190" s="1166">
        <v>0</v>
      </c>
      <c r="H190" s="1166"/>
      <c r="I190" s="1166"/>
      <c r="J190" s="968">
        <f t="shared" si="49"/>
        <v>0</v>
      </c>
      <c r="K190" s="318"/>
      <c r="L190" s="968">
        <v>0</v>
      </c>
      <c r="M190" s="968">
        <v>0</v>
      </c>
      <c r="N190" s="968"/>
      <c r="O190" s="968">
        <f t="shared" si="45"/>
        <v>0</v>
      </c>
      <c r="P190" s="968">
        <v>0</v>
      </c>
      <c r="Q190" s="968"/>
      <c r="R190" s="1166">
        <f t="shared" si="46"/>
        <v>0</v>
      </c>
      <c r="S190" s="968">
        <v>0</v>
      </c>
      <c r="T190" s="968"/>
      <c r="U190" s="968">
        <f t="shared" si="47"/>
        <v>0</v>
      </c>
      <c r="V190" s="1145"/>
      <c r="W190" s="1145"/>
      <c r="X190" s="1145">
        <f t="shared" si="48"/>
        <v>0</v>
      </c>
    </row>
    <row r="191" spans="1:24" s="620" customFormat="1" ht="15" customHeight="1" x14ac:dyDescent="0.2">
      <c r="A191" s="928"/>
      <c r="B191" s="928" t="s">
        <v>1459</v>
      </c>
      <c r="C191" s="1165">
        <v>4</v>
      </c>
      <c r="D191" s="1165">
        <v>9044</v>
      </c>
      <c r="E191" s="1167" t="s">
        <v>1460</v>
      </c>
      <c r="F191" s="1165">
        <v>0</v>
      </c>
      <c r="G191" s="1166">
        <v>0</v>
      </c>
      <c r="H191" s="1166">
        <v>40682274.450000003</v>
      </c>
      <c r="I191" s="1166"/>
      <c r="J191" s="968">
        <f t="shared" si="49"/>
        <v>40682274.450000003</v>
      </c>
      <c r="K191" s="318"/>
      <c r="L191" s="968">
        <v>40682274.450000003</v>
      </c>
      <c r="M191" s="968">
        <v>89203382.790000007</v>
      </c>
      <c r="N191" s="968"/>
      <c r="O191" s="968">
        <f t="shared" si="45"/>
        <v>89203382.790000007</v>
      </c>
      <c r="P191" s="968">
        <f>104326245.05-5934535.02</f>
        <v>98391710.030000001</v>
      </c>
      <c r="Q191" s="968"/>
      <c r="R191" s="1166">
        <f t="shared" si="46"/>
        <v>98391710.030000001</v>
      </c>
      <c r="S191" s="968">
        <v>113822193.72</v>
      </c>
      <c r="T191" s="968"/>
      <c r="U191" s="968">
        <f t="shared" si="47"/>
        <v>113822193.72</v>
      </c>
      <c r="V191" s="1145">
        <f>133463785.72+5611558.99</f>
        <v>139075344.71000001</v>
      </c>
      <c r="W191" s="1145"/>
      <c r="X191" s="1145">
        <f t="shared" si="48"/>
        <v>139075344.71000001</v>
      </c>
    </row>
    <row r="192" spans="1:24" s="620" customFormat="1" ht="15" hidden="1" customHeight="1" x14ac:dyDescent="0.2">
      <c r="A192" s="928"/>
      <c r="B192" s="928" t="s">
        <v>1459</v>
      </c>
      <c r="C192" s="1165">
        <v>4</v>
      </c>
      <c r="D192" s="1165">
        <v>9044</v>
      </c>
      <c r="E192" s="1167" t="s">
        <v>1461</v>
      </c>
      <c r="F192" s="1165">
        <v>0</v>
      </c>
      <c r="G192" s="1166">
        <v>0</v>
      </c>
      <c r="H192" s="1166"/>
      <c r="I192" s="1166"/>
      <c r="J192" s="968">
        <f t="shared" si="49"/>
        <v>0</v>
      </c>
      <c r="K192" s="318"/>
      <c r="L192" s="968">
        <v>0</v>
      </c>
      <c r="M192" s="968">
        <v>0</v>
      </c>
      <c r="N192" s="968"/>
      <c r="O192" s="968">
        <f t="shared" si="45"/>
        <v>0</v>
      </c>
      <c r="P192" s="968">
        <v>0</v>
      </c>
      <c r="Q192" s="968"/>
      <c r="R192" s="1166">
        <f t="shared" si="46"/>
        <v>0</v>
      </c>
      <c r="S192" s="968">
        <v>0</v>
      </c>
      <c r="T192" s="968"/>
      <c r="U192" s="968">
        <f t="shared" si="47"/>
        <v>0</v>
      </c>
      <c r="V192" s="1145"/>
      <c r="W192" s="1145"/>
      <c r="X192" s="1145">
        <f t="shared" si="48"/>
        <v>0</v>
      </c>
    </row>
    <row r="193" spans="1:24" s="620" customFormat="1" ht="15" hidden="1" customHeight="1" x14ac:dyDescent="0.2">
      <c r="A193" s="928"/>
      <c r="B193" s="928" t="s">
        <v>1462</v>
      </c>
      <c r="C193" s="1165">
        <v>4</v>
      </c>
      <c r="D193" s="1165">
        <v>9044</v>
      </c>
      <c r="E193" s="1167" t="s">
        <v>1463</v>
      </c>
      <c r="F193" s="1165">
        <v>0</v>
      </c>
      <c r="G193" s="1166">
        <v>0</v>
      </c>
      <c r="H193" s="1166"/>
      <c r="I193" s="1166"/>
      <c r="J193" s="968">
        <f t="shared" si="49"/>
        <v>0</v>
      </c>
      <c r="K193" s="318"/>
      <c r="L193" s="968">
        <v>0</v>
      </c>
      <c r="M193" s="968">
        <v>0</v>
      </c>
      <c r="N193" s="968"/>
      <c r="O193" s="968">
        <f t="shared" si="45"/>
        <v>0</v>
      </c>
      <c r="P193" s="968">
        <v>0</v>
      </c>
      <c r="Q193" s="968"/>
      <c r="R193" s="1166">
        <f t="shared" si="46"/>
        <v>0</v>
      </c>
      <c r="S193" s="968">
        <v>0</v>
      </c>
      <c r="T193" s="968"/>
      <c r="U193" s="968">
        <f t="shared" si="47"/>
        <v>0</v>
      </c>
      <c r="V193" s="1145"/>
      <c r="W193" s="1145"/>
      <c r="X193" s="1145">
        <f t="shared" si="48"/>
        <v>0</v>
      </c>
    </row>
    <row r="194" spans="1:24" s="620" customFormat="1" ht="15" customHeight="1" x14ac:dyDescent="0.2">
      <c r="A194" s="928"/>
      <c r="B194" s="928" t="s">
        <v>1464</v>
      </c>
      <c r="C194" s="1165">
        <v>4</v>
      </c>
      <c r="D194" s="1165">
        <v>9044</v>
      </c>
      <c r="E194" s="1167" t="s">
        <v>1389</v>
      </c>
      <c r="F194" s="1165">
        <v>0</v>
      </c>
      <c r="G194" s="1166">
        <v>0</v>
      </c>
      <c r="H194" s="1166">
        <v>3149526.3</v>
      </c>
      <c r="I194" s="1166"/>
      <c r="J194" s="968">
        <f t="shared" si="49"/>
        <v>3149526.3</v>
      </c>
      <c r="K194" s="318"/>
      <c r="L194" s="968">
        <v>3149526.3</v>
      </c>
      <c r="M194" s="968">
        <v>12409383.4</v>
      </c>
      <c r="N194" s="968"/>
      <c r="O194" s="968">
        <f t="shared" si="45"/>
        <v>12409383.4</v>
      </c>
      <c r="P194" s="968">
        <f>17109360.48-2116679.09</f>
        <v>14992681.390000001</v>
      </c>
      <c r="Q194" s="968"/>
      <c r="R194" s="1166">
        <f t="shared" si="46"/>
        <v>14992681.390000001</v>
      </c>
      <c r="S194" s="968">
        <v>17705810.52</v>
      </c>
      <c r="T194" s="968"/>
      <c r="U194" s="968">
        <f t="shared" si="47"/>
        <v>17705810.52</v>
      </c>
      <c r="V194" s="1145">
        <f>19852896.6-38769.66</f>
        <v>19814126.940000001</v>
      </c>
      <c r="W194" s="1145"/>
      <c r="X194" s="1145">
        <f t="shared" si="48"/>
        <v>19814126.940000001</v>
      </c>
    </row>
    <row r="195" spans="1:24" s="620" customFormat="1" ht="15" hidden="1" customHeight="1" x14ac:dyDescent="0.2">
      <c r="A195" s="928"/>
      <c r="B195" s="928" t="s">
        <v>1465</v>
      </c>
      <c r="C195" s="1165">
        <v>4</v>
      </c>
      <c r="D195" s="1165">
        <v>9044</v>
      </c>
      <c r="E195" s="1167" t="s">
        <v>1390</v>
      </c>
      <c r="F195" s="1165">
        <v>0</v>
      </c>
      <c r="G195" s="1166">
        <v>0</v>
      </c>
      <c r="H195" s="1166"/>
      <c r="I195" s="1166"/>
      <c r="J195" s="968">
        <f t="shared" si="49"/>
        <v>0</v>
      </c>
      <c r="K195" s="318"/>
      <c r="L195" s="968">
        <v>0</v>
      </c>
      <c r="M195" s="968">
        <v>0</v>
      </c>
      <c r="N195" s="968"/>
      <c r="O195" s="968">
        <f t="shared" si="45"/>
        <v>0</v>
      </c>
      <c r="P195" s="968">
        <v>0</v>
      </c>
      <c r="Q195" s="968"/>
      <c r="R195" s="1166">
        <f t="shared" si="46"/>
        <v>0</v>
      </c>
      <c r="S195" s="968">
        <v>0</v>
      </c>
      <c r="T195" s="968"/>
      <c r="U195" s="968">
        <f t="shared" si="47"/>
        <v>0</v>
      </c>
      <c r="V195" s="1145"/>
      <c r="W195" s="1145"/>
      <c r="X195" s="1145">
        <f t="shared" si="48"/>
        <v>0</v>
      </c>
    </row>
    <row r="196" spans="1:24" s="620" customFormat="1" ht="15" customHeight="1" x14ac:dyDescent="0.2">
      <c r="A196" s="928"/>
      <c r="B196" s="928" t="s">
        <v>1466</v>
      </c>
      <c r="C196" s="1165">
        <v>4</v>
      </c>
      <c r="D196" s="1165">
        <v>9044</v>
      </c>
      <c r="E196" s="1167" t="s">
        <v>1467</v>
      </c>
      <c r="F196" s="1165">
        <v>0</v>
      </c>
      <c r="G196" s="1166">
        <v>0</v>
      </c>
      <c r="H196" s="1166">
        <v>709214.16</v>
      </c>
      <c r="I196" s="1166"/>
      <c r="J196" s="968">
        <f t="shared" si="49"/>
        <v>709214.16</v>
      </c>
      <c r="K196" s="318"/>
      <c r="L196" s="968">
        <v>709214.16</v>
      </c>
      <c r="M196" s="968">
        <v>2194511.63</v>
      </c>
      <c r="N196" s="968"/>
      <c r="O196" s="968">
        <f t="shared" si="45"/>
        <v>2194511.63</v>
      </c>
      <c r="P196" s="968">
        <f>19191560.73+5802749.09</f>
        <v>24994309.82</v>
      </c>
      <c r="Q196" s="968"/>
      <c r="R196" s="1166">
        <f t="shared" si="46"/>
        <v>24994309.82</v>
      </c>
      <c r="S196" s="968">
        <v>29235501.890000001</v>
      </c>
      <c r="T196" s="968"/>
      <c r="U196" s="968">
        <f t="shared" si="47"/>
        <v>29235501.890000001</v>
      </c>
      <c r="V196" s="1145">
        <f>32305009.31+3872.17</f>
        <v>32308881.48</v>
      </c>
      <c r="W196" s="1145"/>
      <c r="X196" s="1145">
        <f t="shared" si="48"/>
        <v>32308881.48</v>
      </c>
    </row>
    <row r="197" spans="1:24" s="620" customFormat="1" ht="15" hidden="1" customHeight="1" x14ac:dyDescent="0.2">
      <c r="A197" s="928"/>
      <c r="B197" s="239"/>
      <c r="C197" s="1165"/>
      <c r="D197" s="1165"/>
      <c r="E197" s="1165"/>
      <c r="F197" s="1165"/>
      <c r="G197" s="1166">
        <v>7697582.6500000004</v>
      </c>
      <c r="H197" s="1166">
        <v>134732.63</v>
      </c>
      <c r="I197" s="1166"/>
      <c r="J197" s="968">
        <f t="shared" si="49"/>
        <v>134732.63</v>
      </c>
      <c r="K197" s="318"/>
      <c r="L197" s="968">
        <v>134732.63</v>
      </c>
      <c r="M197" s="968">
        <v>0</v>
      </c>
      <c r="N197" s="968"/>
      <c r="O197" s="968">
        <f t="shared" si="45"/>
        <v>0</v>
      </c>
      <c r="P197" s="968">
        <v>0</v>
      </c>
      <c r="Q197" s="968"/>
      <c r="R197" s="1166">
        <f t="shared" si="46"/>
        <v>0</v>
      </c>
      <c r="S197" s="968">
        <v>0</v>
      </c>
      <c r="T197" s="968"/>
      <c r="U197" s="968">
        <f t="shared" si="47"/>
        <v>0</v>
      </c>
      <c r="V197" s="1145"/>
      <c r="W197" s="1145"/>
      <c r="X197" s="1145">
        <f t="shared" si="48"/>
        <v>0</v>
      </c>
    </row>
    <row r="198" spans="1:24" s="620" customFormat="1" ht="15" customHeight="1" x14ac:dyDescent="0.2">
      <c r="A198" s="928"/>
      <c r="B198" s="239" t="s">
        <v>4180</v>
      </c>
      <c r="C198" s="1165">
        <v>4</v>
      </c>
      <c r="D198" s="1165">
        <v>9044</v>
      </c>
      <c r="E198" s="1165">
        <v>1006</v>
      </c>
      <c r="F198" s="1165">
        <v>0</v>
      </c>
      <c r="G198" s="1166"/>
      <c r="H198" s="1166"/>
      <c r="I198" s="1166"/>
      <c r="J198" s="968"/>
      <c r="K198" s="318"/>
      <c r="L198" s="968"/>
      <c r="M198" s="968"/>
      <c r="N198" s="968"/>
      <c r="O198" s="968"/>
      <c r="P198" s="968"/>
      <c r="Q198" s="968"/>
      <c r="R198" s="1166"/>
      <c r="S198" s="968"/>
      <c r="T198" s="968"/>
      <c r="U198" s="968"/>
      <c r="V198" s="1145">
        <v>977497.68</v>
      </c>
      <c r="W198" s="1145"/>
      <c r="X198" s="1145">
        <f t="shared" si="48"/>
        <v>977497.68</v>
      </c>
    </row>
    <row r="199" spans="1:24" s="620" customFormat="1" ht="15" customHeight="1" x14ac:dyDescent="0.2">
      <c r="A199" s="928"/>
      <c r="B199" s="239" t="s">
        <v>1468</v>
      </c>
      <c r="C199" s="1165">
        <v>4</v>
      </c>
      <c r="D199" s="1165">
        <v>9044</v>
      </c>
      <c r="E199" s="1165">
        <v>1105</v>
      </c>
      <c r="F199" s="1165">
        <v>0</v>
      </c>
      <c r="G199" s="1166">
        <v>0</v>
      </c>
      <c r="H199" s="1166">
        <v>247.71</v>
      </c>
      <c r="I199" s="1166"/>
      <c r="J199" s="968">
        <f t="shared" si="49"/>
        <v>247.71</v>
      </c>
      <c r="K199" s="318"/>
      <c r="L199" s="968">
        <v>247.71</v>
      </c>
      <c r="M199" s="968">
        <v>144.05000000000001</v>
      </c>
      <c r="N199" s="968"/>
      <c r="O199" s="968">
        <f t="shared" si="45"/>
        <v>144.05000000000001</v>
      </c>
      <c r="P199" s="968">
        <v>245.72</v>
      </c>
      <c r="Q199" s="968"/>
      <c r="R199" s="1166">
        <f t="shared" si="46"/>
        <v>245.72</v>
      </c>
      <c r="S199" s="968">
        <v>190.5</v>
      </c>
      <c r="T199" s="968"/>
      <c r="U199" s="968">
        <f t="shared" ref="U199:U211" si="50">S199+T199</f>
        <v>190.5</v>
      </c>
      <c r="V199" s="1145">
        <v>175.05</v>
      </c>
      <c r="W199" s="1145"/>
      <c r="X199" s="1145">
        <f t="shared" si="48"/>
        <v>175.05</v>
      </c>
    </row>
    <row r="200" spans="1:24" s="620" customFormat="1" ht="15" customHeight="1" x14ac:dyDescent="0.2">
      <c r="A200" s="928"/>
      <c r="B200" s="239" t="s">
        <v>1469</v>
      </c>
      <c r="C200" s="1165">
        <v>4</v>
      </c>
      <c r="D200" s="1165">
        <v>9044</v>
      </c>
      <c r="E200" s="1165">
        <v>1106</v>
      </c>
      <c r="F200" s="1165">
        <v>0</v>
      </c>
      <c r="G200" s="1166">
        <v>0</v>
      </c>
      <c r="H200" s="1166">
        <v>104.91</v>
      </c>
      <c r="I200" s="1166"/>
      <c r="J200" s="968">
        <f t="shared" si="49"/>
        <v>104.91</v>
      </c>
      <c r="K200" s="318"/>
      <c r="L200" s="968">
        <v>104.91</v>
      </c>
      <c r="M200" s="968">
        <v>54.9</v>
      </c>
      <c r="N200" s="968"/>
      <c r="O200" s="968">
        <f t="shared" si="45"/>
        <v>54.9</v>
      </c>
      <c r="P200" s="968">
        <v>83.83</v>
      </c>
      <c r="Q200" s="968"/>
      <c r="R200" s="1166">
        <f t="shared" si="46"/>
        <v>83.83</v>
      </c>
      <c r="S200" s="968">
        <v>55.1</v>
      </c>
      <c r="T200" s="968"/>
      <c r="U200" s="968">
        <f t="shared" si="50"/>
        <v>55.1</v>
      </c>
      <c r="V200" s="1145">
        <v>50.67</v>
      </c>
      <c r="W200" s="1145"/>
      <c r="X200" s="1145">
        <f t="shared" si="48"/>
        <v>50.67</v>
      </c>
    </row>
    <row r="201" spans="1:24" s="620" customFormat="1" ht="15" customHeight="1" x14ac:dyDescent="0.2">
      <c r="A201" s="928"/>
      <c r="B201" s="239" t="s">
        <v>1470</v>
      </c>
      <c r="C201" s="1165">
        <v>4</v>
      </c>
      <c r="D201" s="1165">
        <v>9044</v>
      </c>
      <c r="E201" s="1165">
        <v>1107</v>
      </c>
      <c r="F201" s="1165">
        <v>0</v>
      </c>
      <c r="G201" s="1166">
        <v>0</v>
      </c>
      <c r="H201" s="1166">
        <v>9304.66</v>
      </c>
      <c r="I201" s="1166"/>
      <c r="J201" s="968">
        <f t="shared" si="49"/>
        <v>9304.66</v>
      </c>
      <c r="K201" s="318"/>
      <c r="L201" s="968">
        <v>9304.66</v>
      </c>
      <c r="M201" s="968">
        <v>7892.64</v>
      </c>
      <c r="N201" s="968"/>
      <c r="O201" s="968">
        <f t="shared" si="45"/>
        <v>7892.64</v>
      </c>
      <c r="P201" s="968">
        <f>81004.98+11040.29</f>
        <v>92045.26999999999</v>
      </c>
      <c r="Q201" s="968"/>
      <c r="R201" s="1166">
        <f t="shared" si="46"/>
        <v>92045.26999999999</v>
      </c>
      <c r="S201" s="968">
        <v>25648.6</v>
      </c>
      <c r="T201" s="968"/>
      <c r="U201" s="968">
        <f t="shared" si="50"/>
        <v>25648.6</v>
      </c>
      <c r="V201" s="1145">
        <v>16490.13</v>
      </c>
      <c r="W201" s="1145"/>
      <c r="X201" s="1145">
        <f t="shared" si="48"/>
        <v>16490.13</v>
      </c>
    </row>
    <row r="202" spans="1:24" s="620" customFormat="1" ht="15" customHeight="1" x14ac:dyDescent="0.2">
      <c r="A202" s="928"/>
      <c r="B202" s="239" t="s">
        <v>1471</v>
      </c>
      <c r="C202" s="1165">
        <v>4</v>
      </c>
      <c r="D202" s="1165">
        <v>9044</v>
      </c>
      <c r="E202" s="1165">
        <v>1108</v>
      </c>
      <c r="F202" s="1165">
        <v>0</v>
      </c>
      <c r="G202" s="1166">
        <v>0</v>
      </c>
      <c r="H202" s="1166">
        <v>118.98</v>
      </c>
      <c r="I202" s="1166"/>
      <c r="J202" s="968">
        <f t="shared" si="49"/>
        <v>118.98</v>
      </c>
      <c r="K202" s="318"/>
      <c r="L202" s="968">
        <v>118.98</v>
      </c>
      <c r="M202" s="968">
        <v>82.6</v>
      </c>
      <c r="N202" s="968"/>
      <c r="O202" s="968">
        <f t="shared" si="45"/>
        <v>82.6</v>
      </c>
      <c r="P202" s="968">
        <v>82.6</v>
      </c>
      <c r="Q202" s="968"/>
      <c r="R202" s="1166">
        <f t="shared" si="46"/>
        <v>82.6</v>
      </c>
      <c r="S202" s="968">
        <v>505.26</v>
      </c>
      <c r="T202" s="968"/>
      <c r="U202" s="968">
        <f t="shared" si="50"/>
        <v>505.26</v>
      </c>
      <c r="V202" s="1145">
        <v>1018.97</v>
      </c>
      <c r="W202" s="1145"/>
      <c r="X202" s="1145">
        <f t="shared" si="48"/>
        <v>1018.97</v>
      </c>
    </row>
    <row r="203" spans="1:24" s="620" customFormat="1" ht="15" customHeight="1" x14ac:dyDescent="0.2">
      <c r="A203" s="928"/>
      <c r="B203" s="239" t="s">
        <v>3581</v>
      </c>
      <c r="C203" s="1165">
        <v>4</v>
      </c>
      <c r="D203" s="1165">
        <v>9044</v>
      </c>
      <c r="E203" s="1165">
        <v>1109</v>
      </c>
      <c r="F203" s="1165">
        <v>0</v>
      </c>
      <c r="G203" s="1166"/>
      <c r="H203" s="1166"/>
      <c r="I203" s="1166"/>
      <c r="J203" s="968"/>
      <c r="K203" s="318"/>
      <c r="L203" s="968"/>
      <c r="M203" s="968"/>
      <c r="N203" s="968"/>
      <c r="O203" s="968"/>
      <c r="P203" s="968"/>
      <c r="Q203" s="968"/>
      <c r="R203" s="1166"/>
      <c r="S203" s="968">
        <v>43.62</v>
      </c>
      <c r="T203" s="968"/>
      <c r="U203" s="968">
        <f t="shared" si="50"/>
        <v>43.62</v>
      </c>
      <c r="V203" s="1145">
        <v>44.14</v>
      </c>
      <c r="W203" s="1145"/>
      <c r="X203" s="1145">
        <f t="shared" si="48"/>
        <v>44.14</v>
      </c>
    </row>
    <row r="204" spans="1:24" s="620" customFormat="1" ht="15" customHeight="1" x14ac:dyDescent="0.2">
      <c r="A204" s="928"/>
      <c r="B204" s="239" t="s">
        <v>1472</v>
      </c>
      <c r="C204" s="1165">
        <v>4</v>
      </c>
      <c r="D204" s="1165">
        <v>9044</v>
      </c>
      <c r="E204" s="1165">
        <v>1110</v>
      </c>
      <c r="F204" s="1165">
        <v>0</v>
      </c>
      <c r="G204" s="1166">
        <v>0</v>
      </c>
      <c r="H204" s="1166">
        <v>13276.63</v>
      </c>
      <c r="I204" s="1166"/>
      <c r="J204" s="968">
        <f t="shared" si="49"/>
        <v>13276.63</v>
      </c>
      <c r="K204" s="318"/>
      <c r="L204" s="968">
        <v>13276.63</v>
      </c>
      <c r="M204" s="968">
        <v>5768.77</v>
      </c>
      <c r="N204" s="968"/>
      <c r="O204" s="968">
        <f t="shared" si="45"/>
        <v>5768.77</v>
      </c>
      <c r="P204" s="968">
        <f>-6193.97+21681.28</f>
        <v>15487.309999999998</v>
      </c>
      <c r="Q204" s="968"/>
      <c r="R204" s="1166">
        <f t="shared" si="46"/>
        <v>15487.309999999998</v>
      </c>
      <c r="S204" s="968">
        <v>5839.48</v>
      </c>
      <c r="T204" s="968"/>
      <c r="U204" s="968">
        <f t="shared" si="50"/>
        <v>5839.48</v>
      </c>
      <c r="V204" s="1145">
        <v>4071.63</v>
      </c>
      <c r="W204" s="1145"/>
      <c r="X204" s="1145">
        <f t="shared" si="48"/>
        <v>4071.63</v>
      </c>
    </row>
    <row r="205" spans="1:24" s="620" customFormat="1" ht="15" customHeight="1" x14ac:dyDescent="0.2">
      <c r="A205" s="928"/>
      <c r="B205" s="239" t="s">
        <v>1473</v>
      </c>
      <c r="C205" s="1165">
        <v>4</v>
      </c>
      <c r="D205" s="1165">
        <v>9044</v>
      </c>
      <c r="E205" s="1165">
        <v>1111</v>
      </c>
      <c r="F205" s="1165">
        <v>0</v>
      </c>
      <c r="G205" s="1166">
        <v>0</v>
      </c>
      <c r="H205" s="1166">
        <v>2781.28</v>
      </c>
      <c r="I205" s="1166"/>
      <c r="J205" s="968">
        <f t="shared" si="49"/>
        <v>2781.28</v>
      </c>
      <c r="K205" s="318"/>
      <c r="L205" s="968">
        <v>2781.28</v>
      </c>
      <c r="M205" s="968">
        <v>6842.18</v>
      </c>
      <c r="N205" s="968"/>
      <c r="O205" s="968">
        <f t="shared" si="45"/>
        <v>6842.18</v>
      </c>
      <c r="P205" s="968">
        <f>6893.98-84.39</f>
        <v>6809.5899999999992</v>
      </c>
      <c r="Q205" s="968"/>
      <c r="R205" s="1166">
        <f t="shared" si="46"/>
        <v>6809.5899999999992</v>
      </c>
      <c r="S205" s="968">
        <v>103.94</v>
      </c>
      <c r="T205" s="968"/>
      <c r="U205" s="968">
        <f t="shared" si="50"/>
        <v>103.94</v>
      </c>
      <c r="V205" s="1145"/>
      <c r="W205" s="1145"/>
      <c r="X205" s="1145">
        <f t="shared" si="48"/>
        <v>0</v>
      </c>
    </row>
    <row r="206" spans="1:24" s="620" customFormat="1" ht="15" customHeight="1" x14ac:dyDescent="0.2">
      <c r="A206" s="928"/>
      <c r="B206" s="239" t="s">
        <v>3201</v>
      </c>
      <c r="C206" s="1165">
        <v>4</v>
      </c>
      <c r="D206" s="1165">
        <v>9044</v>
      </c>
      <c r="E206" s="1165">
        <v>1112</v>
      </c>
      <c r="F206" s="1165">
        <v>0</v>
      </c>
      <c r="G206" s="1166"/>
      <c r="H206" s="1166"/>
      <c r="I206" s="1166"/>
      <c r="J206" s="968"/>
      <c r="K206" s="318"/>
      <c r="L206" s="968"/>
      <c r="M206" s="968"/>
      <c r="N206" s="968"/>
      <c r="O206" s="968"/>
      <c r="P206" s="968">
        <v>23.21</v>
      </c>
      <c r="Q206" s="968"/>
      <c r="R206" s="1166">
        <f t="shared" si="46"/>
        <v>23.21</v>
      </c>
      <c r="S206" s="968">
        <v>0</v>
      </c>
      <c r="T206" s="968"/>
      <c r="U206" s="968">
        <f t="shared" si="50"/>
        <v>0</v>
      </c>
      <c r="V206" s="1145"/>
      <c r="W206" s="1145"/>
      <c r="X206" s="1145">
        <f t="shared" si="48"/>
        <v>0</v>
      </c>
    </row>
    <row r="207" spans="1:24" s="620" customFormat="1" ht="15" customHeight="1" x14ac:dyDescent="0.2">
      <c r="A207" s="928"/>
      <c r="B207" s="239" t="s">
        <v>1474</v>
      </c>
      <c r="C207" s="1165">
        <v>4</v>
      </c>
      <c r="D207" s="1165">
        <v>9044</v>
      </c>
      <c r="E207" s="1165">
        <v>1113</v>
      </c>
      <c r="F207" s="1165">
        <v>0</v>
      </c>
      <c r="G207" s="239" t="s">
        <v>3245</v>
      </c>
      <c r="H207" s="1165">
        <v>554.5</v>
      </c>
      <c r="I207" s="1165">
        <v>-239.8</v>
      </c>
      <c r="J207" s="1165">
        <v>-1034.0999999999999</v>
      </c>
      <c r="K207" s="1165">
        <v>-1828.4</v>
      </c>
      <c r="L207" s="968">
        <v>18404.599999999999</v>
      </c>
      <c r="M207" s="968">
        <v>73579.31</v>
      </c>
      <c r="N207" s="968"/>
      <c r="O207" s="968">
        <f t="shared" si="45"/>
        <v>73579.31</v>
      </c>
      <c r="P207" s="968">
        <f>119410.77-13213.31</f>
        <v>106197.46</v>
      </c>
      <c r="Q207" s="968"/>
      <c r="R207" s="1166">
        <f t="shared" si="46"/>
        <v>106197.46</v>
      </c>
      <c r="S207" s="968">
        <v>0</v>
      </c>
      <c r="T207" s="968"/>
      <c r="U207" s="968">
        <f t="shared" si="50"/>
        <v>0</v>
      </c>
      <c r="V207" s="1145">
        <f>1387.9-1387.9</f>
        <v>0</v>
      </c>
      <c r="W207" s="1145"/>
      <c r="X207" s="1145">
        <f t="shared" si="48"/>
        <v>0</v>
      </c>
    </row>
    <row r="208" spans="1:24" s="620" customFormat="1" ht="15" customHeight="1" x14ac:dyDescent="0.2">
      <c r="A208" s="928"/>
      <c r="B208" s="239" t="s">
        <v>3246</v>
      </c>
      <c r="C208" s="1165">
        <v>4</v>
      </c>
      <c r="D208" s="1165">
        <v>9044</v>
      </c>
      <c r="E208" s="1165">
        <v>1114</v>
      </c>
      <c r="F208" s="1165">
        <v>0</v>
      </c>
      <c r="G208" s="1166"/>
      <c r="H208" s="1166"/>
      <c r="I208" s="1166"/>
      <c r="J208" s="968"/>
      <c r="K208" s="318"/>
      <c r="L208" s="968"/>
      <c r="M208" s="968"/>
      <c r="N208" s="968"/>
      <c r="O208" s="968"/>
      <c r="P208" s="968">
        <v>344289.75</v>
      </c>
      <c r="Q208" s="968"/>
      <c r="R208" s="1166">
        <f t="shared" si="46"/>
        <v>344289.75</v>
      </c>
      <c r="S208" s="968">
        <v>0</v>
      </c>
      <c r="T208" s="968"/>
      <c r="U208" s="968">
        <f t="shared" si="50"/>
        <v>0</v>
      </c>
      <c r="V208" s="1145">
        <v>187670.31</v>
      </c>
      <c r="W208" s="1145"/>
      <c r="X208" s="1145">
        <f t="shared" si="48"/>
        <v>187670.31</v>
      </c>
    </row>
    <row r="209" spans="1:24" s="620" customFormat="1" ht="15" customHeight="1" x14ac:dyDescent="0.2">
      <c r="A209" s="928"/>
      <c r="B209" s="239" t="s">
        <v>3202</v>
      </c>
      <c r="C209" s="1165">
        <v>4</v>
      </c>
      <c r="D209" s="1165">
        <v>9044</v>
      </c>
      <c r="E209" s="1165">
        <v>1115</v>
      </c>
      <c r="F209" s="1165">
        <v>0</v>
      </c>
      <c r="G209" s="1166"/>
      <c r="H209" s="1166"/>
      <c r="I209" s="1166"/>
      <c r="J209" s="968"/>
      <c r="K209" s="318"/>
      <c r="L209" s="968"/>
      <c r="M209" s="968"/>
      <c r="N209" s="968"/>
      <c r="O209" s="968"/>
      <c r="P209" s="968">
        <v>18758.95</v>
      </c>
      <c r="Q209" s="968"/>
      <c r="R209" s="1166">
        <f t="shared" si="46"/>
        <v>18758.95</v>
      </c>
      <c r="S209" s="968">
        <v>16309.68</v>
      </c>
      <c r="T209" s="968"/>
      <c r="U209" s="968">
        <f t="shared" si="50"/>
        <v>16309.68</v>
      </c>
      <c r="V209" s="968">
        <f>T209+U209</f>
        <v>16309.68</v>
      </c>
      <c r="W209" s="1145"/>
      <c r="X209" s="1145">
        <f t="shared" si="48"/>
        <v>16309.68</v>
      </c>
    </row>
    <row r="210" spans="1:24" s="620" customFormat="1" ht="15" customHeight="1" x14ac:dyDescent="0.2">
      <c r="A210" s="928"/>
      <c r="B210" s="239" t="s">
        <v>1475</v>
      </c>
      <c r="C210" s="1165">
        <v>4</v>
      </c>
      <c r="D210" s="1165">
        <v>9044</v>
      </c>
      <c r="E210" s="1165">
        <v>1118</v>
      </c>
      <c r="F210" s="1165">
        <v>0</v>
      </c>
      <c r="G210" s="1166">
        <v>0</v>
      </c>
      <c r="H210" s="1166">
        <v>1235.6400000000001</v>
      </c>
      <c r="I210" s="1166"/>
      <c r="J210" s="968">
        <f t="shared" si="49"/>
        <v>1235.6400000000001</v>
      </c>
      <c r="K210" s="318"/>
      <c r="L210" s="968">
        <v>1235.6400000000001</v>
      </c>
      <c r="M210" s="968">
        <v>499.17</v>
      </c>
      <c r="N210" s="968"/>
      <c r="O210" s="968">
        <f t="shared" si="45"/>
        <v>499.17</v>
      </c>
      <c r="P210" s="968">
        <v>26339.63</v>
      </c>
      <c r="Q210" s="968"/>
      <c r="R210" s="1166">
        <f t="shared" si="46"/>
        <v>26339.63</v>
      </c>
      <c r="S210" s="968">
        <v>23266.67</v>
      </c>
      <c r="T210" s="968"/>
      <c r="U210" s="968">
        <f t="shared" si="50"/>
        <v>23266.67</v>
      </c>
      <c r="V210" s="1145">
        <v>1738.1</v>
      </c>
      <c r="W210" s="1145"/>
      <c r="X210" s="1145">
        <f t="shared" si="48"/>
        <v>1738.1</v>
      </c>
    </row>
    <row r="211" spans="1:24" s="620" customFormat="1" ht="15" customHeight="1" x14ac:dyDescent="0.2">
      <c r="A211" s="928"/>
      <c r="B211" s="239" t="s">
        <v>3203</v>
      </c>
      <c r="C211" s="1165">
        <v>4</v>
      </c>
      <c r="D211" s="1165">
        <v>9044</v>
      </c>
      <c r="E211" s="1165">
        <v>1119</v>
      </c>
      <c r="F211" s="1165">
        <v>0</v>
      </c>
      <c r="G211" s="1166"/>
      <c r="H211" s="1166"/>
      <c r="I211" s="1166"/>
      <c r="J211" s="968"/>
      <c r="K211" s="318"/>
      <c r="L211" s="968"/>
      <c r="M211" s="968"/>
      <c r="N211" s="968"/>
      <c r="O211" s="968"/>
      <c r="P211" s="968">
        <v>619.73</v>
      </c>
      <c r="Q211" s="968"/>
      <c r="R211" s="1166">
        <f t="shared" si="46"/>
        <v>619.73</v>
      </c>
      <c r="S211" s="968">
        <v>3618.39</v>
      </c>
      <c r="T211" s="968"/>
      <c r="U211" s="968">
        <f t="shared" si="50"/>
        <v>3618.39</v>
      </c>
      <c r="V211" s="1145">
        <f>5591.9-63.48</f>
        <v>5528.42</v>
      </c>
      <c r="W211" s="1145"/>
      <c r="X211" s="1145">
        <f t="shared" si="48"/>
        <v>5528.42</v>
      </c>
    </row>
    <row r="212" spans="1:24" s="620" customFormat="1" ht="15" hidden="1" customHeight="1" x14ac:dyDescent="0.2">
      <c r="A212" s="928"/>
      <c r="B212" s="239"/>
      <c r="C212" s="1165"/>
      <c r="D212" s="1165"/>
      <c r="E212" s="1165"/>
      <c r="F212" s="1165"/>
      <c r="G212" s="1166"/>
      <c r="H212" s="1166"/>
      <c r="I212" s="1166"/>
      <c r="J212" s="968"/>
      <c r="K212" s="318"/>
      <c r="L212" s="968"/>
      <c r="M212" s="968"/>
      <c r="N212" s="968"/>
      <c r="O212" s="968"/>
      <c r="P212" s="968"/>
      <c r="Q212" s="968"/>
      <c r="R212" s="1166"/>
      <c r="S212" s="968"/>
      <c r="T212" s="968"/>
      <c r="U212" s="968"/>
      <c r="V212" s="1145">
        <v>0</v>
      </c>
      <c r="W212" s="1145"/>
      <c r="X212" s="1145">
        <f t="shared" si="48"/>
        <v>0</v>
      </c>
    </row>
    <row r="213" spans="1:24" s="620" customFormat="1" ht="15" customHeight="1" x14ac:dyDescent="0.2">
      <c r="A213" s="238"/>
      <c r="B213" s="239" t="s">
        <v>1478</v>
      </c>
      <c r="C213" s="1165">
        <v>4</v>
      </c>
      <c r="D213" s="1165">
        <v>9060</v>
      </c>
      <c r="E213" s="1167" t="s">
        <v>1379</v>
      </c>
      <c r="F213" s="1165">
        <v>0</v>
      </c>
      <c r="G213" s="1166">
        <v>0</v>
      </c>
      <c r="H213" s="1166">
        <v>9560568.0899999999</v>
      </c>
      <c r="I213" s="1166"/>
      <c r="J213" s="968">
        <f t="shared" si="49"/>
        <v>9560568.0899999999</v>
      </c>
      <c r="K213" s="318"/>
      <c r="L213" s="968">
        <v>9560568.0899999999</v>
      </c>
      <c r="M213" s="968">
        <v>29449269.289999999</v>
      </c>
      <c r="N213" s="968"/>
      <c r="O213" s="968">
        <f t="shared" si="45"/>
        <v>29449269.289999999</v>
      </c>
      <c r="P213" s="968">
        <f>41405216.18</f>
        <v>41405216.18</v>
      </c>
      <c r="Q213" s="968"/>
      <c r="R213" s="1166">
        <f t="shared" si="46"/>
        <v>41405216.18</v>
      </c>
      <c r="S213" s="968">
        <v>47658534.630000003</v>
      </c>
      <c r="T213" s="968"/>
      <c r="U213" s="968">
        <f>S213+T213</f>
        <v>47658534.630000003</v>
      </c>
      <c r="V213" s="1145">
        <f>59978674.95-108809.66</f>
        <v>59869865.290000007</v>
      </c>
      <c r="W213" s="1145"/>
      <c r="X213" s="1145">
        <f t="shared" si="48"/>
        <v>59869865.290000007</v>
      </c>
    </row>
    <row r="214" spans="1:24" s="620" customFormat="1" ht="15" customHeight="1" x14ac:dyDescent="0.2">
      <c r="A214" s="238"/>
      <c r="B214" s="239"/>
      <c r="C214" s="1165"/>
      <c r="D214" s="1165"/>
      <c r="E214" s="1167"/>
      <c r="F214" s="1165"/>
      <c r="G214" s="1164">
        <f>SUM(G183:G213)</f>
        <v>358159222.63</v>
      </c>
      <c r="H214" s="1164">
        <f>SUM(H183:H213)</f>
        <v>427597737.47999996</v>
      </c>
      <c r="I214" s="1164">
        <f>SUM(I183:I213)</f>
        <v>6990753.1000000006</v>
      </c>
      <c r="J214" s="1164">
        <f>SUM(J183:J213)</f>
        <v>434587141.77999991</v>
      </c>
      <c r="K214" s="318"/>
      <c r="L214" s="1143">
        <f t="shared" ref="L214:T214" si="51">SUM(L183:L213)</f>
        <v>434606580.47999996</v>
      </c>
      <c r="M214" s="1143">
        <f t="shared" si="51"/>
        <v>604204381.94999969</v>
      </c>
      <c r="N214" s="1143">
        <f t="shared" si="51"/>
        <v>0</v>
      </c>
      <c r="O214" s="1143">
        <f t="shared" si="51"/>
        <v>604204381.94999969</v>
      </c>
      <c r="P214" s="1143">
        <f t="shared" si="51"/>
        <v>749560148.87000024</v>
      </c>
      <c r="Q214" s="1143">
        <f t="shared" si="51"/>
        <v>-21915271.120000001</v>
      </c>
      <c r="R214" s="1164">
        <f t="shared" si="51"/>
        <v>727644877.75000024</v>
      </c>
      <c r="S214" s="1143">
        <f t="shared" si="51"/>
        <v>779232027.52999997</v>
      </c>
      <c r="T214" s="1143">
        <f t="shared" si="51"/>
        <v>0</v>
      </c>
      <c r="U214" s="1143">
        <f>SUM(U182:U213)</f>
        <v>779232027.52999997</v>
      </c>
      <c r="V214" s="1143">
        <f>SUM(V182:V213)</f>
        <v>902690943.92999983</v>
      </c>
      <c r="W214" s="1143">
        <f>SUM(W182:W213)</f>
        <v>0</v>
      </c>
      <c r="X214" s="1143">
        <f>SUM(X182:X213)</f>
        <v>902690943.92999983</v>
      </c>
    </row>
    <row r="215" spans="1:24" s="620" customFormat="1" ht="15" customHeight="1" x14ac:dyDescent="0.2">
      <c r="A215" s="928"/>
      <c r="B215" s="928" t="s">
        <v>136</v>
      </c>
      <c r="C215" s="1165">
        <v>4</v>
      </c>
      <c r="D215" s="1165">
        <v>9044</v>
      </c>
      <c r="E215" s="1167" t="s">
        <v>1382</v>
      </c>
      <c r="F215" s="1165">
        <v>0</v>
      </c>
      <c r="G215" s="1166">
        <v>-145856743</v>
      </c>
      <c r="H215" s="1166">
        <v>-168346946</v>
      </c>
      <c r="I215" s="1166"/>
      <c r="J215" s="968">
        <f>H215+I215</f>
        <v>-168346946</v>
      </c>
      <c r="K215" s="318"/>
      <c r="L215" s="968">
        <v>-168346946</v>
      </c>
      <c r="M215" s="968">
        <v>-221833013</v>
      </c>
      <c r="N215" s="968"/>
      <c r="O215" s="968">
        <f t="shared" si="45"/>
        <v>-221833013</v>
      </c>
      <c r="P215" s="968">
        <f>-216853824.57-180154437.43</f>
        <v>-397008262</v>
      </c>
      <c r="Q215" s="968">
        <f>20420279</f>
        <v>20420279</v>
      </c>
      <c r="R215" s="1166">
        <f>P215+Q215</f>
        <v>-376587983</v>
      </c>
      <c r="S215" s="968">
        <f>-297941807.4+4002626.44-121335559.04+6739508</f>
        <v>-408535232</v>
      </c>
      <c r="T215" s="968"/>
      <c r="U215" s="968">
        <f>S215+T215</f>
        <v>-408535232</v>
      </c>
      <c r="V215" s="1145">
        <f>-466560112-977497.68</f>
        <v>-467537609.68000001</v>
      </c>
      <c r="W215" s="1145"/>
      <c r="X215" s="1145">
        <f>V215+W215</f>
        <v>-467537609.68000001</v>
      </c>
    </row>
    <row r="216" spans="1:24" s="620" customFormat="1" ht="15" hidden="1" customHeight="1" x14ac:dyDescent="0.2">
      <c r="A216" s="928"/>
      <c r="B216" s="928" t="s">
        <v>4201</v>
      </c>
      <c r="C216" s="1165">
        <v>3</v>
      </c>
      <c r="D216" s="1165">
        <v>8050</v>
      </c>
      <c r="E216" s="1167" t="s">
        <v>3154</v>
      </c>
      <c r="F216" s="1165">
        <v>0</v>
      </c>
      <c r="G216" s="1166"/>
      <c r="H216" s="1166"/>
      <c r="I216" s="1166"/>
      <c r="J216" s="968"/>
      <c r="K216" s="318"/>
      <c r="L216" s="968"/>
      <c r="M216" s="968"/>
      <c r="N216" s="968">
        <v>-31398377</v>
      </c>
      <c r="O216" s="968">
        <f t="shared" si="45"/>
        <v>-31398377</v>
      </c>
      <c r="P216" s="968">
        <f>-31398377+31398377</f>
        <v>0</v>
      </c>
      <c r="Q216" s="968"/>
      <c r="R216" s="1166">
        <f>P216+Q216</f>
        <v>0</v>
      </c>
      <c r="S216" s="968">
        <v>0</v>
      </c>
      <c r="T216" s="968"/>
      <c r="U216" s="968">
        <f>S216+T216</f>
        <v>0</v>
      </c>
      <c r="V216" s="1145"/>
      <c r="W216" s="1145"/>
      <c r="X216" s="1145">
        <f>V216+W216</f>
        <v>0</v>
      </c>
    </row>
    <row r="217" spans="1:24" s="620" customFormat="1" ht="15" customHeight="1" x14ac:dyDescent="0.2">
      <c r="A217" s="928"/>
      <c r="B217" s="239" t="s">
        <v>138</v>
      </c>
      <c r="C217" s="1165">
        <v>4</v>
      </c>
      <c r="D217" s="1165">
        <v>9044</v>
      </c>
      <c r="E217" s="1165">
        <v>1005</v>
      </c>
      <c r="F217" s="1165">
        <v>0</v>
      </c>
      <c r="G217" s="1166"/>
      <c r="H217" s="1166"/>
      <c r="I217" s="1166"/>
      <c r="J217" s="968"/>
      <c r="K217" s="318"/>
      <c r="L217" s="968"/>
      <c r="M217" s="968">
        <v>1073808.6299999999</v>
      </c>
      <c r="N217" s="968"/>
      <c r="O217" s="968">
        <f t="shared" si="45"/>
        <v>1073808.6299999999</v>
      </c>
      <c r="P217" s="968">
        <v>1646182.57</v>
      </c>
      <c r="Q217" s="968"/>
      <c r="R217" s="1166">
        <f>P217+Q217</f>
        <v>1646182.57</v>
      </c>
      <c r="S217" s="968">
        <v>1661739.61</v>
      </c>
      <c r="T217" s="968"/>
      <c r="U217" s="968">
        <f>S217+T217</f>
        <v>1661739.61</v>
      </c>
      <c r="V217" s="1145">
        <v>1445966.59</v>
      </c>
      <c r="W217" s="1145"/>
      <c r="X217" s="1145">
        <f>V217+W217</f>
        <v>1445966.59</v>
      </c>
    </row>
    <row r="218" spans="1:24" s="620" customFormat="1" ht="15" hidden="1" customHeight="1" x14ac:dyDescent="0.2">
      <c r="A218" s="928"/>
      <c r="B218" s="928" t="s">
        <v>1454</v>
      </c>
      <c r="C218" s="1165">
        <v>4</v>
      </c>
      <c r="D218" s="1165">
        <v>9047</v>
      </c>
      <c r="E218" s="1167" t="s">
        <v>1447</v>
      </c>
      <c r="F218" s="1165">
        <v>0</v>
      </c>
      <c r="G218" s="1166">
        <v>-18800340.870000001</v>
      </c>
      <c r="H218" s="1166">
        <v>2507482.7999999998</v>
      </c>
      <c r="I218" s="1166"/>
      <c r="J218" s="968">
        <f>H218+I218</f>
        <v>2507482.7999999998</v>
      </c>
      <c r="K218" s="318"/>
      <c r="L218" s="968">
        <v>2507482.7999999998</v>
      </c>
      <c r="M218" s="968">
        <v>0</v>
      </c>
      <c r="N218" s="968"/>
      <c r="O218" s="968">
        <f t="shared" si="45"/>
        <v>0</v>
      </c>
      <c r="P218" s="968">
        <v>0</v>
      </c>
      <c r="Q218" s="968"/>
      <c r="R218" s="1166">
        <f>P218+Q218</f>
        <v>0</v>
      </c>
      <c r="S218" s="968">
        <v>0</v>
      </c>
      <c r="T218" s="968"/>
      <c r="U218" s="968">
        <f>S218+T218</f>
        <v>0</v>
      </c>
      <c r="V218" s="1145"/>
      <c r="W218" s="1145"/>
      <c r="X218" s="1145">
        <f>V218+W218</f>
        <v>0</v>
      </c>
    </row>
    <row r="219" spans="1:24" s="620" customFormat="1" ht="15" hidden="1" customHeight="1" x14ac:dyDescent="0.2">
      <c r="A219" s="928"/>
      <c r="B219" s="928" t="s">
        <v>1504</v>
      </c>
      <c r="C219" s="1165">
        <v>4</v>
      </c>
      <c r="D219" s="1165">
        <v>9047</v>
      </c>
      <c r="E219" s="1167" t="s">
        <v>1379</v>
      </c>
      <c r="F219" s="1165">
        <v>0</v>
      </c>
      <c r="G219" s="1166"/>
      <c r="H219" s="1166">
        <v>-5314166.5199999996</v>
      </c>
      <c r="I219" s="1166"/>
      <c r="J219" s="968">
        <f>H219+I219</f>
        <v>-5314166.5199999996</v>
      </c>
      <c r="K219" s="318"/>
      <c r="L219" s="968">
        <v>-5314166.5199999996</v>
      </c>
      <c r="M219" s="968">
        <v>0</v>
      </c>
      <c r="N219" s="968"/>
      <c r="O219" s="968">
        <f t="shared" si="45"/>
        <v>0</v>
      </c>
      <c r="P219" s="968">
        <v>0</v>
      </c>
      <c r="Q219" s="968"/>
      <c r="R219" s="1166">
        <f>P219+Q219</f>
        <v>0</v>
      </c>
      <c r="S219" s="968">
        <v>0</v>
      </c>
      <c r="T219" s="968"/>
      <c r="U219" s="968">
        <f>S219+T219</f>
        <v>0</v>
      </c>
      <c r="V219" s="1145"/>
      <c r="W219" s="1145"/>
      <c r="X219" s="1145">
        <f>V219+W219</f>
        <v>0</v>
      </c>
    </row>
    <row r="220" spans="1:24" s="620" customFormat="1" ht="15" customHeight="1" x14ac:dyDescent="0.2">
      <c r="A220" s="928"/>
      <c r="B220" s="928"/>
      <c r="C220" s="1165"/>
      <c r="D220" s="1165"/>
      <c r="E220" s="1167"/>
      <c r="F220" s="1165"/>
      <c r="G220" s="1164">
        <f>SUM(G218:G219)</f>
        <v>-18800340.870000001</v>
      </c>
      <c r="H220" s="1164">
        <f>SUM(H218:H219)</f>
        <v>-2806683.7199999997</v>
      </c>
      <c r="I220" s="1164">
        <f>SUM(I218:I219)</f>
        <v>0</v>
      </c>
      <c r="J220" s="1164">
        <f>SUM(J218:J219)</f>
        <v>-2806683.7199999997</v>
      </c>
      <c r="K220" s="318"/>
      <c r="L220" s="1143">
        <f>SUM(L218:L219)</f>
        <v>-2806683.7199999997</v>
      </c>
      <c r="M220" s="1143">
        <f t="shared" ref="M220:R220" si="52">SUM(M217:M219)</f>
        <v>1073808.6299999999</v>
      </c>
      <c r="N220" s="1143">
        <f t="shared" si="52"/>
        <v>0</v>
      </c>
      <c r="O220" s="1143">
        <f t="shared" si="52"/>
        <v>1073808.6299999999</v>
      </c>
      <c r="P220" s="1143">
        <f t="shared" si="52"/>
        <v>1646182.57</v>
      </c>
      <c r="Q220" s="1143">
        <f t="shared" si="52"/>
        <v>0</v>
      </c>
      <c r="R220" s="1164">
        <f t="shared" si="52"/>
        <v>1646182.57</v>
      </c>
      <c r="S220" s="1143">
        <f>SUM(S217:S219)</f>
        <v>1661739.61</v>
      </c>
      <c r="T220" s="1143">
        <f>SUM(T217:T219)</f>
        <v>0</v>
      </c>
      <c r="U220" s="1143">
        <f>SUM(U217:U219)</f>
        <v>1661739.61</v>
      </c>
      <c r="V220" s="1341"/>
      <c r="W220" s="1341"/>
      <c r="X220" s="1341"/>
    </row>
    <row r="221" spans="1:24" s="620" customFormat="1" ht="15" customHeight="1" x14ac:dyDescent="0.2">
      <c r="A221" s="928"/>
      <c r="B221" s="928"/>
      <c r="C221" s="1165"/>
      <c r="D221" s="1165"/>
      <c r="E221" s="1165"/>
      <c r="F221" s="1165"/>
      <c r="G221" s="374">
        <f>G214+G215+G220</f>
        <v>193502138.75999999</v>
      </c>
      <c r="H221" s="374">
        <f>H214+H215+H220</f>
        <v>256444107.75999996</v>
      </c>
      <c r="I221" s="374">
        <f>I214+I215+I220</f>
        <v>6990753.1000000006</v>
      </c>
      <c r="J221" s="374">
        <f>J214+J215+J220</f>
        <v>263433512.05999991</v>
      </c>
      <c r="K221" s="318"/>
      <c r="L221" s="373">
        <f>L214+L215+L220</f>
        <v>263452950.75999996</v>
      </c>
      <c r="M221" s="373">
        <f>M214+M215+M220</f>
        <v>383445177.57999969</v>
      </c>
      <c r="N221" s="373">
        <f t="shared" ref="N221:U221" si="53">N214+N215+N216+N220</f>
        <v>-31398377</v>
      </c>
      <c r="O221" s="373">
        <f t="shared" si="53"/>
        <v>352046800.57999969</v>
      </c>
      <c r="P221" s="373">
        <f t="shared" si="53"/>
        <v>354198069.44000024</v>
      </c>
      <c r="Q221" s="373">
        <f t="shared" si="53"/>
        <v>-1494992.120000001</v>
      </c>
      <c r="R221" s="374">
        <f t="shared" si="53"/>
        <v>352703077.32000023</v>
      </c>
      <c r="S221" s="373">
        <f t="shared" si="53"/>
        <v>372358535.13999999</v>
      </c>
      <c r="T221" s="373">
        <f t="shared" si="53"/>
        <v>0</v>
      </c>
      <c r="U221" s="373">
        <f t="shared" si="53"/>
        <v>372358535.13999999</v>
      </c>
      <c r="V221" s="1342">
        <f>V214+V215+V216+V217+V218+V219</f>
        <v>436599300.83999979</v>
      </c>
      <c r="W221" s="1342">
        <f>W214+W215+W216+W217+W218+W219</f>
        <v>0</v>
      </c>
      <c r="X221" s="1342">
        <f>X214+X215+X216+X217+X218+X219</f>
        <v>436599300.83999979</v>
      </c>
    </row>
    <row r="222" spans="1:24" s="620" customFormat="1" ht="15" customHeight="1" x14ac:dyDescent="0.2">
      <c r="A222" s="928"/>
      <c r="B222" s="928"/>
      <c r="C222" s="1165"/>
      <c r="D222" s="1165"/>
      <c r="E222" s="1165"/>
      <c r="F222" s="1165"/>
      <c r="G222" s="1166"/>
      <c r="H222" s="1166"/>
      <c r="I222" s="1166"/>
      <c r="J222" s="968"/>
      <c r="K222" s="318"/>
      <c r="L222" s="968"/>
      <c r="M222" s="968"/>
      <c r="N222" s="968"/>
      <c r="O222" s="968"/>
      <c r="P222" s="968"/>
      <c r="Q222" s="968"/>
      <c r="R222" s="1166"/>
      <c r="S222" s="968"/>
      <c r="T222" s="968"/>
      <c r="U222" s="968"/>
      <c r="V222" s="1145"/>
      <c r="W222" s="1145"/>
      <c r="X222" s="1145"/>
    </row>
    <row r="223" spans="1:24" s="620" customFormat="1" ht="15" customHeight="1" x14ac:dyDescent="0.2">
      <c r="A223" s="238" t="s">
        <v>139</v>
      </c>
      <c r="B223" s="238" t="s">
        <v>288</v>
      </c>
      <c r="C223" s="1165"/>
      <c r="D223" s="1165"/>
      <c r="E223" s="1165"/>
      <c r="F223" s="1165"/>
      <c r="G223" s="1166"/>
      <c r="H223" s="1166"/>
      <c r="I223" s="1166"/>
      <c r="J223" s="968"/>
      <c r="K223" s="318"/>
      <c r="L223" s="968"/>
      <c r="M223" s="968"/>
      <c r="N223" s="968"/>
      <c r="O223" s="968"/>
      <c r="P223" s="968"/>
      <c r="Q223" s="968"/>
      <c r="R223" s="1166"/>
      <c r="S223" s="968"/>
      <c r="T223" s="968"/>
      <c r="U223" s="968"/>
      <c r="V223" s="1145"/>
      <c r="W223" s="1145"/>
      <c r="X223" s="1145"/>
    </row>
    <row r="224" spans="1:24" s="620" customFormat="1" ht="15" customHeight="1" x14ac:dyDescent="0.2">
      <c r="A224" s="238"/>
      <c r="B224" s="239" t="s">
        <v>3622</v>
      </c>
      <c r="C224" s="1165">
        <v>3</v>
      </c>
      <c r="D224" s="1165">
        <v>8050</v>
      </c>
      <c r="E224" s="1167" t="s">
        <v>1391</v>
      </c>
      <c r="F224" s="1165">
        <v>0</v>
      </c>
      <c r="G224" s="1166"/>
      <c r="H224" s="1166"/>
      <c r="I224" s="1166"/>
      <c r="J224" s="968"/>
      <c r="K224" s="318"/>
      <c r="L224" s="968"/>
      <c r="M224" s="968"/>
      <c r="N224" s="968"/>
      <c r="O224" s="968"/>
      <c r="P224" s="968"/>
      <c r="Q224" s="968"/>
      <c r="R224" s="1166"/>
      <c r="S224" s="968">
        <v>5134397.8099999996</v>
      </c>
      <c r="T224" s="968"/>
      <c r="U224" s="968">
        <f t="shared" ref="U224:U230" si="54">S224+T224</f>
        <v>5134397.8099999996</v>
      </c>
      <c r="V224" s="1145">
        <f>4393284.63+66293.29-3830730.93</f>
        <v>628846.98999999976</v>
      </c>
      <c r="W224" s="1145"/>
      <c r="X224" s="1145">
        <f t="shared" ref="X224:X247" si="55">V224+W224</f>
        <v>628846.98999999976</v>
      </c>
    </row>
    <row r="225" spans="1:24" s="620" customFormat="1" ht="15" customHeight="1" x14ac:dyDescent="0.2">
      <c r="A225" s="238"/>
      <c r="B225" s="239" t="s">
        <v>3582</v>
      </c>
      <c r="C225" s="1165">
        <v>3</v>
      </c>
      <c r="D225" s="1165">
        <v>8050</v>
      </c>
      <c r="E225" s="1165" t="s">
        <v>1402</v>
      </c>
      <c r="F225" s="1165">
        <v>0</v>
      </c>
      <c r="G225" s="1166"/>
      <c r="H225" s="1166"/>
      <c r="I225" s="1166"/>
      <c r="J225" s="968"/>
      <c r="K225" s="318"/>
      <c r="L225" s="968"/>
      <c r="M225" s="968"/>
      <c r="N225" s="968"/>
      <c r="O225" s="968"/>
      <c r="P225" s="968"/>
      <c r="Q225" s="968"/>
      <c r="R225" s="1166"/>
      <c r="S225" s="968">
        <v>0</v>
      </c>
      <c r="T225" s="968"/>
      <c r="U225" s="968">
        <f t="shared" si="54"/>
        <v>0</v>
      </c>
      <c r="V225" s="1145"/>
      <c r="W225" s="1145"/>
      <c r="X225" s="1145">
        <f t="shared" si="55"/>
        <v>0</v>
      </c>
    </row>
    <row r="226" spans="1:24" s="620" customFormat="1" ht="15" customHeight="1" x14ac:dyDescent="0.2">
      <c r="A226" s="238"/>
      <c r="B226" s="239" t="s">
        <v>3138</v>
      </c>
      <c r="C226" s="1165">
        <v>3</v>
      </c>
      <c r="D226" s="1165">
        <v>8050</v>
      </c>
      <c r="E226" s="1167" t="s">
        <v>1404</v>
      </c>
      <c r="F226" s="1165">
        <v>0</v>
      </c>
      <c r="G226" s="1166"/>
      <c r="H226" s="1166"/>
      <c r="I226" s="1166"/>
      <c r="J226" s="968"/>
      <c r="K226" s="318"/>
      <c r="L226" s="968"/>
      <c r="M226" s="968">
        <v>2403548.09</v>
      </c>
      <c r="N226" s="968"/>
      <c r="O226" s="968">
        <f>M226+N226</f>
        <v>2403548.09</v>
      </c>
      <c r="P226" s="968">
        <v>669961.23</v>
      </c>
      <c r="Q226" s="968"/>
      <c r="R226" s="1166">
        <f>P226+Q226</f>
        <v>669961.23</v>
      </c>
      <c r="S226" s="968">
        <f>669961.23-557895.78</f>
        <v>112065.44999999995</v>
      </c>
      <c r="T226" s="968"/>
      <c r="U226" s="968">
        <f t="shared" si="54"/>
        <v>112065.44999999995</v>
      </c>
      <c r="V226" s="1145">
        <v>0</v>
      </c>
      <c r="W226" s="1145"/>
      <c r="X226" s="1145">
        <f t="shared" si="55"/>
        <v>0</v>
      </c>
    </row>
    <row r="227" spans="1:24" s="620" customFormat="1" ht="15" customHeight="1" x14ac:dyDescent="0.2">
      <c r="A227" s="238"/>
      <c r="B227" s="239" t="s">
        <v>49</v>
      </c>
      <c r="C227" s="1165">
        <v>3</v>
      </c>
      <c r="D227" s="1165">
        <v>8050</v>
      </c>
      <c r="E227" s="1167" t="s">
        <v>2974</v>
      </c>
      <c r="F227" s="1165">
        <v>0</v>
      </c>
      <c r="G227" s="1166"/>
      <c r="H227" s="1166"/>
      <c r="I227" s="1166"/>
      <c r="J227" s="968"/>
      <c r="K227" s="318"/>
      <c r="L227" s="968"/>
      <c r="M227" s="968">
        <v>2500</v>
      </c>
      <c r="N227" s="968"/>
      <c r="O227" s="968">
        <f>M227+N227</f>
        <v>2500</v>
      </c>
      <c r="P227" s="968">
        <v>0</v>
      </c>
      <c r="Q227" s="968"/>
      <c r="R227" s="1166">
        <f>P227+Q227</f>
        <v>0</v>
      </c>
      <c r="S227" s="968">
        <v>0</v>
      </c>
      <c r="T227" s="968"/>
      <c r="U227" s="968">
        <f t="shared" si="54"/>
        <v>0</v>
      </c>
      <c r="V227" s="1145"/>
      <c r="W227" s="1145"/>
      <c r="X227" s="1145">
        <f t="shared" si="55"/>
        <v>0</v>
      </c>
    </row>
    <row r="228" spans="1:24" s="620" customFormat="1" ht="15" customHeight="1" x14ac:dyDescent="0.2">
      <c r="A228" s="238"/>
      <c r="B228" s="239" t="s">
        <v>2973</v>
      </c>
      <c r="C228" s="1165">
        <v>3</v>
      </c>
      <c r="D228" s="1165">
        <v>8050</v>
      </c>
      <c r="E228" s="1167" t="s">
        <v>1406</v>
      </c>
      <c r="F228" s="1165">
        <v>0</v>
      </c>
      <c r="G228" s="1166"/>
      <c r="H228" s="1166"/>
      <c r="I228" s="1166"/>
      <c r="J228" s="968"/>
      <c r="K228" s="318"/>
      <c r="L228" s="968"/>
      <c r="M228" s="968">
        <v>0</v>
      </c>
      <c r="N228" s="968"/>
      <c r="O228" s="968">
        <f>M228+N228</f>
        <v>0</v>
      </c>
      <c r="P228" s="968">
        <v>0</v>
      </c>
      <c r="Q228" s="968"/>
      <c r="R228" s="1166">
        <f>P228+Q228</f>
        <v>0</v>
      </c>
      <c r="S228" s="968">
        <v>0</v>
      </c>
      <c r="T228" s="968"/>
      <c r="U228" s="968">
        <f t="shared" si="54"/>
        <v>0</v>
      </c>
      <c r="V228" s="1145"/>
      <c r="W228" s="1145"/>
      <c r="X228" s="1145">
        <f t="shared" si="55"/>
        <v>0</v>
      </c>
    </row>
    <row r="229" spans="1:24" s="620" customFormat="1" ht="15" customHeight="1" x14ac:dyDescent="0.2">
      <c r="A229" s="238"/>
      <c r="B229" s="239" t="s">
        <v>2975</v>
      </c>
      <c r="C229" s="1165">
        <v>3</v>
      </c>
      <c r="D229" s="1165">
        <v>8050</v>
      </c>
      <c r="E229" s="1167" t="s">
        <v>1413</v>
      </c>
      <c r="F229" s="1165">
        <v>0</v>
      </c>
      <c r="G229" s="1166"/>
      <c r="H229" s="1166"/>
      <c r="I229" s="1166"/>
      <c r="J229" s="968"/>
      <c r="K229" s="318"/>
      <c r="L229" s="968"/>
      <c r="M229" s="968">
        <v>28138512.059999999</v>
      </c>
      <c r="N229" s="968">
        <f>-18595502.77-9543009.29</f>
        <v>-28138512.059999999</v>
      </c>
      <c r="O229" s="968">
        <f>M229+N229</f>
        <v>0</v>
      </c>
      <c r="P229" s="968">
        <v>0</v>
      </c>
      <c r="Q229" s="968"/>
      <c r="R229" s="1166">
        <f>P229+Q229</f>
        <v>0</v>
      </c>
      <c r="S229" s="968">
        <v>0</v>
      </c>
      <c r="T229" s="968"/>
      <c r="U229" s="968">
        <f t="shared" si="54"/>
        <v>0</v>
      </c>
      <c r="V229" s="1145">
        <v>5135255.04</v>
      </c>
      <c r="W229" s="1145"/>
      <c r="X229" s="1145">
        <f t="shared" si="55"/>
        <v>5135255.04</v>
      </c>
    </row>
    <row r="230" spans="1:24" s="620" customFormat="1" ht="15" customHeight="1" x14ac:dyDescent="0.2">
      <c r="A230" s="238"/>
      <c r="B230" s="239" t="s">
        <v>3315</v>
      </c>
      <c r="C230" s="1165">
        <v>3</v>
      </c>
      <c r="D230" s="1165">
        <v>8050</v>
      </c>
      <c r="E230" s="1167" t="s">
        <v>3208</v>
      </c>
      <c r="F230" s="1165">
        <v>0</v>
      </c>
      <c r="G230" s="1166"/>
      <c r="H230" s="1166"/>
      <c r="I230" s="1166"/>
      <c r="J230" s="968"/>
      <c r="K230" s="318"/>
      <c r="L230" s="968"/>
      <c r="M230" s="968"/>
      <c r="N230" s="968"/>
      <c r="O230" s="968"/>
      <c r="P230" s="968">
        <f>4767049.43-4767049.43</f>
        <v>0</v>
      </c>
      <c r="Q230" s="968"/>
      <c r="R230" s="1166">
        <f>P230+Q230</f>
        <v>0</v>
      </c>
      <c r="S230" s="968">
        <v>0</v>
      </c>
      <c r="T230" s="968"/>
      <c r="U230" s="968">
        <f t="shared" si="54"/>
        <v>0</v>
      </c>
      <c r="V230" s="1145"/>
      <c r="W230" s="1145"/>
      <c r="X230" s="1145">
        <f t="shared" si="55"/>
        <v>0</v>
      </c>
    </row>
    <row r="231" spans="1:24" s="620" customFormat="1" ht="15" customHeight="1" x14ac:dyDescent="0.2">
      <c r="A231" s="238"/>
      <c r="B231" s="239" t="s">
        <v>3134</v>
      </c>
      <c r="C231" s="1165">
        <v>4</v>
      </c>
      <c r="D231" s="1165">
        <v>9026</v>
      </c>
      <c r="E231" s="1167" t="s">
        <v>1373</v>
      </c>
      <c r="F231" s="1165">
        <v>0</v>
      </c>
      <c r="G231" s="1166"/>
      <c r="H231" s="1166"/>
      <c r="I231" s="1166"/>
      <c r="J231" s="968"/>
      <c r="K231" s="318"/>
      <c r="L231" s="968"/>
      <c r="M231" s="968"/>
      <c r="N231" s="968"/>
      <c r="O231" s="968">
        <f>M231+N231</f>
        <v>0</v>
      </c>
      <c r="P231" s="968">
        <v>0</v>
      </c>
      <c r="Q231" s="968"/>
      <c r="R231" s="1166">
        <f t="shared" ref="R231:R243" si="56">P231+Q231</f>
        <v>0</v>
      </c>
      <c r="S231" s="968">
        <v>0</v>
      </c>
      <c r="T231" s="968"/>
      <c r="U231" s="968">
        <f>S231+T231</f>
        <v>0</v>
      </c>
      <c r="V231" s="1145"/>
      <c r="W231" s="1145"/>
      <c r="X231" s="1145">
        <f t="shared" si="55"/>
        <v>0</v>
      </c>
    </row>
    <row r="232" spans="1:24" s="620" customFormat="1" ht="15" customHeight="1" x14ac:dyDescent="0.2">
      <c r="A232" s="238"/>
      <c r="B232" s="239" t="s">
        <v>3856</v>
      </c>
      <c r="C232" s="1165">
        <v>4</v>
      </c>
      <c r="D232" s="1165">
        <v>9026</v>
      </c>
      <c r="E232" s="1167" t="s">
        <v>2977</v>
      </c>
      <c r="F232" s="1165">
        <v>0</v>
      </c>
      <c r="G232" s="1166"/>
      <c r="H232" s="1166"/>
      <c r="I232" s="1166"/>
      <c r="J232" s="968"/>
      <c r="K232" s="318"/>
      <c r="L232" s="968"/>
      <c r="M232" s="968">
        <v>3136259.1</v>
      </c>
      <c r="N232" s="968"/>
      <c r="O232" s="968">
        <f>M232+N232</f>
        <v>3136259.1</v>
      </c>
      <c r="P232" s="968">
        <v>0</v>
      </c>
      <c r="Q232" s="968"/>
      <c r="R232" s="1166">
        <f t="shared" si="56"/>
        <v>0</v>
      </c>
      <c r="S232" s="968">
        <v>0</v>
      </c>
      <c r="T232" s="968"/>
      <c r="U232" s="968">
        <f>S232+T232</f>
        <v>0</v>
      </c>
      <c r="V232" s="1145"/>
      <c r="W232" s="1145"/>
      <c r="X232" s="1145">
        <f t="shared" si="55"/>
        <v>0</v>
      </c>
    </row>
    <row r="233" spans="1:24" s="620" customFormat="1" ht="15" customHeight="1" x14ac:dyDescent="0.2">
      <c r="A233" s="928"/>
      <c r="B233" s="928" t="s">
        <v>147</v>
      </c>
      <c r="C233" s="1165">
        <v>4</v>
      </c>
      <c r="D233" s="1165">
        <v>9047</v>
      </c>
      <c r="E233" s="1167" t="s">
        <v>1380</v>
      </c>
      <c r="F233" s="1165">
        <v>0</v>
      </c>
      <c r="G233" s="1166">
        <v>500899.99</v>
      </c>
      <c r="H233" s="1166">
        <v>509299.99</v>
      </c>
      <c r="I233" s="1166"/>
      <c r="J233" s="968">
        <f t="shared" ref="J233:J243" si="57">H233+I233</f>
        <v>509299.99</v>
      </c>
      <c r="K233" s="318"/>
      <c r="L233" s="968">
        <v>509299.99</v>
      </c>
      <c r="M233" s="968">
        <v>557899.99</v>
      </c>
      <c r="N233" s="968"/>
      <c r="O233" s="968">
        <f t="shared" ref="O233:O243" si="58">M233+N233</f>
        <v>557899.99</v>
      </c>
      <c r="P233" s="968">
        <v>605049.99</v>
      </c>
      <c r="Q233" s="968"/>
      <c r="R233" s="1166">
        <f t="shared" si="56"/>
        <v>605049.99</v>
      </c>
      <c r="S233" s="968">
        <v>655174.05999999994</v>
      </c>
      <c r="T233" s="968"/>
      <c r="U233" s="968">
        <f>S233+T233</f>
        <v>655174.05999999994</v>
      </c>
      <c r="V233" s="1145">
        <v>684874.06</v>
      </c>
      <c r="W233" s="1145"/>
      <c r="X233" s="1145">
        <f t="shared" si="55"/>
        <v>684874.06</v>
      </c>
    </row>
    <row r="234" spans="1:24" s="620" customFormat="1" ht="15" customHeight="1" x14ac:dyDescent="0.2">
      <c r="A234" s="238"/>
      <c r="B234" s="239" t="s">
        <v>1497</v>
      </c>
      <c r="C234" s="1165">
        <v>4</v>
      </c>
      <c r="D234" s="1165">
        <v>9060</v>
      </c>
      <c r="E234" s="1167" t="s">
        <v>1387</v>
      </c>
      <c r="F234" s="1165">
        <v>0</v>
      </c>
      <c r="G234" s="1166">
        <v>0</v>
      </c>
      <c r="H234" s="1166">
        <v>0</v>
      </c>
      <c r="I234" s="1166">
        <v>10191589.23</v>
      </c>
      <c r="J234" s="968">
        <f t="shared" si="57"/>
        <v>10191589.23</v>
      </c>
      <c r="K234" s="318"/>
      <c r="L234" s="968">
        <v>10191589.23</v>
      </c>
      <c r="M234" s="968">
        <v>12047862.789999999</v>
      </c>
      <c r="N234" s="968">
        <v>0</v>
      </c>
      <c r="O234" s="968">
        <f t="shared" si="58"/>
        <v>12047862.789999999</v>
      </c>
      <c r="P234" s="968">
        <f>14972282.68+51744+62157.86</f>
        <v>15086184.539999999</v>
      </c>
      <c r="Q234" s="968">
        <f>-116835.24</f>
        <v>-116835.24</v>
      </c>
      <c r="R234" s="1166">
        <f t="shared" si="56"/>
        <v>14969349.299999999</v>
      </c>
      <c r="S234" s="968">
        <f>16729024.57+27810.81</f>
        <v>16756835.380000001</v>
      </c>
      <c r="T234" s="968">
        <f>478107.73</f>
        <v>478107.73</v>
      </c>
      <c r="U234" s="968">
        <v>0</v>
      </c>
      <c r="V234" s="1145"/>
      <c r="W234" s="1145"/>
      <c r="X234" s="1145">
        <f t="shared" si="55"/>
        <v>0</v>
      </c>
    </row>
    <row r="235" spans="1:24" s="620" customFormat="1" ht="15" customHeight="1" x14ac:dyDescent="0.2">
      <c r="A235" s="928"/>
      <c r="B235" s="928" t="s">
        <v>1476</v>
      </c>
      <c r="C235" s="1165">
        <v>4</v>
      </c>
      <c r="D235" s="1165">
        <v>9047</v>
      </c>
      <c r="E235" s="1167" t="s">
        <v>1373</v>
      </c>
      <c r="F235" s="1165">
        <v>0</v>
      </c>
      <c r="G235" s="1166">
        <v>0</v>
      </c>
      <c r="H235" s="1166">
        <v>0</v>
      </c>
      <c r="I235" s="1166"/>
      <c r="J235" s="968">
        <f>H235+I235</f>
        <v>0</v>
      </c>
      <c r="K235" s="318"/>
      <c r="L235" s="968">
        <v>0</v>
      </c>
      <c r="M235" s="968">
        <v>0</v>
      </c>
      <c r="N235" s="968"/>
      <c r="O235" s="968">
        <f t="shared" si="58"/>
        <v>0</v>
      </c>
      <c r="P235" s="968">
        <v>0</v>
      </c>
      <c r="Q235" s="968"/>
      <c r="R235" s="1166">
        <f t="shared" si="56"/>
        <v>0</v>
      </c>
      <c r="S235" s="968">
        <v>0</v>
      </c>
      <c r="T235" s="968"/>
      <c r="U235" s="968">
        <f t="shared" ref="U235:V246" si="59">S235+T235</f>
        <v>0</v>
      </c>
      <c r="V235" s="1145"/>
      <c r="W235" s="1145"/>
      <c r="X235" s="1145">
        <f t="shared" si="55"/>
        <v>0</v>
      </c>
    </row>
    <row r="236" spans="1:24" s="620" customFormat="1" ht="15" customHeight="1" x14ac:dyDescent="0.2">
      <c r="A236" s="928"/>
      <c r="B236" s="928" t="s">
        <v>3217</v>
      </c>
      <c r="C236" s="1165">
        <v>4</v>
      </c>
      <c r="D236" s="1165">
        <v>9047</v>
      </c>
      <c r="E236" s="1167" t="s">
        <v>1382</v>
      </c>
      <c r="F236" s="1165">
        <v>0</v>
      </c>
      <c r="G236" s="1166">
        <v>1359690.43</v>
      </c>
      <c r="H236" s="1166">
        <v>1071579.68</v>
      </c>
      <c r="I236" s="1166"/>
      <c r="J236" s="968">
        <f t="shared" si="57"/>
        <v>1071579.68</v>
      </c>
      <c r="K236" s="318"/>
      <c r="L236" s="968">
        <v>1071579.68</v>
      </c>
      <c r="M236" s="968">
        <v>0</v>
      </c>
      <c r="N236" s="968"/>
      <c r="O236" s="968">
        <f t="shared" si="58"/>
        <v>0</v>
      </c>
      <c r="P236" s="968">
        <f>1872751-236555.7</f>
        <v>1636195.3</v>
      </c>
      <c r="Q236" s="968"/>
      <c r="R236" s="1166">
        <f t="shared" si="56"/>
        <v>1636195.3</v>
      </c>
      <c r="S236" s="968">
        <v>591721.6</v>
      </c>
      <c r="T236" s="968"/>
      <c r="U236" s="968">
        <f t="shared" si="59"/>
        <v>591721.6</v>
      </c>
      <c r="V236" s="968">
        <f t="shared" si="59"/>
        <v>591721.6</v>
      </c>
      <c r="W236" s="1145"/>
      <c r="X236" s="1145">
        <f t="shared" si="55"/>
        <v>591721.6</v>
      </c>
    </row>
    <row r="237" spans="1:24" s="620" customFormat="1" ht="15" customHeight="1" x14ac:dyDescent="0.2">
      <c r="A237" s="928"/>
      <c r="B237" s="928" t="s">
        <v>1477</v>
      </c>
      <c r="C237" s="1165">
        <v>4</v>
      </c>
      <c r="D237" s="1165">
        <v>9047</v>
      </c>
      <c r="E237" s="1167" t="s">
        <v>1384</v>
      </c>
      <c r="F237" s="1165">
        <v>0</v>
      </c>
      <c r="G237" s="1166">
        <v>493401.45</v>
      </c>
      <c r="H237" s="1166">
        <v>16831.29</v>
      </c>
      <c r="I237" s="1166"/>
      <c r="J237" s="968">
        <f t="shared" si="57"/>
        <v>16831.29</v>
      </c>
      <c r="K237" s="318"/>
      <c r="L237" s="968">
        <v>16831.29</v>
      </c>
      <c r="M237" s="968">
        <v>6337.69</v>
      </c>
      <c r="N237" s="968"/>
      <c r="O237" s="968">
        <f t="shared" si="58"/>
        <v>6337.69</v>
      </c>
      <c r="P237" s="968">
        <v>65635.47</v>
      </c>
      <c r="Q237" s="968"/>
      <c r="R237" s="1166">
        <f t="shared" si="56"/>
        <v>65635.47</v>
      </c>
      <c r="S237" s="968">
        <v>0</v>
      </c>
      <c r="T237" s="968"/>
      <c r="U237" s="968">
        <f t="shared" si="59"/>
        <v>0</v>
      </c>
      <c r="V237" s="1145"/>
      <c r="W237" s="1145"/>
      <c r="X237" s="1145">
        <f t="shared" si="55"/>
        <v>0</v>
      </c>
    </row>
    <row r="238" spans="1:24" s="620" customFormat="1" ht="15" customHeight="1" x14ac:dyDescent="0.2">
      <c r="A238" s="928"/>
      <c r="B238" s="928" t="s">
        <v>3205</v>
      </c>
      <c r="C238" s="1165">
        <v>4</v>
      </c>
      <c r="D238" s="1165">
        <v>9047</v>
      </c>
      <c r="E238" s="1167" t="s">
        <v>1447</v>
      </c>
      <c r="F238" s="1165">
        <v>0</v>
      </c>
      <c r="G238" s="1166"/>
      <c r="H238" s="1166"/>
      <c r="I238" s="1166"/>
      <c r="J238" s="968"/>
      <c r="K238" s="318"/>
      <c r="L238" s="968"/>
      <c r="M238" s="968"/>
      <c r="N238" s="968"/>
      <c r="O238" s="968"/>
      <c r="P238" s="968">
        <v>1357849.5</v>
      </c>
      <c r="Q238" s="968"/>
      <c r="R238" s="1166">
        <f t="shared" si="56"/>
        <v>1357849.5</v>
      </c>
      <c r="S238" s="968">
        <v>6750214.1900000004</v>
      </c>
      <c r="T238" s="968">
        <f>-6750214.19+150565.26</f>
        <v>-6599648.9300000006</v>
      </c>
      <c r="U238" s="968">
        <f t="shared" si="59"/>
        <v>150565.25999999978</v>
      </c>
      <c r="V238" s="1145"/>
      <c r="W238" s="1145"/>
      <c r="X238" s="1145">
        <f t="shared" si="55"/>
        <v>0</v>
      </c>
    </row>
    <row r="239" spans="1:24" s="620" customFormat="1" ht="15" customHeight="1" x14ac:dyDescent="0.2">
      <c r="A239" s="928"/>
      <c r="B239" s="239" t="s">
        <v>142</v>
      </c>
      <c r="C239" s="1165">
        <v>4</v>
      </c>
      <c r="D239" s="1165">
        <v>9047</v>
      </c>
      <c r="E239" s="1167" t="s">
        <v>1432</v>
      </c>
      <c r="F239" s="1165">
        <v>0</v>
      </c>
      <c r="G239" s="1166">
        <v>347692.33</v>
      </c>
      <c r="H239" s="1166">
        <v>417205.48</v>
      </c>
      <c r="I239" s="1166"/>
      <c r="J239" s="968">
        <f t="shared" si="57"/>
        <v>417205.48</v>
      </c>
      <c r="K239" s="318"/>
      <c r="L239" s="968">
        <v>417205.48</v>
      </c>
      <c r="M239" s="968">
        <v>35273.97</v>
      </c>
      <c r="N239" s="968"/>
      <c r="O239" s="968">
        <f t="shared" si="58"/>
        <v>35273.97</v>
      </c>
      <c r="P239" s="968">
        <v>0</v>
      </c>
      <c r="Q239" s="968"/>
      <c r="R239" s="1166">
        <f t="shared" si="56"/>
        <v>0</v>
      </c>
      <c r="S239" s="968">
        <v>0</v>
      </c>
      <c r="T239" s="968"/>
      <c r="U239" s="968">
        <f t="shared" si="59"/>
        <v>0</v>
      </c>
      <c r="V239" s="1145"/>
      <c r="W239" s="1145"/>
      <c r="X239" s="1145">
        <f t="shared" si="55"/>
        <v>0</v>
      </c>
    </row>
    <row r="240" spans="1:24" s="620" customFormat="1" ht="15" customHeight="1" x14ac:dyDescent="0.2">
      <c r="A240" s="928"/>
      <c r="B240" s="239" t="s">
        <v>143</v>
      </c>
      <c r="C240" s="1165">
        <v>4</v>
      </c>
      <c r="D240" s="1165">
        <v>9047</v>
      </c>
      <c r="E240" s="1167" t="s">
        <v>1433</v>
      </c>
      <c r="F240" s="1165">
        <v>0</v>
      </c>
      <c r="G240" s="1166">
        <v>586859.06000000006</v>
      </c>
      <c r="H240" s="1166">
        <v>500220.22</v>
      </c>
      <c r="I240" s="1166"/>
      <c r="J240" s="968">
        <f t="shared" si="57"/>
        <v>500220.22</v>
      </c>
      <c r="K240" s="318"/>
      <c r="L240" s="968">
        <v>500220.22</v>
      </c>
      <c r="M240" s="968">
        <v>46301.37</v>
      </c>
      <c r="N240" s="968"/>
      <c r="O240" s="968">
        <f t="shared" si="58"/>
        <v>46301.37</v>
      </c>
      <c r="P240" s="968">
        <v>57294.52</v>
      </c>
      <c r="Q240" s="968"/>
      <c r="R240" s="1166">
        <f t="shared" si="56"/>
        <v>57294.52</v>
      </c>
      <c r="S240" s="968">
        <v>10767.12</v>
      </c>
      <c r="T240" s="968"/>
      <c r="U240" s="968">
        <f t="shared" si="59"/>
        <v>10767.12</v>
      </c>
      <c r="V240" s="1145"/>
      <c r="W240" s="1145"/>
      <c r="X240" s="1145">
        <f t="shared" si="55"/>
        <v>0</v>
      </c>
    </row>
    <row r="241" spans="1:24" s="620" customFormat="1" ht="15" customHeight="1" x14ac:dyDescent="0.2">
      <c r="A241" s="928"/>
      <c r="B241" s="239" t="s">
        <v>421</v>
      </c>
      <c r="C241" s="1165">
        <v>4</v>
      </c>
      <c r="D241" s="1165">
        <v>9047</v>
      </c>
      <c r="E241" s="1167" t="s">
        <v>1435</v>
      </c>
      <c r="F241" s="1165">
        <v>0</v>
      </c>
      <c r="G241" s="1166">
        <v>168844.56</v>
      </c>
      <c r="H241" s="1166">
        <v>505972.6</v>
      </c>
      <c r="I241" s="1166"/>
      <c r="J241" s="968">
        <f t="shared" si="57"/>
        <v>505972.6</v>
      </c>
      <c r="K241" s="318"/>
      <c r="L241" s="968">
        <v>505972.6</v>
      </c>
      <c r="M241" s="968">
        <f>46746.58+445.2</f>
        <v>47191.78</v>
      </c>
      <c r="N241" s="968"/>
      <c r="O241" s="968">
        <f t="shared" si="58"/>
        <v>47191.78</v>
      </c>
      <c r="P241" s="968">
        <v>70191.78</v>
      </c>
      <c r="Q241" s="968"/>
      <c r="R241" s="1166">
        <f t="shared" si="56"/>
        <v>70191.78</v>
      </c>
      <c r="S241" s="968">
        <v>0</v>
      </c>
      <c r="T241" s="968"/>
      <c r="U241" s="968">
        <f t="shared" si="59"/>
        <v>0</v>
      </c>
      <c r="V241" s="1145"/>
      <c r="W241" s="1145"/>
      <c r="X241" s="1145">
        <f t="shared" si="55"/>
        <v>0</v>
      </c>
    </row>
    <row r="242" spans="1:24" s="620" customFormat="1" ht="15" customHeight="1" x14ac:dyDescent="0.2">
      <c r="A242" s="928"/>
      <c r="B242" s="239" t="s">
        <v>144</v>
      </c>
      <c r="C242" s="1165">
        <v>4</v>
      </c>
      <c r="D242" s="1165">
        <v>9047</v>
      </c>
      <c r="E242" s="1167" t="s">
        <v>1385</v>
      </c>
      <c r="F242" s="1165">
        <v>0</v>
      </c>
      <c r="G242" s="1166">
        <v>82191.78</v>
      </c>
      <c r="H242" s="1166">
        <v>326958.90999999997</v>
      </c>
      <c r="I242" s="1166"/>
      <c r="J242" s="968">
        <f t="shared" si="57"/>
        <v>326958.90999999997</v>
      </c>
      <c r="K242" s="318"/>
      <c r="L242" s="968">
        <v>326958.90999999997</v>
      </c>
      <c r="M242" s="968">
        <v>27671.23</v>
      </c>
      <c r="N242" s="968"/>
      <c r="O242" s="968">
        <f t="shared" si="58"/>
        <v>27671.23</v>
      </c>
      <c r="P242" s="968">
        <v>0</v>
      </c>
      <c r="Q242" s="968"/>
      <c r="R242" s="1166">
        <f t="shared" si="56"/>
        <v>0</v>
      </c>
      <c r="S242" s="968">
        <v>0</v>
      </c>
      <c r="T242" s="968"/>
      <c r="U242" s="968">
        <f t="shared" si="59"/>
        <v>0</v>
      </c>
      <c r="V242" s="1145"/>
      <c r="W242" s="1145"/>
      <c r="X242" s="1145">
        <f t="shared" si="55"/>
        <v>0</v>
      </c>
    </row>
    <row r="243" spans="1:24" s="620" customFormat="1" ht="15" customHeight="1" x14ac:dyDescent="0.2">
      <c r="A243" s="928"/>
      <c r="B243" s="239" t="s">
        <v>49</v>
      </c>
      <c r="C243" s="1165">
        <v>4</v>
      </c>
      <c r="D243" s="1165">
        <v>9047</v>
      </c>
      <c r="E243" s="1167" t="s">
        <v>1387</v>
      </c>
      <c r="F243" s="1165">
        <v>0</v>
      </c>
      <c r="G243" s="1166">
        <v>0</v>
      </c>
      <c r="H243" s="1166">
        <v>0</v>
      </c>
      <c r="I243" s="1166"/>
      <c r="J243" s="968">
        <f t="shared" si="57"/>
        <v>0</v>
      </c>
      <c r="K243" s="318"/>
      <c r="L243" s="968">
        <v>0</v>
      </c>
      <c r="M243" s="968">
        <v>0</v>
      </c>
      <c r="N243" s="968"/>
      <c r="O243" s="968">
        <f t="shared" si="58"/>
        <v>0</v>
      </c>
      <c r="P243" s="968">
        <v>0</v>
      </c>
      <c r="Q243" s="968"/>
      <c r="R243" s="1166">
        <f t="shared" si="56"/>
        <v>0</v>
      </c>
      <c r="S243" s="968">
        <v>0</v>
      </c>
      <c r="T243" s="968"/>
      <c r="U243" s="968">
        <f t="shared" si="59"/>
        <v>0</v>
      </c>
      <c r="V243" s="1145"/>
      <c r="W243" s="1145"/>
      <c r="X243" s="1145">
        <f t="shared" si="55"/>
        <v>0</v>
      </c>
    </row>
    <row r="244" spans="1:24" s="620" customFormat="1" ht="15" customHeight="1" x14ac:dyDescent="0.2">
      <c r="A244" s="928"/>
      <c r="B244" s="239" t="s">
        <v>3945</v>
      </c>
      <c r="C244" s="1165">
        <v>4</v>
      </c>
      <c r="D244" s="1165">
        <v>9047</v>
      </c>
      <c r="E244" s="1167" t="s">
        <v>1513</v>
      </c>
      <c r="F244" s="1165">
        <v>0</v>
      </c>
      <c r="G244" s="1166">
        <v>0</v>
      </c>
      <c r="H244" s="1166">
        <v>522024.77</v>
      </c>
      <c r="I244" s="1166"/>
      <c r="J244" s="968">
        <f>H244+I244</f>
        <v>522024.77</v>
      </c>
      <c r="K244" s="318"/>
      <c r="L244" s="968">
        <v>522024.77</v>
      </c>
      <c r="M244" s="968">
        <v>882552.28</v>
      </c>
      <c r="N244" s="968"/>
      <c r="O244" s="968">
        <f>M244+N244</f>
        <v>882552.28</v>
      </c>
      <c r="P244" s="968">
        <v>1616360.3</v>
      </c>
      <c r="Q244" s="968"/>
      <c r="R244" s="1166">
        <f>P244+Q244</f>
        <v>1616360.3</v>
      </c>
      <c r="S244" s="968">
        <v>1206995.96</v>
      </c>
      <c r="T244" s="968"/>
      <c r="U244" s="968">
        <f t="shared" si="59"/>
        <v>1206995.96</v>
      </c>
      <c r="V244" s="1145">
        <v>1020462.8</v>
      </c>
      <c r="W244" s="1145"/>
      <c r="X244" s="1145">
        <f t="shared" si="55"/>
        <v>1020462.8</v>
      </c>
    </row>
    <row r="245" spans="1:24" s="620" customFormat="1" ht="15" customHeight="1" x14ac:dyDescent="0.2">
      <c r="A245" s="928"/>
      <c r="B245" s="928" t="s">
        <v>3209</v>
      </c>
      <c r="C245" s="1165">
        <v>4</v>
      </c>
      <c r="D245" s="1165">
        <v>9050</v>
      </c>
      <c r="E245" s="1167" t="s">
        <v>1373</v>
      </c>
      <c r="F245" s="1165">
        <v>0</v>
      </c>
      <c r="G245" s="1374"/>
      <c r="H245" s="1374"/>
      <c r="I245" s="1374"/>
      <c r="J245" s="1375"/>
      <c r="K245" s="318"/>
      <c r="L245" s="1375"/>
      <c r="M245" s="1375"/>
      <c r="N245" s="1375"/>
      <c r="O245" s="1375"/>
      <c r="P245" s="1375">
        <v>4581168</v>
      </c>
      <c r="Q245" s="1375"/>
      <c r="R245" s="1166">
        <f>P245+Q245</f>
        <v>4581168</v>
      </c>
      <c r="S245" s="968">
        <v>5146489.5999999996</v>
      </c>
      <c r="T245" s="968"/>
      <c r="U245" s="968">
        <f t="shared" si="59"/>
        <v>5146489.5999999996</v>
      </c>
      <c r="V245" s="1145">
        <v>5872847.1799999997</v>
      </c>
      <c r="W245" s="1145"/>
      <c r="X245" s="1145">
        <f t="shared" si="55"/>
        <v>5872847.1799999997</v>
      </c>
    </row>
    <row r="246" spans="1:24" s="620" customFormat="1" ht="15" customHeight="1" x14ac:dyDescent="0.2">
      <c r="A246" s="928"/>
      <c r="B246" s="928" t="s">
        <v>3260</v>
      </c>
      <c r="C246" s="1165">
        <v>3</v>
      </c>
      <c r="D246" s="1165">
        <v>8020</v>
      </c>
      <c r="E246" s="1167" t="s">
        <v>1384</v>
      </c>
      <c r="F246" s="1165">
        <v>0</v>
      </c>
      <c r="G246" s="1166"/>
      <c r="H246" s="1166"/>
      <c r="I246" s="1166"/>
      <c r="J246" s="968"/>
      <c r="K246" s="318"/>
      <c r="L246" s="968"/>
      <c r="M246" s="968"/>
      <c r="N246" s="968"/>
      <c r="O246" s="968"/>
      <c r="P246" s="968">
        <v>-14536585.699999999</v>
      </c>
      <c r="Q246" s="968"/>
      <c r="R246" s="1166">
        <f>P246+Q246</f>
        <v>-14536585.699999999</v>
      </c>
      <c r="S246" s="968">
        <f>-14536585.7+1091895-14726109.76</f>
        <v>-28170800.460000001</v>
      </c>
      <c r="T246" s="968">
        <v>-1091895</v>
      </c>
      <c r="U246" s="968">
        <f t="shared" si="59"/>
        <v>-29262695.460000001</v>
      </c>
      <c r="V246" s="968">
        <f>-29262695.46-4463166.4+3448074.62</f>
        <v>-30277787.239999998</v>
      </c>
      <c r="W246" s="1145"/>
      <c r="X246" s="1145">
        <f t="shared" si="55"/>
        <v>-30277787.239999998</v>
      </c>
    </row>
    <row r="247" spans="1:24" s="620" customFormat="1" ht="15" customHeight="1" x14ac:dyDescent="0.2">
      <c r="A247" s="928"/>
      <c r="B247" s="239" t="s">
        <v>3247</v>
      </c>
      <c r="C247" s="1165">
        <v>4</v>
      </c>
      <c r="D247" s="1165">
        <v>9050</v>
      </c>
      <c r="E247" s="1167" t="s">
        <v>3248</v>
      </c>
      <c r="F247" s="1165">
        <v>0</v>
      </c>
      <c r="G247" s="1166"/>
      <c r="H247" s="1166"/>
      <c r="I247" s="1166"/>
      <c r="J247" s="968"/>
      <c r="K247" s="318"/>
      <c r="L247" s="968"/>
      <c r="M247" s="968"/>
      <c r="N247" s="968"/>
      <c r="O247" s="968"/>
      <c r="P247" s="968">
        <f>9557190+14645730</f>
        <v>24202920</v>
      </c>
      <c r="Q247" s="968"/>
      <c r="R247" s="1166">
        <f>P247+Q247</f>
        <v>24202920</v>
      </c>
      <c r="S247" s="968">
        <f>24202920+7421360-1091895</f>
        <v>30532385</v>
      </c>
      <c r="T247" s="968"/>
      <c r="U247" s="968">
        <v>30532385</v>
      </c>
      <c r="V247" s="968">
        <f>30532385+6072300+7332720</f>
        <v>43937405</v>
      </c>
      <c r="W247" s="1145"/>
      <c r="X247" s="1145">
        <f t="shared" si="55"/>
        <v>43937405</v>
      </c>
    </row>
    <row r="248" spans="1:24" s="620" customFormat="1" ht="15" customHeight="1" x14ac:dyDescent="0.2">
      <c r="A248" s="928"/>
      <c r="B248" s="928"/>
      <c r="C248" s="1165"/>
      <c r="D248" s="1165"/>
      <c r="E248" s="1165"/>
      <c r="F248" s="1165"/>
      <c r="G248" s="373">
        <f>SUM(G234:G247)</f>
        <v>3038679.61</v>
      </c>
      <c r="H248" s="373">
        <f>SUM(H234:H247)</f>
        <v>3360792.95</v>
      </c>
      <c r="I248" s="373">
        <f>SUM(I234:I247)</f>
        <v>10191589.23</v>
      </c>
      <c r="J248" s="373">
        <f>SUM(J234:J247)</f>
        <v>13552382.18</v>
      </c>
      <c r="K248" s="318"/>
      <c r="L248" s="373">
        <f>SUM(L234:L247)</f>
        <v>13552382.18</v>
      </c>
      <c r="M248" s="373">
        <f>SUM(M234:M247)+M226+M227+M228+M229+M232</f>
        <v>46774010.359999999</v>
      </c>
      <c r="N248" s="373">
        <f>SUM(N234:N247)+N226+N227+N228+N229+N232+N231</f>
        <v>-28138512.059999999</v>
      </c>
      <c r="O248" s="373">
        <f>SUM(O234:O247)+O226+O227+O228+O229+O232+O231</f>
        <v>18635498.299999997</v>
      </c>
      <c r="P248" s="373">
        <f>SUM(P234:P247)+P226+P227+P228+P229+P230+P232</f>
        <v>34807174.939999998</v>
      </c>
      <c r="Q248" s="373">
        <f>SUM(Q234:Q247)+Q226+Q227+Q228+Q229+Q230+Q232</f>
        <v>-116835.24</v>
      </c>
      <c r="R248" s="374">
        <f t="shared" ref="R248:X248" si="60">SUM(R224:R247)</f>
        <v>35295389.689999998</v>
      </c>
      <c r="S248" s="373">
        <f t="shared" si="60"/>
        <v>38726245.710000001</v>
      </c>
      <c r="T248" s="373">
        <f t="shared" si="60"/>
        <v>-7213436.2000000011</v>
      </c>
      <c r="U248" s="373">
        <f t="shared" si="60"/>
        <v>14277866.399999999</v>
      </c>
      <c r="V248" s="1342">
        <f t="shared" si="60"/>
        <v>27593625.43</v>
      </c>
      <c r="W248" s="1342">
        <f t="shared" si="60"/>
        <v>0</v>
      </c>
      <c r="X248" s="1342">
        <f t="shared" si="60"/>
        <v>27593625.43</v>
      </c>
    </row>
    <row r="249" spans="1:24" s="620" customFormat="1" ht="15" customHeight="1" x14ac:dyDescent="0.2">
      <c r="A249" s="928"/>
      <c r="B249" s="928"/>
      <c r="C249" s="1165"/>
      <c r="D249" s="1165"/>
      <c r="E249" s="1165"/>
      <c r="F249" s="1165"/>
      <c r="G249" s="373">
        <f>G233+G248</f>
        <v>3539579.5999999996</v>
      </c>
      <c r="H249" s="373">
        <f>H233+H248</f>
        <v>3870092.9400000004</v>
      </c>
      <c r="I249" s="373">
        <f>I233+I248</f>
        <v>10191589.23</v>
      </c>
      <c r="J249" s="373">
        <f>J233+J248</f>
        <v>14061682.17</v>
      </c>
      <c r="K249" s="318"/>
      <c r="L249" s="373">
        <f t="shared" ref="L249:Q249" si="61">L233+L248</f>
        <v>14061682.17</v>
      </c>
      <c r="M249" s="373">
        <f t="shared" si="61"/>
        <v>47331910.350000001</v>
      </c>
      <c r="N249" s="373">
        <f t="shared" si="61"/>
        <v>-28138512.059999999</v>
      </c>
      <c r="O249" s="373">
        <f t="shared" si="61"/>
        <v>19193398.289999995</v>
      </c>
      <c r="P249" s="373">
        <f t="shared" si="61"/>
        <v>35412224.93</v>
      </c>
      <c r="Q249" s="373">
        <f t="shared" si="61"/>
        <v>-116835.24</v>
      </c>
      <c r="R249" s="374"/>
      <c r="S249" s="373"/>
      <c r="T249" s="373"/>
      <c r="U249" s="373"/>
      <c r="V249" s="1145"/>
      <c r="W249" s="1145"/>
      <c r="X249" s="1145"/>
    </row>
    <row r="250" spans="1:24" s="620" customFormat="1" ht="15" hidden="1" customHeight="1" x14ac:dyDescent="0.2">
      <c r="A250" s="928"/>
      <c r="B250" s="928"/>
      <c r="C250" s="1165"/>
      <c r="D250" s="1165"/>
      <c r="E250" s="1165"/>
      <c r="F250" s="1165"/>
      <c r="G250" s="374"/>
      <c r="H250" s="374"/>
      <c r="I250" s="374"/>
      <c r="J250" s="373"/>
      <c r="K250" s="318"/>
      <c r="L250" s="373"/>
      <c r="M250" s="373"/>
      <c r="N250" s="373"/>
      <c r="O250" s="373"/>
      <c r="P250" s="373"/>
      <c r="Q250" s="373"/>
      <c r="R250" s="374"/>
      <c r="S250" s="968"/>
      <c r="T250" s="968"/>
      <c r="U250" s="968"/>
      <c r="V250" s="1145"/>
      <c r="W250" s="1145"/>
      <c r="X250" s="1145"/>
    </row>
    <row r="251" spans="1:24" s="620" customFormat="1" ht="15" hidden="1" customHeight="1" x14ac:dyDescent="0.2">
      <c r="A251" s="928"/>
      <c r="B251" s="976" t="s">
        <v>3209</v>
      </c>
      <c r="C251" s="1165">
        <v>4</v>
      </c>
      <c r="D251" s="1165">
        <v>9050</v>
      </c>
      <c r="E251" s="1167" t="s">
        <v>1373</v>
      </c>
      <c r="F251" s="1165">
        <v>0</v>
      </c>
      <c r="G251" s="374"/>
      <c r="H251" s="374"/>
      <c r="I251" s="374"/>
      <c r="J251" s="373"/>
      <c r="K251" s="318"/>
      <c r="L251" s="373"/>
      <c r="M251" s="373"/>
      <c r="N251" s="373"/>
      <c r="O251" s="373"/>
      <c r="P251" s="373">
        <v>4581168</v>
      </c>
      <c r="Q251" s="373"/>
      <c r="R251" s="1164">
        <f>P251+Q251</f>
        <v>4581168</v>
      </c>
      <c r="S251" s="1143">
        <v>5146489.5999999996</v>
      </c>
      <c r="T251" s="1143"/>
      <c r="U251" s="1343">
        <v>0</v>
      </c>
      <c r="V251" s="1341">
        <v>0</v>
      </c>
      <c r="W251" s="1145"/>
      <c r="X251" s="1341">
        <f>V251+W251</f>
        <v>0</v>
      </c>
    </row>
    <row r="252" spans="1:24" s="620" customFormat="1" ht="15" hidden="1" customHeight="1" x14ac:dyDescent="0.2">
      <c r="A252" s="928"/>
      <c r="B252" s="928"/>
      <c r="C252" s="1165"/>
      <c r="D252" s="1165"/>
      <c r="E252" s="1165"/>
      <c r="F252" s="1165"/>
      <c r="G252" s="374"/>
      <c r="H252" s="374"/>
      <c r="I252" s="374"/>
      <c r="J252" s="373"/>
      <c r="K252" s="318"/>
      <c r="L252" s="373"/>
      <c r="M252" s="373"/>
      <c r="N252" s="373"/>
      <c r="O252" s="373"/>
      <c r="P252" s="373"/>
      <c r="Q252" s="373"/>
      <c r="R252" s="374"/>
      <c r="S252" s="968"/>
      <c r="T252" s="968"/>
      <c r="U252" s="968"/>
      <c r="V252" s="1145"/>
      <c r="W252" s="1145"/>
      <c r="X252" s="1145"/>
    </row>
    <row r="253" spans="1:24" s="620" customFormat="1" ht="15" customHeight="1" x14ac:dyDescent="0.2">
      <c r="A253" s="238" t="s">
        <v>148</v>
      </c>
      <c r="B253" s="238" t="s">
        <v>813</v>
      </c>
      <c r="C253" s="1165"/>
      <c r="D253" s="1165"/>
      <c r="E253" s="1165"/>
      <c r="F253" s="1165"/>
      <c r="G253" s="1166"/>
      <c r="H253" s="1166"/>
      <c r="I253" s="1166"/>
      <c r="J253" s="968"/>
      <c r="K253" s="318"/>
      <c r="L253" s="968"/>
      <c r="M253" s="968"/>
      <c r="N253" s="968"/>
      <c r="O253" s="968"/>
      <c r="P253" s="968"/>
      <c r="Q253" s="968"/>
      <c r="R253" s="1166"/>
      <c r="S253" s="968"/>
      <c r="T253" s="968"/>
      <c r="U253" s="968"/>
      <c r="V253" s="1145"/>
      <c r="W253" s="1145"/>
      <c r="X253" s="1145"/>
    </row>
    <row r="254" spans="1:24" s="620" customFormat="1" ht="15" customHeight="1" x14ac:dyDescent="0.2">
      <c r="A254" s="238"/>
      <c r="B254" s="239" t="s">
        <v>1496</v>
      </c>
      <c r="C254" s="1165">
        <v>4</v>
      </c>
      <c r="D254" s="1165">
        <v>9060</v>
      </c>
      <c r="E254" s="1167" t="s">
        <v>1373</v>
      </c>
      <c r="F254" s="1165">
        <v>0</v>
      </c>
      <c r="G254" s="1166"/>
      <c r="H254" s="1166"/>
      <c r="I254" s="1166"/>
      <c r="J254" s="1166"/>
      <c r="K254" s="318"/>
      <c r="L254" s="968"/>
      <c r="M254" s="968"/>
      <c r="N254" s="968">
        <v>-23920628.039999999</v>
      </c>
      <c r="O254" s="968">
        <f>M254+N254</f>
        <v>-23920628.039999999</v>
      </c>
      <c r="P254" s="968">
        <f>-34166034.33</f>
        <v>-34166034.329999998</v>
      </c>
      <c r="Q254" s="968"/>
      <c r="R254" s="1166">
        <f>P254+Q254</f>
        <v>-34166034.329999998</v>
      </c>
      <c r="S254" s="968">
        <v>-41360350.590000004</v>
      </c>
      <c r="T254" s="968"/>
      <c r="U254" s="968">
        <f>S254+T254</f>
        <v>-41360350.590000004</v>
      </c>
      <c r="V254" s="1145">
        <v>-54185717</v>
      </c>
      <c r="W254" s="1145"/>
      <c r="X254" s="1145">
        <f t="shared" ref="X254:X261" si="62">V254+W254</f>
        <v>-54185717</v>
      </c>
    </row>
    <row r="255" spans="1:24" s="620" customFormat="1" ht="15" customHeight="1" x14ac:dyDescent="0.2">
      <c r="A255" s="238"/>
      <c r="B255" s="239" t="s">
        <v>1478</v>
      </c>
      <c r="C255" s="1165">
        <v>4</v>
      </c>
      <c r="D255" s="1165">
        <v>9060</v>
      </c>
      <c r="E255" s="1167" t="s">
        <v>1379</v>
      </c>
      <c r="F255" s="1165">
        <v>0</v>
      </c>
      <c r="G255" s="1166">
        <v>0</v>
      </c>
      <c r="H255" s="1166">
        <v>0</v>
      </c>
      <c r="I255" s="1166"/>
      <c r="J255" s="968">
        <f>H255+I255</f>
        <v>0</v>
      </c>
      <c r="K255" s="318"/>
      <c r="L255" s="968">
        <v>0</v>
      </c>
      <c r="M255" s="968">
        <v>0</v>
      </c>
      <c r="N255" s="968"/>
      <c r="O255" s="968">
        <f t="shared" ref="O255:O261" si="63">M255+N255</f>
        <v>0</v>
      </c>
      <c r="P255" s="968">
        <v>0</v>
      </c>
      <c r="Q255" s="968"/>
      <c r="R255" s="1166">
        <f t="shared" ref="R255:R261" si="64">P255+Q255</f>
        <v>0</v>
      </c>
      <c r="S255" s="968">
        <v>0</v>
      </c>
      <c r="T255" s="968"/>
      <c r="U255" s="968">
        <f t="shared" ref="U255:U261" si="65">S255+T255</f>
        <v>0</v>
      </c>
      <c r="V255" s="1145"/>
      <c r="W255" s="1145"/>
      <c r="X255" s="1145">
        <f t="shared" si="62"/>
        <v>0</v>
      </c>
    </row>
    <row r="256" spans="1:24" s="620" customFormat="1" ht="15" customHeight="1" x14ac:dyDescent="0.2">
      <c r="A256" s="238"/>
      <c r="B256" s="239" t="s">
        <v>1479</v>
      </c>
      <c r="C256" s="1165">
        <v>4</v>
      </c>
      <c r="D256" s="1165">
        <v>9060</v>
      </c>
      <c r="E256" s="1167" t="s">
        <v>1380</v>
      </c>
      <c r="F256" s="1165">
        <v>0</v>
      </c>
      <c r="G256" s="1166">
        <v>0</v>
      </c>
      <c r="H256" s="1166">
        <v>7331590.0499999998</v>
      </c>
      <c r="I256" s="1166"/>
      <c r="J256" s="968">
        <f>H256+I256</f>
        <v>7331590.0499999998</v>
      </c>
      <c r="K256" s="318"/>
      <c r="L256" s="968">
        <v>7331590.0499999998</v>
      </c>
      <c r="M256" s="968">
        <v>0</v>
      </c>
      <c r="N256" s="968"/>
      <c r="O256" s="968">
        <f t="shared" si="63"/>
        <v>0</v>
      </c>
      <c r="P256" s="968">
        <v>0</v>
      </c>
      <c r="Q256" s="968"/>
      <c r="R256" s="1166">
        <f t="shared" si="64"/>
        <v>0</v>
      </c>
      <c r="S256" s="968">
        <v>0</v>
      </c>
      <c r="T256" s="968"/>
      <c r="U256" s="968">
        <f t="shared" si="65"/>
        <v>0</v>
      </c>
      <c r="V256" s="1145"/>
      <c r="W256" s="1145"/>
      <c r="X256" s="1145">
        <f t="shared" si="62"/>
        <v>0</v>
      </c>
    </row>
    <row r="257" spans="1:24" s="620" customFormat="1" ht="15" customHeight="1" x14ac:dyDescent="0.2">
      <c r="A257" s="238"/>
      <c r="B257" s="239" t="s">
        <v>1480</v>
      </c>
      <c r="C257" s="1165">
        <v>4</v>
      </c>
      <c r="D257" s="1165">
        <v>9060</v>
      </c>
      <c r="E257" s="1167" t="s">
        <v>1382</v>
      </c>
      <c r="F257" s="1165">
        <v>0</v>
      </c>
      <c r="G257" s="1166">
        <v>0</v>
      </c>
      <c r="H257" s="1166">
        <v>0</v>
      </c>
      <c r="I257" s="1166"/>
      <c r="J257" s="968">
        <f>H257+I257</f>
        <v>0</v>
      </c>
      <c r="K257" s="318"/>
      <c r="L257" s="968">
        <v>0</v>
      </c>
      <c r="M257" s="968">
        <v>0</v>
      </c>
      <c r="N257" s="968"/>
      <c r="O257" s="968">
        <f t="shared" si="63"/>
        <v>0</v>
      </c>
      <c r="P257" s="968">
        <v>0</v>
      </c>
      <c r="Q257" s="968"/>
      <c r="R257" s="1166">
        <f t="shared" si="64"/>
        <v>0</v>
      </c>
      <c r="S257" s="968">
        <v>0</v>
      </c>
      <c r="T257" s="968"/>
      <c r="U257" s="968">
        <f t="shared" si="65"/>
        <v>0</v>
      </c>
      <c r="V257" s="1145"/>
      <c r="W257" s="1145"/>
      <c r="X257" s="1145">
        <f t="shared" si="62"/>
        <v>0</v>
      </c>
    </row>
    <row r="258" spans="1:24" s="620" customFormat="1" ht="15" customHeight="1" x14ac:dyDescent="0.2">
      <c r="A258" s="238"/>
      <c r="B258" s="239" t="s">
        <v>1481</v>
      </c>
      <c r="C258" s="1165">
        <v>4</v>
      </c>
      <c r="D258" s="1165">
        <v>9060</v>
      </c>
      <c r="E258" s="1167" t="s">
        <v>1447</v>
      </c>
      <c r="F258" s="1165">
        <v>0</v>
      </c>
      <c r="G258" s="1166">
        <v>11599731.140000001</v>
      </c>
      <c r="H258" s="1166">
        <v>65878886.579999998</v>
      </c>
      <c r="I258" s="1166">
        <v>29127.73</v>
      </c>
      <c r="J258" s="968">
        <f>H258+I258</f>
        <v>65908014.309999995</v>
      </c>
      <c r="K258" s="318"/>
      <c r="L258" s="968">
        <v>65908014.309999995</v>
      </c>
      <c r="M258" s="968">
        <v>10487884.439999999</v>
      </c>
      <c r="N258" s="1143">
        <v>1634938.26</v>
      </c>
      <c r="O258" s="968">
        <f t="shared" si="63"/>
        <v>12122822.699999999</v>
      </c>
      <c r="P258" s="968">
        <v>15666614.84</v>
      </c>
      <c r="Q258" s="1143"/>
      <c r="R258" s="1166">
        <f t="shared" si="64"/>
        <v>15666614.84</v>
      </c>
      <c r="S258" s="968">
        <v>42503315.189999998</v>
      </c>
      <c r="T258" s="968"/>
      <c r="U258" s="968">
        <f t="shared" si="65"/>
        <v>42503315.189999998</v>
      </c>
      <c r="V258" s="1145">
        <v>14491317.34</v>
      </c>
      <c r="W258" s="1145"/>
      <c r="X258" s="1145">
        <f t="shared" si="62"/>
        <v>14491317.34</v>
      </c>
    </row>
    <row r="259" spans="1:24" s="620" customFormat="1" ht="15" customHeight="1" x14ac:dyDescent="0.2">
      <c r="A259" s="238"/>
      <c r="B259" s="239" t="s">
        <v>1482</v>
      </c>
      <c r="C259" s="1165">
        <v>4</v>
      </c>
      <c r="D259" s="1165">
        <v>9060</v>
      </c>
      <c r="E259" s="1167" t="s">
        <v>1433</v>
      </c>
      <c r="F259" s="1165">
        <v>0</v>
      </c>
      <c r="G259" s="1166">
        <v>0</v>
      </c>
      <c r="H259" s="1166">
        <v>-7331590.0499999998</v>
      </c>
      <c r="I259" s="1166"/>
      <c r="J259" s="968">
        <f>H259+I259</f>
        <v>-7331590.0499999998</v>
      </c>
      <c r="K259" s="318"/>
      <c r="L259" s="968">
        <v>-7331590.0499999998</v>
      </c>
      <c r="M259" s="968">
        <v>0</v>
      </c>
      <c r="N259" s="968"/>
      <c r="O259" s="968">
        <f t="shared" si="63"/>
        <v>0</v>
      </c>
      <c r="P259" s="968">
        <v>0</v>
      </c>
      <c r="Q259" s="968"/>
      <c r="R259" s="1166">
        <f t="shared" si="64"/>
        <v>0</v>
      </c>
      <c r="S259" s="968">
        <v>0</v>
      </c>
      <c r="T259" s="968"/>
      <c r="U259" s="968">
        <f t="shared" si="65"/>
        <v>0</v>
      </c>
      <c r="V259" s="1145"/>
      <c r="W259" s="1145"/>
      <c r="X259" s="1145">
        <f t="shared" si="62"/>
        <v>0</v>
      </c>
    </row>
    <row r="260" spans="1:24" s="620" customFormat="1" ht="15" customHeight="1" x14ac:dyDescent="0.2">
      <c r="A260" s="238"/>
      <c r="B260" s="239" t="s">
        <v>2975</v>
      </c>
      <c r="C260" s="1165">
        <v>3</v>
      </c>
      <c r="D260" s="1165">
        <v>8050</v>
      </c>
      <c r="E260" s="1167" t="s">
        <v>1413</v>
      </c>
      <c r="F260" s="1165">
        <v>0</v>
      </c>
      <c r="G260" s="1166"/>
      <c r="H260" s="1166"/>
      <c r="I260" s="1166"/>
      <c r="J260" s="968"/>
      <c r="K260" s="318"/>
      <c r="L260" s="968"/>
      <c r="M260" s="968"/>
      <c r="N260" s="968">
        <v>9543009.2899999991</v>
      </c>
      <c r="O260" s="968">
        <f t="shared" si="63"/>
        <v>9543009.2899999991</v>
      </c>
      <c r="P260" s="968">
        <v>0</v>
      </c>
      <c r="Q260" s="968"/>
      <c r="R260" s="1166">
        <f t="shared" si="64"/>
        <v>0</v>
      </c>
      <c r="S260" s="968">
        <v>0</v>
      </c>
      <c r="T260" s="968"/>
      <c r="U260" s="968">
        <f t="shared" si="65"/>
        <v>0</v>
      </c>
      <c r="V260" s="1145"/>
      <c r="W260" s="1145"/>
      <c r="X260" s="1145">
        <f t="shared" si="62"/>
        <v>0</v>
      </c>
    </row>
    <row r="261" spans="1:24" s="620" customFormat="1" ht="15" customHeight="1" x14ac:dyDescent="0.2">
      <c r="A261" s="238"/>
      <c r="B261" s="239" t="s">
        <v>1497</v>
      </c>
      <c r="C261" s="1165">
        <v>4</v>
      </c>
      <c r="D261" s="1165">
        <v>9060</v>
      </c>
      <c r="E261" s="1167" t="s">
        <v>1387</v>
      </c>
      <c r="F261" s="1165">
        <v>0</v>
      </c>
      <c r="G261" s="1166">
        <v>0</v>
      </c>
      <c r="H261" s="1166">
        <v>0</v>
      </c>
      <c r="I261" s="1166">
        <v>10191589.23</v>
      </c>
      <c r="J261" s="968">
        <f>H261+I261</f>
        <v>10191589.23</v>
      </c>
      <c r="K261" s="318"/>
      <c r="L261" s="968">
        <v>10191589.23</v>
      </c>
      <c r="M261" s="968">
        <v>12047862.789999999</v>
      </c>
      <c r="N261" s="968">
        <v>0</v>
      </c>
      <c r="O261" s="968">
        <f t="shared" si="63"/>
        <v>12047862.789999999</v>
      </c>
      <c r="P261" s="968">
        <f>14972282.68+51744+62157.86</f>
        <v>15086184.539999999</v>
      </c>
      <c r="Q261" s="968">
        <f>-116835.24</f>
        <v>-116835.24</v>
      </c>
      <c r="R261" s="1166">
        <f t="shared" si="64"/>
        <v>14969349.299999999</v>
      </c>
      <c r="S261" s="968">
        <f>16729024.57+27810.81</f>
        <v>16756835.380000001</v>
      </c>
      <c r="T261" s="968">
        <f>478107.73</f>
        <v>478107.73</v>
      </c>
      <c r="U261" s="968">
        <f t="shared" si="65"/>
        <v>17234943.109999999</v>
      </c>
      <c r="V261" s="1145">
        <f>16988804.39+130683.1</f>
        <v>17119487.490000002</v>
      </c>
      <c r="W261" s="1145"/>
      <c r="X261" s="1145">
        <f t="shared" si="62"/>
        <v>17119487.490000002</v>
      </c>
    </row>
    <row r="262" spans="1:24" s="620" customFormat="1" ht="15" customHeight="1" x14ac:dyDescent="0.2">
      <c r="A262" s="928"/>
      <c r="B262" s="928"/>
      <c r="C262" s="1165"/>
      <c r="D262" s="1165"/>
      <c r="E262" s="1165"/>
      <c r="F262" s="1165"/>
      <c r="G262" s="1164">
        <f t="shared" ref="G262:O262" si="66">SUM(G254:G261)</f>
        <v>11599731.140000001</v>
      </c>
      <c r="H262" s="1164">
        <f t="shared" si="66"/>
        <v>65878886.579999998</v>
      </c>
      <c r="I262" s="1164">
        <f t="shared" si="66"/>
        <v>10220716.960000001</v>
      </c>
      <c r="J262" s="1143">
        <f t="shared" si="66"/>
        <v>76099603.540000007</v>
      </c>
      <c r="K262" s="318"/>
      <c r="L262" s="1143">
        <f t="shared" si="66"/>
        <v>76099603.540000007</v>
      </c>
      <c r="M262" s="1143">
        <f>SUM(M254:M261)</f>
        <v>22535747.229999997</v>
      </c>
      <c r="N262" s="1143">
        <f t="shared" si="66"/>
        <v>-12742680.489999998</v>
      </c>
      <c r="O262" s="1143">
        <f t="shared" si="66"/>
        <v>9793066.7399999984</v>
      </c>
      <c r="P262" s="1143">
        <f t="shared" ref="P262:X262" si="67">SUM(P254:P261)</f>
        <v>-3413234.9499999993</v>
      </c>
      <c r="Q262" s="1143">
        <f t="shared" si="67"/>
        <v>-116835.24</v>
      </c>
      <c r="R262" s="1164">
        <f t="shared" si="67"/>
        <v>-3530070.1899999995</v>
      </c>
      <c r="S262" s="1143">
        <f t="shared" si="67"/>
        <v>17899799.979999997</v>
      </c>
      <c r="T262" s="1143">
        <f t="shared" si="67"/>
        <v>478107.73</v>
      </c>
      <c r="U262" s="1143">
        <f t="shared" si="67"/>
        <v>18377907.709999993</v>
      </c>
      <c r="V262" s="1341">
        <f t="shared" si="67"/>
        <v>-22574912.169999994</v>
      </c>
      <c r="W262" s="1341">
        <f t="shared" si="67"/>
        <v>0</v>
      </c>
      <c r="X262" s="1341">
        <f t="shared" si="67"/>
        <v>-22574912.169999994</v>
      </c>
    </row>
    <row r="263" spans="1:24" s="620" customFormat="1" ht="15" customHeight="1" x14ac:dyDescent="0.2">
      <c r="A263" s="238" t="s">
        <v>149</v>
      </c>
      <c r="B263" s="238" t="s">
        <v>150</v>
      </c>
      <c r="C263" s="1165"/>
      <c r="D263" s="1165"/>
      <c r="E263" s="1165"/>
      <c r="F263" s="1165"/>
      <c r="G263" s="1166"/>
      <c r="H263" s="1166"/>
      <c r="I263" s="1166"/>
      <c r="J263" s="968"/>
      <c r="K263" s="318"/>
      <c r="L263" s="968"/>
      <c r="M263" s="968"/>
      <c r="N263" s="968"/>
      <c r="O263" s="968"/>
      <c r="P263" s="968"/>
      <c r="Q263" s="968"/>
      <c r="R263" s="1166"/>
      <c r="S263" s="968"/>
      <c r="T263" s="968"/>
      <c r="U263" s="968"/>
      <c r="V263" s="1145"/>
      <c r="W263" s="1145"/>
      <c r="X263" s="1145"/>
    </row>
    <row r="264" spans="1:24" s="620" customFormat="1" ht="15" customHeight="1" x14ac:dyDescent="0.2">
      <c r="A264" s="238"/>
      <c r="B264" s="238" t="s">
        <v>933</v>
      </c>
      <c r="C264" s="1165"/>
      <c r="D264" s="1165"/>
      <c r="E264" s="1165"/>
      <c r="F264" s="1165"/>
      <c r="G264" s="1166"/>
      <c r="H264" s="1166"/>
      <c r="I264" s="1166"/>
      <c r="J264" s="968"/>
      <c r="K264" s="318"/>
      <c r="L264" s="968"/>
      <c r="M264" s="968"/>
      <c r="N264" s="968"/>
      <c r="O264" s="968"/>
      <c r="P264" s="968"/>
      <c r="Q264" s="968"/>
      <c r="R264" s="1166"/>
      <c r="S264" s="968"/>
      <c r="T264" s="968"/>
      <c r="U264" s="968"/>
      <c r="V264" s="1145"/>
      <c r="W264" s="1145"/>
      <c r="X264" s="1145"/>
    </row>
    <row r="265" spans="1:24" s="620" customFormat="1" ht="15" customHeight="1" x14ac:dyDescent="0.2">
      <c r="A265" s="928"/>
      <c r="B265" s="239" t="s">
        <v>151</v>
      </c>
      <c r="C265" s="1165">
        <v>4</v>
      </c>
      <c r="D265" s="1165">
        <v>9070</v>
      </c>
      <c r="E265" s="1167" t="s">
        <v>1498</v>
      </c>
      <c r="F265" s="1165">
        <v>0</v>
      </c>
      <c r="G265" s="1166">
        <v>4591464.53</v>
      </c>
      <c r="H265" s="1166">
        <v>10545306.439999999</v>
      </c>
      <c r="I265" s="1166"/>
      <c r="J265" s="968">
        <f>H265+I265</f>
        <v>10545306.439999999</v>
      </c>
      <c r="K265" s="318"/>
      <c r="L265" s="968">
        <v>10545306.439999999</v>
      </c>
      <c r="M265" s="968">
        <v>51092758.600000001</v>
      </c>
      <c r="N265" s="968"/>
      <c r="O265" s="968">
        <f>M265+N265</f>
        <v>51092758.600000001</v>
      </c>
      <c r="P265" s="968">
        <v>67142865.189999998</v>
      </c>
      <c r="Q265" s="968"/>
      <c r="R265" s="1166">
        <f>P265+Q265</f>
        <v>67142865.189999998</v>
      </c>
      <c r="S265" s="968">
        <v>66003495.329999998</v>
      </c>
      <c r="T265" s="968"/>
      <c r="U265" s="968">
        <f>S265+T265</f>
        <v>66003495.329999998</v>
      </c>
      <c r="V265" s="1145">
        <v>17467508.18</v>
      </c>
      <c r="W265" s="1145"/>
      <c r="X265" s="1145">
        <f>V265+W265</f>
        <v>17467508.18</v>
      </c>
    </row>
    <row r="266" spans="1:24" s="620" customFormat="1" ht="15" customHeight="1" x14ac:dyDescent="0.2">
      <c r="A266" s="928"/>
      <c r="B266" s="239" t="s">
        <v>152</v>
      </c>
      <c r="C266" s="1165">
        <v>4</v>
      </c>
      <c r="D266" s="1165">
        <v>9070</v>
      </c>
      <c r="E266" s="1167" t="s">
        <v>1379</v>
      </c>
      <c r="F266" s="1165">
        <v>0</v>
      </c>
      <c r="G266" s="1166">
        <v>961</v>
      </c>
      <c r="H266" s="1166">
        <v>6923.33</v>
      </c>
      <c r="I266" s="1166"/>
      <c r="J266" s="968">
        <f>H266+I266</f>
        <v>6923.33</v>
      </c>
      <c r="K266" s="318"/>
      <c r="L266" s="968">
        <v>6923.33</v>
      </c>
      <c r="M266" s="968">
        <v>2481.85</v>
      </c>
      <c r="N266" s="968"/>
      <c r="O266" s="968">
        <f>M266+N266</f>
        <v>2481.85</v>
      </c>
      <c r="P266" s="968">
        <v>4481.8500000000004</v>
      </c>
      <c r="Q266" s="968"/>
      <c r="R266" s="1166">
        <f>P266+Q266</f>
        <v>4481.8500000000004</v>
      </c>
      <c r="S266" s="968">
        <v>3500</v>
      </c>
      <c r="T266" s="968"/>
      <c r="U266" s="968">
        <f>S266+T266</f>
        <v>3500</v>
      </c>
      <c r="V266" s="1145">
        <v>500</v>
      </c>
      <c r="W266" s="1145"/>
      <c r="X266" s="1145">
        <f>V266+W266</f>
        <v>500</v>
      </c>
    </row>
    <row r="267" spans="1:24" s="620" customFormat="1" ht="15" customHeight="1" x14ac:dyDescent="0.2">
      <c r="A267" s="928"/>
      <c r="B267" s="239" t="s">
        <v>153</v>
      </c>
      <c r="C267" s="1165">
        <v>4</v>
      </c>
      <c r="D267" s="1165">
        <v>9070</v>
      </c>
      <c r="E267" s="1167" t="s">
        <v>1380</v>
      </c>
      <c r="F267" s="1165">
        <v>0</v>
      </c>
      <c r="G267" s="1166">
        <v>271155.88</v>
      </c>
      <c r="H267" s="1166">
        <v>313833.94</v>
      </c>
      <c r="I267" s="1166"/>
      <c r="J267" s="968">
        <f>H267+I267</f>
        <v>313833.94</v>
      </c>
      <c r="K267" s="318"/>
      <c r="L267" s="968">
        <v>313833.94</v>
      </c>
      <c r="M267" s="968">
        <v>343115.71</v>
      </c>
      <c r="N267" s="968"/>
      <c r="O267" s="968">
        <f>M267+N267</f>
        <v>343115.71</v>
      </c>
      <c r="P267" s="968">
        <v>739500.5</v>
      </c>
      <c r="Q267" s="968"/>
      <c r="R267" s="1166">
        <f>P267+Q267</f>
        <v>739500.5</v>
      </c>
      <c r="S267" s="968">
        <v>99204.86</v>
      </c>
      <c r="T267" s="968"/>
      <c r="U267" s="968">
        <f>S267+T267</f>
        <v>99204.86</v>
      </c>
      <c r="V267" s="1145">
        <f>260182.64-107950.2-48610</f>
        <v>103622.44</v>
      </c>
      <c r="W267" s="1145"/>
      <c r="X267" s="1145">
        <f>V267+W267</f>
        <v>103622.44</v>
      </c>
    </row>
    <row r="268" spans="1:24" s="620" customFormat="1" ht="15" customHeight="1" x14ac:dyDescent="0.2">
      <c r="A268" s="928"/>
      <c r="B268" s="928"/>
      <c r="C268" s="1165"/>
      <c r="D268" s="1165"/>
      <c r="E268" s="1165"/>
      <c r="F268" s="1165"/>
      <c r="G268" s="374">
        <f t="shared" ref="G268:O268" si="68">SUM(G265:G267)</f>
        <v>4863581.41</v>
      </c>
      <c r="H268" s="374">
        <f t="shared" si="68"/>
        <v>10866063.709999999</v>
      </c>
      <c r="I268" s="374">
        <f t="shared" si="68"/>
        <v>0</v>
      </c>
      <c r="J268" s="373">
        <f t="shared" si="68"/>
        <v>10866063.709999999</v>
      </c>
      <c r="K268" s="318"/>
      <c r="L268" s="373">
        <f t="shared" si="68"/>
        <v>10866063.709999999</v>
      </c>
      <c r="M268" s="373">
        <f>SUM(M265:M267)</f>
        <v>51438356.160000004</v>
      </c>
      <c r="N268" s="373">
        <f t="shared" si="68"/>
        <v>0</v>
      </c>
      <c r="O268" s="373">
        <f t="shared" si="68"/>
        <v>51438356.160000004</v>
      </c>
      <c r="P268" s="373">
        <f t="shared" ref="P268:W268" si="69">SUM(P265:P267)</f>
        <v>67886847.539999992</v>
      </c>
      <c r="Q268" s="373">
        <f t="shared" si="69"/>
        <v>0</v>
      </c>
      <c r="R268" s="374">
        <f t="shared" si="69"/>
        <v>67886847.539999992</v>
      </c>
      <c r="S268" s="373">
        <f t="shared" si="69"/>
        <v>66106200.189999998</v>
      </c>
      <c r="T268" s="373">
        <f t="shared" si="69"/>
        <v>0</v>
      </c>
      <c r="U268" s="373">
        <f t="shared" si="69"/>
        <v>66106200.189999998</v>
      </c>
      <c r="V268" s="1342">
        <f>SUM(V265:V267)</f>
        <v>17571630.620000001</v>
      </c>
      <c r="W268" s="1342">
        <f t="shared" si="69"/>
        <v>0</v>
      </c>
      <c r="X268" s="1342">
        <f>SUM(X265:X267)</f>
        <v>17571630.620000001</v>
      </c>
    </row>
    <row r="269" spans="1:24" s="620" customFormat="1" ht="15" customHeight="1" x14ac:dyDescent="0.2">
      <c r="A269" s="928"/>
      <c r="B269" s="928" t="s">
        <v>3007</v>
      </c>
      <c r="C269" s="1165">
        <v>4</v>
      </c>
      <c r="D269" s="1165">
        <v>9070</v>
      </c>
      <c r="E269" s="1167" t="s">
        <v>1382</v>
      </c>
      <c r="F269" s="1165">
        <v>0</v>
      </c>
      <c r="G269" s="1166"/>
      <c r="H269" s="1166"/>
      <c r="I269" s="1166"/>
      <c r="J269" s="968"/>
      <c r="K269" s="318"/>
      <c r="L269" s="968"/>
      <c r="M269" s="968">
        <v>233429.2</v>
      </c>
      <c r="N269" s="968"/>
      <c r="O269" s="968">
        <f>M269+N269</f>
        <v>233429.2</v>
      </c>
      <c r="P269" s="968">
        <v>2196713</v>
      </c>
      <c r="Q269" s="968"/>
      <c r="R269" s="1166">
        <f>P269+Q269</f>
        <v>2196713</v>
      </c>
      <c r="S269" s="968">
        <v>0</v>
      </c>
      <c r="T269" s="968"/>
      <c r="U269" s="968">
        <f t="shared" ref="U269:U275" si="70">S269+T269</f>
        <v>0</v>
      </c>
      <c r="V269" s="1145"/>
      <c r="W269" s="1145"/>
      <c r="X269" s="1145">
        <f t="shared" ref="X269:X275" si="71">V269+W269</f>
        <v>0</v>
      </c>
    </row>
    <row r="270" spans="1:24" s="620" customFormat="1" ht="15" customHeight="1" x14ac:dyDescent="0.2">
      <c r="A270" s="928"/>
      <c r="B270" s="928" t="s">
        <v>123</v>
      </c>
      <c r="C270" s="1165">
        <v>4</v>
      </c>
      <c r="D270" s="1165">
        <v>9010</v>
      </c>
      <c r="E270" s="1167" t="s">
        <v>1373</v>
      </c>
      <c r="F270" s="1165">
        <v>0</v>
      </c>
      <c r="G270" s="1166"/>
      <c r="H270" s="1166"/>
      <c r="I270" s="1166"/>
      <c r="J270" s="968"/>
      <c r="K270" s="318"/>
      <c r="L270" s="968"/>
      <c r="M270" s="968"/>
      <c r="N270" s="968"/>
      <c r="O270" s="968"/>
      <c r="P270" s="968"/>
      <c r="Q270" s="968"/>
      <c r="R270" s="1166"/>
      <c r="S270" s="968"/>
      <c r="T270" s="968">
        <v>30000000</v>
      </c>
      <c r="U270" s="968">
        <f t="shared" si="70"/>
        <v>30000000</v>
      </c>
      <c r="V270" s="1145"/>
      <c r="W270" s="1145"/>
      <c r="X270" s="1145">
        <f t="shared" si="71"/>
        <v>0</v>
      </c>
    </row>
    <row r="271" spans="1:24" s="620" customFormat="1" ht="15" customHeight="1" x14ac:dyDescent="0.2">
      <c r="A271" s="928"/>
      <c r="B271" s="928" t="s">
        <v>156</v>
      </c>
      <c r="C271" s="1165">
        <v>4</v>
      </c>
      <c r="D271" s="1165">
        <v>9070</v>
      </c>
      <c r="E271" s="1167" t="s">
        <v>1387</v>
      </c>
      <c r="F271" s="1165">
        <v>0</v>
      </c>
      <c r="G271" s="1166">
        <v>545.04999999999995</v>
      </c>
      <c r="H271" s="1166">
        <v>14134.04</v>
      </c>
      <c r="I271" s="1166"/>
      <c r="J271" s="968">
        <f>H271+I271</f>
        <v>14134.04</v>
      </c>
      <c r="K271" s="318"/>
      <c r="L271" s="968">
        <v>14134.04</v>
      </c>
      <c r="M271" s="968">
        <v>0</v>
      </c>
      <c r="N271" s="968"/>
      <c r="O271" s="968">
        <f>M271+N271</f>
        <v>0</v>
      </c>
      <c r="P271" s="968">
        <v>0</v>
      </c>
      <c r="Q271" s="968"/>
      <c r="R271" s="1166">
        <f>P271+Q271</f>
        <v>0</v>
      </c>
      <c r="S271" s="968">
        <v>0</v>
      </c>
      <c r="T271" s="968"/>
      <c r="U271" s="968">
        <f t="shared" si="70"/>
        <v>0</v>
      </c>
      <c r="V271" s="1145"/>
      <c r="W271" s="1145"/>
      <c r="X271" s="1145">
        <f t="shared" si="71"/>
        <v>0</v>
      </c>
    </row>
    <row r="272" spans="1:24" ht="15" customHeight="1" x14ac:dyDescent="0.2">
      <c r="A272" s="928"/>
      <c r="B272" s="928" t="s">
        <v>155</v>
      </c>
      <c r="C272" s="1165">
        <v>4</v>
      </c>
      <c r="D272" s="1165">
        <v>9070</v>
      </c>
      <c r="E272" s="1167" t="s">
        <v>1377</v>
      </c>
      <c r="F272" s="1165">
        <v>0</v>
      </c>
      <c r="G272" s="1166">
        <v>333424.01</v>
      </c>
      <c r="H272" s="1166">
        <v>349571.76</v>
      </c>
      <c r="I272" s="1166"/>
      <c r="J272" s="968">
        <f>H272+I272</f>
        <v>349571.76</v>
      </c>
      <c r="L272" s="968">
        <v>349571.76</v>
      </c>
      <c r="M272" s="968">
        <v>364781.02</v>
      </c>
      <c r="N272" s="968"/>
      <c r="O272" s="968">
        <f>M272+N272</f>
        <v>364781.02</v>
      </c>
      <c r="P272" s="968">
        <v>385777.14</v>
      </c>
      <c r="Q272" s="968"/>
      <c r="R272" s="1166">
        <f>P272+Q272</f>
        <v>385777.14</v>
      </c>
      <c r="S272" s="968">
        <v>404429.06</v>
      </c>
      <c r="T272" s="968"/>
      <c r="U272" s="968">
        <f t="shared" si="70"/>
        <v>404429.06</v>
      </c>
      <c r="V272" s="1145">
        <v>427591.01</v>
      </c>
      <c r="W272" s="1145"/>
      <c r="X272" s="1145">
        <f t="shared" si="71"/>
        <v>427591.01</v>
      </c>
    </row>
    <row r="273" spans="1:26" ht="15" customHeight="1" x14ac:dyDescent="0.2">
      <c r="A273" s="928"/>
      <c r="B273" s="928" t="s">
        <v>3939</v>
      </c>
      <c r="C273" s="1165">
        <v>4</v>
      </c>
      <c r="D273" s="1165">
        <v>9070</v>
      </c>
      <c r="E273" s="1167" t="s">
        <v>1425</v>
      </c>
      <c r="F273" s="1165">
        <v>0</v>
      </c>
      <c r="G273" s="1166"/>
      <c r="H273" s="1166"/>
      <c r="I273" s="1166"/>
      <c r="J273" s="968"/>
      <c r="L273" s="968"/>
      <c r="M273" s="968"/>
      <c r="N273" s="968"/>
      <c r="O273" s="968"/>
      <c r="P273" s="968"/>
      <c r="Q273" s="968"/>
      <c r="R273" s="1166"/>
      <c r="S273" s="968"/>
      <c r="T273" s="968"/>
      <c r="U273" s="968"/>
      <c r="V273" s="1145">
        <v>3</v>
      </c>
      <c r="W273" s="1145"/>
      <c r="X273" s="1145">
        <f t="shared" si="71"/>
        <v>3</v>
      </c>
    </row>
    <row r="274" spans="1:26" ht="15" customHeight="1" x14ac:dyDescent="0.2">
      <c r="A274" s="928"/>
      <c r="B274" s="928" t="s">
        <v>3207</v>
      </c>
      <c r="C274" s="1165">
        <v>4</v>
      </c>
      <c r="D274" s="1165">
        <v>9070</v>
      </c>
      <c r="E274" s="1167" t="s">
        <v>3938</v>
      </c>
      <c r="F274" s="1165">
        <v>0</v>
      </c>
      <c r="G274" s="1166"/>
      <c r="H274" s="1166"/>
      <c r="I274" s="1166"/>
      <c r="J274" s="968"/>
      <c r="L274" s="968"/>
      <c r="M274" s="968"/>
      <c r="N274" s="968"/>
      <c r="O274" s="968"/>
      <c r="P274" s="968">
        <v>242063970.44999999</v>
      </c>
      <c r="Q274" s="968"/>
      <c r="R274" s="1166">
        <f>P274+Q274</f>
        <v>242063970.44999999</v>
      </c>
      <c r="S274" s="968">
        <v>226428108.03</v>
      </c>
      <c r="T274" s="968"/>
      <c r="U274" s="968">
        <f t="shared" si="70"/>
        <v>226428108.03</v>
      </c>
      <c r="V274" s="1145">
        <v>68304736.530000001</v>
      </c>
      <c r="W274" s="1145"/>
      <c r="X274" s="1145">
        <f t="shared" si="71"/>
        <v>68304736.530000001</v>
      </c>
    </row>
    <row r="275" spans="1:26" ht="15" customHeight="1" x14ac:dyDescent="0.2">
      <c r="A275" s="928"/>
      <c r="B275" s="928" t="s">
        <v>161</v>
      </c>
      <c r="C275" s="1165">
        <v>4</v>
      </c>
      <c r="D275" s="1165">
        <v>9070</v>
      </c>
      <c r="E275" s="1167" t="s">
        <v>1483</v>
      </c>
      <c r="F275" s="1165">
        <v>0</v>
      </c>
      <c r="G275" s="1166">
        <v>43760</v>
      </c>
      <c r="H275" s="1166">
        <v>43760</v>
      </c>
      <c r="I275" s="1166"/>
      <c r="J275" s="968">
        <f>H275+I275</f>
        <v>43760</v>
      </c>
      <c r="L275" s="968">
        <v>43760</v>
      </c>
      <c r="M275" s="968">
        <v>24710</v>
      </c>
      <c r="N275" s="968"/>
      <c r="O275" s="968">
        <f>M275+N275</f>
        <v>24710</v>
      </c>
      <c r="P275" s="968">
        <v>24710</v>
      </c>
      <c r="Q275" s="968"/>
      <c r="R275" s="1166">
        <f>P275+Q275</f>
        <v>24710</v>
      </c>
      <c r="S275" s="968">
        <v>24710</v>
      </c>
      <c r="T275" s="968"/>
      <c r="U275" s="968">
        <f t="shared" si="70"/>
        <v>24710</v>
      </c>
      <c r="V275" s="1145">
        <v>24710</v>
      </c>
      <c r="W275" s="1145"/>
      <c r="X275" s="1145">
        <f t="shared" si="71"/>
        <v>24710</v>
      </c>
    </row>
    <row r="276" spans="1:26" ht="15" customHeight="1" x14ac:dyDescent="0.2">
      <c r="A276" s="1174"/>
      <c r="B276" s="1174"/>
      <c r="C276" s="1165"/>
      <c r="D276" s="1165"/>
      <c r="E276" s="1165"/>
      <c r="F276" s="1165"/>
      <c r="G276" s="374">
        <f>G268+G269+G271+G272+G275</f>
        <v>5241310.47</v>
      </c>
      <c r="H276" s="374">
        <f>H268+H269+H271+H272+H275</f>
        <v>11273529.509999998</v>
      </c>
      <c r="I276" s="374">
        <f>I268+I269+I271+I272+I275</f>
        <v>0</v>
      </c>
      <c r="J276" s="373">
        <f>J268+J269+J271+J272+J275</f>
        <v>11273529.509999998</v>
      </c>
      <c r="L276" s="373">
        <f>L268+L269+L271+L272+L275</f>
        <v>11273529.509999998</v>
      </c>
      <c r="M276" s="373">
        <f>M268+M269+M271+M272+M275</f>
        <v>52061276.38000001</v>
      </c>
      <c r="N276" s="373">
        <f>N268+N269+N271+N272+N275</f>
        <v>0</v>
      </c>
      <c r="O276" s="373">
        <f>O268+O269+O271+O272+O275</f>
        <v>52061276.38000001</v>
      </c>
      <c r="P276" s="373">
        <f>P268+P269+P271+P272+P274+P275</f>
        <v>312558018.13</v>
      </c>
      <c r="Q276" s="373">
        <f>Q268+Q269+Q271+Q272+Q274+Q275</f>
        <v>0</v>
      </c>
      <c r="R276" s="374">
        <f>R268+R269+R271+R272+R274+R275</f>
        <v>312558018.13</v>
      </c>
      <c r="S276" s="373">
        <f>S268+S269+S271+S272+S274+S275</f>
        <v>292963447.27999997</v>
      </c>
      <c r="T276" s="373">
        <f>T268+T269+T271+T272+T274+T275</f>
        <v>0</v>
      </c>
      <c r="U276" s="373">
        <f>U268+U269+U270+U271+U272+U274+U275</f>
        <v>322963447.27999997</v>
      </c>
      <c r="V276" s="1342">
        <f>V268+V269+V271+V272+V273+V274+V275</f>
        <v>86328671.159999996</v>
      </c>
      <c r="W276" s="1342">
        <f>W268+W269+W271+W272+W273+W274+W275</f>
        <v>0</v>
      </c>
      <c r="X276" s="1342">
        <f>X268+X269+X271+X272+X273+X274+X275</f>
        <v>86328671.159999996</v>
      </c>
    </row>
    <row r="277" spans="1:26" ht="15" customHeight="1" x14ac:dyDescent="0.2">
      <c r="A277" s="928"/>
      <c r="B277" s="928"/>
      <c r="C277" s="1165"/>
      <c r="D277" s="1165"/>
      <c r="E277" s="1165"/>
      <c r="F277" s="1165"/>
      <c r="G277" s="1166"/>
      <c r="H277" s="1166"/>
      <c r="I277" s="1166"/>
      <c r="J277" s="968"/>
      <c r="L277" s="968"/>
      <c r="M277" s="968"/>
      <c r="N277" s="968"/>
      <c r="O277" s="968"/>
      <c r="P277" s="968"/>
      <c r="Q277" s="968"/>
      <c r="R277" s="1166"/>
      <c r="S277" s="968"/>
      <c r="T277" s="968"/>
      <c r="U277" s="968"/>
      <c r="V277" s="1145"/>
      <c r="W277" s="1145"/>
      <c r="X277" s="1145"/>
    </row>
    <row r="278" spans="1:26" ht="15" customHeight="1" x14ac:dyDescent="0.2">
      <c r="A278" s="928"/>
      <c r="B278" s="976" t="s">
        <v>315</v>
      </c>
      <c r="C278" s="1165"/>
      <c r="D278" s="1165"/>
      <c r="E278" s="1165"/>
      <c r="F278" s="1165"/>
      <c r="G278" s="1164">
        <f>G141+G143+G148+G173+G179+G221+G249+G262+G276</f>
        <v>5706844188.3000011</v>
      </c>
      <c r="H278" s="1164">
        <f>H141+H143+H148+H173+H179+H221+H249+H262+H276</f>
        <v>6458421963.3499985</v>
      </c>
      <c r="I278" s="1164">
        <f>I141+I143+I148+I173+I179+I221+I249+I262+I276</f>
        <v>27403059.290000003</v>
      </c>
      <c r="J278" s="1143">
        <f>J141+J143+J148+J173+J179+J221+J249+J262+J276</f>
        <v>6485823673.8399992</v>
      </c>
      <c r="L278" s="1143">
        <f>L141+L143+L148+L173+L179+L221+L249+L262+L276</f>
        <v>6485843112.54</v>
      </c>
      <c r="M278" s="1143">
        <f>M141+M143+M148+M173+M179+M221+M249+M262+M276</f>
        <v>6783469425.6000004</v>
      </c>
      <c r="N278" s="1143">
        <f>N141+N143+N148+N173+N179+N221+N249+N262+N276</f>
        <v>-48341728.810000002</v>
      </c>
      <c r="O278" s="1143">
        <f>O141+O143+O148+O173+O179+O221+O249+O262+O276</f>
        <v>6735127696.7900009</v>
      </c>
      <c r="P278" s="1143">
        <f>P141+P143+P148+P173+P179+P221+P249+P251+P262+P276</f>
        <v>8799241091.7099991</v>
      </c>
      <c r="Q278" s="1143">
        <f>Q141+Q143+Q148+Q173+Q179+Q221+Q249+Q251+Q262+Q276</f>
        <v>127906528.55000001</v>
      </c>
      <c r="R278" s="1143">
        <f t="shared" ref="R278:X278" si="72">R141+R143+R148+R173+R179+R221+R248+R251+R262+R276</f>
        <v>8927147620.2599964</v>
      </c>
      <c r="S278" s="1143">
        <f t="shared" si="72"/>
        <v>10093976423.539997</v>
      </c>
      <c r="T278" s="1164">
        <f t="shared" si="72"/>
        <v>-44467332.550000004</v>
      </c>
      <c r="U278" s="1143">
        <f t="shared" si="72"/>
        <v>10057127658.279997</v>
      </c>
      <c r="V278" s="1341">
        <f t="shared" si="72"/>
        <v>9993017710.6299973</v>
      </c>
      <c r="W278" s="1341">
        <f t="shared" si="72"/>
        <v>0</v>
      </c>
      <c r="X278" s="1341">
        <f t="shared" si="72"/>
        <v>9993017710.6299973</v>
      </c>
      <c r="Z278" s="620"/>
    </row>
    <row r="279" spans="1:26" s="1169" customFormat="1" ht="15" customHeight="1" x14ac:dyDescent="0.2">
      <c r="A279" s="928"/>
      <c r="B279" s="928"/>
      <c r="C279" s="1165"/>
      <c r="D279" s="1165"/>
      <c r="E279" s="1165"/>
      <c r="F279" s="1165"/>
      <c r="G279" s="968">
        <f>G119+G278</f>
        <v>0</v>
      </c>
      <c r="H279" s="968">
        <f>H119+H278</f>
        <v>-17850.103001594543</v>
      </c>
      <c r="I279" s="1166">
        <f>I119+I278</f>
        <v>9983294.2500000037</v>
      </c>
      <c r="J279" s="968">
        <f>J119+J278</f>
        <v>9964095.3469991684</v>
      </c>
      <c r="K279" s="318"/>
      <c r="L279" s="968"/>
      <c r="M279" s="928"/>
      <c r="N279" s="1168"/>
      <c r="O279" s="1168"/>
      <c r="P279" s="928"/>
      <c r="Q279" s="1168"/>
      <c r="R279" s="1170"/>
      <c r="S279" s="1168"/>
      <c r="T279" s="1168"/>
      <c r="U279" s="1168"/>
      <c r="V279" s="1168"/>
      <c r="W279" s="1168"/>
      <c r="X279" s="1168"/>
    </row>
    <row r="280" spans="1:26" x14ac:dyDescent="0.2">
      <c r="L280" s="620">
        <f>L119+L278</f>
        <v>9983534.0469999313</v>
      </c>
      <c r="M280" s="620">
        <f>M119+M278</f>
        <v>12232489.106999397</v>
      </c>
      <c r="N280" s="620">
        <f>N119+N278</f>
        <v>-23920628.041893777</v>
      </c>
      <c r="O280" s="620">
        <f>O119+O278</f>
        <v>-11688138.934894562</v>
      </c>
      <c r="P280" s="620"/>
      <c r="T280" s="620"/>
      <c r="U280" s="620"/>
    </row>
    <row r="281" spans="1:26" x14ac:dyDescent="0.2">
      <c r="U281" s="620"/>
      <c r="V281" s="620">
        <f>V119+V278</f>
        <v>0</v>
      </c>
    </row>
  </sheetData>
  <autoFilter ref="A3:R279"/>
  <pageMargins left="0.70866141732283472" right="0.70866141732283472" top="0.74803149606299213" bottom="0.74803149606299213" header="0.31496062992125984" footer="0.31496062992125984"/>
  <pageSetup paperSize="9" scale="5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67"/>
  <sheetViews>
    <sheetView topLeftCell="A4" zoomScaleNormal="100" workbookViewId="0">
      <selection activeCell="J35" sqref="J35"/>
    </sheetView>
  </sheetViews>
  <sheetFormatPr defaultRowHeight="12.75" x14ac:dyDescent="0.2"/>
  <cols>
    <col min="1" max="2" width="9.140625" style="1039"/>
    <col min="3" max="3" width="23.28515625" style="1039" customWidth="1"/>
    <col min="4" max="4" width="15.42578125" style="1044" customWidth="1"/>
    <col min="5" max="5" width="18.140625" style="1044" customWidth="1"/>
    <col min="6" max="6" width="20.28515625" style="1039" bestFit="1" customWidth="1"/>
    <col min="7" max="10" width="9.140625" style="1039"/>
    <col min="11" max="11" width="4.28515625" style="1039" customWidth="1"/>
    <col min="12" max="12" width="21.42578125" style="1177" bestFit="1" customWidth="1"/>
    <col min="13" max="13" width="27.5703125" style="1039" bestFit="1" customWidth="1"/>
    <col min="14" max="14" width="20.42578125" style="1039" bestFit="1" customWidth="1"/>
    <col min="15" max="15" width="20" style="1039" bestFit="1" customWidth="1"/>
    <col min="16" max="16384" width="9.140625" style="1039"/>
  </cols>
  <sheetData>
    <row r="4" spans="2:15" x14ac:dyDescent="0.2">
      <c r="D4" s="1388">
        <v>2016</v>
      </c>
      <c r="E4" s="1388">
        <v>2015</v>
      </c>
      <c r="F4" s="1175">
        <v>2015</v>
      </c>
      <c r="G4" s="1175"/>
      <c r="H4" s="1175"/>
      <c r="I4" s="1175"/>
      <c r="J4" s="1175"/>
      <c r="K4" s="1175"/>
      <c r="L4" s="1176">
        <v>2014</v>
      </c>
    </row>
    <row r="5" spans="2:15" x14ac:dyDescent="0.2">
      <c r="B5" s="975" t="s">
        <v>2995</v>
      </c>
      <c r="C5" s="975"/>
      <c r="D5" s="1389">
        <f>'Statement of Financial Performa'!G9</f>
        <v>281023720.90999997</v>
      </c>
      <c r="E5" s="1389">
        <f>'Statement of Financial Performa'!J9</f>
        <v>255375941.83000001</v>
      </c>
    </row>
    <row r="6" spans="2:15" x14ac:dyDescent="0.2">
      <c r="B6" s="975" t="s">
        <v>38</v>
      </c>
      <c r="C6" s="975"/>
      <c r="D6" s="1389">
        <f>'Statement of Financial Performa'!G10</f>
        <v>1092044554.51</v>
      </c>
      <c r="E6" s="1389">
        <f>'Statement of Financial Performa'!J10</f>
        <v>917720057.25000012</v>
      </c>
    </row>
    <row r="7" spans="2:15" x14ac:dyDescent="0.2">
      <c r="B7" s="975" t="s">
        <v>950</v>
      </c>
      <c r="C7" s="975"/>
      <c r="D7" s="1389">
        <f>'Statement of Financial Performa'!G11</f>
        <v>12342191.979999999</v>
      </c>
      <c r="E7" s="1389">
        <f>'Statement of Financial Performa'!J11</f>
        <v>12973611.540000001</v>
      </c>
    </row>
    <row r="8" spans="2:15" x14ac:dyDescent="0.2">
      <c r="B8" s="975" t="s">
        <v>404</v>
      </c>
      <c r="C8" s="975"/>
      <c r="D8" s="1389">
        <f>'Statement of Financial Performa'!G14</f>
        <v>17128584.780000001</v>
      </c>
      <c r="E8" s="1389">
        <f>'Statement of Financial Performa'!J14</f>
        <v>9846497.1999999993</v>
      </c>
      <c r="M8" s="975"/>
      <c r="N8" s="1178" t="s">
        <v>3213</v>
      </c>
      <c r="O8" s="975"/>
    </row>
    <row r="9" spans="2:15" x14ac:dyDescent="0.2">
      <c r="B9" s="975" t="s">
        <v>2996</v>
      </c>
      <c r="C9" s="975"/>
      <c r="D9" s="1389">
        <f>'Statement of Financial Performa'!G15</f>
        <v>8100962.2000000002</v>
      </c>
      <c r="E9" s="1389">
        <f>'Statement of Financial Performa'!J15</f>
        <v>9195509.4100000001</v>
      </c>
      <c r="M9" s="975"/>
      <c r="N9" s="1346">
        <v>2016</v>
      </c>
      <c r="O9" s="1346">
        <v>2015</v>
      </c>
    </row>
    <row r="10" spans="2:15" x14ac:dyDescent="0.2">
      <c r="B10" s="975" t="s">
        <v>406</v>
      </c>
      <c r="C10" s="975"/>
      <c r="D10" s="1389">
        <f>'Statement of Financial Performa'!G16</f>
        <v>15931818.16</v>
      </c>
      <c r="E10" s="1389">
        <f>'Statement of Financial Performa'!J16</f>
        <v>15608126.880000001</v>
      </c>
      <c r="M10" s="975" t="s">
        <v>3216</v>
      </c>
      <c r="N10" s="1179">
        <f>'Changes in Net assets'!I71</f>
        <v>0</v>
      </c>
      <c r="O10" s="1179">
        <v>0</v>
      </c>
    </row>
    <row r="11" spans="2:15" x14ac:dyDescent="0.2">
      <c r="B11" s="975" t="s">
        <v>2997</v>
      </c>
      <c r="C11" s="975"/>
      <c r="D11" s="1389">
        <f>'Statement of Financial Performa'!G20</f>
        <v>187481214.11000001</v>
      </c>
      <c r="E11" s="1389">
        <f>'Statement of Financial Performa'!J20</f>
        <v>78652634.470000029</v>
      </c>
      <c r="M11" s="975" t="s">
        <v>3733</v>
      </c>
      <c r="N11" s="1179">
        <f>'Note 9-33'!H855</f>
        <v>0</v>
      </c>
      <c r="O11" s="1179">
        <v>-12812671</v>
      </c>
    </row>
    <row r="12" spans="2:15" x14ac:dyDescent="0.2">
      <c r="B12" s="975" t="s">
        <v>2998</v>
      </c>
      <c r="C12" s="975"/>
      <c r="D12" s="1389">
        <f>'Statement of Financial Performa'!G17+'Statement of Financial Performa'!G18+'Statement of Financial Performa'!G19</f>
        <v>1093373359.9400001</v>
      </c>
      <c r="E12" s="1389">
        <f>'Statement of Financial Performa'!J17+'Statement of Financial Performa'!J18+'Statement of Financial Performa'!J19</f>
        <v>1105587780.6900001</v>
      </c>
      <c r="M12" s="931" t="s">
        <v>427</v>
      </c>
      <c r="N12" s="1179">
        <f>'Note 9-33'!H871</f>
        <v>-27592761.699999999</v>
      </c>
      <c r="O12" s="968">
        <f>'Note 9-33'!J871</f>
        <v>-35720658.049999997</v>
      </c>
    </row>
    <row r="13" spans="2:15" x14ac:dyDescent="0.2">
      <c r="B13" s="975" t="s">
        <v>3048</v>
      </c>
      <c r="C13" s="975"/>
      <c r="D13" s="1389"/>
      <c r="E13" s="1389">
        <f>'Statement of Financial Performa'!J41+'Statement of Financial Performa'!J42</f>
        <v>22195708.239999998</v>
      </c>
      <c r="M13" s="975" t="s">
        <v>547</v>
      </c>
      <c r="N13" s="1179">
        <f>'Note 9-33'!H870</f>
        <v>0</v>
      </c>
      <c r="O13" s="968">
        <f>'Note 9-33'!J870</f>
        <v>-12812671.01</v>
      </c>
    </row>
    <row r="14" spans="2:15" x14ac:dyDescent="0.2">
      <c r="B14" s="975" t="s">
        <v>3388</v>
      </c>
      <c r="C14" s="975"/>
      <c r="D14" s="1389">
        <f>'Statement of Financial Performa'!G12</f>
        <v>27592761.699999999</v>
      </c>
      <c r="E14" s="1389">
        <f>'Statement of Financial Performa'!J12</f>
        <v>35720658.049999997</v>
      </c>
      <c r="M14" s="975" t="s">
        <v>4177</v>
      </c>
      <c r="N14" s="1179">
        <f>'Note 9-33'!H875</f>
        <v>0</v>
      </c>
      <c r="O14" s="968"/>
    </row>
    <row r="15" spans="2:15" x14ac:dyDescent="0.2">
      <c r="B15" s="975" t="s">
        <v>3389</v>
      </c>
      <c r="C15" s="975"/>
      <c r="D15" s="1389">
        <f>'Statement of Financial Performa'!G13</f>
        <v>54307169.009999998</v>
      </c>
      <c r="E15" s="1389">
        <f>'Statement of Financial Performa'!J13</f>
        <v>45797675.810000002</v>
      </c>
      <c r="M15" s="975"/>
      <c r="N15" s="1179">
        <f>'Note 9-33'!H857+'Note 9-33'!H858+'Note 9-33'!H859+'Note 9-33'!H860+'Note 9-33'!H861+'Note 9-33'!H863</f>
        <v>-21008955.409999955</v>
      </c>
      <c r="O15" s="968"/>
    </row>
    <row r="16" spans="2:15" x14ac:dyDescent="0.2">
      <c r="B16" s="975" t="s">
        <v>2999</v>
      </c>
      <c r="C16" s="975"/>
      <c r="D16" s="1389"/>
      <c r="E16" s="1389">
        <v>0</v>
      </c>
      <c r="M16" s="975" t="s">
        <v>4179</v>
      </c>
      <c r="N16" s="1179">
        <f>'Note 9-33'!H868</f>
        <v>0</v>
      </c>
      <c r="O16" s="968"/>
    </row>
    <row r="17" spans="2:15" x14ac:dyDescent="0.2">
      <c r="B17" s="975" t="s">
        <v>3213</v>
      </c>
      <c r="C17" s="975"/>
      <c r="D17" s="1389">
        <f>N21</f>
        <v>-55557677.739999957</v>
      </c>
      <c r="E17" s="1389">
        <f>O21</f>
        <v>-78812799.649999991</v>
      </c>
      <c r="F17" s="1385">
        <f>D19-D46</f>
        <v>619845403.51000071</v>
      </c>
      <c r="G17" s="1180" t="s">
        <v>3016</v>
      </c>
      <c r="L17" s="1385">
        <f>E19-E46</f>
        <v>571683362.12274694</v>
      </c>
      <c r="M17" s="975" t="s">
        <v>3710</v>
      </c>
      <c r="N17" s="1179"/>
      <c r="O17" s="1179">
        <v>0</v>
      </c>
    </row>
    <row r="18" spans="2:15" x14ac:dyDescent="0.2">
      <c r="B18" s="975" t="s">
        <v>3573</v>
      </c>
      <c r="C18" s="975"/>
      <c r="D18" s="1389">
        <f>'Note 9-33'!H856</f>
        <v>0</v>
      </c>
      <c r="E18" s="1389">
        <f>'Note 9-33'!J856</f>
        <v>0</v>
      </c>
      <c r="F18" s="1386">
        <f>'Note 9-33'!H877</f>
        <v>619845403.51000082</v>
      </c>
      <c r="G18" s="1180" t="s">
        <v>1503</v>
      </c>
      <c r="L18" s="1386">
        <f>'Note 9-33'!J877+1</f>
        <v>581338640.17725348</v>
      </c>
      <c r="M18" s="975" t="s">
        <v>3214</v>
      </c>
      <c r="N18" s="1179"/>
      <c r="O18" s="1179">
        <f>-'Statement of Financial Performa'!J41-'Statement of Financial Performa'!J42</f>
        <v>-22195708.239999998</v>
      </c>
    </row>
    <row r="19" spans="2:15" x14ac:dyDescent="0.2">
      <c r="B19" s="975"/>
      <c r="C19" s="975"/>
      <c r="D19" s="1390">
        <f>SUM(D5:D18)</f>
        <v>2733768659.5600004</v>
      </c>
      <c r="E19" s="1390">
        <f>SUM(E5:E18)</f>
        <v>2429861401.7200003</v>
      </c>
      <c r="F19" s="1044">
        <f>F17-F18</f>
        <v>0</v>
      </c>
      <c r="L19" s="1386">
        <f>L17-L18</f>
        <v>-9655278.0545065403</v>
      </c>
      <c r="M19" s="928" t="s">
        <v>3709</v>
      </c>
      <c r="N19" s="1179"/>
      <c r="O19" s="968">
        <v>8217389</v>
      </c>
    </row>
    <row r="20" spans="2:15" x14ac:dyDescent="0.2">
      <c r="B20" s="975"/>
      <c r="C20" s="975"/>
      <c r="D20" s="968"/>
      <c r="E20" s="1143"/>
      <c r="F20" s="1044"/>
      <c r="L20" s="1044"/>
      <c r="M20" s="975" t="s">
        <v>3215</v>
      </c>
      <c r="N20" s="1179">
        <f>'Note 9-33'!H854</f>
        <v>-6955960.6299999999</v>
      </c>
      <c r="O20" s="1179">
        <f>'Note 9-33'!J854</f>
        <v>-3488480.3500000006</v>
      </c>
    </row>
    <row r="21" spans="2:15" x14ac:dyDescent="0.2">
      <c r="B21" s="975"/>
      <c r="C21" s="975"/>
      <c r="D21" s="1143"/>
      <c r="E21" s="968"/>
      <c r="F21" s="1044"/>
      <c r="L21" s="1044"/>
      <c r="M21" s="1178" t="s">
        <v>374</v>
      </c>
      <c r="N21" s="1181">
        <f>SUM(N10:N20)</f>
        <v>-55557677.739999957</v>
      </c>
      <c r="O21" s="1181">
        <f>SUM(O10:O20)</f>
        <v>-78812799.649999991</v>
      </c>
    </row>
    <row r="22" spans="2:15" x14ac:dyDescent="0.2">
      <c r="B22" s="975"/>
      <c r="C22" s="975"/>
      <c r="D22" s="968"/>
      <c r="E22" s="968"/>
      <c r="F22" s="1044"/>
      <c r="L22" s="1044"/>
      <c r="M22" s="1180"/>
      <c r="O22" s="1044"/>
    </row>
    <row r="23" spans="2:15" x14ac:dyDescent="0.2">
      <c r="B23" s="975"/>
      <c r="C23" s="975"/>
      <c r="D23" s="968"/>
      <c r="E23" s="968"/>
      <c r="F23" s="1044"/>
      <c r="L23" s="1044"/>
    </row>
    <row r="24" spans="2:15" s="318" customFormat="1" x14ac:dyDescent="0.2">
      <c r="B24" s="975" t="s">
        <v>3001</v>
      </c>
      <c r="C24" s="975"/>
      <c r="D24" s="1391">
        <f>'Note 9-33'!H881</f>
        <v>-140949193.91999984</v>
      </c>
      <c r="E24" s="1391">
        <f>'Note 9-33'!J881</f>
        <v>-137256843</v>
      </c>
      <c r="F24" s="620"/>
      <c r="L24" s="620"/>
      <c r="N24" s="1039"/>
      <c r="O24" s="1039"/>
    </row>
    <row r="25" spans="2:15" x14ac:dyDescent="0.2">
      <c r="B25" s="975" t="s">
        <v>3002</v>
      </c>
      <c r="C25" s="975"/>
      <c r="D25" s="1391">
        <f>'Note 9-33'!H884</f>
        <v>17384376.780000091</v>
      </c>
      <c r="E25" s="1391">
        <f>'Note 9-33'!J884</f>
        <v>67203898</v>
      </c>
      <c r="F25" s="1044"/>
      <c r="L25" s="1044"/>
      <c r="M25" s="318"/>
    </row>
    <row r="26" spans="2:15" x14ac:dyDescent="0.2">
      <c r="B26" s="975" t="s">
        <v>3018</v>
      </c>
      <c r="C26" s="975"/>
      <c r="D26" s="1391">
        <f>'Note 9-33'!H885</f>
        <v>19371710</v>
      </c>
      <c r="E26" s="1391">
        <f>'Note 9-33'!J885</f>
        <v>10952276</v>
      </c>
      <c r="F26" s="1044"/>
      <c r="L26" s="1044"/>
      <c r="M26" s="318"/>
    </row>
    <row r="27" spans="2:15" x14ac:dyDescent="0.2">
      <c r="B27" s="975" t="s">
        <v>3019</v>
      </c>
      <c r="C27" s="975"/>
      <c r="D27" s="1391"/>
      <c r="E27" s="1391"/>
      <c r="F27" s="1044"/>
      <c r="L27" s="1044"/>
      <c r="M27" s="318"/>
    </row>
    <row r="28" spans="2:15" x14ac:dyDescent="0.2">
      <c r="B28" s="975" t="s">
        <v>3020</v>
      </c>
      <c r="C28" s="975"/>
      <c r="D28" s="1391">
        <f>'Note 9-33'!H886</f>
        <v>0</v>
      </c>
      <c r="E28" s="1391">
        <f>'Note 9-33'!J886</f>
        <v>0</v>
      </c>
      <c r="F28" s="1387">
        <f>D30-D55</f>
        <v>-304624587.84999979</v>
      </c>
      <c r="G28" s="1180" t="s">
        <v>3013</v>
      </c>
      <c r="L28" s="1387">
        <f>E30-E55</f>
        <v>-128325166</v>
      </c>
      <c r="M28" s="318"/>
      <c r="N28" s="318"/>
      <c r="O28" s="318"/>
    </row>
    <row r="29" spans="2:15" x14ac:dyDescent="0.2">
      <c r="B29" s="928" t="s">
        <v>3021</v>
      </c>
      <c r="C29" s="928"/>
      <c r="D29" s="1391">
        <f>'Note 9-33'!H883</f>
        <v>-183307197.98999998</v>
      </c>
      <c r="E29" s="1391">
        <f>'Note 9-33'!J883</f>
        <v>-79444372</v>
      </c>
      <c r="F29" s="1386">
        <f>'Note 9-33'!H887</f>
        <v>-304624587.84999973</v>
      </c>
      <c r="G29" s="1180" t="s">
        <v>1503</v>
      </c>
      <c r="L29" s="1386">
        <f>'Note 9-33'!J887</f>
        <v>-128325166</v>
      </c>
      <c r="M29" s="318"/>
    </row>
    <row r="30" spans="2:15" x14ac:dyDescent="0.2">
      <c r="B30" s="928"/>
      <c r="C30" s="928"/>
      <c r="D30" s="1143">
        <f>SUM(D24:D29)</f>
        <v>-287500305.12999976</v>
      </c>
      <c r="E30" s="1143">
        <f>SUM(E24:E29)</f>
        <v>-138545041</v>
      </c>
      <c r="F30" s="1044">
        <f>F28-F29</f>
        <v>0</v>
      </c>
      <c r="L30" s="1044">
        <f>L28-L29</f>
        <v>0</v>
      </c>
      <c r="M30" s="318"/>
    </row>
    <row r="31" spans="2:15" x14ac:dyDescent="0.2">
      <c r="B31" s="1178" t="s">
        <v>2994</v>
      </c>
      <c r="C31" s="975"/>
      <c r="D31" s="1143">
        <f>D19+D30</f>
        <v>2446268354.4300008</v>
      </c>
      <c r="E31" s="1143">
        <f>E19+E30</f>
        <v>2291316360.7200003</v>
      </c>
      <c r="F31" s="1044"/>
      <c r="L31" s="1044"/>
      <c r="M31" s="318"/>
    </row>
    <row r="32" spans="2:15" x14ac:dyDescent="0.2">
      <c r="B32" s="1178"/>
      <c r="C32" s="1178"/>
      <c r="D32" s="1143"/>
      <c r="E32" s="1143"/>
      <c r="F32" s="1044"/>
      <c r="L32" s="1044"/>
      <c r="M32" s="318"/>
    </row>
    <row r="33" spans="2:15" x14ac:dyDescent="0.2">
      <c r="B33" s="975" t="s">
        <v>61</v>
      </c>
      <c r="C33" s="975"/>
      <c r="D33" s="1389">
        <f>'Statement of Financial Performa'!G26</f>
        <v>598398758.71000004</v>
      </c>
      <c r="E33" s="1389">
        <f>'Statement of Financial Performa'!J26</f>
        <v>520315822.41000009</v>
      </c>
      <c r="F33" s="1044"/>
      <c r="L33" s="1044"/>
      <c r="M33" s="318"/>
    </row>
    <row r="34" spans="2:15" x14ac:dyDescent="0.2">
      <c r="B34" s="975" t="s">
        <v>278</v>
      </c>
      <c r="C34" s="975"/>
      <c r="D34" s="1389">
        <f>'Statement of Financial Performa'!G27</f>
        <v>27019623.370000001</v>
      </c>
      <c r="E34" s="1389">
        <f>'Statement of Financial Performa'!J27</f>
        <v>25405635.66</v>
      </c>
      <c r="F34" s="1044"/>
      <c r="L34" s="1044"/>
      <c r="M34" s="318"/>
    </row>
    <row r="35" spans="2:15" x14ac:dyDescent="0.2">
      <c r="B35" s="975" t="s">
        <v>3014</v>
      </c>
      <c r="C35" s="975"/>
      <c r="D35" s="1389">
        <f>'Statement of Financial Performa'!G28</f>
        <v>76708428.220000014</v>
      </c>
      <c r="E35" s="1389">
        <f>'Statement of Financial Performa'!J28</f>
        <v>130414055.80000001</v>
      </c>
      <c r="F35" s="1044"/>
      <c r="L35" s="1044"/>
      <c r="M35" s="318"/>
    </row>
    <row r="36" spans="2:15" x14ac:dyDescent="0.2">
      <c r="B36" s="975" t="s">
        <v>280</v>
      </c>
      <c r="C36" s="975"/>
      <c r="D36" s="1389">
        <f>'Statement of Financial Performa'!G29</f>
        <v>0</v>
      </c>
      <c r="E36" s="1389">
        <f>'Statement of Financial Performa'!J29</f>
        <v>0</v>
      </c>
      <c r="F36" s="1044"/>
      <c r="L36" s="1044"/>
    </row>
    <row r="37" spans="2:15" x14ac:dyDescent="0.2">
      <c r="B37" s="975" t="s">
        <v>366</v>
      </c>
      <c r="C37" s="975"/>
      <c r="D37" s="1389">
        <f>'Statement of Financial Performa'!G31</f>
        <v>199521473.98000008</v>
      </c>
      <c r="E37" s="1389">
        <f>'Statement of Financial Performa'!J31</f>
        <v>163392950.06999999</v>
      </c>
      <c r="F37" s="1044"/>
      <c r="L37" s="1044"/>
      <c r="M37" s="975"/>
      <c r="N37" s="1178" t="s">
        <v>3213</v>
      </c>
      <c r="O37" s="1178" t="s">
        <v>3213</v>
      </c>
    </row>
    <row r="38" spans="2:15" x14ac:dyDescent="0.2">
      <c r="B38" s="975" t="s">
        <v>62</v>
      </c>
      <c r="C38" s="975"/>
      <c r="D38" s="1389">
        <f>'Statement of Financial Performa'!G33</f>
        <v>748278150.28999996</v>
      </c>
      <c r="E38" s="1389">
        <f>'Statement of Financial Performa'!J33</f>
        <v>674894905.81999993</v>
      </c>
      <c r="F38" s="1044"/>
      <c r="L38" s="1044"/>
      <c r="M38" s="975"/>
      <c r="N38" s="1346">
        <v>2016</v>
      </c>
      <c r="O38" s="1346">
        <v>2015</v>
      </c>
    </row>
    <row r="39" spans="2:15" x14ac:dyDescent="0.2">
      <c r="B39" s="975" t="s">
        <v>368</v>
      </c>
      <c r="C39" s="975"/>
      <c r="D39" s="1389">
        <f>'Statement of Financial Performa'!G34</f>
        <v>17180000</v>
      </c>
      <c r="E39" s="1389">
        <f>'Statement of Financial Performa'!J34</f>
        <v>6740000</v>
      </c>
      <c r="F39" s="1044"/>
      <c r="L39" s="1044"/>
      <c r="M39" s="975" t="s">
        <v>3216</v>
      </c>
      <c r="N39" s="1179">
        <f>'Changes in Net assets'!I129</f>
        <v>0</v>
      </c>
      <c r="O39" s="1179"/>
    </row>
    <row r="40" spans="2:15" x14ac:dyDescent="0.2">
      <c r="B40" s="975" t="s">
        <v>541</v>
      </c>
      <c r="C40" s="975"/>
      <c r="D40" s="1389">
        <f>'Statement of Financial Performa'!G35</f>
        <v>586464903.8900001</v>
      </c>
      <c r="E40" s="1389">
        <f>'Statement of Financial Performa'!J35</f>
        <v>499087439.61000001</v>
      </c>
      <c r="F40" s="1385">
        <f>D31-D56</f>
        <v>315220815.66000104</v>
      </c>
      <c r="G40" s="1180" t="s">
        <v>304</v>
      </c>
      <c r="L40" s="1385">
        <f>E31-E56</f>
        <v>443358195.12274694</v>
      </c>
      <c r="M40" s="975" t="s">
        <v>365</v>
      </c>
      <c r="N40" s="1179">
        <f>-'Note 9-33'!H869</f>
        <v>-475210189.13000005</v>
      </c>
      <c r="O40" s="968">
        <f>-'Statement of Financial Performa'!J30</f>
        <v>-546632072.12</v>
      </c>
    </row>
    <row r="41" spans="2:15" x14ac:dyDescent="0.2">
      <c r="B41" s="975" t="s">
        <v>3048</v>
      </c>
      <c r="C41" s="975"/>
      <c r="D41" s="1389">
        <f>-'Note 9-33'!H866</f>
        <v>-31469827.550000004</v>
      </c>
      <c r="E41" s="1389">
        <f>-'Statement of Financial Performa'!J38-'Statement of Financial Performa'!J40</f>
        <v>26163903.902746491</v>
      </c>
      <c r="F41" s="1173"/>
      <c r="G41" s="459"/>
      <c r="H41" s="318"/>
      <c r="I41" s="318"/>
      <c r="J41" s="318"/>
      <c r="K41" s="318"/>
      <c r="L41" s="1173"/>
      <c r="M41" s="975" t="s">
        <v>2971</v>
      </c>
      <c r="N41" s="1179">
        <f>-'Statement of Financial Performa'!G28</f>
        <v>-76708428.220000014</v>
      </c>
      <c r="O41" s="968">
        <f>-'Statement of Financial Performa'!J28</f>
        <v>-130414055.80000001</v>
      </c>
    </row>
    <row r="42" spans="2:15" x14ac:dyDescent="0.2">
      <c r="B42" s="975" t="s">
        <v>3015</v>
      </c>
      <c r="C42" s="975"/>
      <c r="D42" s="1389">
        <v>0</v>
      </c>
      <c r="E42" s="1389">
        <f>-'Changes in Net assets'!D70</f>
        <v>310480.01999999955</v>
      </c>
      <c r="F42" s="1173"/>
      <c r="G42" s="459"/>
      <c r="H42" s="318"/>
      <c r="I42" s="318"/>
      <c r="J42" s="318"/>
      <c r="K42" s="318"/>
      <c r="L42" s="1173"/>
      <c r="M42" s="222" t="s">
        <v>367</v>
      </c>
      <c r="N42" s="1179">
        <f>-'Note 9-33'!H872</f>
        <v>-33955930.579999998</v>
      </c>
      <c r="O42" s="968">
        <f>-'Statement of Financial Performa'!J32</f>
        <v>-38186646.25</v>
      </c>
    </row>
    <row r="43" spans="2:15" x14ac:dyDescent="0.2">
      <c r="B43" s="975" t="s">
        <v>271</v>
      </c>
      <c r="C43" s="975"/>
      <c r="D43" s="1389">
        <f>'Statement of Financial Performa'!G32</f>
        <v>33955930.579999998</v>
      </c>
      <c r="E43" s="1389">
        <f>'Statement of Financial Performa'!J32</f>
        <v>38186646.25</v>
      </c>
      <c r="F43" s="1386">
        <f>'Note 9-33'!H889</f>
        <v>315220815.6600011</v>
      </c>
      <c r="G43" s="1180" t="s">
        <v>1503</v>
      </c>
      <c r="L43" s="1386">
        <f>'Note 9-33'!J889</f>
        <v>453013474.17725348</v>
      </c>
      <c r="M43" s="975" t="s">
        <v>3533</v>
      </c>
      <c r="N43" s="1179"/>
      <c r="O43" s="968"/>
    </row>
    <row r="44" spans="2:15" x14ac:dyDescent="0.2">
      <c r="B44" s="975" t="s">
        <v>365</v>
      </c>
      <c r="C44" s="975"/>
      <c r="D44" s="1389">
        <f>'Statement of Financial Performa'!G30</f>
        <v>475210190.04000008</v>
      </c>
      <c r="E44" s="1389">
        <f>'Statement of Financial Performa'!J30</f>
        <v>546632072.12</v>
      </c>
      <c r="F44" s="1044">
        <f>F40-F43</f>
        <v>0</v>
      </c>
      <c r="L44" s="1044">
        <f>L40-L43</f>
        <v>-9655279.0545065403</v>
      </c>
      <c r="M44" s="975" t="s">
        <v>3215</v>
      </c>
      <c r="N44" s="1179">
        <v>0</v>
      </c>
      <c r="O44" s="968">
        <f>'Changes in Net assets'!D70</f>
        <v>-310480.01999999955</v>
      </c>
    </row>
    <row r="45" spans="2:15" x14ac:dyDescent="0.2">
      <c r="B45" s="975" t="s">
        <v>3213</v>
      </c>
      <c r="C45" s="975"/>
      <c r="D45" s="1389">
        <f>N49</f>
        <v>-617344375.48000002</v>
      </c>
      <c r="E45" s="1389">
        <f>O49</f>
        <v>-773365872.06549299</v>
      </c>
      <c r="F45" s="1044"/>
      <c r="L45" s="1044"/>
      <c r="M45" s="975" t="s">
        <v>3668</v>
      </c>
      <c r="N45" s="1179">
        <v>0</v>
      </c>
      <c r="O45" s="1148">
        <v>54846</v>
      </c>
    </row>
    <row r="46" spans="2:15" x14ac:dyDescent="0.2">
      <c r="B46" s="975"/>
      <c r="C46" s="975"/>
      <c r="D46" s="1390">
        <f>SUM(D33:D45)</f>
        <v>2113923256.0499997</v>
      </c>
      <c r="E46" s="1390">
        <f>SUM(E33:E45)</f>
        <v>1858178039.5972533</v>
      </c>
      <c r="F46" s="1044"/>
      <c r="L46" s="1044"/>
      <c r="M46" s="975" t="s">
        <v>3214</v>
      </c>
      <c r="N46" s="1179">
        <f>D41</f>
        <v>-31469827.550000004</v>
      </c>
      <c r="O46" s="1179">
        <f>'Statement of Financial Performa'!J38+'Statement of Financial Performa'!J40+'Statement of Financial Performa'!J38</f>
        <v>-26479086.875492983</v>
      </c>
    </row>
    <row r="47" spans="2:15" x14ac:dyDescent="0.2">
      <c r="B47" s="975"/>
      <c r="C47" s="975"/>
      <c r="D47" s="1143"/>
      <c r="E47" s="968"/>
      <c r="F47" s="1044"/>
      <c r="L47" s="1044"/>
      <c r="M47" s="928" t="s">
        <v>3386</v>
      </c>
      <c r="N47" s="1179"/>
      <c r="O47" s="968">
        <f>-'Note 9-33'!J855</f>
        <v>0</v>
      </c>
    </row>
    <row r="48" spans="2:15" x14ac:dyDescent="0.2">
      <c r="B48" s="975"/>
      <c r="C48" s="975"/>
      <c r="D48" s="1143"/>
      <c r="E48" s="968"/>
      <c r="F48" s="1044"/>
      <c r="L48" s="1044"/>
      <c r="M48" s="928" t="s">
        <v>3152</v>
      </c>
      <c r="N48" s="1179"/>
      <c r="O48" s="968">
        <f>'[4]Cash flow recon'!$O$45</f>
        <v>-31398377</v>
      </c>
    </row>
    <row r="49" spans="1:15" x14ac:dyDescent="0.2">
      <c r="B49" s="975"/>
      <c r="C49" s="975"/>
      <c r="D49" s="1143"/>
      <c r="E49" s="968"/>
      <c r="F49" s="1044"/>
      <c r="M49" s="1178" t="s">
        <v>374</v>
      </c>
      <c r="N49" s="1181">
        <f>SUM(N39:N48)</f>
        <v>-617344375.48000002</v>
      </c>
      <c r="O49" s="1181">
        <f>SUM(O39:O48)</f>
        <v>-773365872.06549299</v>
      </c>
    </row>
    <row r="50" spans="1:15" x14ac:dyDescent="0.2">
      <c r="B50" s="975" t="s">
        <v>3002</v>
      </c>
      <c r="C50" s="975"/>
      <c r="D50" s="1391"/>
      <c r="E50" s="1391"/>
      <c r="F50" s="1044"/>
    </row>
    <row r="51" spans="1:15" x14ac:dyDescent="0.2">
      <c r="B51" s="975" t="s">
        <v>3001</v>
      </c>
      <c r="C51" s="975"/>
      <c r="D51" s="1391">
        <v>0</v>
      </c>
      <c r="E51" s="1391">
        <v>0</v>
      </c>
      <c r="F51" s="1044"/>
    </row>
    <row r="52" spans="1:15" x14ac:dyDescent="0.2">
      <c r="B52" s="975" t="s">
        <v>3017</v>
      </c>
      <c r="C52" s="975"/>
      <c r="D52" s="1391">
        <f>-'Note 9-33'!H880</f>
        <v>3808523.6899999976</v>
      </c>
      <c r="E52" s="1391">
        <f>-'Note 9-33'!J880</f>
        <v>-4171701</v>
      </c>
      <c r="F52" s="1044"/>
      <c r="M52" s="620"/>
      <c r="N52" s="318"/>
    </row>
    <row r="53" spans="1:15" x14ac:dyDescent="0.2">
      <c r="B53" s="975" t="s">
        <v>3019</v>
      </c>
      <c r="C53" s="975"/>
      <c r="D53" s="1391">
        <f>-'Note 9-33'!H882</f>
        <v>13315759.030000001</v>
      </c>
      <c r="E53" s="1391">
        <f>-'Note 9-33'!J882</f>
        <v>-6048174</v>
      </c>
      <c r="F53" s="1044"/>
      <c r="M53" s="620"/>
      <c r="N53" s="620"/>
    </row>
    <row r="54" spans="1:15" x14ac:dyDescent="0.2">
      <c r="B54" s="975" t="s">
        <v>3018</v>
      </c>
      <c r="C54" s="975"/>
      <c r="D54" s="1391">
        <v>0</v>
      </c>
      <c r="E54" s="1391">
        <v>0</v>
      </c>
      <c r="F54" s="1044"/>
      <c r="M54" s="620"/>
      <c r="N54" s="620"/>
    </row>
    <row r="55" spans="1:15" x14ac:dyDescent="0.2">
      <c r="B55" s="975"/>
      <c r="C55" s="975"/>
      <c r="D55" s="1343">
        <f>SUM(D50:D54)</f>
        <v>17124282.719999999</v>
      </c>
      <c r="E55" s="1343">
        <f>SUM(E50:E54)</f>
        <v>-10219875</v>
      </c>
      <c r="F55" s="1044"/>
      <c r="M55" s="620"/>
      <c r="N55" s="620"/>
    </row>
    <row r="56" spans="1:15" x14ac:dyDescent="0.2">
      <c r="B56" s="1178" t="s">
        <v>3000</v>
      </c>
      <c r="C56" s="975"/>
      <c r="D56" s="1343">
        <f>D46+D55</f>
        <v>2131047538.7699997</v>
      </c>
      <c r="E56" s="1343">
        <f>E46+E55+1</f>
        <v>1847958165.5972533</v>
      </c>
      <c r="F56" s="1044"/>
      <c r="M56" s="620"/>
      <c r="N56" s="620"/>
    </row>
    <row r="57" spans="1:15" x14ac:dyDescent="0.2">
      <c r="D57" s="620"/>
      <c r="E57" s="620"/>
      <c r="F57" s="1044"/>
      <c r="M57" s="620"/>
      <c r="N57" s="620"/>
    </row>
    <row r="58" spans="1:15" x14ac:dyDescent="0.2">
      <c r="D58" s="1173">
        <f>D31-D56</f>
        <v>315220815.66000104</v>
      </c>
      <c r="E58" s="1173">
        <f>E31-E56</f>
        <v>443358195.12274694</v>
      </c>
      <c r="F58" s="1044"/>
      <c r="M58" s="620"/>
      <c r="N58" s="620"/>
    </row>
    <row r="59" spans="1:15" x14ac:dyDescent="0.2">
      <c r="M59" s="620"/>
      <c r="N59" s="318"/>
    </row>
    <row r="60" spans="1:15" x14ac:dyDescent="0.2">
      <c r="M60" s="620"/>
      <c r="N60" s="318"/>
    </row>
    <row r="61" spans="1:15" x14ac:dyDescent="0.2">
      <c r="A61" s="1180"/>
      <c r="B61" s="1180"/>
      <c r="C61" s="1180"/>
      <c r="D61" s="1386"/>
      <c r="M61" s="620"/>
      <c r="N61" s="318"/>
    </row>
    <row r="62" spans="1:15" x14ac:dyDescent="0.2">
      <c r="M62" s="620"/>
      <c r="N62" s="318"/>
    </row>
    <row r="63" spans="1:15" x14ac:dyDescent="0.2">
      <c r="M63" s="620"/>
      <c r="N63" s="318"/>
    </row>
    <row r="64" spans="1:15" x14ac:dyDescent="0.2">
      <c r="M64" s="620"/>
      <c r="N64" s="318"/>
    </row>
    <row r="65" spans="13:14" x14ac:dyDescent="0.2">
      <c r="M65" s="620"/>
      <c r="N65" s="318"/>
    </row>
    <row r="66" spans="13:14" x14ac:dyDescent="0.2">
      <c r="M66" s="620"/>
      <c r="N66" s="318"/>
    </row>
    <row r="67" spans="13:14" x14ac:dyDescent="0.2">
      <c r="M67" s="1044"/>
    </row>
  </sheetData>
  <pageMargins left="0.7" right="0.7" top="0.75" bottom="0.75" header="0.3" footer="0.3"/>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43"/>
  <sheetViews>
    <sheetView workbookViewId="0">
      <selection activeCell="N7" sqref="N7"/>
    </sheetView>
  </sheetViews>
  <sheetFormatPr defaultRowHeight="12.75" x14ac:dyDescent="0.2"/>
  <cols>
    <col min="1" max="1" width="9.140625" style="1039"/>
    <col min="2" max="2" width="4.42578125" style="1039" customWidth="1"/>
    <col min="3" max="9" width="9.140625" style="1039"/>
    <col min="10" max="10" width="9.140625" style="1039" customWidth="1"/>
    <col min="11" max="11" width="7.28515625" style="1039" customWidth="1"/>
    <col min="12" max="16384" width="9.140625" style="1039"/>
  </cols>
  <sheetData>
    <row r="1" spans="2:11" x14ac:dyDescent="0.2">
      <c r="B1" s="1070"/>
      <c r="C1" s="1070"/>
      <c r="D1" s="1070"/>
      <c r="E1" s="1070"/>
      <c r="F1" s="1070"/>
      <c r="G1" s="1070"/>
      <c r="H1" s="1070"/>
      <c r="I1" s="1070"/>
      <c r="J1" s="1070"/>
      <c r="K1" s="1070"/>
    </row>
    <row r="2" spans="2:11" x14ac:dyDescent="0.2">
      <c r="B2" s="1071"/>
      <c r="C2" s="1072" t="s">
        <v>765</v>
      </c>
      <c r="D2" s="1073"/>
      <c r="E2" s="1073"/>
      <c r="F2" s="1073"/>
      <c r="G2" s="1073"/>
      <c r="H2" s="1073"/>
      <c r="I2" s="1073"/>
      <c r="J2" s="1073"/>
      <c r="K2" s="1074"/>
    </row>
    <row r="3" spans="2:11" x14ac:dyDescent="0.2">
      <c r="B3" s="1075"/>
      <c r="C3" s="1076"/>
      <c r="D3" s="1070"/>
      <c r="E3" s="1070"/>
      <c r="F3" s="1070"/>
      <c r="G3" s="1070"/>
      <c r="H3" s="1070"/>
      <c r="I3" s="1070"/>
      <c r="J3" s="1070"/>
      <c r="K3" s="1077"/>
    </row>
    <row r="4" spans="2:11" x14ac:dyDescent="0.2">
      <c r="B4" s="1075"/>
      <c r="C4" s="1070"/>
      <c r="D4" s="1070"/>
      <c r="E4" s="1070"/>
      <c r="F4" s="1070"/>
      <c r="G4" s="1070"/>
      <c r="H4" s="1070"/>
      <c r="I4" s="1070"/>
      <c r="J4" s="1070"/>
      <c r="K4" s="1077"/>
    </row>
    <row r="5" spans="2:11" ht="61.5" customHeight="1" x14ac:dyDescent="0.2">
      <c r="B5" s="1075"/>
      <c r="C5" s="1812" t="s">
        <v>3385</v>
      </c>
      <c r="D5" s="1812"/>
      <c r="E5" s="1812"/>
      <c r="F5" s="1812"/>
      <c r="G5" s="1812"/>
      <c r="H5" s="1812"/>
      <c r="I5" s="1812"/>
      <c r="J5" s="1812"/>
      <c r="K5" s="1077"/>
    </row>
    <row r="6" spans="2:11" x14ac:dyDescent="0.2">
      <c r="B6" s="1075"/>
      <c r="C6" s="1055"/>
      <c r="D6" s="1070"/>
      <c r="E6" s="1070"/>
      <c r="F6" s="1070"/>
      <c r="G6" s="1070"/>
      <c r="H6" s="1070"/>
      <c r="I6" s="1070"/>
      <c r="J6" s="1070"/>
      <c r="K6" s="1077"/>
    </row>
    <row r="7" spans="2:11" ht="72.75" customHeight="1" x14ac:dyDescent="0.2">
      <c r="B7" s="1075"/>
      <c r="C7" s="1812" t="s">
        <v>2883</v>
      </c>
      <c r="D7" s="1812"/>
      <c r="E7" s="1812"/>
      <c r="F7" s="1812"/>
      <c r="G7" s="1812"/>
      <c r="H7" s="1812"/>
      <c r="I7" s="1812"/>
      <c r="J7" s="1812"/>
      <c r="K7" s="1077"/>
    </row>
    <row r="8" spans="2:11" x14ac:dyDescent="0.2">
      <c r="B8" s="1075"/>
      <c r="C8" s="1055"/>
      <c r="D8" s="1070"/>
      <c r="E8" s="1070"/>
      <c r="F8" s="1070"/>
      <c r="G8" s="1070"/>
      <c r="H8" s="1070"/>
      <c r="I8" s="1070"/>
      <c r="J8" s="1070"/>
      <c r="K8" s="1077"/>
    </row>
    <row r="9" spans="2:11" x14ac:dyDescent="0.2">
      <c r="B9" s="1075"/>
      <c r="C9" s="1055"/>
      <c r="D9" s="1070"/>
      <c r="E9" s="1070"/>
      <c r="F9" s="1070"/>
      <c r="G9" s="1070"/>
      <c r="H9" s="1070"/>
      <c r="I9" s="1070"/>
      <c r="J9" s="1070"/>
      <c r="K9" s="1077"/>
    </row>
    <row r="10" spans="2:11" x14ac:dyDescent="0.2">
      <c r="B10" s="1075"/>
      <c r="C10" s="1055"/>
      <c r="D10" s="1070"/>
      <c r="E10" s="1070"/>
      <c r="F10" s="1070"/>
      <c r="G10" s="1070"/>
      <c r="H10" s="1070"/>
      <c r="I10" s="1070"/>
      <c r="J10" s="1070"/>
      <c r="K10" s="1077"/>
    </row>
    <row r="11" spans="2:11" x14ac:dyDescent="0.2">
      <c r="B11" s="1075"/>
      <c r="C11" s="1055"/>
      <c r="D11" s="1070"/>
      <c r="E11" s="1070"/>
      <c r="F11" s="1070"/>
      <c r="G11" s="1070"/>
      <c r="H11" s="1070"/>
      <c r="I11" s="1070"/>
      <c r="J11" s="1070"/>
      <c r="K11" s="1077"/>
    </row>
    <row r="12" spans="2:11" x14ac:dyDescent="0.2">
      <c r="B12" s="1075"/>
      <c r="C12" s="1055"/>
      <c r="D12" s="1070"/>
      <c r="E12" s="1070"/>
      <c r="F12" s="1070"/>
      <c r="G12" s="1070"/>
      <c r="H12" s="1070"/>
      <c r="I12" s="1070"/>
      <c r="J12" s="1070"/>
      <c r="K12" s="1077"/>
    </row>
    <row r="13" spans="2:11" x14ac:dyDescent="0.2">
      <c r="B13" s="1075"/>
      <c r="C13" s="1055"/>
      <c r="D13" s="1070"/>
      <c r="E13" s="1070"/>
      <c r="F13" s="1070"/>
      <c r="G13" s="1070"/>
      <c r="H13" s="1070"/>
      <c r="I13" s="1070"/>
      <c r="J13" s="1070"/>
      <c r="K13" s="1077"/>
    </row>
    <row r="14" spans="2:11" x14ac:dyDescent="0.2">
      <c r="B14" s="1075"/>
      <c r="C14" s="186" t="s">
        <v>3719</v>
      </c>
      <c r="D14" s="1070"/>
      <c r="E14" s="1070"/>
      <c r="F14" s="1070"/>
      <c r="G14" s="1070"/>
      <c r="H14" s="1070"/>
      <c r="I14" s="1070"/>
      <c r="J14" s="1070"/>
      <c r="K14" s="1077"/>
    </row>
    <row r="15" spans="2:11" ht="21" customHeight="1" x14ac:dyDescent="0.2">
      <c r="B15" s="1075"/>
      <c r="C15" s="1078" t="s">
        <v>3623</v>
      </c>
      <c r="D15" s="1070"/>
      <c r="E15" s="1070"/>
      <c r="F15" s="1070"/>
      <c r="G15" s="1070"/>
      <c r="H15" s="1070"/>
      <c r="I15" s="1070"/>
      <c r="J15" s="1070"/>
      <c r="K15" s="1077"/>
    </row>
    <row r="16" spans="2:11" x14ac:dyDescent="0.2">
      <c r="B16" s="1075"/>
      <c r="C16" s="1079"/>
      <c r="D16" s="1070"/>
      <c r="E16" s="1070"/>
      <c r="F16" s="1070"/>
      <c r="G16" s="1070"/>
      <c r="H16" s="1070"/>
      <c r="I16" s="1070"/>
      <c r="J16" s="1070"/>
      <c r="K16" s="1077"/>
    </row>
    <row r="17" spans="2:11" x14ac:dyDescent="0.2">
      <c r="B17" s="1075"/>
      <c r="C17" s="1070"/>
      <c r="D17" s="1070"/>
      <c r="E17" s="1070"/>
      <c r="F17" s="1070"/>
      <c r="G17" s="1070"/>
      <c r="H17" s="1070"/>
      <c r="I17" s="1070"/>
      <c r="J17" s="1070"/>
      <c r="K17" s="1077"/>
    </row>
    <row r="18" spans="2:11" x14ac:dyDescent="0.2">
      <c r="B18" s="1075"/>
      <c r="C18" s="1070"/>
      <c r="D18" s="1070"/>
      <c r="E18" s="1070"/>
      <c r="F18" s="1070"/>
      <c r="G18" s="1070"/>
      <c r="H18" s="1070"/>
      <c r="I18" s="1070"/>
      <c r="J18" s="1070"/>
      <c r="K18" s="1077"/>
    </row>
    <row r="19" spans="2:11" x14ac:dyDescent="0.2">
      <c r="B19" s="1075"/>
      <c r="C19" s="1070"/>
      <c r="D19" s="1070"/>
      <c r="E19" s="1070"/>
      <c r="F19" s="1070"/>
      <c r="G19" s="1070"/>
      <c r="H19" s="1070"/>
      <c r="I19" s="1070"/>
      <c r="J19" s="1070"/>
      <c r="K19" s="1077"/>
    </row>
    <row r="20" spans="2:11" x14ac:dyDescent="0.2">
      <c r="B20" s="1075"/>
      <c r="C20" s="1070"/>
      <c r="D20" s="1070"/>
      <c r="E20" s="1070"/>
      <c r="F20" s="1070"/>
      <c r="G20" s="1070"/>
      <c r="H20" s="1070"/>
      <c r="I20" s="1070"/>
      <c r="J20" s="1070"/>
      <c r="K20" s="1077"/>
    </row>
    <row r="21" spans="2:11" x14ac:dyDescent="0.2">
      <c r="B21" s="1075"/>
      <c r="C21" s="1070"/>
      <c r="D21" s="1070"/>
      <c r="E21" s="1070"/>
      <c r="F21" s="1070"/>
      <c r="G21" s="1070"/>
      <c r="H21" s="1070"/>
      <c r="I21" s="1070"/>
      <c r="J21" s="1070"/>
      <c r="K21" s="1077"/>
    </row>
    <row r="22" spans="2:11" x14ac:dyDescent="0.2">
      <c r="B22" s="1075"/>
      <c r="C22" s="1070"/>
      <c r="D22" s="1070"/>
      <c r="E22" s="1070"/>
      <c r="F22" s="1070"/>
      <c r="G22" s="1070"/>
      <c r="H22" s="1070"/>
      <c r="I22" s="1070"/>
      <c r="J22" s="1070"/>
      <c r="K22" s="1077"/>
    </row>
    <row r="23" spans="2:11" x14ac:dyDescent="0.2">
      <c r="B23" s="1075"/>
      <c r="C23" s="1070"/>
      <c r="D23" s="1070"/>
      <c r="E23" s="1070"/>
      <c r="F23" s="1070"/>
      <c r="G23" s="1070"/>
      <c r="H23" s="1070"/>
      <c r="I23" s="1070"/>
      <c r="J23" s="1070"/>
      <c r="K23" s="1077"/>
    </row>
    <row r="24" spans="2:11" x14ac:dyDescent="0.2">
      <c r="B24" s="1075"/>
      <c r="C24" s="1070"/>
      <c r="D24" s="1070"/>
      <c r="E24" s="1070"/>
      <c r="F24" s="1070"/>
      <c r="G24" s="1070"/>
      <c r="H24" s="1070"/>
      <c r="I24" s="1070"/>
      <c r="J24" s="1070"/>
      <c r="K24" s="1077"/>
    </row>
    <row r="25" spans="2:11" x14ac:dyDescent="0.2">
      <c r="B25" s="1075"/>
      <c r="C25" s="1070"/>
      <c r="D25" s="1070"/>
      <c r="E25" s="1070"/>
      <c r="F25" s="1070"/>
      <c r="G25" s="1070"/>
      <c r="H25" s="1070"/>
      <c r="I25" s="1070"/>
      <c r="J25" s="1070"/>
      <c r="K25" s="1077"/>
    </row>
    <row r="26" spans="2:11" x14ac:dyDescent="0.2">
      <c r="B26" s="1075"/>
      <c r="C26" s="1070"/>
      <c r="D26" s="1070"/>
      <c r="E26" s="1070"/>
      <c r="F26" s="1070"/>
      <c r="G26" s="1070"/>
      <c r="H26" s="1070"/>
      <c r="I26" s="1070"/>
      <c r="J26" s="1070"/>
      <c r="K26" s="1077"/>
    </row>
    <row r="27" spans="2:11" x14ac:dyDescent="0.2">
      <c r="B27" s="1075"/>
      <c r="C27" s="1070"/>
      <c r="D27" s="1070"/>
      <c r="E27" s="1070"/>
      <c r="F27" s="1070"/>
      <c r="G27" s="1070"/>
      <c r="H27" s="1070"/>
      <c r="I27" s="1070"/>
      <c r="J27" s="1070"/>
      <c r="K27" s="1077"/>
    </row>
    <row r="28" spans="2:11" x14ac:dyDescent="0.2">
      <c r="B28" s="1075"/>
      <c r="C28" s="1070"/>
      <c r="D28" s="1070"/>
      <c r="E28" s="1070"/>
      <c r="F28" s="1070"/>
      <c r="G28" s="1070"/>
      <c r="H28" s="1070"/>
      <c r="I28" s="1070"/>
      <c r="J28" s="1070"/>
      <c r="K28" s="1077"/>
    </row>
    <row r="29" spans="2:11" x14ac:dyDescent="0.2">
      <c r="B29" s="1075"/>
      <c r="C29" s="1070"/>
      <c r="D29" s="1070"/>
      <c r="E29" s="1070"/>
      <c r="F29" s="1070"/>
      <c r="G29" s="1070"/>
      <c r="H29" s="1070"/>
      <c r="I29" s="1070"/>
      <c r="J29" s="1070"/>
      <c r="K29" s="1077"/>
    </row>
    <row r="30" spans="2:11" x14ac:dyDescent="0.2">
      <c r="B30" s="1075"/>
      <c r="C30" s="1070"/>
      <c r="D30" s="1070"/>
      <c r="E30" s="1070"/>
      <c r="F30" s="1070"/>
      <c r="G30" s="1070"/>
      <c r="H30" s="1070"/>
      <c r="I30" s="1070"/>
      <c r="J30" s="1070"/>
      <c r="K30" s="1077"/>
    </row>
    <row r="31" spans="2:11" x14ac:dyDescent="0.2">
      <c r="B31" s="1075"/>
      <c r="C31" s="1070"/>
      <c r="D31" s="1070"/>
      <c r="E31" s="1070"/>
      <c r="F31" s="1070"/>
      <c r="G31" s="1070"/>
      <c r="H31" s="1070"/>
      <c r="I31" s="1070"/>
      <c r="J31" s="1070"/>
      <c r="K31" s="1077"/>
    </row>
    <row r="32" spans="2:11" x14ac:dyDescent="0.2">
      <c r="B32" s="1075"/>
      <c r="C32" s="1070"/>
      <c r="D32" s="1070"/>
      <c r="E32" s="1070"/>
      <c r="F32" s="1070"/>
      <c r="G32" s="1070"/>
      <c r="H32" s="1070"/>
      <c r="I32" s="1070"/>
      <c r="J32" s="1070"/>
      <c r="K32" s="1077"/>
    </row>
    <row r="33" spans="2:11" x14ac:dyDescent="0.2">
      <c r="B33" s="1075"/>
      <c r="C33" s="1070"/>
      <c r="D33" s="1070"/>
      <c r="E33" s="1070"/>
      <c r="F33" s="1070"/>
      <c r="G33" s="1070"/>
      <c r="H33" s="1070"/>
      <c r="I33" s="1070"/>
      <c r="J33" s="1070"/>
      <c r="K33" s="1077"/>
    </row>
    <row r="34" spans="2:11" x14ac:dyDescent="0.2">
      <c r="B34" s="1075"/>
      <c r="C34" s="1070"/>
      <c r="D34" s="1070"/>
      <c r="E34" s="1070"/>
      <c r="F34" s="1070"/>
      <c r="G34" s="1070"/>
      <c r="H34" s="1070"/>
      <c r="I34" s="1070"/>
      <c r="J34" s="1070"/>
      <c r="K34" s="1077"/>
    </row>
    <row r="35" spans="2:11" x14ac:dyDescent="0.2">
      <c r="B35" s="1075"/>
      <c r="C35" s="1070"/>
      <c r="D35" s="1070"/>
      <c r="E35" s="1070"/>
      <c r="F35" s="1070"/>
      <c r="G35" s="1070"/>
      <c r="H35" s="1070"/>
      <c r="I35" s="1070"/>
      <c r="J35" s="1070"/>
      <c r="K35" s="1077"/>
    </row>
    <row r="36" spans="2:11" x14ac:dyDescent="0.2">
      <c r="B36" s="1075"/>
      <c r="C36" s="1070"/>
      <c r="D36" s="1070"/>
      <c r="E36" s="1070"/>
      <c r="F36" s="1070"/>
      <c r="G36" s="1070"/>
      <c r="H36" s="1070"/>
      <c r="I36" s="1070"/>
      <c r="J36" s="1070"/>
      <c r="K36" s="1077"/>
    </row>
    <row r="37" spans="2:11" x14ac:dyDescent="0.2">
      <c r="B37" s="1075"/>
      <c r="C37" s="1070"/>
      <c r="D37" s="1070"/>
      <c r="E37" s="1070"/>
      <c r="F37" s="1070"/>
      <c r="G37" s="1070"/>
      <c r="H37" s="1070"/>
      <c r="I37" s="1070"/>
      <c r="J37" s="1070"/>
      <c r="K37" s="1077"/>
    </row>
    <row r="38" spans="2:11" x14ac:dyDescent="0.2">
      <c r="B38" s="1075"/>
      <c r="C38" s="1070"/>
      <c r="D38" s="1070"/>
      <c r="E38" s="1070"/>
      <c r="F38" s="1070"/>
      <c r="G38" s="1070"/>
      <c r="H38" s="1070"/>
      <c r="I38" s="1070"/>
      <c r="J38" s="1070"/>
      <c r="K38" s="1077"/>
    </row>
    <row r="39" spans="2:11" x14ac:dyDescent="0.2">
      <c r="B39" s="1075"/>
      <c r="C39" s="1070"/>
      <c r="D39" s="1070"/>
      <c r="E39" s="1070"/>
      <c r="F39" s="1070"/>
      <c r="G39" s="1070"/>
      <c r="H39" s="1070"/>
      <c r="I39" s="1070"/>
      <c r="J39" s="1070"/>
      <c r="K39" s="1077"/>
    </row>
    <row r="40" spans="2:11" x14ac:dyDescent="0.2">
      <c r="B40" s="1075"/>
      <c r="C40" s="1070"/>
      <c r="D40" s="1070"/>
      <c r="E40" s="1070"/>
      <c r="F40" s="1070"/>
      <c r="G40" s="1070"/>
      <c r="H40" s="1070"/>
      <c r="I40" s="1070"/>
      <c r="J40" s="1070"/>
      <c r="K40" s="1077"/>
    </row>
    <row r="41" spans="2:11" x14ac:dyDescent="0.2">
      <c r="B41" s="1075"/>
      <c r="C41" s="1070"/>
      <c r="D41" s="1070"/>
      <c r="E41" s="1070"/>
      <c r="F41" s="1070"/>
      <c r="G41" s="1070"/>
      <c r="H41" s="1070"/>
      <c r="I41" s="1070"/>
      <c r="J41" s="1070"/>
      <c r="K41" s="1077"/>
    </row>
    <row r="42" spans="2:11" x14ac:dyDescent="0.2">
      <c r="B42" s="1075"/>
      <c r="C42" s="1070"/>
      <c r="D42" s="1070"/>
      <c r="E42" s="1070"/>
      <c r="F42" s="1070"/>
      <c r="G42" s="1070"/>
      <c r="H42" s="1070"/>
      <c r="I42" s="1070"/>
      <c r="J42" s="1070"/>
      <c r="K42" s="1077"/>
    </row>
    <row r="43" spans="2:11" x14ac:dyDescent="0.2">
      <c r="B43" s="1080"/>
      <c r="C43" s="1081"/>
      <c r="D43" s="1081"/>
      <c r="E43" s="1081"/>
      <c r="F43" s="1081"/>
      <c r="G43" s="1081"/>
      <c r="H43" s="1081"/>
      <c r="I43" s="1081"/>
      <c r="J43" s="1081"/>
      <c r="K43" s="1082"/>
    </row>
  </sheetData>
  <mergeCells count="2">
    <mergeCell ref="C5:J5"/>
    <mergeCell ref="C7:J7"/>
  </mergeCells>
  <phoneticPr fontId="15" type="noConversion"/>
  <pageMargins left="0.74803149606299213" right="0.15748031496062992" top="0.78740157480314965" bottom="0.59055118110236227" header="0.51181102362204722" footer="0.51181102362204722"/>
  <pageSetup paperSize="9" orientation="portrait" r:id="rId1"/>
  <headerFooter alignWithMargins="0">
    <oddHeader>&amp;C&amp;"-,Bold"POLOKWANE MUNICIPALITY
ANNUAL FINANCIAL STATEMENTS ENDED 30 JUNE 2016</oddHeader>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R64"/>
  <sheetViews>
    <sheetView showGridLines="0" workbookViewId="0">
      <selection activeCell="F45" sqref="F45"/>
    </sheetView>
  </sheetViews>
  <sheetFormatPr defaultRowHeight="12.75" x14ac:dyDescent="0.2"/>
  <cols>
    <col min="1" max="1" width="2.140625" style="22" customWidth="1"/>
    <col min="2" max="2" width="35.28515625" style="22" customWidth="1"/>
    <col min="3" max="3" width="11.28515625" style="22" bestFit="1" customWidth="1"/>
    <col min="4" max="4" width="1.5703125" style="22" customWidth="1"/>
    <col min="5" max="5" width="1.28515625" style="22" customWidth="1"/>
    <col min="6" max="6" width="14.140625" style="24" customWidth="1"/>
    <col min="7" max="7" width="1.28515625" style="24" customWidth="1"/>
    <col min="8" max="8" width="1" style="24" customWidth="1"/>
    <col min="9" max="9" width="12.140625" style="145" customWidth="1"/>
    <col min="10" max="10" width="1.28515625" style="145" customWidth="1"/>
    <col min="11" max="11" width="13.7109375" style="24" customWidth="1"/>
    <col min="12" max="12" width="1.5703125" style="24" customWidth="1"/>
    <col min="13" max="13" width="2.5703125" style="22" customWidth="1"/>
    <col min="14" max="14" width="14.42578125" style="312" customWidth="1"/>
    <col min="15" max="15" width="51.7109375" style="312" customWidth="1"/>
    <col min="16" max="16" width="2" style="22" customWidth="1"/>
    <col min="17" max="17" width="5.140625" style="41" customWidth="1"/>
    <col min="18" max="18" width="20.5703125" style="22" customWidth="1"/>
    <col min="19" max="19" width="16.85546875" style="22" customWidth="1"/>
    <col min="20" max="16384" width="9.140625" style="22"/>
  </cols>
  <sheetData>
    <row r="2" spans="1:18" ht="13.5" thickBot="1" x14ac:dyDescent="0.25">
      <c r="O2" s="22"/>
      <c r="Q2" s="22"/>
    </row>
    <row r="3" spans="1:18" x14ac:dyDescent="0.2">
      <c r="A3" s="146"/>
      <c r="B3" s="147"/>
      <c r="C3" s="147"/>
      <c r="D3" s="147"/>
      <c r="E3" s="147"/>
      <c r="F3" s="148"/>
      <c r="G3" s="148"/>
      <c r="H3" s="148"/>
      <c r="I3" s="149"/>
      <c r="J3" s="149"/>
      <c r="K3" s="148"/>
      <c r="L3" s="148"/>
      <c r="M3" s="150"/>
      <c r="O3" s="22"/>
      <c r="Q3" s="22"/>
    </row>
    <row r="4" spans="1:18" x14ac:dyDescent="0.2">
      <c r="A4" s="151"/>
      <c r="F4" s="221" t="s">
        <v>1487</v>
      </c>
      <c r="G4" s="95"/>
      <c r="H4" s="95"/>
      <c r="I4" s="152"/>
      <c r="J4" s="152"/>
      <c r="K4" s="221" t="s">
        <v>193</v>
      </c>
      <c r="L4" s="95"/>
      <c r="M4" s="153"/>
      <c r="O4" s="22"/>
      <c r="Q4" s="22"/>
    </row>
    <row r="5" spans="1:18" x14ac:dyDescent="0.2">
      <c r="A5" s="151"/>
      <c r="F5" s="95"/>
      <c r="G5" s="95"/>
      <c r="H5" s="95"/>
      <c r="I5" s="152"/>
      <c r="J5" s="152"/>
      <c r="K5" s="95"/>
      <c r="L5" s="95"/>
      <c r="M5" s="153"/>
      <c r="O5" s="22"/>
      <c r="Q5" s="22"/>
    </row>
    <row r="6" spans="1:18" x14ac:dyDescent="0.2">
      <c r="A6" s="151"/>
      <c r="C6" s="6" t="s">
        <v>316</v>
      </c>
      <c r="D6" s="6"/>
      <c r="E6" s="6"/>
      <c r="F6" s="96" t="s">
        <v>59</v>
      </c>
      <c r="G6" s="96"/>
      <c r="H6" s="96"/>
      <c r="I6" s="152"/>
      <c r="J6" s="152"/>
      <c r="K6" s="96" t="s">
        <v>59</v>
      </c>
      <c r="L6" s="96"/>
      <c r="M6" s="153"/>
      <c r="O6" s="22"/>
      <c r="Q6" s="22"/>
    </row>
    <row r="7" spans="1:18" x14ac:dyDescent="0.2">
      <c r="A7" s="151"/>
      <c r="C7" s="6"/>
      <c r="D7" s="6"/>
      <c r="E7" s="6"/>
      <c r="F7" s="96"/>
      <c r="G7" s="96"/>
      <c r="H7" s="96"/>
      <c r="I7" s="152"/>
      <c r="J7" s="152"/>
      <c r="K7" s="96"/>
      <c r="L7" s="96"/>
      <c r="M7" s="153"/>
      <c r="O7" s="22"/>
      <c r="Q7" s="22"/>
    </row>
    <row r="8" spans="1:18" x14ac:dyDescent="0.2">
      <c r="A8" s="151"/>
      <c r="B8" s="154" t="s">
        <v>65</v>
      </c>
      <c r="C8" s="41"/>
      <c r="D8" s="41"/>
      <c r="E8" s="41"/>
      <c r="M8" s="153"/>
      <c r="O8" s="22"/>
      <c r="Q8" s="22"/>
    </row>
    <row r="9" spans="1:18" x14ac:dyDescent="0.2">
      <c r="A9" s="151"/>
      <c r="B9" s="154"/>
      <c r="C9" s="41"/>
      <c r="D9" s="41"/>
      <c r="E9" s="41"/>
      <c r="F9" s="79"/>
      <c r="G9" s="79"/>
      <c r="H9" s="79"/>
      <c r="I9" s="79"/>
      <c r="J9" s="79"/>
      <c r="K9" s="79"/>
      <c r="L9" s="79"/>
      <c r="M9" s="153"/>
      <c r="O9" s="22"/>
      <c r="Q9" s="22"/>
    </row>
    <row r="10" spans="1:18" s="156" customFormat="1" ht="12.75" customHeight="1" x14ac:dyDescent="0.25">
      <c r="A10" s="155"/>
      <c r="B10" s="156" t="s">
        <v>66</v>
      </c>
      <c r="C10" s="97"/>
      <c r="D10" s="97"/>
      <c r="E10" s="97"/>
      <c r="F10" s="98">
        <f>+F12+F13+F14</f>
        <v>5634288078.5500002</v>
      </c>
      <c r="G10" s="98"/>
      <c r="H10" s="98"/>
      <c r="I10" s="98"/>
      <c r="J10" s="98"/>
      <c r="K10" s="98">
        <f>+K12+K13+K14</f>
        <v>5325644384.5500002</v>
      </c>
      <c r="L10" s="98"/>
      <c r="M10" s="157"/>
      <c r="N10" s="98"/>
    </row>
    <row r="11" spans="1:18" s="1" customFormat="1" ht="12.75" customHeight="1" x14ac:dyDescent="0.2">
      <c r="A11" s="158"/>
      <c r="B11" s="154"/>
      <c r="C11" s="6"/>
      <c r="D11" s="6"/>
      <c r="E11" s="99"/>
      <c r="F11" s="100"/>
      <c r="G11" s="101"/>
      <c r="H11" s="65"/>
      <c r="I11" s="65"/>
      <c r="J11" s="159"/>
      <c r="K11" s="100"/>
      <c r="L11" s="101"/>
      <c r="M11" s="160"/>
      <c r="N11" s="313"/>
    </row>
    <row r="12" spans="1:18" ht="12.75" customHeight="1" x14ac:dyDescent="0.2">
      <c r="A12" s="151"/>
      <c r="B12" s="161" t="s">
        <v>67</v>
      </c>
      <c r="C12" s="41">
        <v>2</v>
      </c>
      <c r="D12" s="41"/>
      <c r="E12" s="102"/>
      <c r="F12" s="79">
        <f>'Changes in Net assets'!D37</f>
        <v>11247728</v>
      </c>
      <c r="G12" s="103"/>
      <c r="H12" s="79"/>
      <c r="I12" s="79"/>
      <c r="J12" s="162"/>
      <c r="K12" s="79">
        <f>'Changes in Net assets'!D31</f>
        <v>11155453</v>
      </c>
      <c r="L12" s="103"/>
      <c r="M12" s="153"/>
      <c r="O12" s="22"/>
      <c r="Q12" s="22"/>
    </row>
    <row r="13" spans="1:18" ht="12.75" customHeight="1" x14ac:dyDescent="0.2">
      <c r="A13" s="151"/>
      <c r="B13" s="164" t="s">
        <v>98</v>
      </c>
      <c r="C13" s="41">
        <v>3</v>
      </c>
      <c r="D13" s="41"/>
      <c r="E13" s="102"/>
      <c r="F13" s="79">
        <f>'Changes in Net assets'!F37</f>
        <v>770838771</v>
      </c>
      <c r="G13" s="103"/>
      <c r="H13" s="79"/>
      <c r="I13" s="79"/>
      <c r="J13" s="162"/>
      <c r="K13" s="79">
        <f>'Changes in Net assets'!F31</f>
        <v>770838771</v>
      </c>
      <c r="L13" s="103"/>
      <c r="M13" s="153"/>
      <c r="N13" s="79"/>
      <c r="O13" s="22"/>
      <c r="Q13" s="22"/>
    </row>
    <row r="14" spans="1:18" ht="12.75" customHeight="1" x14ac:dyDescent="0.2">
      <c r="A14" s="151"/>
      <c r="B14" s="161" t="s">
        <v>598</v>
      </c>
      <c r="C14" s="41" t="s">
        <v>296</v>
      </c>
      <c r="D14" s="41"/>
      <c r="E14" s="102"/>
      <c r="F14" s="79">
        <f>'Changes in Net assets'!H37</f>
        <v>4852201579.5500002</v>
      </c>
      <c r="G14" s="103"/>
      <c r="H14" s="79"/>
      <c r="I14" s="79"/>
      <c r="J14" s="162"/>
      <c r="K14" s="79">
        <f>'Changes in Net assets'!H31</f>
        <v>4543650160.5500002</v>
      </c>
      <c r="L14" s="103"/>
      <c r="M14" s="153"/>
      <c r="N14" s="79"/>
      <c r="O14" s="433"/>
      <c r="P14" s="249" t="s">
        <v>296</v>
      </c>
      <c r="Q14" s="22"/>
    </row>
    <row r="15" spans="1:18" ht="12.75" customHeight="1" x14ac:dyDescent="0.2">
      <c r="A15" s="151"/>
      <c r="B15" s="161"/>
      <c r="C15" s="41"/>
      <c r="D15" s="41"/>
      <c r="E15" s="104"/>
      <c r="F15" s="105"/>
      <c r="G15" s="106"/>
      <c r="H15" s="79"/>
      <c r="I15" s="79"/>
      <c r="J15" s="163"/>
      <c r="K15" s="105"/>
      <c r="L15" s="106"/>
      <c r="M15" s="153"/>
      <c r="O15" s="22"/>
      <c r="Q15" s="22"/>
      <c r="R15" s="249" t="s">
        <v>296</v>
      </c>
    </row>
    <row r="16" spans="1:18" ht="12.75" customHeight="1" x14ac:dyDescent="0.2">
      <c r="A16" s="151"/>
      <c r="B16" s="154"/>
      <c r="C16" s="41"/>
      <c r="D16" s="41"/>
      <c r="E16" s="41"/>
      <c r="F16" s="79"/>
      <c r="G16" s="79"/>
      <c r="H16" s="79"/>
      <c r="I16" s="79"/>
      <c r="J16" s="79"/>
      <c r="K16" s="79"/>
      <c r="L16" s="79"/>
      <c r="M16" s="153"/>
      <c r="O16" s="22"/>
      <c r="Q16" s="22"/>
    </row>
    <row r="17" spans="1:17" ht="12.75" customHeight="1" x14ac:dyDescent="0.2">
      <c r="A17" s="151"/>
      <c r="B17" s="154"/>
      <c r="C17" s="41"/>
      <c r="D17" s="41"/>
      <c r="E17" s="41"/>
      <c r="F17" s="79"/>
      <c r="G17" s="79"/>
      <c r="H17" s="79"/>
      <c r="I17" s="79"/>
      <c r="J17" s="79"/>
      <c r="K17" s="79"/>
      <c r="L17" s="79"/>
      <c r="M17" s="153"/>
      <c r="O17" s="22"/>
      <c r="Q17" s="22"/>
    </row>
    <row r="18" spans="1:17" s="1" customFormat="1" x14ac:dyDescent="0.2">
      <c r="A18" s="158"/>
      <c r="B18" s="154" t="s">
        <v>599</v>
      </c>
      <c r="C18" s="6"/>
      <c r="D18" s="6"/>
      <c r="E18" s="6"/>
      <c r="F18" s="65">
        <f>SUM(F20:F21)</f>
        <v>251956430.32999998</v>
      </c>
      <c r="G18" s="65"/>
      <c r="H18" s="65"/>
      <c r="I18" s="65"/>
      <c r="J18" s="65"/>
      <c r="K18" s="65">
        <f>SUM(K20:K21)</f>
        <v>225288374.59999999</v>
      </c>
      <c r="L18" s="65"/>
      <c r="M18" s="160"/>
      <c r="N18" s="313"/>
    </row>
    <row r="19" spans="1:17" s="1" customFormat="1" ht="16.5" customHeight="1" x14ac:dyDescent="0.2">
      <c r="A19" s="158"/>
      <c r="B19" s="154"/>
      <c r="C19" s="6"/>
      <c r="D19" s="6"/>
      <c r="E19" s="6"/>
      <c r="F19" s="65"/>
      <c r="G19" s="65"/>
      <c r="H19" s="65"/>
      <c r="I19" s="65"/>
      <c r="J19" s="65"/>
      <c r="K19" s="65"/>
      <c r="L19" s="65"/>
      <c r="M19" s="160"/>
      <c r="N19" s="313"/>
    </row>
    <row r="20" spans="1:17" ht="12.75" customHeight="1" x14ac:dyDescent="0.2">
      <c r="A20" s="151"/>
      <c r="B20" s="161" t="s">
        <v>396</v>
      </c>
      <c r="C20" s="41">
        <v>4</v>
      </c>
      <c r="D20" s="41"/>
      <c r="E20" s="41"/>
      <c r="F20" s="250">
        <f>'Notes 2 - 7'!G46</f>
        <v>230687558.32999998</v>
      </c>
      <c r="G20" s="94"/>
      <c r="H20" s="94"/>
      <c r="I20" s="94"/>
      <c r="J20" s="94"/>
      <c r="K20" s="250">
        <f>'Notes 2 - 7'!I46</f>
        <v>225288374.59999999</v>
      </c>
      <c r="L20" s="79"/>
      <c r="M20" s="153"/>
      <c r="O20" s="22"/>
      <c r="Q20" s="22"/>
    </row>
    <row r="21" spans="1:17" ht="12.75" customHeight="1" x14ac:dyDescent="0.2">
      <c r="A21" s="151"/>
      <c r="B21" s="164" t="s">
        <v>1083</v>
      </c>
      <c r="C21" s="41">
        <v>39</v>
      </c>
      <c r="D21" s="41"/>
      <c r="E21" s="41"/>
      <c r="F21" s="93">
        <f>'Note 34-48'!F385</f>
        <v>21268872</v>
      </c>
      <c r="G21" s="79"/>
      <c r="H21" s="79"/>
      <c r="I21" s="79"/>
      <c r="J21" s="79"/>
      <c r="K21" s="93">
        <f>'Note 34-48'!F390</f>
        <v>0</v>
      </c>
      <c r="L21" s="79"/>
      <c r="M21" s="153"/>
      <c r="O21" s="22"/>
      <c r="Q21" s="22"/>
    </row>
    <row r="22" spans="1:17" x14ac:dyDescent="0.2">
      <c r="A22" s="151"/>
      <c r="B22" s="154"/>
      <c r="C22" s="41"/>
      <c r="D22" s="41"/>
      <c r="E22" s="41"/>
      <c r="F22" s="79"/>
      <c r="G22" s="79"/>
      <c r="H22" s="79"/>
      <c r="I22" s="79"/>
      <c r="J22" s="79"/>
      <c r="K22" s="79"/>
      <c r="L22" s="79"/>
      <c r="M22" s="153"/>
      <c r="O22" s="22"/>
      <c r="Q22" s="22"/>
    </row>
    <row r="23" spans="1:17" s="1" customFormat="1" x14ac:dyDescent="0.2">
      <c r="A23" s="158"/>
      <c r="B23" s="154" t="s">
        <v>64</v>
      </c>
      <c r="C23" s="6"/>
      <c r="D23" s="6"/>
      <c r="E23" s="6"/>
      <c r="F23" s="65">
        <f>SUM(F25:F30)</f>
        <v>782505021.78999996</v>
      </c>
      <c r="G23" s="65"/>
      <c r="H23" s="65"/>
      <c r="I23" s="65"/>
      <c r="J23" s="65"/>
      <c r="K23" s="65">
        <f>SUM(K25:K30)+1</f>
        <v>900101680.50999999</v>
      </c>
      <c r="L23" s="65"/>
      <c r="M23" s="160"/>
      <c r="N23" s="65"/>
    </row>
    <row r="24" spans="1:17" s="1" customFormat="1" ht="18" customHeight="1" x14ac:dyDescent="0.2">
      <c r="A24" s="158"/>
      <c r="B24" s="154"/>
      <c r="C24" s="6"/>
      <c r="D24" s="6"/>
      <c r="E24" s="6"/>
      <c r="F24" s="107"/>
      <c r="G24" s="65"/>
      <c r="H24" s="65"/>
      <c r="I24" s="65"/>
      <c r="J24" s="65"/>
      <c r="K24" s="107"/>
      <c r="L24" s="65"/>
      <c r="M24" s="160"/>
      <c r="N24" s="313"/>
    </row>
    <row r="25" spans="1:17" ht="17.25" customHeight="1" x14ac:dyDescent="0.2">
      <c r="A25" s="151"/>
      <c r="B25" s="161" t="s">
        <v>600</v>
      </c>
      <c r="C25" s="41">
        <v>5</v>
      </c>
      <c r="D25" s="41"/>
      <c r="E25" s="41"/>
      <c r="F25" s="82">
        <f>+'Notes 2 - 7'!G64</f>
        <v>68863503.030000001</v>
      </c>
      <c r="G25" s="79"/>
      <c r="H25" s="79"/>
      <c r="I25" s="79"/>
      <c r="J25" s="79"/>
      <c r="K25" s="82">
        <f>+'Notes 2 - 7'!I64</f>
        <v>67612258.829999998</v>
      </c>
      <c r="L25" s="79"/>
      <c r="M25" s="153"/>
      <c r="N25" s="79"/>
      <c r="O25" s="22"/>
      <c r="Q25" s="22"/>
    </row>
    <row r="26" spans="1:17" ht="17.25" customHeight="1" x14ac:dyDescent="0.2">
      <c r="A26" s="151"/>
      <c r="B26" s="161" t="s">
        <v>265</v>
      </c>
      <c r="C26" s="41">
        <v>6</v>
      </c>
      <c r="D26" s="41"/>
      <c r="E26" s="41"/>
      <c r="F26" s="82">
        <f>'Notes 2 - 7'!G81</f>
        <v>370164912.20000005</v>
      </c>
      <c r="G26" s="79"/>
      <c r="H26" s="79"/>
      <c r="I26" s="79"/>
      <c r="J26" s="79"/>
      <c r="K26" s="82">
        <f>'Notes 2 - 7'!I81-1</f>
        <v>352780534.41999996</v>
      </c>
      <c r="L26" s="79"/>
      <c r="M26" s="153"/>
      <c r="O26" s="22"/>
      <c r="Q26" s="22"/>
    </row>
    <row r="27" spans="1:17" ht="17.25" customHeight="1" x14ac:dyDescent="0.2">
      <c r="A27" s="151"/>
      <c r="B27" s="164" t="s">
        <v>547</v>
      </c>
      <c r="C27" s="305">
        <v>36</v>
      </c>
      <c r="D27" s="41"/>
      <c r="E27" s="41"/>
      <c r="F27" s="82">
        <f>'Note 34-48'!E262</f>
        <v>264084655</v>
      </c>
      <c r="G27" s="79"/>
      <c r="H27" s="79"/>
      <c r="I27" s="79"/>
      <c r="J27" s="79"/>
      <c r="K27" s="82">
        <f>'Note 34-48'!F262</f>
        <v>244712945</v>
      </c>
      <c r="L27" s="79"/>
      <c r="M27" s="153"/>
      <c r="O27" s="431"/>
      <c r="Q27" s="22"/>
    </row>
    <row r="28" spans="1:17" ht="17.25" customHeight="1" x14ac:dyDescent="0.25">
      <c r="A28" s="151"/>
      <c r="B28" s="161" t="s">
        <v>601</v>
      </c>
      <c r="C28" s="41">
        <v>7</v>
      </c>
      <c r="D28" s="41"/>
      <c r="E28" s="41"/>
      <c r="F28" s="82">
        <f>'Notes 2 - 7'!G102</f>
        <v>11827751.919999998</v>
      </c>
      <c r="G28" s="79"/>
      <c r="H28" s="79"/>
      <c r="I28" s="79"/>
      <c r="J28" s="79"/>
      <c r="K28" s="82">
        <f>'Notes 2 - 7'!I102</f>
        <v>195134949.90999997</v>
      </c>
      <c r="L28" s="79"/>
      <c r="M28" s="153"/>
      <c r="N28" s="79"/>
      <c r="O28" s="432"/>
      <c r="Q28" s="22"/>
    </row>
    <row r="29" spans="1:17" ht="17.25" customHeight="1" x14ac:dyDescent="0.2">
      <c r="A29" s="151"/>
      <c r="B29" s="161" t="s">
        <v>397</v>
      </c>
      <c r="C29" s="41">
        <v>4</v>
      </c>
      <c r="D29" s="41"/>
      <c r="E29" s="41"/>
      <c r="F29" s="316">
        <f>'Notes 2 - 7'!G43</f>
        <v>65065520.640000001</v>
      </c>
      <c r="G29" s="79"/>
      <c r="H29" s="79"/>
      <c r="I29" s="79"/>
      <c r="J29" s="79"/>
      <c r="K29" s="316">
        <f>'Notes 2 - 7'!I43</f>
        <v>37263987.349999994</v>
      </c>
      <c r="L29" s="79"/>
      <c r="M29" s="153"/>
      <c r="N29" s="79"/>
      <c r="O29" s="434" t="s">
        <v>296</v>
      </c>
      <c r="Q29" s="22"/>
    </row>
    <row r="30" spans="1:17" ht="17.25" customHeight="1" x14ac:dyDescent="0.2">
      <c r="A30" s="151"/>
      <c r="B30" s="164" t="s">
        <v>1084</v>
      </c>
      <c r="C30" s="41">
        <v>39</v>
      </c>
      <c r="D30" s="41"/>
      <c r="E30" s="41"/>
      <c r="F30" s="93">
        <f>'Note 34-48'!F384</f>
        <v>2498679</v>
      </c>
      <c r="G30" s="79"/>
      <c r="H30" s="79"/>
      <c r="I30" s="79"/>
      <c r="J30" s="79"/>
      <c r="K30" s="93">
        <f>'Note 34-48'!F389</f>
        <v>2597004</v>
      </c>
      <c r="L30" s="79"/>
      <c r="M30" s="153"/>
      <c r="O30" s="434" t="s">
        <v>296</v>
      </c>
      <c r="Q30" s="22"/>
    </row>
    <row r="31" spans="1:17" x14ac:dyDescent="0.2">
      <c r="A31" s="151"/>
      <c r="B31" s="161"/>
      <c r="C31" s="41"/>
      <c r="D31" s="41"/>
      <c r="E31" s="41"/>
      <c r="F31" s="79"/>
      <c r="G31" s="79"/>
      <c r="H31" s="79"/>
      <c r="I31" s="79"/>
      <c r="J31" s="79"/>
      <c r="K31" s="79"/>
      <c r="L31" s="79"/>
      <c r="M31" s="153"/>
      <c r="O31" s="249" t="s">
        <v>296</v>
      </c>
      <c r="Q31" s="22"/>
    </row>
    <row r="32" spans="1:17" s="1" customFormat="1" ht="15.75" customHeight="1" thickBot="1" x14ac:dyDescent="0.25">
      <c r="A32" s="158"/>
      <c r="B32" s="165" t="s">
        <v>602</v>
      </c>
      <c r="C32" s="97"/>
      <c r="D32" s="97"/>
      <c r="E32" s="97"/>
      <c r="F32" s="108">
        <f>F23+F18+F10</f>
        <v>6668749530.6700001</v>
      </c>
      <c r="G32" s="98"/>
      <c r="H32" s="98"/>
      <c r="I32" s="98"/>
      <c r="J32" s="98"/>
      <c r="K32" s="108">
        <f>K23+K18+K10+1</f>
        <v>6451034440.6599998</v>
      </c>
      <c r="L32" s="98"/>
      <c r="M32" s="160"/>
      <c r="N32" s="98"/>
      <c r="O32" s="435" t="s">
        <v>296</v>
      </c>
    </row>
    <row r="33" spans="1:17" s="1" customFormat="1" ht="15.75" customHeight="1" thickTop="1" x14ac:dyDescent="0.2">
      <c r="A33" s="158"/>
      <c r="B33" s="165"/>
      <c r="C33" s="97"/>
      <c r="D33" s="97"/>
      <c r="E33" s="97"/>
      <c r="F33" s="98"/>
      <c r="G33" s="98"/>
      <c r="H33" s="98"/>
      <c r="I33" s="98"/>
      <c r="J33" s="98"/>
      <c r="K33" s="98"/>
      <c r="L33" s="98"/>
      <c r="M33" s="160"/>
      <c r="N33" s="313"/>
    </row>
    <row r="34" spans="1:17" ht="15" x14ac:dyDescent="0.25">
      <c r="A34" s="151"/>
      <c r="B34" s="154"/>
      <c r="C34" s="41"/>
      <c r="D34" s="41"/>
      <c r="E34" s="41"/>
      <c r="F34" s="79"/>
      <c r="G34" s="79"/>
      <c r="H34" s="79"/>
      <c r="I34" s="79"/>
      <c r="J34" s="79"/>
      <c r="K34" s="79"/>
      <c r="L34" s="79"/>
      <c r="M34" s="153"/>
      <c r="O34"/>
      <c r="Q34" s="22"/>
    </row>
    <row r="35" spans="1:17" x14ac:dyDescent="0.2">
      <c r="A35" s="151"/>
      <c r="B35" s="154" t="s">
        <v>603</v>
      </c>
      <c r="C35" s="41"/>
      <c r="D35" s="41"/>
      <c r="E35" s="41"/>
      <c r="F35" s="79"/>
      <c r="G35" s="79"/>
      <c r="H35" s="79"/>
      <c r="I35" s="79"/>
      <c r="J35" s="79"/>
      <c r="K35" s="79"/>
      <c r="L35" s="79"/>
      <c r="M35" s="153"/>
      <c r="O35" s="22"/>
      <c r="Q35" s="22"/>
    </row>
    <row r="36" spans="1:17" x14ac:dyDescent="0.2">
      <c r="A36" s="151"/>
      <c r="B36" s="154"/>
      <c r="C36" s="41"/>
      <c r="D36" s="41"/>
      <c r="E36" s="41"/>
      <c r="F36" s="79"/>
      <c r="G36" s="79"/>
      <c r="H36" s="79"/>
      <c r="I36" s="79"/>
      <c r="J36" s="79"/>
      <c r="K36" s="79"/>
      <c r="L36" s="79"/>
      <c r="M36" s="153"/>
      <c r="O36" s="22"/>
      <c r="Q36" s="22"/>
    </row>
    <row r="37" spans="1:17" s="1" customFormat="1" x14ac:dyDescent="0.2">
      <c r="A37" s="158"/>
      <c r="B37" s="154" t="s">
        <v>604</v>
      </c>
      <c r="C37" s="6"/>
      <c r="D37" s="6"/>
      <c r="E37" s="6"/>
      <c r="F37" s="65" t="e">
        <f>SUM(F39:F46)</f>
        <v>#REF!</v>
      </c>
      <c r="G37" s="65"/>
      <c r="H37" s="65"/>
      <c r="I37" s="65"/>
      <c r="J37" s="65"/>
      <c r="K37" s="65" t="e">
        <f>SUM(K39:K46)</f>
        <v>#REF!</v>
      </c>
      <c r="L37" s="65"/>
      <c r="M37" s="160"/>
      <c r="N37" s="65"/>
    </row>
    <row r="38" spans="1:17" s="1" customFormat="1" ht="18.75" customHeight="1" x14ac:dyDescent="0.2">
      <c r="A38" s="158"/>
      <c r="B38" s="154"/>
      <c r="C38" s="6"/>
      <c r="D38" s="6"/>
      <c r="E38" s="6"/>
      <c r="F38" s="107"/>
      <c r="G38" s="65"/>
      <c r="H38" s="65"/>
      <c r="I38" s="65"/>
      <c r="J38" s="65"/>
      <c r="K38" s="107"/>
      <c r="L38" s="65"/>
      <c r="M38" s="160"/>
      <c r="N38" s="65"/>
    </row>
    <row r="39" spans="1:17" ht="15.75" customHeight="1" x14ac:dyDescent="0.2">
      <c r="A39" s="151"/>
      <c r="B39" s="161" t="s">
        <v>605</v>
      </c>
      <c r="C39" s="41">
        <v>8</v>
      </c>
      <c r="D39" s="41"/>
      <c r="E39" s="41"/>
      <c r="F39" s="82" t="e">
        <f>'Note 8 Assets'!#REF!</f>
        <v>#REF!</v>
      </c>
      <c r="G39" s="79"/>
      <c r="H39" s="79"/>
      <c r="I39" s="79"/>
      <c r="J39" s="79"/>
      <c r="K39" s="82" t="e">
        <f>'Note 8 Assets'!#REF!</f>
        <v>#REF!</v>
      </c>
      <c r="L39" s="79"/>
      <c r="M39" s="153"/>
      <c r="N39" s="79"/>
      <c r="O39" s="22"/>
      <c r="Q39" s="22"/>
    </row>
    <row r="40" spans="1:17" ht="15.75" customHeight="1" x14ac:dyDescent="0.2">
      <c r="A40" s="151"/>
      <c r="B40" s="164" t="s">
        <v>1069</v>
      </c>
      <c r="C40" s="41">
        <v>8.1</v>
      </c>
      <c r="D40" s="41"/>
      <c r="E40" s="41"/>
      <c r="F40" s="82" t="e">
        <f>'Note 8 Assets'!#REF!</f>
        <v>#REF!</v>
      </c>
      <c r="G40" s="79"/>
      <c r="H40" s="79"/>
      <c r="I40" s="79"/>
      <c r="J40" s="79"/>
      <c r="K40" s="82" t="e">
        <f>'Note 8 Assets'!#REF!</f>
        <v>#REF!</v>
      </c>
      <c r="L40" s="79"/>
      <c r="M40" s="153"/>
      <c r="N40" s="79"/>
      <c r="O40" s="22"/>
      <c r="Q40" s="22"/>
    </row>
    <row r="41" spans="1:17" ht="15.75" customHeight="1" x14ac:dyDescent="0.2">
      <c r="A41" s="151"/>
      <c r="B41" s="164" t="s">
        <v>2611</v>
      </c>
      <c r="C41" s="41">
        <v>8.3000000000000007</v>
      </c>
      <c r="D41" s="41"/>
      <c r="E41" s="41"/>
      <c r="F41" s="82" t="e">
        <f>'Note 8.2 Assets'!#REF!</f>
        <v>#REF!</v>
      </c>
      <c r="G41" s="79"/>
      <c r="H41" s="79"/>
      <c r="I41" s="79"/>
      <c r="J41" s="79"/>
      <c r="K41" s="82" t="e">
        <f>'Note 8.2 Assets'!#REF!</f>
        <v>#REF!</v>
      </c>
      <c r="L41" s="79"/>
      <c r="M41" s="153"/>
      <c r="N41" s="79"/>
      <c r="O41" s="22"/>
      <c r="Q41" s="22"/>
    </row>
    <row r="42" spans="1:17" ht="15.75" customHeight="1" x14ac:dyDescent="0.2">
      <c r="A42" s="151"/>
      <c r="B42" s="161" t="s">
        <v>191</v>
      </c>
      <c r="C42" s="41">
        <v>8.1999999999999993</v>
      </c>
      <c r="D42" s="41"/>
      <c r="E42" s="41"/>
      <c r="F42" s="82" t="e">
        <f>'Note 9-33'!#REF!</f>
        <v>#REF!</v>
      </c>
      <c r="G42" s="79"/>
      <c r="H42" s="79"/>
      <c r="I42" s="79"/>
      <c r="J42" s="79"/>
      <c r="K42" s="82" t="e">
        <f>'Note 9-33'!#REF!</f>
        <v>#REF!</v>
      </c>
      <c r="L42" s="79"/>
      <c r="M42" s="153"/>
      <c r="N42" s="79"/>
      <c r="O42" s="22"/>
      <c r="Q42" s="22"/>
    </row>
    <row r="43" spans="1:17" ht="15.75" customHeight="1" x14ac:dyDescent="0.2">
      <c r="A43" s="151"/>
      <c r="B43" s="161" t="s">
        <v>418</v>
      </c>
      <c r="C43" s="41">
        <v>9</v>
      </c>
      <c r="D43" s="41"/>
      <c r="E43" s="41"/>
      <c r="F43" s="82">
        <f>'Note 9-33'!H9</f>
        <v>1000</v>
      </c>
      <c r="G43" s="79"/>
      <c r="H43" s="79"/>
      <c r="I43" s="79"/>
      <c r="J43" s="79"/>
      <c r="K43" s="82">
        <f>'Note 9-33'!J10</f>
        <v>59000800</v>
      </c>
      <c r="L43" s="79"/>
      <c r="M43" s="153"/>
      <c r="N43" s="79"/>
      <c r="O43" s="22"/>
      <c r="Q43" s="22"/>
    </row>
    <row r="44" spans="1:17" hidden="1" x14ac:dyDescent="0.2">
      <c r="A44" s="151"/>
      <c r="B44" s="161" t="s">
        <v>606</v>
      </c>
      <c r="C44" s="41">
        <v>9</v>
      </c>
      <c r="D44" s="41"/>
      <c r="E44" s="41"/>
      <c r="F44" s="82">
        <v>0</v>
      </c>
      <c r="G44" s="79"/>
      <c r="H44" s="79"/>
      <c r="I44" s="79"/>
      <c r="J44" s="79"/>
      <c r="K44" s="82">
        <v>0</v>
      </c>
      <c r="L44" s="79"/>
      <c r="M44" s="153"/>
      <c r="N44" s="79"/>
      <c r="O44" s="22"/>
      <c r="Q44" s="22"/>
    </row>
    <row r="45" spans="1:17" ht="17.25" customHeight="1" x14ac:dyDescent="0.2">
      <c r="A45" s="151"/>
      <c r="B45" s="161" t="s">
        <v>267</v>
      </c>
      <c r="C45" s="41">
        <v>10</v>
      </c>
      <c r="D45" s="41"/>
      <c r="E45" s="41"/>
      <c r="F45" s="523">
        <f>'Note 9-33'!H43</f>
        <v>210172.62000000104</v>
      </c>
      <c r="G45" s="79"/>
      <c r="H45" s="79"/>
      <c r="I45" s="79"/>
      <c r="J45" s="79"/>
      <c r="K45" s="82">
        <f>'Note 9-33'!J43</f>
        <v>375671.24278290942</v>
      </c>
      <c r="L45" s="79"/>
      <c r="M45" s="153"/>
      <c r="N45" s="79"/>
      <c r="O45" s="22"/>
      <c r="Q45" s="22"/>
    </row>
    <row r="46" spans="1:17" ht="13.5" customHeight="1" x14ac:dyDescent="0.2">
      <c r="A46" s="151"/>
      <c r="B46" s="164" t="s">
        <v>2467</v>
      </c>
      <c r="C46" s="41">
        <v>9</v>
      </c>
      <c r="D46" s="41"/>
      <c r="E46" s="41"/>
      <c r="F46" s="93">
        <f>'Note 9-33'!H7</f>
        <v>58999800</v>
      </c>
      <c r="G46" s="79"/>
      <c r="H46" s="79"/>
      <c r="I46" s="79"/>
      <c r="J46" s="79"/>
      <c r="K46" s="93">
        <v>0</v>
      </c>
      <c r="L46" s="79"/>
      <c r="M46" s="153"/>
      <c r="N46" s="79"/>
      <c r="O46" s="22"/>
      <c r="Q46" s="22"/>
    </row>
    <row r="47" spans="1:17" x14ac:dyDescent="0.2">
      <c r="A47" s="151"/>
      <c r="B47" s="154"/>
      <c r="C47" s="41"/>
      <c r="D47" s="41"/>
      <c r="E47" s="41"/>
      <c r="F47" s="79"/>
      <c r="G47" s="79"/>
      <c r="H47" s="79"/>
      <c r="I47" s="79"/>
      <c r="J47" s="79"/>
      <c r="K47" s="79"/>
      <c r="L47" s="79"/>
      <c r="M47" s="153"/>
      <c r="O47" s="22"/>
      <c r="Q47" s="22"/>
    </row>
    <row r="48" spans="1:17" s="1" customFormat="1" x14ac:dyDescent="0.2">
      <c r="A48" s="158"/>
      <c r="B48" s="154" t="s">
        <v>63</v>
      </c>
      <c r="C48" s="6"/>
      <c r="D48" s="6"/>
      <c r="E48" s="6"/>
      <c r="F48" s="65">
        <f>SUM(F50:F56)</f>
        <v>610501955.37999976</v>
      </c>
      <c r="G48" s="65"/>
      <c r="H48" s="65"/>
      <c r="I48" s="65"/>
      <c r="J48" s="65"/>
      <c r="K48" s="65">
        <f>SUM(K50:K56)</f>
        <v>793983764.98721707</v>
      </c>
      <c r="L48" s="65"/>
      <c r="M48" s="160"/>
      <c r="N48" s="65"/>
    </row>
    <row r="49" spans="1:17" s="1" customFormat="1" ht="3.95" customHeight="1" x14ac:dyDescent="0.2">
      <c r="A49" s="158"/>
      <c r="B49" s="154"/>
      <c r="C49" s="6"/>
      <c r="D49" s="6"/>
      <c r="E49" s="6"/>
      <c r="F49" s="107"/>
      <c r="G49" s="65"/>
      <c r="H49" s="65"/>
      <c r="I49" s="65"/>
      <c r="J49" s="65"/>
      <c r="K49" s="107"/>
      <c r="L49" s="65"/>
      <c r="M49" s="160"/>
      <c r="N49" s="65"/>
    </row>
    <row r="50" spans="1:17" ht="16.5" customHeight="1" x14ac:dyDescent="0.2">
      <c r="A50" s="151"/>
      <c r="B50" s="161" t="s">
        <v>607</v>
      </c>
      <c r="C50" s="41">
        <v>11</v>
      </c>
      <c r="D50" s="41"/>
      <c r="E50" s="41"/>
      <c r="F50" s="82">
        <f>'Note 9-33'!H73</f>
        <v>40022937.999999993</v>
      </c>
      <c r="G50" s="79"/>
      <c r="H50" s="79"/>
      <c r="I50" s="79"/>
      <c r="J50" s="79"/>
      <c r="K50" s="82">
        <f>'Note 9-33'!J73</f>
        <v>36214414.309999995</v>
      </c>
      <c r="L50" s="79"/>
      <c r="M50" s="153"/>
      <c r="N50" s="79"/>
      <c r="O50" s="22"/>
      <c r="Q50" s="22"/>
    </row>
    <row r="51" spans="1:17" ht="16.5" customHeight="1" x14ac:dyDescent="0.2">
      <c r="A51" s="151"/>
      <c r="B51" s="161" t="s">
        <v>608</v>
      </c>
      <c r="C51" s="41">
        <v>9</v>
      </c>
      <c r="D51" s="41"/>
      <c r="E51" s="41"/>
      <c r="F51" s="82">
        <f>+'Note 9-33'!H15</f>
        <v>0</v>
      </c>
      <c r="G51" s="79"/>
      <c r="H51" s="79"/>
      <c r="I51" s="79"/>
      <c r="J51" s="79"/>
      <c r="K51" s="82">
        <f>+'Note 9-33'!J15</f>
        <v>0</v>
      </c>
      <c r="L51" s="79"/>
      <c r="M51" s="153"/>
      <c r="N51" s="79"/>
      <c r="O51" s="22"/>
      <c r="Q51" s="22"/>
    </row>
    <row r="52" spans="1:17" ht="16.5" customHeight="1" x14ac:dyDescent="0.2">
      <c r="A52" s="151"/>
      <c r="B52" s="161" t="s">
        <v>609</v>
      </c>
      <c r="C52" s="41">
        <v>12</v>
      </c>
      <c r="D52" s="41"/>
      <c r="E52" s="41"/>
      <c r="F52" s="82">
        <f>+'Note 9-33'!H99</f>
        <v>436599300.83999979</v>
      </c>
      <c r="G52" s="79"/>
      <c r="H52" s="79"/>
      <c r="I52" s="79"/>
      <c r="J52" s="79"/>
      <c r="K52" s="82">
        <f>+'Note 9-33'!J99</f>
        <v>372358535.13999999</v>
      </c>
      <c r="L52" s="79"/>
      <c r="M52" s="153"/>
      <c r="N52" s="79"/>
      <c r="O52" s="22"/>
      <c r="Q52" s="22"/>
    </row>
    <row r="53" spans="1:17" ht="16.5" customHeight="1" x14ac:dyDescent="0.2">
      <c r="A53" s="151"/>
      <c r="B53" s="161" t="s">
        <v>288</v>
      </c>
      <c r="C53" s="41">
        <v>13</v>
      </c>
      <c r="D53" s="41"/>
      <c r="E53" s="41"/>
      <c r="F53" s="82">
        <f>+'Note 9-33'!H198-1</f>
        <v>27593624.43</v>
      </c>
      <c r="G53" s="79"/>
      <c r="H53" s="79"/>
      <c r="I53" s="79"/>
      <c r="J53" s="79"/>
      <c r="K53" s="82">
        <f>+'Note 9-33'!J198</f>
        <v>14277866.399999999</v>
      </c>
      <c r="L53" s="79"/>
      <c r="M53" s="153"/>
      <c r="N53" s="79"/>
      <c r="O53" s="22"/>
      <c r="Q53" s="22"/>
    </row>
    <row r="54" spans="1:17" ht="16.5" customHeight="1" x14ac:dyDescent="0.2">
      <c r="A54" s="151"/>
      <c r="B54" s="161" t="s">
        <v>813</v>
      </c>
      <c r="C54" s="41">
        <v>14</v>
      </c>
      <c r="D54" s="41"/>
      <c r="E54" s="41"/>
      <c r="F54" s="82">
        <f>'Note 9-33'!H215</f>
        <v>14491317.34</v>
      </c>
      <c r="G54" s="79"/>
      <c r="H54" s="79"/>
      <c r="I54" s="79"/>
      <c r="J54" s="79"/>
      <c r="K54" s="82">
        <f>+'Note 9-33'!J215</f>
        <v>42503315.189999998</v>
      </c>
      <c r="L54" s="79"/>
      <c r="M54" s="153"/>
      <c r="O54" s="22"/>
      <c r="Q54" s="22"/>
    </row>
    <row r="55" spans="1:17" ht="16.5" customHeight="1" x14ac:dyDescent="0.2">
      <c r="A55" s="151"/>
      <c r="B55" s="161" t="s">
        <v>314</v>
      </c>
      <c r="C55" s="41">
        <v>10</v>
      </c>
      <c r="D55" s="41"/>
      <c r="E55" s="41"/>
      <c r="F55" s="523">
        <f>'Note 9-33'!H37</f>
        <v>5466103.6099999994</v>
      </c>
      <c r="G55" s="79"/>
      <c r="H55" s="79"/>
      <c r="I55" s="79"/>
      <c r="J55" s="79"/>
      <c r="K55" s="82">
        <f>'Note 9-33'!J37</f>
        <v>5666186.6672170907</v>
      </c>
      <c r="L55" s="79"/>
      <c r="M55" s="153"/>
      <c r="N55" s="79"/>
      <c r="O55" s="22"/>
      <c r="Q55" s="22"/>
    </row>
    <row r="56" spans="1:17" ht="16.5" customHeight="1" x14ac:dyDescent="0.2">
      <c r="A56" s="151"/>
      <c r="B56" s="161" t="s">
        <v>564</v>
      </c>
      <c r="C56" s="41">
        <v>15</v>
      </c>
      <c r="D56" s="41"/>
      <c r="E56" s="41"/>
      <c r="F56" s="82">
        <f>+'Note 9-33'!H268</f>
        <v>86328671.160000011</v>
      </c>
      <c r="G56" s="79"/>
      <c r="H56" s="79"/>
      <c r="I56" s="79"/>
      <c r="J56" s="79"/>
      <c r="K56" s="82">
        <f>+'Note 9-33'!J268</f>
        <v>322963447.28000003</v>
      </c>
      <c r="L56" s="79"/>
      <c r="M56" s="153"/>
      <c r="N56" s="79"/>
      <c r="O56" s="22"/>
      <c r="Q56" s="22"/>
    </row>
    <row r="57" spans="1:17" ht="3.95" customHeight="1" x14ac:dyDescent="0.2">
      <c r="A57" s="151"/>
      <c r="B57" s="161"/>
      <c r="C57" s="41"/>
      <c r="D57" s="41"/>
      <c r="E57" s="41"/>
      <c r="F57" s="93"/>
      <c r="G57" s="79"/>
      <c r="H57" s="79"/>
      <c r="I57" s="79"/>
      <c r="J57" s="79"/>
      <c r="K57" s="93"/>
      <c r="L57" s="79"/>
      <c r="M57" s="153"/>
      <c r="O57" s="22"/>
      <c r="Q57" s="22"/>
    </row>
    <row r="58" spans="1:17" x14ac:dyDescent="0.2">
      <c r="A58" s="151"/>
      <c r="B58" s="161"/>
      <c r="C58" s="41"/>
      <c r="D58" s="41"/>
      <c r="E58" s="41"/>
      <c r="F58" s="79"/>
      <c r="G58" s="79"/>
      <c r="H58" s="79"/>
      <c r="I58" s="79"/>
      <c r="J58" s="79"/>
      <c r="K58" s="79"/>
      <c r="L58" s="79"/>
      <c r="M58" s="153"/>
    </row>
    <row r="59" spans="1:17" s="1" customFormat="1" ht="15.75" customHeight="1" thickBot="1" x14ac:dyDescent="0.25">
      <c r="A59" s="158"/>
      <c r="B59" s="165" t="s">
        <v>315</v>
      </c>
      <c r="C59" s="97"/>
      <c r="D59" s="97"/>
      <c r="E59" s="97"/>
      <c r="F59" s="108" t="e">
        <f>F48+F37</f>
        <v>#REF!</v>
      </c>
      <c r="G59" s="98"/>
      <c r="H59" s="98"/>
      <c r="I59" s="98"/>
      <c r="J59" s="98"/>
      <c r="K59" s="108" t="e">
        <f>K48+K37+1</f>
        <v>#REF!</v>
      </c>
      <c r="L59" s="98"/>
      <c r="M59" s="160"/>
      <c r="N59" s="98"/>
      <c r="O59" s="312"/>
      <c r="Q59" s="6"/>
    </row>
    <row r="60" spans="1:17" ht="14.25" thickTop="1" thickBot="1" x14ac:dyDescent="0.25">
      <c r="A60" s="166"/>
      <c r="B60" s="167"/>
      <c r="C60" s="109"/>
      <c r="D60" s="109"/>
      <c r="E60" s="109"/>
      <c r="F60" s="110"/>
      <c r="G60" s="110"/>
      <c r="H60" s="110"/>
      <c r="I60" s="168"/>
      <c r="J60" s="168"/>
      <c r="K60" s="110"/>
      <c r="L60" s="110"/>
      <c r="M60" s="169"/>
      <c r="N60" s="79"/>
    </row>
    <row r="62" spans="1:17" x14ac:dyDescent="0.2">
      <c r="F62" s="24" t="e">
        <f>F32-F59</f>
        <v>#REF!</v>
      </c>
      <c r="K62" s="24" t="e">
        <f>K32-K59</f>
        <v>#REF!</v>
      </c>
      <c r="N62" s="24"/>
    </row>
    <row r="64" spans="1:17" x14ac:dyDescent="0.2">
      <c r="C64" s="80"/>
    </row>
  </sheetData>
  <phoneticPr fontId="0" type="noConversion"/>
  <printOptions horizontalCentered="1"/>
  <pageMargins left="0.6692913385826772" right="0.39370078740157483" top="1.3779527559055118" bottom="0.78740157480314965" header="0.51181102362204722" footer="0.51181102362204722"/>
  <pageSetup paperSize="9" scale="85" firstPageNumber="2" orientation="portrait" useFirstPageNumber="1" horizontalDpi="300" verticalDpi="300" r:id="rId1"/>
  <headerFooter alignWithMargins="0">
    <oddHeader>&amp;C&amp;"-,Bold"POLOKWANE MUNICIPALITY
STATEMENT OF FINANCIAL POSITION FOR THE YEAR ENDED 30 JUNE 2012</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27"/>
  <sheetViews>
    <sheetView topLeftCell="A109" workbookViewId="0">
      <selection activeCell="C115" sqref="C115"/>
    </sheetView>
  </sheetViews>
  <sheetFormatPr defaultRowHeight="12.75" x14ac:dyDescent="0.2"/>
  <cols>
    <col min="1" max="1" width="19.85546875" style="1083" customWidth="1"/>
    <col min="2" max="2" width="46" style="1083" customWidth="1"/>
    <col min="3" max="3" width="48.140625" style="1083" customWidth="1"/>
    <col min="4" max="16384" width="9.140625" style="1083"/>
  </cols>
  <sheetData>
    <row r="2" spans="2:3" x14ac:dyDescent="0.2">
      <c r="B2" s="459" t="s">
        <v>3790</v>
      </c>
    </row>
    <row r="3" spans="2:3" x14ac:dyDescent="0.2">
      <c r="B3" s="318"/>
    </row>
    <row r="4" spans="2:3" ht="42.75" customHeight="1" x14ac:dyDescent="0.2">
      <c r="B4" s="497" t="s">
        <v>3783</v>
      </c>
    </row>
    <row r="5" spans="2:3" x14ac:dyDescent="0.2">
      <c r="B5" s="318"/>
    </row>
    <row r="6" spans="2:3" x14ac:dyDescent="0.2">
      <c r="B6" s="318" t="s">
        <v>3784</v>
      </c>
    </row>
    <row r="7" spans="2:3" ht="25.5" x14ac:dyDescent="0.2">
      <c r="B7" s="497" t="s">
        <v>3785</v>
      </c>
    </row>
    <row r="8" spans="2:3" x14ac:dyDescent="0.2">
      <c r="B8" s="318" t="s">
        <v>3786</v>
      </c>
    </row>
    <row r="9" spans="2:3" x14ac:dyDescent="0.2">
      <c r="B9" s="318" t="s">
        <v>3787</v>
      </c>
    </row>
    <row r="10" spans="2:3" x14ac:dyDescent="0.2">
      <c r="B10" s="318" t="s">
        <v>3788</v>
      </c>
    </row>
    <row r="11" spans="2:3" ht="38.25" x14ac:dyDescent="0.2">
      <c r="B11" s="497" t="s">
        <v>3789</v>
      </c>
    </row>
    <row r="12" spans="2:3" x14ac:dyDescent="0.2">
      <c r="B12" s="318"/>
    </row>
    <row r="13" spans="2:3" ht="63.75" x14ac:dyDescent="0.2">
      <c r="B13" s="497" t="s">
        <v>3791</v>
      </c>
    </row>
    <row r="14" spans="2:3" x14ac:dyDescent="0.2">
      <c r="B14" s="318"/>
    </row>
    <row r="15" spans="2:3" x14ac:dyDescent="0.2">
      <c r="B15" s="308" t="s">
        <v>2642</v>
      </c>
      <c r="C15" s="185"/>
    </row>
    <row r="16" spans="2:3" x14ac:dyDescent="0.2">
      <c r="B16" s="1003"/>
      <c r="C16" s="185"/>
    </row>
    <row r="17" spans="2:3" x14ac:dyDescent="0.2">
      <c r="B17" s="544" t="s">
        <v>3792</v>
      </c>
      <c r="C17" s="185" t="s">
        <v>3793</v>
      </c>
    </row>
    <row r="18" spans="2:3" x14ac:dyDescent="0.2">
      <c r="B18" s="1003"/>
      <c r="C18" s="185"/>
    </row>
    <row r="19" spans="2:3" x14ac:dyDescent="0.2">
      <c r="B19" s="544" t="s">
        <v>3794</v>
      </c>
      <c r="C19" s="185" t="s">
        <v>3795</v>
      </c>
    </row>
    <row r="20" spans="2:3" x14ac:dyDescent="0.2">
      <c r="B20" s="1003"/>
      <c r="C20" s="185"/>
    </row>
    <row r="21" spans="2:3" x14ac:dyDescent="0.2">
      <c r="B21" s="544" t="s">
        <v>2643</v>
      </c>
      <c r="C21" s="185"/>
    </row>
    <row r="22" spans="2:3" x14ac:dyDescent="0.2">
      <c r="B22" s="1003"/>
      <c r="C22" s="185"/>
    </row>
    <row r="23" spans="2:3" x14ac:dyDescent="0.2">
      <c r="B23" s="318" t="s">
        <v>3607</v>
      </c>
      <c r="C23" s="185" t="s">
        <v>71</v>
      </c>
    </row>
    <row r="24" spans="2:3" x14ac:dyDescent="0.2">
      <c r="B24" s="1004" t="s">
        <v>2661</v>
      </c>
      <c r="C24" s="185" t="s">
        <v>72</v>
      </c>
    </row>
    <row r="25" spans="2:3" x14ac:dyDescent="0.2">
      <c r="B25" s="436" t="s">
        <v>2671</v>
      </c>
      <c r="C25" s="185" t="s">
        <v>74</v>
      </c>
    </row>
    <row r="26" spans="2:3" x14ac:dyDescent="0.2">
      <c r="B26" s="436" t="s">
        <v>2669</v>
      </c>
      <c r="C26" s="185" t="s">
        <v>3063</v>
      </c>
    </row>
    <row r="27" spans="2:3" x14ac:dyDescent="0.2">
      <c r="B27" s="436" t="s">
        <v>2663</v>
      </c>
      <c r="C27" s="185" t="s">
        <v>3063</v>
      </c>
    </row>
    <row r="28" spans="2:3" x14ac:dyDescent="0.2">
      <c r="B28" s="436" t="s">
        <v>2665</v>
      </c>
      <c r="C28" s="185" t="s">
        <v>3063</v>
      </c>
    </row>
    <row r="29" spans="2:3" x14ac:dyDescent="0.2">
      <c r="B29" s="1083" t="s">
        <v>2692</v>
      </c>
      <c r="C29" s="185" t="s">
        <v>3063</v>
      </c>
    </row>
    <row r="30" spans="2:3" x14ac:dyDescent="0.2">
      <c r="B30" s="430" t="s">
        <v>2697</v>
      </c>
      <c r="C30" s="185" t="s">
        <v>3063</v>
      </c>
    </row>
    <row r="31" spans="2:3" x14ac:dyDescent="0.2">
      <c r="B31" s="436" t="s">
        <v>2668</v>
      </c>
      <c r="C31" s="185" t="s">
        <v>3063</v>
      </c>
    </row>
    <row r="32" spans="2:3" x14ac:dyDescent="0.2">
      <c r="B32" s="430" t="s">
        <v>2714</v>
      </c>
      <c r="C32" s="185" t="s">
        <v>3063</v>
      </c>
    </row>
    <row r="33" spans="2:3" x14ac:dyDescent="0.2">
      <c r="B33" s="436" t="s">
        <v>2670</v>
      </c>
      <c r="C33" s="185" t="s">
        <v>3063</v>
      </c>
    </row>
    <row r="34" spans="2:3" x14ac:dyDescent="0.2">
      <c r="B34" s="430" t="s">
        <v>2722</v>
      </c>
      <c r="C34" s="185" t="s">
        <v>3063</v>
      </c>
    </row>
    <row r="35" spans="2:3" x14ac:dyDescent="0.2">
      <c r="B35" s="430" t="s">
        <v>2726</v>
      </c>
      <c r="C35" s="185" t="s">
        <v>3063</v>
      </c>
    </row>
    <row r="36" spans="2:3" x14ac:dyDescent="0.2">
      <c r="B36" s="430" t="s">
        <v>2672</v>
      </c>
      <c r="C36" s="185" t="s">
        <v>2732</v>
      </c>
    </row>
    <row r="37" spans="2:3" x14ac:dyDescent="0.2">
      <c r="B37" s="430" t="s">
        <v>2673</v>
      </c>
      <c r="C37" s="185" t="s">
        <v>2732</v>
      </c>
    </row>
    <row r="38" spans="2:3" x14ac:dyDescent="0.2">
      <c r="B38" s="430" t="s">
        <v>2674</v>
      </c>
      <c r="C38" s="185" t="s">
        <v>2732</v>
      </c>
    </row>
    <row r="39" spans="2:3" x14ac:dyDescent="0.2">
      <c r="B39" s="430" t="s">
        <v>2675</v>
      </c>
      <c r="C39" s="185" t="s">
        <v>2732</v>
      </c>
    </row>
    <row r="40" spans="2:3" x14ac:dyDescent="0.2">
      <c r="B40" s="430" t="s">
        <v>2676</v>
      </c>
      <c r="C40" s="185" t="s">
        <v>2732</v>
      </c>
    </row>
    <row r="41" spans="2:3" x14ac:dyDescent="0.2">
      <c r="B41" s="430" t="s">
        <v>3608</v>
      </c>
      <c r="C41" s="185" t="s">
        <v>2732</v>
      </c>
    </row>
    <row r="42" spans="2:3" x14ac:dyDescent="0.2">
      <c r="B42" s="430" t="s">
        <v>2677</v>
      </c>
      <c r="C42" s="185" t="s">
        <v>2732</v>
      </c>
    </row>
    <row r="43" spans="2:3" x14ac:dyDescent="0.2">
      <c r="B43" s="430" t="s">
        <v>2678</v>
      </c>
      <c r="C43" s="185" t="s">
        <v>2732</v>
      </c>
    </row>
    <row r="44" spans="2:3" x14ac:dyDescent="0.2">
      <c r="B44" s="430" t="s">
        <v>2679</v>
      </c>
      <c r="C44" s="185" t="s">
        <v>2732</v>
      </c>
    </row>
    <row r="45" spans="2:3" x14ac:dyDescent="0.2">
      <c r="B45" s="430" t="s">
        <v>2680</v>
      </c>
      <c r="C45" s="185" t="s">
        <v>2732</v>
      </c>
    </row>
    <row r="46" spans="2:3" x14ac:dyDescent="0.2">
      <c r="B46" s="430" t="s">
        <v>3609</v>
      </c>
      <c r="C46" s="185" t="s">
        <v>2732</v>
      </c>
    </row>
    <row r="47" spans="2:3" x14ac:dyDescent="0.2">
      <c r="B47" s="430" t="s">
        <v>2681</v>
      </c>
      <c r="C47" s="185" t="s">
        <v>2732</v>
      </c>
    </row>
    <row r="48" spans="2:3" x14ac:dyDescent="0.2">
      <c r="B48" s="430" t="s">
        <v>2682</v>
      </c>
      <c r="C48" s="185" t="s">
        <v>2732</v>
      </c>
    </row>
    <row r="49" spans="2:3" x14ac:dyDescent="0.2">
      <c r="B49" s="430" t="s">
        <v>2683</v>
      </c>
      <c r="C49" s="185" t="s">
        <v>2732</v>
      </c>
    </row>
    <row r="50" spans="2:3" x14ac:dyDescent="0.2">
      <c r="B50" s="430" t="s">
        <v>2684</v>
      </c>
      <c r="C50" s="185" t="s">
        <v>2732</v>
      </c>
    </row>
    <row r="51" spans="2:3" x14ac:dyDescent="0.2">
      <c r="B51" s="430" t="s">
        <v>2685</v>
      </c>
      <c r="C51" s="185" t="s">
        <v>2732</v>
      </c>
    </row>
    <row r="52" spans="2:3" x14ac:dyDescent="0.2">
      <c r="B52" s="436" t="s">
        <v>2664</v>
      </c>
      <c r="C52" s="185" t="s">
        <v>2732</v>
      </c>
    </row>
    <row r="53" spans="2:3" x14ac:dyDescent="0.2">
      <c r="B53" s="430" t="s">
        <v>2686</v>
      </c>
      <c r="C53" s="185" t="s">
        <v>2732</v>
      </c>
    </row>
    <row r="54" spans="2:3" x14ac:dyDescent="0.2">
      <c r="B54" s="430" t="s">
        <v>2687</v>
      </c>
      <c r="C54" s="185" t="s">
        <v>2732</v>
      </c>
    </row>
    <row r="55" spans="2:3" x14ac:dyDescent="0.2">
      <c r="B55" s="430" t="s">
        <v>2688</v>
      </c>
      <c r="C55" s="185" t="s">
        <v>2732</v>
      </c>
    </row>
    <row r="56" spans="2:3" x14ac:dyDescent="0.2">
      <c r="B56" s="430" t="s">
        <v>2689</v>
      </c>
      <c r="C56" s="185" t="s">
        <v>2732</v>
      </c>
    </row>
    <row r="57" spans="2:3" x14ac:dyDescent="0.2">
      <c r="B57" s="430" t="s">
        <v>3610</v>
      </c>
      <c r="C57" s="185" t="s">
        <v>2732</v>
      </c>
    </row>
    <row r="58" spans="2:3" x14ac:dyDescent="0.2">
      <c r="B58" s="430" t="s">
        <v>2690</v>
      </c>
      <c r="C58" s="185" t="s">
        <v>2732</v>
      </c>
    </row>
    <row r="59" spans="2:3" x14ac:dyDescent="0.2">
      <c r="B59" s="430" t="s">
        <v>2691</v>
      </c>
      <c r="C59" s="185" t="s">
        <v>2732</v>
      </c>
    </row>
    <row r="60" spans="2:3" x14ac:dyDescent="0.2">
      <c r="B60" s="430" t="s">
        <v>2693</v>
      </c>
      <c r="C60" s="185" t="s">
        <v>2732</v>
      </c>
    </row>
    <row r="61" spans="2:3" x14ac:dyDescent="0.2">
      <c r="B61" s="430" t="s">
        <v>2694</v>
      </c>
      <c r="C61" s="185" t="s">
        <v>2732</v>
      </c>
    </row>
    <row r="62" spans="2:3" x14ac:dyDescent="0.2">
      <c r="B62" s="430" t="s">
        <v>2695</v>
      </c>
      <c r="C62" s="185" t="s">
        <v>2732</v>
      </c>
    </row>
    <row r="63" spans="2:3" x14ac:dyDescent="0.2">
      <c r="B63" s="430" t="s">
        <v>2696</v>
      </c>
      <c r="C63" s="185" t="s">
        <v>2732</v>
      </c>
    </row>
    <row r="64" spans="2:3" x14ac:dyDescent="0.2">
      <c r="B64" s="430" t="s">
        <v>3611</v>
      </c>
      <c r="C64" s="185" t="s">
        <v>2732</v>
      </c>
    </row>
    <row r="65" spans="2:3" x14ac:dyDescent="0.2">
      <c r="B65" s="430" t="s">
        <v>2698</v>
      </c>
      <c r="C65" s="185" t="s">
        <v>2732</v>
      </c>
    </row>
    <row r="66" spans="2:3" x14ac:dyDescent="0.2">
      <c r="B66" s="430" t="s">
        <v>2699</v>
      </c>
      <c r="C66" s="185" t="s">
        <v>2732</v>
      </c>
    </row>
    <row r="67" spans="2:3" x14ac:dyDescent="0.2">
      <c r="B67" s="430" t="s">
        <v>2700</v>
      </c>
      <c r="C67" s="185" t="s">
        <v>2732</v>
      </c>
    </row>
    <row r="68" spans="2:3" x14ac:dyDescent="0.2">
      <c r="B68" s="430" t="s">
        <v>2701</v>
      </c>
      <c r="C68" s="185" t="s">
        <v>2732</v>
      </c>
    </row>
    <row r="69" spans="2:3" x14ac:dyDescent="0.2">
      <c r="B69" s="430" t="s">
        <v>2702</v>
      </c>
      <c r="C69" s="185" t="s">
        <v>2732</v>
      </c>
    </row>
    <row r="70" spans="2:3" x14ac:dyDescent="0.2">
      <c r="B70" s="430" t="s">
        <v>2703</v>
      </c>
      <c r="C70" s="185" t="s">
        <v>2732</v>
      </c>
    </row>
    <row r="71" spans="2:3" x14ac:dyDescent="0.2">
      <c r="B71" s="430" t="s">
        <v>2704</v>
      </c>
      <c r="C71" s="185" t="s">
        <v>2732</v>
      </c>
    </row>
    <row r="72" spans="2:3" x14ac:dyDescent="0.2">
      <c r="B72" s="430" t="s">
        <v>2705</v>
      </c>
      <c r="C72" s="185" t="s">
        <v>2732</v>
      </c>
    </row>
    <row r="73" spans="2:3" x14ac:dyDescent="0.2">
      <c r="B73" s="430" t="s">
        <v>2706</v>
      </c>
      <c r="C73" s="185" t="s">
        <v>2732</v>
      </c>
    </row>
    <row r="74" spans="2:3" x14ac:dyDescent="0.2">
      <c r="B74" s="430" t="s">
        <v>2707</v>
      </c>
      <c r="C74" s="185" t="s">
        <v>2732</v>
      </c>
    </row>
    <row r="75" spans="2:3" x14ac:dyDescent="0.2">
      <c r="B75" s="436" t="s">
        <v>2666</v>
      </c>
      <c r="C75" s="185" t="s">
        <v>2732</v>
      </c>
    </row>
    <row r="76" spans="2:3" x14ac:dyDescent="0.2">
      <c r="B76" s="436" t="s">
        <v>2667</v>
      </c>
      <c r="C76" s="185" t="s">
        <v>2732</v>
      </c>
    </row>
    <row r="77" spans="2:3" x14ac:dyDescent="0.2">
      <c r="B77" s="430" t="s">
        <v>2708</v>
      </c>
      <c r="C77" s="185" t="s">
        <v>2732</v>
      </c>
    </row>
    <row r="78" spans="2:3" x14ac:dyDescent="0.2">
      <c r="B78" s="430" t="s">
        <v>2709</v>
      </c>
      <c r="C78" s="185" t="s">
        <v>2732</v>
      </c>
    </row>
    <row r="79" spans="2:3" x14ac:dyDescent="0.2">
      <c r="B79" s="430" t="s">
        <v>2710</v>
      </c>
      <c r="C79" s="185" t="s">
        <v>2732</v>
      </c>
    </row>
    <row r="80" spans="2:3" x14ac:dyDescent="0.2">
      <c r="B80" s="430" t="s">
        <v>2711</v>
      </c>
      <c r="C80" s="185" t="s">
        <v>2732</v>
      </c>
    </row>
    <row r="81" spans="2:3" x14ac:dyDescent="0.2">
      <c r="B81" s="430" t="s">
        <v>3062</v>
      </c>
      <c r="C81" s="185" t="s">
        <v>2732</v>
      </c>
    </row>
    <row r="82" spans="2:3" x14ac:dyDescent="0.2">
      <c r="B82" s="430" t="s">
        <v>2712</v>
      </c>
      <c r="C82" s="185" t="s">
        <v>2732</v>
      </c>
    </row>
    <row r="83" spans="2:3" x14ac:dyDescent="0.2">
      <c r="B83" s="430" t="s">
        <v>2713</v>
      </c>
      <c r="C83" s="185" t="s">
        <v>2732</v>
      </c>
    </row>
    <row r="84" spans="2:3" x14ac:dyDescent="0.2">
      <c r="B84" s="436" t="s">
        <v>2662</v>
      </c>
      <c r="C84" s="185" t="s">
        <v>2732</v>
      </c>
    </row>
    <row r="85" spans="2:3" x14ac:dyDescent="0.2">
      <c r="B85" s="430" t="s">
        <v>2715</v>
      </c>
      <c r="C85" s="185" t="s">
        <v>2732</v>
      </c>
    </row>
    <row r="86" spans="2:3" x14ac:dyDescent="0.2">
      <c r="B86" s="430" t="s">
        <v>2716</v>
      </c>
      <c r="C86" s="185" t="s">
        <v>2732</v>
      </c>
    </row>
    <row r="87" spans="2:3" x14ac:dyDescent="0.2">
      <c r="B87" s="430" t="s">
        <v>3612</v>
      </c>
      <c r="C87" s="185" t="s">
        <v>2732</v>
      </c>
    </row>
    <row r="88" spans="2:3" x14ac:dyDescent="0.2">
      <c r="B88" s="430" t="s">
        <v>2717</v>
      </c>
      <c r="C88" s="185" t="s">
        <v>2732</v>
      </c>
    </row>
    <row r="89" spans="2:3" x14ac:dyDescent="0.2">
      <c r="B89" s="430" t="s">
        <v>2718</v>
      </c>
      <c r="C89" s="185" t="s">
        <v>2732</v>
      </c>
    </row>
    <row r="90" spans="2:3" x14ac:dyDescent="0.2">
      <c r="B90" s="430" t="s">
        <v>2719</v>
      </c>
      <c r="C90" s="185" t="s">
        <v>2732</v>
      </c>
    </row>
    <row r="91" spans="2:3" x14ac:dyDescent="0.2">
      <c r="B91" s="430" t="s">
        <v>2720</v>
      </c>
      <c r="C91" s="185" t="s">
        <v>2732</v>
      </c>
    </row>
    <row r="92" spans="2:3" x14ac:dyDescent="0.2">
      <c r="B92" s="430" t="s">
        <v>2721</v>
      </c>
      <c r="C92" s="185" t="s">
        <v>2732</v>
      </c>
    </row>
    <row r="93" spans="2:3" x14ac:dyDescent="0.2">
      <c r="B93" s="430" t="s">
        <v>2723</v>
      </c>
      <c r="C93" s="185" t="s">
        <v>2732</v>
      </c>
    </row>
    <row r="94" spans="2:3" x14ac:dyDescent="0.2">
      <c r="B94" s="430" t="s">
        <v>2724</v>
      </c>
      <c r="C94" s="185" t="s">
        <v>2732</v>
      </c>
    </row>
    <row r="95" spans="2:3" x14ac:dyDescent="0.2">
      <c r="B95" s="430" t="s">
        <v>2725</v>
      </c>
      <c r="C95" s="185" t="s">
        <v>2732</v>
      </c>
    </row>
    <row r="96" spans="2:3" x14ac:dyDescent="0.2">
      <c r="B96" s="430" t="s">
        <v>2727</v>
      </c>
      <c r="C96" s="185" t="s">
        <v>2732</v>
      </c>
    </row>
    <row r="97" spans="2:3" x14ac:dyDescent="0.2">
      <c r="B97" s="430" t="s">
        <v>2728</v>
      </c>
      <c r="C97" s="185" t="s">
        <v>2732</v>
      </c>
    </row>
    <row r="98" spans="2:3" x14ac:dyDescent="0.2">
      <c r="B98" s="430" t="s">
        <v>2729</v>
      </c>
      <c r="C98" s="185" t="s">
        <v>2732</v>
      </c>
    </row>
    <row r="99" spans="2:3" x14ac:dyDescent="0.2">
      <c r="B99" s="430"/>
      <c r="C99" s="185"/>
    </row>
    <row r="100" spans="2:3" x14ac:dyDescent="0.2">
      <c r="B100" s="544" t="s">
        <v>3546</v>
      </c>
      <c r="C100" s="185"/>
    </row>
    <row r="101" spans="2:3" x14ac:dyDescent="0.2">
      <c r="B101" s="544"/>
      <c r="C101" s="185"/>
    </row>
    <row r="102" spans="2:3" x14ac:dyDescent="0.2">
      <c r="B102" s="430" t="s">
        <v>3539</v>
      </c>
      <c r="C102" s="430" t="s">
        <v>3540</v>
      </c>
    </row>
    <row r="103" spans="2:3" x14ac:dyDescent="0.2">
      <c r="B103" s="1005" t="s">
        <v>3545</v>
      </c>
      <c r="C103" s="430" t="s">
        <v>3542</v>
      </c>
    </row>
    <row r="104" spans="2:3" x14ac:dyDescent="0.2">
      <c r="B104" s="1005" t="s">
        <v>3544</v>
      </c>
      <c r="C104" s="430" t="s">
        <v>3542</v>
      </c>
    </row>
    <row r="105" spans="2:3" x14ac:dyDescent="0.2">
      <c r="B105" s="430" t="s">
        <v>3541</v>
      </c>
      <c r="C105" s="430" t="s">
        <v>3542</v>
      </c>
    </row>
    <row r="106" spans="2:3" x14ac:dyDescent="0.2">
      <c r="B106" s="430" t="s">
        <v>3614</v>
      </c>
      <c r="C106" s="430" t="s">
        <v>3542</v>
      </c>
    </row>
    <row r="107" spans="2:3" x14ac:dyDescent="0.2">
      <c r="B107" s="430" t="s">
        <v>3543</v>
      </c>
      <c r="C107" s="430" t="s">
        <v>3542</v>
      </c>
    </row>
    <row r="109" spans="2:3" x14ac:dyDescent="0.2">
      <c r="B109" s="544" t="s">
        <v>3613</v>
      </c>
      <c r="C109" s="544" t="s">
        <v>4109</v>
      </c>
    </row>
    <row r="110" spans="2:3" x14ac:dyDescent="0.2">
      <c r="B110" s="1003" t="s">
        <v>3719</v>
      </c>
      <c r="C110" s="1006" t="s">
        <v>4085</v>
      </c>
    </row>
    <row r="111" spans="2:3" x14ac:dyDescent="0.2">
      <c r="B111" s="1003"/>
      <c r="C111" s="185"/>
    </row>
    <row r="112" spans="2:3" x14ac:dyDescent="0.2">
      <c r="B112" s="1007" t="s">
        <v>2645</v>
      </c>
    </row>
    <row r="113" spans="2:3" x14ac:dyDescent="0.2">
      <c r="B113" s="1006" t="s">
        <v>3734</v>
      </c>
    </row>
    <row r="114" spans="2:3" x14ac:dyDescent="0.2">
      <c r="B114" s="1003"/>
      <c r="C114" s="185"/>
    </row>
    <row r="115" spans="2:3" x14ac:dyDescent="0.2">
      <c r="B115" s="1007" t="s">
        <v>2644</v>
      </c>
      <c r="C115" s="1007" t="s">
        <v>2646</v>
      </c>
    </row>
    <row r="116" spans="2:3" x14ac:dyDescent="0.2">
      <c r="B116" s="1003" t="s">
        <v>2730</v>
      </c>
      <c r="C116" s="1003" t="s">
        <v>422</v>
      </c>
    </row>
    <row r="117" spans="2:3" x14ac:dyDescent="0.2">
      <c r="B117" s="309"/>
      <c r="C117" s="185"/>
    </row>
    <row r="118" spans="2:3" x14ac:dyDescent="0.2">
      <c r="B118" s="1007" t="s">
        <v>3051</v>
      </c>
      <c r="C118" s="260" t="s">
        <v>3885</v>
      </c>
    </row>
    <row r="119" spans="2:3" x14ac:dyDescent="0.2">
      <c r="B119" s="1006" t="s">
        <v>3052</v>
      </c>
      <c r="C119" s="185" t="s">
        <v>3886</v>
      </c>
    </row>
    <row r="120" spans="2:3" x14ac:dyDescent="0.2">
      <c r="B120" s="1003" t="s">
        <v>3055</v>
      </c>
      <c r="C120" s="185" t="s">
        <v>3866</v>
      </c>
    </row>
    <row r="121" spans="2:3" x14ac:dyDescent="0.2">
      <c r="B121" s="309" t="s">
        <v>3053</v>
      </c>
      <c r="C121" s="185" t="s">
        <v>3888</v>
      </c>
    </row>
    <row r="122" spans="2:3" x14ac:dyDescent="0.2">
      <c r="B122" s="1008" t="s">
        <v>3054</v>
      </c>
      <c r="C122" s="318" t="s">
        <v>3293</v>
      </c>
    </row>
    <row r="123" spans="2:3" x14ac:dyDescent="0.2">
      <c r="C123" s="318" t="s">
        <v>3865</v>
      </c>
    </row>
    <row r="124" spans="2:3" x14ac:dyDescent="0.2">
      <c r="B124" s="459" t="s">
        <v>3056</v>
      </c>
      <c r="C124" s="318" t="s">
        <v>3887</v>
      </c>
    </row>
    <row r="125" spans="2:3" x14ac:dyDescent="0.2">
      <c r="B125" s="318" t="s">
        <v>3057</v>
      </c>
      <c r="C125" s="318" t="s">
        <v>3889</v>
      </c>
    </row>
    <row r="126" spans="2:3" x14ac:dyDescent="0.2">
      <c r="B126" s="318" t="s">
        <v>3058</v>
      </c>
      <c r="C126" s="318" t="s">
        <v>3890</v>
      </c>
    </row>
    <row r="127" spans="2:3" x14ac:dyDescent="0.2">
      <c r="B127" s="1008" t="s">
        <v>3059</v>
      </c>
      <c r="C127" s="318"/>
    </row>
  </sheetData>
  <pageMargins left="0.70866141732283472" right="0.70866141732283472" top="0.74803149606299213" bottom="0.74803149606299213" header="0.31496062992125984" footer="0.31496062992125984"/>
  <pageSetup scale="80" firstPageNumber="2" orientation="portrait" useFirstPageNumber="1" r:id="rId1"/>
  <headerFooter>
    <oddHeader>&amp;C&amp;"-,Bold"POLOKWANE MUNICIPALITY
ANNUAL FINANCIAL STATEMENTS 30 JUNE 2016</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9"/>
  <sheetViews>
    <sheetView showGridLines="0" topLeftCell="A24" zoomScaleNormal="100" workbookViewId="0">
      <selection activeCell="C60" sqref="C60"/>
    </sheetView>
  </sheetViews>
  <sheetFormatPr defaultRowHeight="12.75" x14ac:dyDescent="0.2"/>
  <cols>
    <col min="1" max="1" width="9.140625" style="318"/>
    <col min="2" max="2" width="56.5703125" style="318" customWidth="1"/>
    <col min="3" max="3" width="2" style="318" bestFit="1" customWidth="1"/>
    <col min="4" max="4" width="5.28515625" style="318" bestFit="1" customWidth="1"/>
    <col min="5" max="5" width="16.28515625" style="620" customWidth="1"/>
    <col min="6" max="6" width="16.7109375" style="620" customWidth="1"/>
    <col min="7" max="7" width="15.5703125" style="318" bestFit="1" customWidth="1"/>
    <col min="8" max="8" width="13.5703125" style="318" bestFit="1" customWidth="1"/>
    <col min="9" max="9" width="14.140625" style="318" customWidth="1"/>
    <col min="10" max="10" width="12.7109375" style="318" bestFit="1" customWidth="1"/>
    <col min="11" max="16384" width="9.140625" style="318"/>
  </cols>
  <sheetData>
    <row r="1" spans="2:9" ht="13.5" thickBot="1" x14ac:dyDescent="0.25">
      <c r="B1" s="425"/>
      <c r="C1" s="249"/>
      <c r="D1" s="305"/>
      <c r="E1" s="1099"/>
      <c r="F1" s="1099"/>
    </row>
    <row r="2" spans="2:9" x14ac:dyDescent="0.2">
      <c r="B2" s="426"/>
      <c r="C2" s="427"/>
      <c r="D2" s="428"/>
      <c r="E2" s="1670"/>
      <c r="F2" s="1189"/>
    </row>
    <row r="3" spans="2:9" x14ac:dyDescent="0.2">
      <c r="B3" s="487"/>
      <c r="C3" s="436"/>
      <c r="D3" s="527" t="s">
        <v>316</v>
      </c>
      <c r="E3" s="1671">
        <v>2016</v>
      </c>
      <c r="F3" s="1240">
        <v>2015</v>
      </c>
    </row>
    <row r="4" spans="2:9" x14ac:dyDescent="0.2">
      <c r="B4" s="487"/>
      <c r="C4" s="436"/>
      <c r="D4" s="527"/>
      <c r="E4" s="1671" t="s">
        <v>3948</v>
      </c>
      <c r="F4" s="1190" t="s">
        <v>59</v>
      </c>
    </row>
    <row r="5" spans="2:9" x14ac:dyDescent="0.2">
      <c r="B5" s="488" t="s">
        <v>603</v>
      </c>
      <c r="C5" s="436"/>
      <c r="D5" s="489"/>
      <c r="E5" s="1672"/>
      <c r="F5" s="1191" t="s">
        <v>3136</v>
      </c>
    </row>
    <row r="6" spans="2:9" x14ac:dyDescent="0.2">
      <c r="B6" s="488" t="s">
        <v>63</v>
      </c>
      <c r="C6" s="436"/>
      <c r="D6" s="489"/>
      <c r="E6" s="1672"/>
      <c r="F6" s="1192"/>
    </row>
    <row r="7" spans="2:9" x14ac:dyDescent="0.2">
      <c r="B7" s="487" t="s">
        <v>564</v>
      </c>
      <c r="C7" s="436"/>
      <c r="D7" s="489">
        <v>15</v>
      </c>
      <c r="E7" s="1676">
        <f>'Note 9-33'!H268</f>
        <v>86328671.160000011</v>
      </c>
      <c r="F7" s="1677">
        <f>'Note 9-33'!J268</f>
        <v>322963447.28000003</v>
      </c>
      <c r="G7" s="620"/>
      <c r="H7" s="439"/>
      <c r="I7" s="439"/>
    </row>
    <row r="8" spans="2:9" ht="25.5" x14ac:dyDescent="0.2">
      <c r="B8" s="934" t="s">
        <v>3531</v>
      </c>
      <c r="C8" s="436"/>
      <c r="D8" s="489">
        <v>12</v>
      </c>
      <c r="E8" s="1676">
        <f>'Note 9-33'!H99</f>
        <v>436599300.83999979</v>
      </c>
      <c r="F8" s="1677">
        <f>'Note 9-33'!J99</f>
        <v>372358535.13999999</v>
      </c>
      <c r="G8" s="620"/>
      <c r="H8" s="439"/>
      <c r="I8" s="439"/>
    </row>
    <row r="9" spans="2:9" x14ac:dyDescent="0.2">
      <c r="B9" s="487" t="s">
        <v>2606</v>
      </c>
      <c r="C9" s="436"/>
      <c r="D9" s="489">
        <v>13</v>
      </c>
      <c r="E9" s="1676">
        <f>'Note 9-33'!H198</f>
        <v>27593625.43</v>
      </c>
      <c r="F9" s="1677">
        <f>'Note 9-33'!J198</f>
        <v>14277866.399999999</v>
      </c>
      <c r="G9" s="620"/>
      <c r="H9" s="439"/>
      <c r="I9" s="439"/>
    </row>
    <row r="10" spans="2:9" x14ac:dyDescent="0.2">
      <c r="B10" s="487" t="s">
        <v>2607</v>
      </c>
      <c r="C10" s="436"/>
      <c r="D10" s="489">
        <v>11</v>
      </c>
      <c r="E10" s="1676">
        <f>'Note 9-33'!H73</f>
        <v>40022937.999999993</v>
      </c>
      <c r="F10" s="1677">
        <f>'Note 9-33'!J73</f>
        <v>36214414.309999995</v>
      </c>
      <c r="G10" s="620"/>
      <c r="H10" s="439"/>
      <c r="I10" s="439"/>
    </row>
    <row r="11" spans="2:9" hidden="1" x14ac:dyDescent="0.2">
      <c r="B11" s="487" t="s">
        <v>606</v>
      </c>
      <c r="C11" s="436"/>
      <c r="D11" s="489">
        <v>9</v>
      </c>
      <c r="E11" s="1676">
        <f>'Note 9-33'!H15</f>
        <v>0</v>
      </c>
      <c r="F11" s="1677">
        <f>'Note 9-33'!J15</f>
        <v>0</v>
      </c>
      <c r="G11" s="620"/>
      <c r="H11" s="439"/>
      <c r="I11" s="439"/>
    </row>
    <row r="12" spans="2:9" x14ac:dyDescent="0.2">
      <c r="B12" s="487" t="s">
        <v>2608</v>
      </c>
      <c r="C12" s="436"/>
      <c r="D12" s="489">
        <v>10</v>
      </c>
      <c r="E12" s="1676">
        <f>'Note 9-33'!H37</f>
        <v>5466103.6099999994</v>
      </c>
      <c r="F12" s="1677">
        <f>'Note 9-33'!J37</f>
        <v>5666186.6672170907</v>
      </c>
      <c r="G12" s="620"/>
      <c r="H12" s="439"/>
      <c r="I12" s="439"/>
    </row>
    <row r="13" spans="2:9" x14ac:dyDescent="0.2">
      <c r="B13" s="487" t="s">
        <v>2609</v>
      </c>
      <c r="C13" s="436"/>
      <c r="D13" s="489">
        <v>14</v>
      </c>
      <c r="E13" s="1676">
        <v>0</v>
      </c>
      <c r="F13" s="1677">
        <f>'Note 9-33'!J216</f>
        <v>18377907.709999993</v>
      </c>
      <c r="G13" s="620"/>
      <c r="H13" s="439"/>
      <c r="I13" s="439"/>
    </row>
    <row r="14" spans="2:9" hidden="1" x14ac:dyDescent="0.2">
      <c r="B14" s="487" t="s">
        <v>2626</v>
      </c>
      <c r="C14" s="436"/>
      <c r="D14" s="489">
        <v>16</v>
      </c>
      <c r="E14" s="1678">
        <f>'Note 9-33'!H275</f>
        <v>0</v>
      </c>
      <c r="F14" s="1679"/>
      <c r="G14" s="620"/>
      <c r="H14" s="439"/>
      <c r="I14" s="439"/>
    </row>
    <row r="15" spans="2:9" ht="13.5" thickBot="1" x14ac:dyDescent="0.25">
      <c r="B15" s="491" t="s">
        <v>2610</v>
      </c>
      <c r="C15" s="436"/>
      <c r="D15" s="489" t="s">
        <v>296</v>
      </c>
      <c r="E15" s="1680">
        <f>SUM(E7:E14)</f>
        <v>596010639.03999984</v>
      </c>
      <c r="F15" s="1681">
        <f>SUM(F7:F14)</f>
        <v>769858357.50721717</v>
      </c>
      <c r="G15" s="620"/>
      <c r="H15" s="439"/>
      <c r="I15" s="439"/>
    </row>
    <row r="16" spans="2:9" ht="13.5" thickTop="1" x14ac:dyDescent="0.2">
      <c r="B16" s="487"/>
      <c r="C16" s="436"/>
      <c r="D16" s="489"/>
      <c r="E16" s="1676"/>
      <c r="F16" s="1677"/>
      <c r="G16" s="620"/>
      <c r="H16" s="439"/>
    </row>
    <row r="17" spans="2:10" x14ac:dyDescent="0.2">
      <c r="B17" s="488" t="s">
        <v>604</v>
      </c>
      <c r="C17" s="436"/>
      <c r="D17" s="489"/>
      <c r="E17" s="1676"/>
      <c r="F17" s="1677"/>
      <c r="G17" s="620"/>
      <c r="H17" s="439"/>
    </row>
    <row r="18" spans="2:10" x14ac:dyDescent="0.2">
      <c r="B18" s="487" t="s">
        <v>267</v>
      </c>
      <c r="C18" s="436"/>
      <c r="D18" s="489">
        <v>10</v>
      </c>
      <c r="E18" s="1676">
        <f>'Note 9-33'!H43</f>
        <v>210172.62000000104</v>
      </c>
      <c r="F18" s="1677">
        <f>'Note 9-33'!J43</f>
        <v>375671.24278290942</v>
      </c>
      <c r="G18" s="620"/>
      <c r="H18" s="439"/>
      <c r="I18" s="439"/>
    </row>
    <row r="19" spans="2:10" x14ac:dyDescent="0.2">
      <c r="B19" s="487" t="s">
        <v>606</v>
      </c>
      <c r="C19" s="436"/>
      <c r="D19" s="489">
        <v>9</v>
      </c>
      <c r="E19" s="1676">
        <f>'Note 9-33'!H10</f>
        <v>59000800</v>
      </c>
      <c r="F19" s="1677">
        <f>'Note 9-33'!J10</f>
        <v>59000800</v>
      </c>
      <c r="G19" s="620"/>
      <c r="H19" s="439"/>
      <c r="I19" s="439"/>
    </row>
    <row r="20" spans="2:10" x14ac:dyDescent="0.2">
      <c r="B20" s="487" t="s">
        <v>2549</v>
      </c>
      <c r="C20" s="436"/>
      <c r="D20" s="489">
        <v>8</v>
      </c>
      <c r="E20" s="1676">
        <f>'Note 8 Assets'!I75</f>
        <v>8676110930.3440018</v>
      </c>
      <c r="F20" s="1677">
        <f>'Note 8 Assets'!I59+4.44</f>
        <v>8649553457.2940006</v>
      </c>
      <c r="G20" s="620"/>
      <c r="H20" s="439"/>
      <c r="I20" s="439"/>
      <c r="J20" s="620"/>
    </row>
    <row r="21" spans="2:10" x14ac:dyDescent="0.2">
      <c r="B21" s="487" t="s">
        <v>2554</v>
      </c>
      <c r="C21" s="436"/>
      <c r="D21" s="489">
        <v>8.1</v>
      </c>
      <c r="E21" s="1676">
        <f>'Note 8 Assets'!C126</f>
        <v>2073968.42</v>
      </c>
      <c r="F21" s="1677">
        <f>'Note 8 Assets'!D126</f>
        <v>2315361.33</v>
      </c>
      <c r="G21" s="620"/>
      <c r="H21" s="439"/>
      <c r="I21" s="439"/>
    </row>
    <row r="22" spans="2:10" x14ac:dyDescent="0.2">
      <c r="B22" s="487" t="s">
        <v>2555</v>
      </c>
      <c r="C22" s="436"/>
      <c r="D22" s="489">
        <v>8.1999999999999993</v>
      </c>
      <c r="E22" s="1676">
        <f>'Note 8.2 Assets'!C24</f>
        <v>658489237.56999993</v>
      </c>
      <c r="F22" s="1677">
        <f>'Note 8.2 Assets'!D24</f>
        <v>617158459.26999998</v>
      </c>
      <c r="G22" s="620"/>
      <c r="H22" s="439"/>
      <c r="I22" s="439"/>
    </row>
    <row r="23" spans="2:10" x14ac:dyDescent="0.2">
      <c r="B23" s="487" t="s">
        <v>68</v>
      </c>
      <c r="C23" s="436"/>
      <c r="D23" s="489">
        <v>8.3000000000000007</v>
      </c>
      <c r="E23" s="1676">
        <f>'Note 8.2 Assets'!C61</f>
        <v>15609153.25</v>
      </c>
      <c r="F23" s="1677">
        <f>'Note 8.2 Assets'!D61</f>
        <v>15609153.25</v>
      </c>
      <c r="G23" s="620"/>
      <c r="H23" s="439"/>
      <c r="I23" s="439"/>
    </row>
    <row r="24" spans="2:10" x14ac:dyDescent="0.2">
      <c r="B24" s="492" t="s">
        <v>2611</v>
      </c>
      <c r="C24" s="232"/>
      <c r="D24" s="405">
        <v>8.4</v>
      </c>
      <c r="E24" s="933">
        <f>'Note 8.2 Assets'!C88</f>
        <v>8087720.6600000001</v>
      </c>
      <c r="F24" s="1682">
        <f>'Note 8.2 Assets'!D88</f>
        <v>14277750</v>
      </c>
      <c r="G24" s="620"/>
      <c r="H24" s="439"/>
      <c r="I24" s="439"/>
    </row>
    <row r="25" spans="2:10" ht="13.5" thickBot="1" x14ac:dyDescent="0.25">
      <c r="B25" s="488" t="s">
        <v>2612</v>
      </c>
      <c r="C25" s="186"/>
      <c r="D25" s="527"/>
      <c r="E25" s="1683">
        <f>SUM(E18:E24)</f>
        <v>9419581982.8640022</v>
      </c>
      <c r="F25" s="1684">
        <f>SUM(F18:F24)</f>
        <v>9358290652.3867836</v>
      </c>
      <c r="G25" s="620"/>
      <c r="H25" s="439"/>
      <c r="I25" s="439"/>
    </row>
    <row r="26" spans="2:10" ht="14.25" thickTop="1" thickBot="1" x14ac:dyDescent="0.25">
      <c r="B26" s="488" t="s">
        <v>315</v>
      </c>
      <c r="C26" s="186"/>
      <c r="D26" s="527"/>
      <c r="E26" s="1685">
        <f>SUM(E15+E25)</f>
        <v>10015592621.904001</v>
      </c>
      <c r="F26" s="1686">
        <f>SUM(F15+F25)</f>
        <v>10128149009.894001</v>
      </c>
      <c r="G26" s="620"/>
      <c r="H26" s="439"/>
      <c r="I26" s="439"/>
    </row>
    <row r="27" spans="2:10" ht="13.5" thickTop="1" x14ac:dyDescent="0.2">
      <c r="B27" s="487"/>
      <c r="C27" s="436"/>
      <c r="D27" s="489"/>
      <c r="E27" s="1676"/>
      <c r="F27" s="1677"/>
      <c r="G27" s="620"/>
      <c r="H27" s="439"/>
    </row>
    <row r="28" spans="2:10" x14ac:dyDescent="0.2">
      <c r="B28" s="488" t="s">
        <v>2613</v>
      </c>
      <c r="C28" s="436"/>
      <c r="D28" s="489"/>
      <c r="E28" s="1676"/>
      <c r="F28" s="1677"/>
      <c r="G28" s="620"/>
      <c r="H28" s="439"/>
    </row>
    <row r="29" spans="2:10" x14ac:dyDescent="0.2">
      <c r="B29" s="488" t="s">
        <v>64</v>
      </c>
      <c r="C29" s="436"/>
      <c r="D29" s="489"/>
      <c r="E29" s="1676"/>
      <c r="F29" s="1677"/>
      <c r="G29" s="620"/>
      <c r="H29" s="439"/>
    </row>
    <row r="30" spans="2:10" x14ac:dyDescent="0.2">
      <c r="B30" s="492" t="s">
        <v>2614</v>
      </c>
      <c r="C30" s="436"/>
      <c r="D30" s="489">
        <v>6</v>
      </c>
      <c r="E30" s="1676">
        <f>'Notes 2 - 7'!G81</f>
        <v>370164912.20000005</v>
      </c>
      <c r="F30" s="1677">
        <f>'Notes 2 - 7'!I81</f>
        <v>352780535.41999996</v>
      </c>
      <c r="G30" s="620"/>
      <c r="H30" s="439"/>
      <c r="I30" s="439"/>
    </row>
    <row r="31" spans="2:10" x14ac:dyDescent="0.2">
      <c r="B31" s="487" t="s">
        <v>600</v>
      </c>
      <c r="C31" s="436"/>
      <c r="D31" s="489">
        <v>5</v>
      </c>
      <c r="E31" s="1676">
        <f>'Notes 2 - 7'!G64</f>
        <v>68863503.030000001</v>
      </c>
      <c r="F31" s="1677">
        <f>'Notes 2 - 7'!I64</f>
        <v>67612258.829999998</v>
      </c>
      <c r="G31" s="620"/>
      <c r="H31" s="439"/>
      <c r="I31" s="439"/>
    </row>
    <row r="32" spans="2:10" x14ac:dyDescent="0.2">
      <c r="B32" s="492" t="s">
        <v>601</v>
      </c>
      <c r="C32" s="436"/>
      <c r="D32" s="489">
        <v>7</v>
      </c>
      <c r="E32" s="1676">
        <f>'Notes 2 - 7'!G102</f>
        <v>11827751.919999998</v>
      </c>
      <c r="F32" s="1677">
        <f>'Notes 2 - 7'!I102</f>
        <v>195134949.90999997</v>
      </c>
      <c r="G32" s="620"/>
      <c r="H32" s="439"/>
      <c r="I32" s="439"/>
    </row>
    <row r="33" spans="2:9" x14ac:dyDescent="0.2">
      <c r="B33" s="492" t="s">
        <v>2615</v>
      </c>
      <c r="C33" s="436"/>
      <c r="D33" s="489">
        <v>4</v>
      </c>
      <c r="E33" s="1676">
        <f>'Notes 2 - 7'!G43</f>
        <v>65065520.640000001</v>
      </c>
      <c r="F33" s="1677">
        <f>'Notes 2 - 7'!I43</f>
        <v>37263987.349999994</v>
      </c>
      <c r="G33" s="620"/>
      <c r="H33" s="439"/>
      <c r="I33" s="439"/>
    </row>
    <row r="34" spans="2:9" x14ac:dyDescent="0.2">
      <c r="B34" s="492" t="s">
        <v>1084</v>
      </c>
      <c r="C34" s="436"/>
      <c r="D34" s="489">
        <v>38</v>
      </c>
      <c r="E34" s="1676">
        <f>+'Note 34-48'!E369</f>
        <v>35405263.450000003</v>
      </c>
      <c r="F34" s="1677">
        <f>+'Note 34-48'!F369</f>
        <v>35405263.460000001</v>
      </c>
      <c r="G34" s="620"/>
      <c r="H34" s="439"/>
      <c r="I34" s="439"/>
    </row>
    <row r="35" spans="2:9" x14ac:dyDescent="0.2">
      <c r="B35" s="492" t="s">
        <v>3891</v>
      </c>
      <c r="C35" s="436"/>
      <c r="D35" s="489">
        <v>14</v>
      </c>
      <c r="E35" s="1676">
        <f>-'Note 9-33'!H216</f>
        <v>22574912.169999998</v>
      </c>
      <c r="F35" s="1677">
        <v>0</v>
      </c>
      <c r="G35" s="620"/>
      <c r="H35" s="439"/>
      <c r="I35" s="439"/>
    </row>
    <row r="36" spans="2:9" ht="13.5" thickBot="1" x14ac:dyDescent="0.25">
      <c r="B36" s="488" t="s">
        <v>2616</v>
      </c>
      <c r="C36" s="436"/>
      <c r="D36" s="489"/>
      <c r="E36" s="1680">
        <f>SUM(E30:E35)</f>
        <v>573901863.40999997</v>
      </c>
      <c r="F36" s="1681">
        <f>SUM(F30:F35)</f>
        <v>688196994.96999991</v>
      </c>
      <c r="G36" s="620"/>
      <c r="H36" s="439"/>
      <c r="I36" s="439"/>
    </row>
    <row r="37" spans="2:9" ht="13.5" thickTop="1" x14ac:dyDescent="0.2">
      <c r="B37" s="488" t="s">
        <v>599</v>
      </c>
      <c r="C37" s="436"/>
      <c r="D37" s="489"/>
      <c r="E37" s="1676" t="s">
        <v>296</v>
      </c>
      <c r="F37" s="1677"/>
      <c r="G37" s="620"/>
      <c r="H37" s="439"/>
      <c r="I37" s="439"/>
    </row>
    <row r="38" spans="2:9" x14ac:dyDescent="0.2">
      <c r="B38" s="487" t="s">
        <v>2617</v>
      </c>
      <c r="C38" s="436"/>
      <c r="D38" s="489">
        <v>4</v>
      </c>
      <c r="E38" s="1676">
        <f>'Notes 2 - 7'!G41</f>
        <v>165622037.69</v>
      </c>
      <c r="F38" s="1677">
        <f>'Notes 2 - 7'!I41</f>
        <v>188024387.25</v>
      </c>
      <c r="G38" s="620"/>
      <c r="H38" s="439"/>
      <c r="I38" s="439"/>
    </row>
    <row r="39" spans="2:9" x14ac:dyDescent="0.2">
      <c r="B39" s="487" t="s">
        <v>2618</v>
      </c>
      <c r="C39" s="436"/>
      <c r="D39" s="489">
        <v>38</v>
      </c>
      <c r="E39" s="1676">
        <f>+'Note 34-48'!E368</f>
        <v>28942908.52</v>
      </c>
      <c r="F39" s="1677">
        <f>+'Note 34-48'!F368</f>
        <v>54267311.009999998</v>
      </c>
      <c r="G39" s="620"/>
      <c r="H39" s="439"/>
      <c r="I39" s="439"/>
    </row>
    <row r="40" spans="2:9" x14ac:dyDescent="0.2">
      <c r="B40" s="487" t="s">
        <v>2619</v>
      </c>
      <c r="C40" s="436"/>
      <c r="D40" s="489">
        <v>35</v>
      </c>
      <c r="E40" s="1676">
        <f>'Note 34-48'!E262</f>
        <v>264084655</v>
      </c>
      <c r="F40" s="1677">
        <f>'Note 34-48'!F262</f>
        <v>244712945</v>
      </c>
      <c r="G40" s="620"/>
      <c r="H40" s="439"/>
      <c r="I40" s="439"/>
    </row>
    <row r="41" spans="2:9" ht="13.5" thickBot="1" x14ac:dyDescent="0.25">
      <c r="B41" s="488" t="s">
        <v>2620</v>
      </c>
      <c r="C41" s="436"/>
      <c r="D41" s="489"/>
      <c r="E41" s="1680">
        <f>SUM(E38:E40)</f>
        <v>458649601.21000004</v>
      </c>
      <c r="F41" s="1681">
        <f>SUM(F38:F40)</f>
        <v>487004643.25999999</v>
      </c>
      <c r="G41" s="620"/>
      <c r="H41" s="439"/>
      <c r="I41" s="439"/>
    </row>
    <row r="42" spans="2:9" ht="14.25" thickTop="1" thickBot="1" x14ac:dyDescent="0.25">
      <c r="B42" s="488" t="s">
        <v>2621</v>
      </c>
      <c r="C42" s="436"/>
      <c r="D42" s="489"/>
      <c r="E42" s="793">
        <f>SUM(E36+E41)</f>
        <v>1032551464.62</v>
      </c>
      <c r="F42" s="1687">
        <f>SUM(F36+F41)</f>
        <v>1175201638.23</v>
      </c>
      <c r="G42" s="439"/>
      <c r="H42" s="439"/>
      <c r="I42" s="439"/>
    </row>
    <row r="43" spans="2:9" ht="13.5" thickTop="1" x14ac:dyDescent="0.2">
      <c r="B43" s="488"/>
      <c r="C43" s="436"/>
      <c r="D43" s="489"/>
      <c r="E43" s="1676"/>
      <c r="F43" s="1677"/>
      <c r="G43" s="439"/>
      <c r="H43" s="439"/>
      <c r="I43" s="439"/>
    </row>
    <row r="44" spans="2:9" ht="13.5" thickBot="1" x14ac:dyDescent="0.25">
      <c r="B44" s="488" t="s">
        <v>2622</v>
      </c>
      <c r="C44" s="186"/>
      <c r="D44" s="527"/>
      <c r="E44" s="793">
        <f>SUM(E26-E42)</f>
        <v>8983041157.2840004</v>
      </c>
      <c r="F44" s="1687">
        <f>SUM(F26-F42)</f>
        <v>8952947371.6640015</v>
      </c>
      <c r="G44" s="439"/>
      <c r="H44" s="439"/>
      <c r="I44" s="439"/>
    </row>
    <row r="45" spans="2:9" ht="13.5" thickTop="1" x14ac:dyDescent="0.2">
      <c r="B45" s="488"/>
      <c r="C45" s="186"/>
      <c r="D45" s="527"/>
      <c r="E45" s="792"/>
      <c r="F45" s="1688"/>
      <c r="G45" s="439"/>
      <c r="H45" s="439"/>
      <c r="I45" s="439"/>
    </row>
    <row r="46" spans="2:9" x14ac:dyDescent="0.2">
      <c r="B46" s="488" t="s">
        <v>2623</v>
      </c>
      <c r="C46" s="436"/>
      <c r="D46" s="489"/>
      <c r="E46" s="1676"/>
      <c r="F46" s="1677"/>
      <c r="G46" s="439"/>
      <c r="H46" s="439"/>
      <c r="I46" s="439"/>
    </row>
    <row r="47" spans="2:9" x14ac:dyDescent="0.2">
      <c r="B47" s="492" t="s">
        <v>95</v>
      </c>
      <c r="C47" s="436"/>
      <c r="D47" s="436">
        <v>2</v>
      </c>
      <c r="E47" s="1676">
        <f>'Notes 2 - 7'!G14</f>
        <v>0</v>
      </c>
      <c r="F47" s="1677">
        <f>'Notes 2 - 7'!I14</f>
        <v>6955961.6299999999</v>
      </c>
      <c r="G47" s="439"/>
      <c r="H47" s="439"/>
      <c r="I47" s="439"/>
    </row>
    <row r="48" spans="2:9" x14ac:dyDescent="0.2">
      <c r="B48" s="487" t="s">
        <v>2624</v>
      </c>
      <c r="C48" s="436"/>
      <c r="D48" s="436">
        <v>3</v>
      </c>
      <c r="E48" s="1676">
        <f>'Changes in Net assets'!F121</f>
        <v>3408519200.7999997</v>
      </c>
      <c r="F48" s="1677">
        <f>'Notes 2 - 7'!I27</f>
        <v>3433074767.2999997</v>
      </c>
      <c r="G48" s="439"/>
      <c r="H48" s="439"/>
      <c r="I48" s="439"/>
    </row>
    <row r="49" spans="2:10" x14ac:dyDescent="0.2">
      <c r="B49" s="487" t="s">
        <v>99</v>
      </c>
      <c r="C49" s="436"/>
      <c r="D49" s="489"/>
      <c r="E49" s="1676">
        <f>'Changes in Net assets'!H121</f>
        <v>5574521956.479557</v>
      </c>
      <c r="F49" s="1677">
        <f>'Changes in Net assets'!H94</f>
        <v>5512916642.729557</v>
      </c>
      <c r="G49" s="439"/>
      <c r="H49" s="439"/>
      <c r="I49" s="439"/>
      <c r="J49" s="439"/>
    </row>
    <row r="50" spans="2:10" x14ac:dyDescent="0.2">
      <c r="B50" s="487"/>
      <c r="C50" s="436"/>
      <c r="D50" s="489"/>
      <c r="E50" s="1592"/>
      <c r="F50" s="1679"/>
      <c r="G50" s="439"/>
      <c r="H50" s="439"/>
      <c r="I50" s="439"/>
    </row>
    <row r="51" spans="2:10" x14ac:dyDescent="0.2">
      <c r="B51" s="488" t="s">
        <v>2625</v>
      </c>
      <c r="C51" s="436"/>
      <c r="D51" s="489"/>
      <c r="E51" s="1676"/>
      <c r="F51" s="1677"/>
      <c r="G51" s="439"/>
      <c r="H51" s="439"/>
      <c r="I51" s="439"/>
    </row>
    <row r="52" spans="2:10" ht="13.5" thickBot="1" x14ac:dyDescent="0.25">
      <c r="B52" s="487"/>
      <c r="C52" s="436"/>
      <c r="D52" s="489"/>
      <c r="E52" s="793">
        <f>E47+E48+E49</f>
        <v>8983041157.2795563</v>
      </c>
      <c r="F52" s="1687">
        <f>F47+F48+F49</f>
        <v>8952947371.6595573</v>
      </c>
      <c r="G52" s="439"/>
      <c r="H52" s="439"/>
      <c r="I52" s="439"/>
    </row>
    <row r="53" spans="2:10" ht="14.25" thickTop="1" thickBot="1" x14ac:dyDescent="0.25">
      <c r="B53" s="493"/>
      <c r="C53" s="494"/>
      <c r="D53" s="495"/>
      <c r="E53" s="1182"/>
      <c r="F53" s="1193"/>
    </row>
    <row r="54" spans="2:10" x14ac:dyDescent="0.2">
      <c r="B54" s="425"/>
      <c r="C54" s="249"/>
      <c r="D54" s="305"/>
      <c r="E54" s="1099"/>
      <c r="F54" s="1099"/>
    </row>
    <row r="55" spans="2:10" hidden="1" x14ac:dyDescent="0.2">
      <c r="E55" s="620">
        <f>E44-E52</f>
        <v>4.444122314453125E-3</v>
      </c>
      <c r="F55" s="620">
        <f>F44-F52</f>
        <v>4.444122314453125E-3</v>
      </c>
      <c r="G55" s="620"/>
      <c r="H55" s="620"/>
    </row>
    <row r="56" spans="2:10" x14ac:dyDescent="0.2">
      <c r="E56" s="1194"/>
      <c r="F56" s="1194"/>
    </row>
    <row r="57" spans="2:10" x14ac:dyDescent="0.2">
      <c r="E57" s="1194"/>
      <c r="F57" s="864"/>
      <c r="G57" s="922"/>
    </row>
    <row r="58" spans="2:10" x14ac:dyDescent="0.2">
      <c r="E58" s="1194"/>
      <c r="F58" s="1194"/>
    </row>
    <row r="59" spans="2:10" x14ac:dyDescent="0.2">
      <c r="E59" s="1194"/>
      <c r="F59" s="1194"/>
      <c r="H59" s="459"/>
    </row>
  </sheetData>
  <pageMargins left="0.70866141732283472" right="0.70866141732283472" top="0.74803149606299213" bottom="0.74803149606299213" header="0.31496062992125984" footer="0.31496062992125984"/>
  <pageSetup paperSize="9" scale="70" firstPageNumber="4" orientation="portrait" useFirstPageNumber="1" horizontalDpi="4294967293" r:id="rId1"/>
  <headerFooter>
    <oddHeader xml:space="preserve">&amp;C&amp;"Arial,Bold"POLOKWANE MUNICIPALITY
STATEMENT OF FINANCIAL POSITION FOR THE YEAR ENDED 30 JUNE 2016
</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45"/>
  <sheetViews>
    <sheetView showGridLines="0" topLeftCell="A19" workbookViewId="0">
      <selection activeCell="C46" sqref="C46"/>
    </sheetView>
  </sheetViews>
  <sheetFormatPr defaultRowHeight="12.75" x14ac:dyDescent="0.2"/>
  <cols>
    <col min="1" max="1" width="2" style="249" customWidth="1"/>
    <col min="2" max="2" width="6.42578125" style="249" customWidth="1"/>
    <col min="3" max="3" width="47.85546875" style="249" customWidth="1"/>
    <col min="4" max="4" width="5.28515625" style="249" bestFit="1" customWidth="1"/>
    <col min="5" max="5" width="2.7109375" style="249" customWidth="1"/>
    <col min="6" max="6" width="1.5703125" style="249" customWidth="1"/>
    <col min="7" max="7" width="19.42578125" style="207" bestFit="1" customWidth="1"/>
    <col min="8" max="8" width="1.5703125" style="249" customWidth="1"/>
    <col min="9" max="9" width="5.7109375" style="249" customWidth="1"/>
    <col min="10" max="10" width="19" style="207" bestFit="1" customWidth="1"/>
    <col min="11" max="11" width="1.5703125" style="249" customWidth="1"/>
    <col min="12" max="12" width="9.140625" style="249" customWidth="1"/>
    <col min="13" max="13" width="15.5703125" style="249" bestFit="1" customWidth="1"/>
    <col min="14" max="14" width="14.42578125" style="249" bestFit="1" customWidth="1"/>
    <col min="15" max="15" width="9.140625" style="249"/>
    <col min="16" max="16" width="14.28515625" style="249" bestFit="1" customWidth="1"/>
    <col min="17" max="16384" width="9.140625" style="249"/>
  </cols>
  <sheetData>
    <row r="1" spans="1:14" ht="13.5" thickBot="1" x14ac:dyDescent="0.25"/>
    <row r="2" spans="1:14" x14ac:dyDescent="0.2">
      <c r="A2" s="1084"/>
      <c r="B2" s="427"/>
      <c r="C2" s="427"/>
      <c r="D2" s="427"/>
      <c r="E2" s="427"/>
      <c r="F2" s="427"/>
      <c r="G2" s="1085"/>
      <c r="H2" s="427"/>
      <c r="I2" s="427"/>
      <c r="J2" s="1085"/>
      <c r="K2" s="429"/>
    </row>
    <row r="3" spans="1:14" s="245" customFormat="1" x14ac:dyDescent="0.2">
      <c r="A3" s="1086"/>
      <c r="G3" s="243" t="s">
        <v>3900</v>
      </c>
      <c r="J3" s="243" t="s">
        <v>3575</v>
      </c>
      <c r="K3" s="1087"/>
    </row>
    <row r="4" spans="1:14" s="245" customFormat="1" x14ac:dyDescent="0.2">
      <c r="A4" s="1086"/>
      <c r="D4" s="245" t="s">
        <v>316</v>
      </c>
      <c r="G4" s="242" t="s">
        <v>59</v>
      </c>
      <c r="J4" s="242" t="s">
        <v>59</v>
      </c>
      <c r="K4" s="1087"/>
    </row>
    <row r="5" spans="1:14" s="245" customFormat="1" x14ac:dyDescent="0.2">
      <c r="A5" s="1086"/>
      <c r="G5" s="242"/>
      <c r="J5" s="242" t="s">
        <v>3136</v>
      </c>
      <c r="K5" s="1087"/>
    </row>
    <row r="6" spans="1:14" s="245" customFormat="1" x14ac:dyDescent="0.2">
      <c r="A6" s="1086"/>
      <c r="C6" s="245" t="s">
        <v>318</v>
      </c>
      <c r="G6" s="242"/>
      <c r="J6" s="242"/>
      <c r="K6" s="1087"/>
    </row>
    <row r="7" spans="1:14" s="245" customFormat="1" ht="25.5" x14ac:dyDescent="0.2">
      <c r="A7" s="1086"/>
      <c r="C7" s="1088" t="s">
        <v>3122</v>
      </c>
      <c r="G7" s="242"/>
      <c r="J7" s="242"/>
      <c r="K7" s="1087"/>
    </row>
    <row r="8" spans="1:14" s="245" customFormat="1" x14ac:dyDescent="0.2">
      <c r="A8" s="1086"/>
      <c r="G8" s="246"/>
      <c r="J8" s="246"/>
      <c r="K8" s="1087"/>
    </row>
    <row r="9" spans="1:14" x14ac:dyDescent="0.2">
      <c r="A9" s="1089"/>
      <c r="C9" s="164" t="s">
        <v>3123</v>
      </c>
      <c r="D9" s="249">
        <v>16</v>
      </c>
      <c r="G9" s="1593">
        <f>+'Note 9-33'!H289</f>
        <v>281023720.90999997</v>
      </c>
      <c r="H9" s="425"/>
      <c r="I9" s="425"/>
      <c r="J9" s="1593">
        <f>'Note 9-33'!J289</f>
        <v>255375941.83000001</v>
      </c>
      <c r="K9" s="1092"/>
      <c r="M9" s="1099"/>
      <c r="N9" s="1091"/>
    </row>
    <row r="10" spans="1:14" x14ac:dyDescent="0.2">
      <c r="A10" s="1089"/>
      <c r="C10" s="164" t="s">
        <v>38</v>
      </c>
      <c r="D10" s="249">
        <v>17</v>
      </c>
      <c r="G10" s="1593">
        <f>+'Note 9-33'!H307</f>
        <v>1092044554.51</v>
      </c>
      <c r="H10" s="425"/>
      <c r="I10" s="425"/>
      <c r="J10" s="1593">
        <f>'Note 9-33'!J307</f>
        <v>917720057.25000012</v>
      </c>
      <c r="K10" s="1092"/>
      <c r="N10" s="1091"/>
    </row>
    <row r="11" spans="1:14" x14ac:dyDescent="0.2">
      <c r="A11" s="1089"/>
      <c r="C11" s="164" t="s">
        <v>2551</v>
      </c>
      <c r="D11" s="249">
        <v>18</v>
      </c>
      <c r="G11" s="1593">
        <f>'Note 9-33'!H313</f>
        <v>12342191.979999999</v>
      </c>
      <c r="H11" s="425"/>
      <c r="I11" s="425"/>
      <c r="J11" s="1593">
        <f>'Note 9-33'!J313</f>
        <v>12973611.540000001</v>
      </c>
      <c r="K11" s="1092"/>
      <c r="N11" s="1091"/>
    </row>
    <row r="12" spans="1:14" x14ac:dyDescent="0.2">
      <c r="A12" s="1089"/>
      <c r="C12" s="164" t="s">
        <v>567</v>
      </c>
      <c r="D12" s="249">
        <v>21</v>
      </c>
      <c r="G12" s="1593">
        <f>'Note 9-33'!H534</f>
        <v>27592761.699999999</v>
      </c>
      <c r="H12" s="425"/>
      <c r="I12" s="425"/>
      <c r="J12" s="1593">
        <f>'Note 9-33'!J534</f>
        <v>35720658.049999997</v>
      </c>
      <c r="K12" s="1092"/>
      <c r="N12" s="1091"/>
    </row>
    <row r="13" spans="1:14" x14ac:dyDescent="0.2">
      <c r="A13" s="1089"/>
      <c r="C13" s="164" t="s">
        <v>952</v>
      </c>
      <c r="D13" s="249" t="s">
        <v>296</v>
      </c>
      <c r="G13" s="1593">
        <f>-'TB3'!AD97</f>
        <v>54307169.009999998</v>
      </c>
      <c r="H13" s="425"/>
      <c r="I13" s="425"/>
      <c r="J13" s="1593">
        <f>-'TB3'!X97</f>
        <v>45797675.810000002</v>
      </c>
      <c r="K13" s="1092"/>
      <c r="N13" s="1091"/>
    </row>
    <row r="14" spans="1:14" x14ac:dyDescent="0.2">
      <c r="A14" s="1089"/>
      <c r="C14" s="164" t="s">
        <v>3124</v>
      </c>
      <c r="G14" s="1593">
        <f>-'TB3'!AD102</f>
        <v>17128584.780000001</v>
      </c>
      <c r="H14" s="425"/>
      <c r="I14" s="425"/>
      <c r="J14" s="1593">
        <f>-'TB3'!X102</f>
        <v>9846497.1999999993</v>
      </c>
      <c r="K14" s="1092"/>
      <c r="N14" s="1091"/>
    </row>
    <row r="15" spans="1:14" x14ac:dyDescent="0.2">
      <c r="A15" s="1089"/>
      <c r="C15" s="164" t="s">
        <v>405</v>
      </c>
      <c r="G15" s="1593">
        <f>-'TB3'!AD117</f>
        <v>8100962.2000000002</v>
      </c>
      <c r="H15" s="425"/>
      <c r="I15" s="425"/>
      <c r="J15" s="1593">
        <f>-'TB3'!X117</f>
        <v>9195509.4100000001</v>
      </c>
      <c r="K15" s="1092"/>
      <c r="N15" s="1091"/>
    </row>
    <row r="16" spans="1:14" x14ac:dyDescent="0.2">
      <c r="A16" s="1089"/>
      <c r="C16" s="164" t="s">
        <v>406</v>
      </c>
      <c r="G16" s="1593">
        <f>-'TB3'!AD122</f>
        <v>15931818.16</v>
      </c>
      <c r="H16" s="425"/>
      <c r="I16" s="425"/>
      <c r="J16" s="1593">
        <f>-'TB3'!X122</f>
        <v>15608126.880000001</v>
      </c>
      <c r="K16" s="1092"/>
      <c r="N16" s="1091"/>
    </row>
    <row r="17" spans="1:14" ht="25.5" x14ac:dyDescent="0.2">
      <c r="A17" s="1089"/>
      <c r="C17" s="36" t="s">
        <v>3125</v>
      </c>
      <c r="D17" s="164">
        <v>19</v>
      </c>
      <c r="G17" s="1593">
        <f>'Note 9-33'!H321</f>
        <v>616432886.5</v>
      </c>
      <c r="H17" s="425"/>
      <c r="I17" s="425"/>
      <c r="J17" s="1593">
        <f>+'Note 9-33'!J321</f>
        <v>547555479.83000004</v>
      </c>
      <c r="K17" s="1092"/>
      <c r="N17" s="1091"/>
    </row>
    <row r="18" spans="1:14" ht="25.5" x14ac:dyDescent="0.2">
      <c r="A18" s="1089"/>
      <c r="C18" s="36" t="s">
        <v>3126</v>
      </c>
      <c r="D18" s="164">
        <v>19</v>
      </c>
      <c r="G18" s="1593">
        <f>'Note 9-33'!H340</f>
        <v>473584799.02000004</v>
      </c>
      <c r="H18" s="425"/>
      <c r="I18" s="425"/>
      <c r="J18" s="1593">
        <f>'Note 9-33'!J340</f>
        <v>555234830.79999995</v>
      </c>
      <c r="K18" s="1092"/>
      <c r="N18" s="1091"/>
    </row>
    <row r="19" spans="1:14" s="36" customFormat="1" ht="25.5" x14ac:dyDescent="0.2">
      <c r="A19" s="709"/>
      <c r="C19" s="36" t="s">
        <v>3665</v>
      </c>
      <c r="D19" s="1093">
        <v>19</v>
      </c>
      <c r="G19" s="1594">
        <f>'Note 9-33'!H352</f>
        <v>3355674.42</v>
      </c>
      <c r="H19" s="1595"/>
      <c r="I19" s="1595"/>
      <c r="J19" s="1594">
        <f>'Note 9-33'!J352</f>
        <v>2797470.06</v>
      </c>
      <c r="K19" s="1094"/>
      <c r="N19" s="1091"/>
    </row>
    <row r="20" spans="1:14" x14ac:dyDescent="0.2">
      <c r="A20" s="1089"/>
      <c r="C20" s="164" t="s">
        <v>275</v>
      </c>
      <c r="D20" s="249">
        <v>22</v>
      </c>
      <c r="G20" s="1593">
        <f>'Note 9-33'!H556</f>
        <v>187481214.11000001</v>
      </c>
      <c r="H20" s="425"/>
      <c r="I20" s="425"/>
      <c r="J20" s="1593">
        <f>'Note 9-33'!J556</f>
        <v>78652634.470000029</v>
      </c>
      <c r="K20" s="1092"/>
      <c r="N20" s="1091"/>
    </row>
    <row r="21" spans="1:14" x14ac:dyDescent="0.2">
      <c r="A21" s="1089"/>
      <c r="C21" s="164"/>
      <c r="G21" s="1593"/>
      <c r="H21" s="425"/>
      <c r="I21" s="425"/>
      <c r="J21" s="1593"/>
      <c r="K21" s="1092"/>
      <c r="N21" s="1091"/>
    </row>
    <row r="22" spans="1:14" s="245" customFormat="1" ht="13.5" thickBot="1" x14ac:dyDescent="0.25">
      <c r="A22" s="1086"/>
      <c r="C22" s="244" t="s">
        <v>276</v>
      </c>
      <c r="G22" s="1596">
        <f>SUM(G9:G20)</f>
        <v>2789326337.3000007</v>
      </c>
      <c r="H22" s="1597"/>
      <c r="I22" s="1597"/>
      <c r="J22" s="1596">
        <f>SUM(J9:J20)</f>
        <v>2486478493.1300001</v>
      </c>
      <c r="K22" s="1087"/>
      <c r="N22" s="1091"/>
    </row>
    <row r="23" spans="1:14" ht="13.5" thickTop="1" x14ac:dyDescent="0.2">
      <c r="A23" s="1089"/>
      <c r="C23" s="244"/>
      <c r="G23" s="1598"/>
      <c r="H23" s="425"/>
      <c r="I23" s="425"/>
      <c r="J23" s="1598"/>
      <c r="K23" s="1092"/>
      <c r="N23" s="1091"/>
    </row>
    <row r="24" spans="1:14" x14ac:dyDescent="0.2">
      <c r="A24" s="1089"/>
      <c r="C24" s="1095" t="s">
        <v>277</v>
      </c>
      <c r="G24" s="1599"/>
      <c r="H24" s="425"/>
      <c r="I24" s="425"/>
      <c r="J24" s="1599"/>
      <c r="K24" s="1092"/>
      <c r="N24" s="1091"/>
    </row>
    <row r="25" spans="1:14" x14ac:dyDescent="0.2">
      <c r="A25" s="1089"/>
      <c r="C25" s="164"/>
      <c r="G25" s="1185"/>
      <c r="H25" s="425"/>
      <c r="I25" s="425"/>
      <c r="J25" s="1185"/>
      <c r="K25" s="1092"/>
      <c r="N25" s="1091"/>
    </row>
    <row r="26" spans="1:14" x14ac:dyDescent="0.2">
      <c r="A26" s="1089"/>
      <c r="C26" s="164" t="s">
        <v>61</v>
      </c>
      <c r="D26" s="249">
        <v>23</v>
      </c>
      <c r="G26" s="1593">
        <f>'Note 9-33'!H568</f>
        <v>598398758.71000004</v>
      </c>
      <c r="H26" s="425"/>
      <c r="I26" s="425"/>
      <c r="J26" s="1593">
        <f>'Note 9-33'!J568</f>
        <v>520315822.41000009</v>
      </c>
      <c r="K26" s="1092"/>
      <c r="N26" s="1091"/>
    </row>
    <row r="27" spans="1:14" x14ac:dyDescent="0.2">
      <c r="A27" s="1089"/>
      <c r="C27" s="164" t="s">
        <v>278</v>
      </c>
      <c r="D27" s="249">
        <v>24</v>
      </c>
      <c r="G27" s="1593">
        <f>'Note 9-33'!H656</f>
        <v>27019623.370000001</v>
      </c>
      <c r="H27" s="425"/>
      <c r="I27" s="425"/>
      <c r="J27" s="1593">
        <f>'Note 9-33'!J656</f>
        <v>25405635.66</v>
      </c>
      <c r="K27" s="1092"/>
      <c r="N27" s="1091"/>
    </row>
    <row r="28" spans="1:14" x14ac:dyDescent="0.2">
      <c r="A28" s="1089"/>
      <c r="C28" s="164" t="s">
        <v>279</v>
      </c>
      <c r="G28" s="1593">
        <f>'TB3'!AD327</f>
        <v>76708428.220000014</v>
      </c>
      <c r="H28" s="425"/>
      <c r="I28" s="425"/>
      <c r="J28" s="1593">
        <f>'TB3'!X327</f>
        <v>130414055.80000001</v>
      </c>
      <c r="K28" s="1092"/>
      <c r="N28" s="1091"/>
    </row>
    <row r="29" spans="1:14" hidden="1" x14ac:dyDescent="0.2">
      <c r="A29" s="1089"/>
      <c r="C29" s="164" t="s">
        <v>280</v>
      </c>
      <c r="G29" s="1593">
        <v>0</v>
      </c>
      <c r="H29" s="425"/>
      <c r="I29" s="425"/>
      <c r="J29" s="1593">
        <v>0</v>
      </c>
      <c r="K29" s="1092"/>
      <c r="N29" s="1091"/>
    </row>
    <row r="30" spans="1:14" x14ac:dyDescent="0.2">
      <c r="A30" s="1096"/>
      <c r="B30" s="1097"/>
      <c r="C30" s="1098" t="s">
        <v>4280</v>
      </c>
      <c r="D30" s="1097"/>
      <c r="E30" s="1097"/>
      <c r="F30" s="1097"/>
      <c r="G30" s="1593">
        <f>'TB3'!AD334</f>
        <v>475210190.04000008</v>
      </c>
      <c r="H30" s="425"/>
      <c r="I30" s="425"/>
      <c r="J30" s="1593">
        <f>'TB3'!X334</f>
        <v>546632072.12</v>
      </c>
      <c r="K30" s="1092"/>
      <c r="N30" s="1091"/>
    </row>
    <row r="31" spans="1:14" x14ac:dyDescent="0.2">
      <c r="A31" s="1089"/>
      <c r="C31" s="164" t="s">
        <v>366</v>
      </c>
      <c r="G31" s="1593">
        <f>'TB3'!AD404</f>
        <v>199521473.98000008</v>
      </c>
      <c r="H31" s="425"/>
      <c r="I31" s="425"/>
      <c r="J31" s="1593">
        <f>'TB3'!X404</f>
        <v>163392950.06999999</v>
      </c>
      <c r="K31" s="1092"/>
      <c r="M31" s="1090"/>
      <c r="N31" s="1091"/>
    </row>
    <row r="32" spans="1:14" x14ac:dyDescent="0.2">
      <c r="A32" s="1089"/>
      <c r="C32" s="164" t="s">
        <v>271</v>
      </c>
      <c r="D32" s="249">
        <v>25</v>
      </c>
      <c r="G32" s="1593">
        <f>'Note 9-33'!H669</f>
        <v>33955930.579999998</v>
      </c>
      <c r="H32" s="425"/>
      <c r="I32" s="425"/>
      <c r="J32" s="1593">
        <f>'Note 9-33'!J669</f>
        <v>38186646.25</v>
      </c>
      <c r="K32" s="1092"/>
      <c r="N32" s="1091"/>
    </row>
    <row r="33" spans="1:16" x14ac:dyDescent="0.2">
      <c r="A33" s="1089"/>
      <c r="C33" s="164" t="s">
        <v>62</v>
      </c>
      <c r="D33" s="249">
        <v>26</v>
      </c>
      <c r="G33" s="1593">
        <f>'Note 9-33'!H675</f>
        <v>748278150.28999996</v>
      </c>
      <c r="H33" s="425"/>
      <c r="I33" s="425"/>
      <c r="J33" s="1593">
        <f>+'Note 9-33'!J675</f>
        <v>674894905.81999993</v>
      </c>
      <c r="K33" s="1092"/>
      <c r="N33" s="1091"/>
    </row>
    <row r="34" spans="1:16" x14ac:dyDescent="0.2">
      <c r="A34" s="1089"/>
      <c r="C34" s="164" t="s">
        <v>368</v>
      </c>
      <c r="D34" s="249">
        <v>27</v>
      </c>
      <c r="G34" s="1593">
        <f>'Note 9-33'!H681</f>
        <v>17180000</v>
      </c>
      <c r="H34" s="425"/>
      <c r="I34" s="425"/>
      <c r="J34" s="1593">
        <f>+'Note 9-33'!J681</f>
        <v>6740000</v>
      </c>
      <c r="K34" s="1092"/>
      <c r="N34" s="1091"/>
    </row>
    <row r="35" spans="1:16" x14ac:dyDescent="0.2">
      <c r="A35" s="1089"/>
      <c r="C35" s="164" t="s">
        <v>541</v>
      </c>
      <c r="D35" s="249">
        <v>28</v>
      </c>
      <c r="G35" s="1593">
        <f>+'Note 9-33'!H721</f>
        <v>586464903.8900001</v>
      </c>
      <c r="H35" s="425"/>
      <c r="I35" s="425"/>
      <c r="J35" s="1593">
        <f>'Note 9-33'!J721</f>
        <v>499087439.61000001</v>
      </c>
      <c r="K35" s="1092"/>
      <c r="N35" s="1091"/>
      <c r="P35" s="1099"/>
    </row>
    <row r="36" spans="1:16" x14ac:dyDescent="0.2">
      <c r="A36" s="1089"/>
      <c r="C36" s="164"/>
      <c r="G36" s="1593"/>
      <c r="H36" s="425"/>
      <c r="I36" s="425"/>
      <c r="J36" s="1593"/>
      <c r="K36" s="1092"/>
      <c r="N36" s="1091"/>
      <c r="P36" s="1099"/>
    </row>
    <row r="37" spans="1:16" s="245" customFormat="1" ht="13.5" thickBot="1" x14ac:dyDescent="0.25">
      <c r="A37" s="1086"/>
      <c r="C37" s="244" t="s">
        <v>369</v>
      </c>
      <c r="G37" s="1596">
        <f>SUM(G26:G35)</f>
        <v>2762737459.0799999</v>
      </c>
      <c r="H37" s="1597"/>
      <c r="I37" s="1597"/>
      <c r="J37" s="1596">
        <f>SUM(J26:J36)</f>
        <v>2605069527.7400002</v>
      </c>
      <c r="K37" s="1087"/>
      <c r="N37" s="1091"/>
      <c r="P37" s="1100"/>
    </row>
    <row r="38" spans="1:16" s="245" customFormat="1" ht="13.5" thickTop="1" x14ac:dyDescent="0.2">
      <c r="A38" s="1086"/>
      <c r="C38" s="436" t="s">
        <v>3492</v>
      </c>
      <c r="D38" s="437">
        <v>8</v>
      </c>
      <c r="E38" s="436"/>
      <c r="F38" s="1101"/>
      <c r="G38" s="1600">
        <f>'Note 8 Assets'!I70+'Note 8 Assets'!C122</f>
        <v>0</v>
      </c>
      <c r="H38" s="760" t="e">
        <v>#REF!</v>
      </c>
      <c r="I38" s="1601" t="s">
        <v>296</v>
      </c>
      <c r="J38" s="1600">
        <f>'Note 8 Assets'!I53+'Note 8 Assets'!D122-1.1</f>
        <v>-315182.97274648957</v>
      </c>
      <c r="K38" s="1087"/>
      <c r="N38" s="1091"/>
      <c r="P38" s="1100"/>
    </row>
    <row r="39" spans="1:16" s="245" customFormat="1" x14ac:dyDescent="0.2">
      <c r="A39" s="1086"/>
      <c r="C39" s="436" t="s">
        <v>3864</v>
      </c>
      <c r="D39" s="437"/>
      <c r="E39" s="436"/>
      <c r="F39" s="1101"/>
      <c r="G39" s="1600">
        <f>-'TB3'!AD614</f>
        <v>0</v>
      </c>
      <c r="H39" s="760"/>
      <c r="I39" s="1601"/>
      <c r="J39" s="1600">
        <f>-'TB3'!X614</f>
        <v>-7595282</v>
      </c>
      <c r="K39" s="1087"/>
      <c r="N39" s="1091"/>
      <c r="P39" s="1100"/>
    </row>
    <row r="40" spans="1:16" s="245" customFormat="1" x14ac:dyDescent="0.2">
      <c r="A40" s="1102"/>
      <c r="B40" s="1103"/>
      <c r="C40" s="854" t="s">
        <v>4223</v>
      </c>
      <c r="D40" s="855">
        <v>8</v>
      </c>
      <c r="E40" s="854"/>
      <c r="F40" s="1104"/>
      <c r="G40" s="1667">
        <f>'TB3'!AB613+'TB3'!AB615+'TB3'!AB619</f>
        <v>-49584331.220000006</v>
      </c>
      <c r="H40" s="760"/>
      <c r="I40" s="1601"/>
      <c r="J40" s="1600">
        <f>-'TB3'!X612-'TB3'!X620</f>
        <v>-25848720.93</v>
      </c>
      <c r="K40" s="1105"/>
      <c r="L40" s="1103"/>
      <c r="N40" s="1091"/>
    </row>
    <row r="41" spans="1:16" s="245" customFormat="1" hidden="1" x14ac:dyDescent="0.2">
      <c r="A41" s="1086"/>
      <c r="C41" s="436" t="s">
        <v>4221</v>
      </c>
      <c r="D41" s="437">
        <v>3</v>
      </c>
      <c r="E41" s="436"/>
      <c r="F41" s="1101"/>
      <c r="G41" s="1600"/>
      <c r="H41" s="760"/>
      <c r="I41" s="1601"/>
      <c r="J41" s="1600">
        <v>0</v>
      </c>
      <c r="K41" s="1087"/>
      <c r="N41" s="1091"/>
    </row>
    <row r="42" spans="1:16" s="245" customFormat="1" x14ac:dyDescent="0.2">
      <c r="A42" s="1086"/>
      <c r="C42" s="436" t="s">
        <v>4084</v>
      </c>
      <c r="D42" s="437">
        <v>43</v>
      </c>
      <c r="E42" s="436"/>
      <c r="F42" s="1101"/>
      <c r="G42" s="1602">
        <f>'Note 8.2 Assets'!C14+'Note 8.2 Assets'!C80</f>
        <v>18114503.670000002</v>
      </c>
      <c r="H42" s="760"/>
      <c r="I42" s="1601"/>
      <c r="J42" s="1602">
        <f>'Note 8.2 Assets'!D14+'Note 8.2 Assets'!D80-2</f>
        <v>22195708.239999998</v>
      </c>
      <c r="K42" s="1087"/>
      <c r="N42" s="1091"/>
    </row>
    <row r="43" spans="1:16" s="245" customFormat="1" ht="13.5" thickBot="1" x14ac:dyDescent="0.25">
      <c r="A43" s="1106"/>
      <c r="B43" s="1107"/>
      <c r="C43" s="1108" t="s">
        <v>3735</v>
      </c>
      <c r="D43" s="1107"/>
      <c r="E43" s="1107"/>
      <c r="F43" s="1107"/>
      <c r="G43" s="1603">
        <f>+G22-G37-G40-G42</f>
        <v>58058705.770000741</v>
      </c>
      <c r="H43" s="1604" t="e">
        <f>H22-H37-#REF!-H38-H42-#REF!</f>
        <v>#REF!</v>
      </c>
      <c r="I43" s="1603"/>
      <c r="J43" s="1675">
        <f>J22-J37+J38+J39+J40+J41+J42</f>
        <v>-130154512.27274664</v>
      </c>
      <c r="K43" s="1109"/>
      <c r="M43" s="867"/>
      <c r="N43" s="1091"/>
    </row>
    <row r="44" spans="1:16" s="245" customFormat="1" x14ac:dyDescent="0.2">
      <c r="A44" s="1086"/>
      <c r="C44" s="244"/>
      <c r="G44" s="1400"/>
      <c r="H44" s="1399"/>
      <c r="I44" s="1399"/>
      <c r="J44" s="1110"/>
    </row>
    <row r="45" spans="1:16" ht="17.25" customHeight="1" thickBot="1" x14ac:dyDescent="0.25">
      <c r="A45" s="1111"/>
    </row>
  </sheetData>
  <phoneticPr fontId="0" type="noConversion"/>
  <pageMargins left="0.6692913385826772" right="0.19685039370078741" top="1.5748031496062993" bottom="0.78740157480314965" header="0.51181102362204722" footer="0.51181102362204722"/>
  <pageSetup paperSize="9" scale="80" firstPageNumber="5" orientation="portrait" useFirstPageNumber="1" horizontalDpi="300" verticalDpi="300" r:id="rId1"/>
  <headerFooter alignWithMargins="0">
    <oddHeader>&amp;C&amp;"Calibri,Bold"&amp;12
POLOKWANE MUNICIPALITY
STATEMENT OF FINANCIAL PERFORMANCE FOR THE YEAR ENDED 30 JUNE 2016</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124"/>
  <sheetViews>
    <sheetView showGridLines="0" zoomScaleNormal="100" workbookViewId="0">
      <selection activeCell="I136" sqref="I136"/>
    </sheetView>
  </sheetViews>
  <sheetFormatPr defaultRowHeight="12.75" x14ac:dyDescent="0.2"/>
  <cols>
    <col min="1" max="1" width="2.42578125" style="22" customWidth="1"/>
    <col min="2" max="2" width="55.5703125" style="22" customWidth="1"/>
    <col min="3" max="3" width="10.5703125" style="22" customWidth="1"/>
    <col min="4" max="4" width="13.5703125" style="22" customWidth="1"/>
    <col min="5" max="5" width="19.85546875" style="24" hidden="1" customWidth="1"/>
    <col min="6" max="6" width="21.28515625" style="24" bestFit="1" customWidth="1"/>
    <col min="7" max="7" width="22" style="24" bestFit="1" customWidth="1"/>
    <col min="8" max="8" width="17.140625" style="24" customWidth="1"/>
    <col min="9" max="9" width="22" style="24" bestFit="1" customWidth="1"/>
    <col min="10" max="10" width="13.42578125" style="22" bestFit="1" customWidth="1"/>
    <col min="11" max="11" width="16.5703125" style="22" bestFit="1" customWidth="1"/>
    <col min="12" max="12" width="25.140625" style="22" customWidth="1"/>
    <col min="13" max="14" width="9.140625" style="22"/>
    <col min="15" max="15" width="8.5703125" style="22" bestFit="1" customWidth="1"/>
    <col min="16" max="16" width="12.7109375" style="22" bestFit="1" customWidth="1"/>
    <col min="17" max="17" width="9.140625" style="22"/>
    <col min="18" max="18" width="15" style="22" bestFit="1" customWidth="1"/>
    <col min="19" max="19" width="17.28515625" style="865" bestFit="1" customWidth="1"/>
    <col min="20" max="16384" width="9.140625" style="22"/>
  </cols>
  <sheetData>
    <row r="1" spans="2:19" ht="13.5" thickBot="1" x14ac:dyDescent="0.25"/>
    <row r="2" spans="2:19" s="23" customFormat="1" ht="43.5" customHeight="1" x14ac:dyDescent="0.2">
      <c r="B2" s="693"/>
      <c r="C2" s="694" t="s">
        <v>460</v>
      </c>
      <c r="D2" s="694" t="s">
        <v>797</v>
      </c>
      <c r="E2" s="695" t="s">
        <v>459</v>
      </c>
      <c r="F2" s="695" t="s">
        <v>915</v>
      </c>
      <c r="G2" s="695" t="s">
        <v>374</v>
      </c>
      <c r="H2" s="695" t="s">
        <v>373</v>
      </c>
      <c r="I2" s="696" t="s">
        <v>374</v>
      </c>
      <c r="K2" s="950"/>
      <c r="L2" s="485"/>
      <c r="M2" s="63"/>
      <c r="N2" s="63"/>
      <c r="O2" s="63"/>
      <c r="P2" s="63"/>
      <c r="Q2" s="63"/>
      <c r="R2" s="63"/>
      <c r="S2" s="63"/>
    </row>
    <row r="3" spans="2:19" ht="13.5" thickBot="1" x14ac:dyDescent="0.25">
      <c r="B3" s="697"/>
      <c r="C3" s="861"/>
      <c r="D3" s="923"/>
      <c r="E3" s="860" t="s">
        <v>59</v>
      </c>
      <c r="F3" s="860" t="s">
        <v>59</v>
      </c>
      <c r="G3" s="860"/>
      <c r="H3" s="860" t="s">
        <v>59</v>
      </c>
      <c r="I3" s="953" t="s">
        <v>59</v>
      </c>
    </row>
    <row r="4" spans="2:19" s="63" customFormat="1" hidden="1" x14ac:dyDescent="0.2">
      <c r="B4" s="698"/>
      <c r="C4" s="129"/>
      <c r="D4" s="862"/>
      <c r="E4" s="128"/>
      <c r="F4" s="128"/>
      <c r="G4" s="128"/>
      <c r="H4" s="127"/>
      <c r="I4" s="954"/>
      <c r="S4" s="865"/>
    </row>
    <row r="5" spans="2:19" s="63" customFormat="1" hidden="1" x14ac:dyDescent="0.2">
      <c r="B5" s="699"/>
      <c r="C5" s="130"/>
      <c r="D5" s="863"/>
      <c r="E5" s="133"/>
      <c r="F5" s="133"/>
      <c r="G5" s="133"/>
      <c r="H5" s="133"/>
      <c r="I5" s="700"/>
      <c r="S5" s="865"/>
    </row>
    <row r="6" spans="2:19" s="64" customFormat="1" hidden="1" x14ac:dyDescent="0.2">
      <c r="B6" s="701" t="s">
        <v>372</v>
      </c>
      <c r="C6" s="131"/>
      <c r="D6" s="143">
        <v>10736726</v>
      </c>
      <c r="E6" s="142">
        <v>876781815</v>
      </c>
      <c r="F6" s="142">
        <v>0</v>
      </c>
      <c r="G6" s="142">
        <f>SUM(D6:F6)</f>
        <v>887518541</v>
      </c>
      <c r="H6" s="142">
        <v>639289061</v>
      </c>
      <c r="I6" s="955">
        <f>G6+H6</f>
        <v>1526807602</v>
      </c>
      <c r="S6" s="866"/>
    </row>
    <row r="7" spans="2:19" s="63" customFormat="1" hidden="1" x14ac:dyDescent="0.2">
      <c r="B7" s="699" t="s">
        <v>804</v>
      </c>
      <c r="C7" s="130"/>
      <c r="D7" s="143"/>
      <c r="E7" s="144">
        <v>-876781815</v>
      </c>
      <c r="F7" s="144"/>
      <c r="G7" s="142">
        <f>SUM(E7:F7)</f>
        <v>-876781815</v>
      </c>
      <c r="H7" s="142">
        <v>876781815</v>
      </c>
      <c r="I7" s="955">
        <f t="shared" ref="I7:I12" si="0">G7+H7</f>
        <v>0</v>
      </c>
      <c r="S7" s="865"/>
    </row>
    <row r="8" spans="2:19" s="63" customFormat="1" hidden="1" x14ac:dyDescent="0.2">
      <c r="B8" s="699" t="s">
        <v>805</v>
      </c>
      <c r="C8" s="130"/>
      <c r="D8" s="216"/>
      <c r="E8" s="136"/>
      <c r="F8" s="136"/>
      <c r="G8" s="137">
        <f>SUM(E8:F8)</f>
        <v>0</v>
      </c>
      <c r="H8" s="136">
        <v>141465026</v>
      </c>
      <c r="I8" s="956">
        <f t="shared" si="0"/>
        <v>141465026</v>
      </c>
      <c r="S8" s="865"/>
    </row>
    <row r="9" spans="2:19" s="132" customFormat="1" hidden="1" x14ac:dyDescent="0.2">
      <c r="B9" s="702" t="s">
        <v>806</v>
      </c>
      <c r="C9" s="202"/>
      <c r="D9" s="138">
        <f t="shared" ref="D9:I9" si="1">SUM(D6:D8)</f>
        <v>10736726</v>
      </c>
      <c r="E9" s="138">
        <f t="shared" si="1"/>
        <v>0</v>
      </c>
      <c r="F9" s="138">
        <f t="shared" si="1"/>
        <v>0</v>
      </c>
      <c r="G9" s="138">
        <f t="shared" si="1"/>
        <v>10736726</v>
      </c>
      <c r="H9" s="204">
        <f t="shared" si="1"/>
        <v>1657535902</v>
      </c>
      <c r="I9" s="957">
        <f t="shared" si="1"/>
        <v>1668272628</v>
      </c>
      <c r="S9" s="867"/>
    </row>
    <row r="10" spans="2:19" s="63" customFormat="1" hidden="1" x14ac:dyDescent="0.2">
      <c r="B10" s="699" t="s">
        <v>417</v>
      </c>
      <c r="C10" s="130"/>
      <c r="D10" s="143"/>
      <c r="E10" s="144">
        <v>0</v>
      </c>
      <c r="F10" s="144">
        <v>399517240</v>
      </c>
      <c r="G10" s="142">
        <f>SUM(D10:F10)</f>
        <v>399517240</v>
      </c>
      <c r="H10" s="142">
        <v>926652863</v>
      </c>
      <c r="I10" s="955">
        <f t="shared" si="0"/>
        <v>1326170103</v>
      </c>
      <c r="S10" s="865"/>
    </row>
    <row r="11" spans="2:19" s="63" customFormat="1" hidden="1" x14ac:dyDescent="0.2">
      <c r="B11" s="699" t="s">
        <v>458</v>
      </c>
      <c r="C11" s="130"/>
      <c r="D11" s="143">
        <v>71495</v>
      </c>
      <c r="E11" s="144"/>
      <c r="F11" s="144">
        <v>-13317241</v>
      </c>
      <c r="G11" s="142">
        <f>SUM(D11:F11)</f>
        <v>-13245746</v>
      </c>
      <c r="H11" s="142">
        <v>143083572</v>
      </c>
      <c r="I11" s="955">
        <f t="shared" si="0"/>
        <v>129837826</v>
      </c>
      <c r="S11" s="865"/>
    </row>
    <row r="12" spans="2:19" s="63" customFormat="1" hidden="1" x14ac:dyDescent="0.2">
      <c r="B12" s="699" t="s">
        <v>461</v>
      </c>
      <c r="C12" s="130"/>
      <c r="D12" s="216"/>
      <c r="E12" s="135"/>
      <c r="F12" s="135"/>
      <c r="G12" s="134">
        <f>SUM(D12:F12)</f>
        <v>0</v>
      </c>
      <c r="H12" s="142">
        <v>589063848</v>
      </c>
      <c r="I12" s="958">
        <f t="shared" si="0"/>
        <v>589063848</v>
      </c>
      <c r="S12" s="865"/>
    </row>
    <row r="13" spans="2:19" s="64" customFormat="1" hidden="1" x14ac:dyDescent="0.2">
      <c r="B13" s="701" t="s">
        <v>782</v>
      </c>
      <c r="C13" s="131"/>
      <c r="D13" s="139">
        <f t="shared" ref="D13:I13" si="2">SUM(D9:D12)</f>
        <v>10808221</v>
      </c>
      <c r="E13" s="206">
        <f t="shared" si="2"/>
        <v>0</v>
      </c>
      <c r="F13" s="139">
        <f t="shared" si="2"/>
        <v>386199999</v>
      </c>
      <c r="G13" s="206">
        <f t="shared" si="2"/>
        <v>397008220</v>
      </c>
      <c r="H13" s="139">
        <f t="shared" si="2"/>
        <v>3316336185</v>
      </c>
      <c r="I13" s="959">
        <f t="shared" si="2"/>
        <v>3713344405</v>
      </c>
      <c r="S13" s="866"/>
    </row>
    <row r="14" spans="2:19" s="63" customFormat="1" hidden="1" x14ac:dyDescent="0.2">
      <c r="B14" s="699" t="s">
        <v>807</v>
      </c>
      <c r="C14" s="130"/>
      <c r="D14" s="143"/>
      <c r="E14" s="207"/>
      <c r="F14" s="144"/>
      <c r="G14" s="207">
        <f>SUM(D14:F14)</f>
        <v>0</v>
      </c>
      <c r="H14" s="135"/>
      <c r="I14" s="700">
        <f>SUM(G14:H14)</f>
        <v>0</v>
      </c>
      <c r="S14" s="865"/>
    </row>
    <row r="15" spans="2:19" s="63" customFormat="1" hidden="1" x14ac:dyDescent="0.2">
      <c r="B15" s="703" t="s">
        <v>2874</v>
      </c>
      <c r="C15" s="130"/>
      <c r="D15" s="143"/>
      <c r="E15" s="207"/>
      <c r="F15" s="144"/>
      <c r="G15" s="207">
        <f>SUM(D15:F15)</f>
        <v>0</v>
      </c>
      <c r="H15" s="135"/>
      <c r="I15" s="700">
        <f>SUM(G15:H15)</f>
        <v>0</v>
      </c>
      <c r="S15" s="865"/>
    </row>
    <row r="16" spans="2:19" s="63" customFormat="1" hidden="1" x14ac:dyDescent="0.2">
      <c r="B16" s="699" t="s">
        <v>458</v>
      </c>
      <c r="C16" s="130"/>
      <c r="D16" s="143">
        <v>92375</v>
      </c>
      <c r="E16" s="207"/>
      <c r="F16" s="144">
        <v>-13317241</v>
      </c>
      <c r="G16" s="207">
        <f>SUM(D16:F16)</f>
        <v>-13224866</v>
      </c>
      <c r="H16" s="135">
        <v>-4015973</v>
      </c>
      <c r="I16" s="700">
        <f>SUM(G16:H16)</f>
        <v>-17240839</v>
      </c>
      <c r="S16" s="865"/>
    </row>
    <row r="17" spans="2:19" s="63" customFormat="1" hidden="1" x14ac:dyDescent="0.2">
      <c r="B17" s="699" t="s">
        <v>55</v>
      </c>
      <c r="C17" s="130"/>
      <c r="D17" s="143"/>
      <c r="E17" s="207"/>
      <c r="F17" s="144"/>
      <c r="G17" s="207"/>
      <c r="H17" s="135">
        <v>-10514127</v>
      </c>
      <c r="I17" s="700">
        <f>SUM(G17:H17)</f>
        <v>-10514127</v>
      </c>
      <c r="S17" s="865"/>
    </row>
    <row r="18" spans="2:19" s="63" customFormat="1" hidden="1" x14ac:dyDescent="0.2">
      <c r="B18" s="699" t="s">
        <v>461</v>
      </c>
      <c r="C18" s="130"/>
      <c r="D18" s="216"/>
      <c r="E18" s="217"/>
      <c r="F18" s="136"/>
      <c r="G18" s="218">
        <f>SUM(D18:F18)</f>
        <v>0</v>
      </c>
      <c r="H18" s="136">
        <v>797295352</v>
      </c>
      <c r="I18" s="960">
        <f>SUM(G18:H18)</f>
        <v>797295352</v>
      </c>
      <c r="S18" s="865"/>
    </row>
    <row r="19" spans="2:19" s="63" customFormat="1" hidden="1" x14ac:dyDescent="0.2">
      <c r="B19" s="701" t="s">
        <v>890</v>
      </c>
      <c r="C19" s="131"/>
      <c r="D19" s="203">
        <f t="shared" ref="D19:I19" si="3">SUM(D13:D18)</f>
        <v>10900596</v>
      </c>
      <c r="E19" s="65">
        <f t="shared" si="3"/>
        <v>0</v>
      </c>
      <c r="F19" s="203">
        <f t="shared" si="3"/>
        <v>372882758</v>
      </c>
      <c r="G19" s="65">
        <f t="shared" si="3"/>
        <v>383783354</v>
      </c>
      <c r="H19" s="203">
        <f t="shared" si="3"/>
        <v>4099101437</v>
      </c>
      <c r="I19" s="961">
        <f t="shared" si="3"/>
        <v>4482884791</v>
      </c>
      <c r="S19" s="865"/>
    </row>
    <row r="20" spans="2:19" s="63" customFormat="1" hidden="1" x14ac:dyDescent="0.2">
      <c r="B20" s="699" t="s">
        <v>807</v>
      </c>
      <c r="C20" s="131"/>
      <c r="D20" s="203"/>
      <c r="E20" s="65"/>
      <c r="F20" s="203"/>
      <c r="G20" s="207">
        <f>SUM(D20:F20)</f>
        <v>0</v>
      </c>
      <c r="H20" s="208"/>
      <c r="I20" s="700">
        <f>SUM(G20:H20)</f>
        <v>0</v>
      </c>
      <c r="S20" s="865"/>
    </row>
    <row r="21" spans="2:19" s="63" customFormat="1" hidden="1" x14ac:dyDescent="0.2">
      <c r="B21" s="703" t="s">
        <v>2874</v>
      </c>
      <c r="C21" s="131"/>
      <c r="D21" s="203"/>
      <c r="E21" s="65"/>
      <c r="F21" s="203"/>
      <c r="G21" s="207">
        <f>SUM(D21:F21)</f>
        <v>0</v>
      </c>
      <c r="H21" s="208">
        <f>-14832117+3323350+915183</f>
        <v>-10593584</v>
      </c>
      <c r="I21" s="700">
        <f>SUM(G21:H21)</f>
        <v>-10593584</v>
      </c>
      <c r="S21" s="865"/>
    </row>
    <row r="22" spans="2:19" s="63" customFormat="1" hidden="1" x14ac:dyDescent="0.2">
      <c r="B22" s="699" t="s">
        <v>458</v>
      </c>
      <c r="C22" s="131"/>
      <c r="D22" s="208">
        <v>68055</v>
      </c>
      <c r="E22" s="65"/>
      <c r="F22" s="208">
        <v>-13317241</v>
      </c>
      <c r="G22" s="207">
        <f>SUM(D22:F22)</f>
        <v>-13249186</v>
      </c>
      <c r="H22" s="208">
        <v>-133081030</v>
      </c>
      <c r="I22" s="700">
        <f>SUM(G22:H22)</f>
        <v>-146330216</v>
      </c>
      <c r="S22" s="865"/>
    </row>
    <row r="23" spans="2:19" s="63" customFormat="1" hidden="1" x14ac:dyDescent="0.2">
      <c r="B23" s="699" t="s">
        <v>461</v>
      </c>
      <c r="C23" s="131"/>
      <c r="D23" s="219"/>
      <c r="E23" s="65"/>
      <c r="F23" s="219"/>
      <c r="G23" s="207">
        <f>SUM(D23:F23)</f>
        <v>0</v>
      </c>
      <c r="H23" s="220">
        <f>438452054+2391655-3018047-305303</f>
        <v>437520359</v>
      </c>
      <c r="I23" s="960">
        <f>SUM(G23:H23)</f>
        <v>437520359</v>
      </c>
      <c r="S23" s="865"/>
    </row>
    <row r="24" spans="2:19" s="63" customFormat="1" ht="13.5" hidden="1" thickBot="1" x14ac:dyDescent="0.25">
      <c r="B24" s="701" t="s">
        <v>694</v>
      </c>
      <c r="C24" s="131"/>
      <c r="D24" s="205">
        <f t="shared" ref="D24:I24" si="4">SUM(D19:D23)</f>
        <v>10968651</v>
      </c>
      <c r="E24" s="205">
        <f t="shared" si="4"/>
        <v>0</v>
      </c>
      <c r="F24" s="205">
        <f t="shared" si="4"/>
        <v>359565517</v>
      </c>
      <c r="G24" s="205">
        <f t="shared" si="4"/>
        <v>370534168</v>
      </c>
      <c r="H24" s="205">
        <f t="shared" si="4"/>
        <v>4392947182</v>
      </c>
      <c r="I24" s="962">
        <f t="shared" si="4"/>
        <v>4763481350</v>
      </c>
      <c r="S24" s="865"/>
    </row>
    <row r="25" spans="2:19" s="63" customFormat="1" hidden="1" x14ac:dyDescent="0.2">
      <c r="B25" s="703" t="s">
        <v>2901</v>
      </c>
      <c r="C25" s="131"/>
      <c r="D25" s="203"/>
      <c r="E25" s="65"/>
      <c r="F25" s="208">
        <v>1578940</v>
      </c>
      <c r="G25" s="207">
        <f>SUM(D25:F25)</f>
        <v>1578940</v>
      </c>
      <c r="H25" s="208"/>
      <c r="I25" s="700">
        <f>SUM(G25:H25)</f>
        <v>1578940</v>
      </c>
      <c r="S25" s="865"/>
    </row>
    <row r="26" spans="2:19" s="63" customFormat="1" hidden="1" x14ac:dyDescent="0.2">
      <c r="B26" s="703" t="s">
        <v>2946</v>
      </c>
      <c r="C26" s="131"/>
      <c r="D26" s="203"/>
      <c r="E26" s="65"/>
      <c r="F26" s="208"/>
      <c r="G26" s="207"/>
      <c r="H26" s="208">
        <f>88148193-41263400.45</f>
        <v>46884792.549999997</v>
      </c>
      <c r="I26" s="700">
        <f>SUM(G26:H26)</f>
        <v>46884792.549999997</v>
      </c>
      <c r="J26" s="485"/>
      <c r="S26" s="865"/>
    </row>
    <row r="27" spans="2:19" s="63" customFormat="1" hidden="1" x14ac:dyDescent="0.2">
      <c r="B27" s="703" t="s">
        <v>2945</v>
      </c>
      <c r="C27" s="131"/>
      <c r="D27" s="203"/>
      <c r="E27" s="65"/>
      <c r="F27" s="208">
        <v>423011555</v>
      </c>
      <c r="G27" s="207">
        <f>F27</f>
        <v>423011555</v>
      </c>
      <c r="H27" s="208"/>
      <c r="I27" s="700">
        <v>423011555</v>
      </c>
      <c r="J27" s="485"/>
      <c r="M27" s="485"/>
      <c r="S27" s="865"/>
    </row>
    <row r="28" spans="2:19" s="63" customFormat="1" ht="25.5" hidden="1" x14ac:dyDescent="0.2">
      <c r="B28" s="704" t="s">
        <v>2874</v>
      </c>
      <c r="C28" s="131"/>
      <c r="D28" s="203"/>
      <c r="E28" s="65"/>
      <c r="F28" s="208"/>
      <c r="G28" s="207">
        <f>SUM(D28:F28)</f>
        <v>0</v>
      </c>
      <c r="H28" s="208"/>
      <c r="I28" s="700">
        <f>SUM(G28:H28)</f>
        <v>0</v>
      </c>
      <c r="S28" s="865"/>
    </row>
    <row r="29" spans="2:19" s="63" customFormat="1" hidden="1" x14ac:dyDescent="0.2">
      <c r="B29" s="703" t="s">
        <v>2902</v>
      </c>
      <c r="C29" s="131"/>
      <c r="D29" s="208">
        <v>186802</v>
      </c>
      <c r="E29" s="65"/>
      <c r="F29" s="208">
        <v>-13317241</v>
      </c>
      <c r="G29" s="207">
        <f>SUM(D29:F29)</f>
        <v>-13130439</v>
      </c>
      <c r="H29" s="208">
        <v>23134404</v>
      </c>
      <c r="I29" s="700">
        <f>SUM(G29:H29)</f>
        <v>10003965</v>
      </c>
      <c r="S29" s="865"/>
    </row>
    <row r="30" spans="2:19" s="63" customFormat="1" hidden="1" x14ac:dyDescent="0.2">
      <c r="B30" s="703" t="s">
        <v>2903</v>
      </c>
      <c r="C30" s="131"/>
      <c r="D30" s="219"/>
      <c r="E30" s="65"/>
      <c r="F30" s="219"/>
      <c r="G30" s="207">
        <f>SUM(D30:F30)</f>
        <v>0</v>
      </c>
      <c r="H30" s="220">
        <v>80683782</v>
      </c>
      <c r="I30" s="960">
        <f>SUM(G30:H30)</f>
        <v>80683782</v>
      </c>
      <c r="S30" s="865"/>
    </row>
    <row r="31" spans="2:19" s="63" customFormat="1" ht="13.5" hidden="1" thickBot="1" x14ac:dyDescent="0.25">
      <c r="B31" s="702" t="s">
        <v>221</v>
      </c>
      <c r="C31" s="131"/>
      <c r="D31" s="205">
        <f t="shared" ref="D31:I31" si="5">SUM(D24:D30)</f>
        <v>11155453</v>
      </c>
      <c r="E31" s="205">
        <f t="shared" si="5"/>
        <v>0</v>
      </c>
      <c r="F31" s="205">
        <f t="shared" si="5"/>
        <v>770838771</v>
      </c>
      <c r="G31" s="205">
        <f t="shared" si="5"/>
        <v>781994224</v>
      </c>
      <c r="H31" s="107">
        <f t="shared" si="5"/>
        <v>4543650160.5500002</v>
      </c>
      <c r="I31" s="962">
        <f t="shared" si="5"/>
        <v>5325644384.5500002</v>
      </c>
      <c r="S31" s="865"/>
    </row>
    <row r="32" spans="2:19" s="63" customFormat="1" hidden="1" x14ac:dyDescent="0.2">
      <c r="B32" s="703" t="s">
        <v>3073</v>
      </c>
      <c r="C32" s="561">
        <v>30</v>
      </c>
      <c r="D32" s="203"/>
      <c r="E32" s="65"/>
      <c r="F32" s="208"/>
      <c r="G32" s="207">
        <f>SUM(D32:F32)</f>
        <v>0</v>
      </c>
      <c r="H32" s="250">
        <v>122474782</v>
      </c>
      <c r="I32" s="705">
        <f>SUM(G32:H32)</f>
        <v>122474782</v>
      </c>
      <c r="S32" s="865"/>
    </row>
    <row r="33" spans="2:19" s="63" customFormat="1" hidden="1" x14ac:dyDescent="0.2">
      <c r="B33" s="703" t="s">
        <v>3145</v>
      </c>
      <c r="C33" s="561"/>
      <c r="D33" s="203"/>
      <c r="E33" s="65"/>
      <c r="F33" s="208"/>
      <c r="G33" s="207"/>
      <c r="H33" s="564">
        <v>5964535</v>
      </c>
      <c r="I33" s="705">
        <f>SUM(G33:H33)</f>
        <v>5964535</v>
      </c>
      <c r="S33" s="865"/>
    </row>
    <row r="34" spans="2:19" s="63" customFormat="1" ht="25.5" hidden="1" x14ac:dyDescent="0.2">
      <c r="B34" s="704" t="s">
        <v>3025</v>
      </c>
      <c r="C34" s="131"/>
      <c r="D34" s="208">
        <v>92275</v>
      </c>
      <c r="E34" s="65"/>
      <c r="F34" s="208"/>
      <c r="G34" s="207">
        <f>SUM(D34:F34)</f>
        <v>92275</v>
      </c>
      <c r="H34" s="208"/>
      <c r="I34" s="705">
        <f>SUM(G34:H34)</f>
        <v>92275</v>
      </c>
      <c r="S34" s="865"/>
    </row>
    <row r="35" spans="2:19" s="63" customFormat="1" hidden="1" x14ac:dyDescent="0.2">
      <c r="B35" s="703" t="s">
        <v>3024</v>
      </c>
      <c r="C35" s="131"/>
      <c r="D35" s="208"/>
      <c r="E35" s="65"/>
      <c r="F35" s="208"/>
      <c r="G35" s="207">
        <f>SUM(D35:F35)</f>
        <v>0</v>
      </c>
      <c r="H35" s="208">
        <v>5081808</v>
      </c>
      <c r="I35" s="705">
        <f>SUM(G35:H35)</f>
        <v>5081808</v>
      </c>
      <c r="J35" s="485"/>
      <c r="S35" s="865"/>
    </row>
    <row r="36" spans="2:19" s="63" customFormat="1" hidden="1" x14ac:dyDescent="0.2">
      <c r="B36" s="703" t="s">
        <v>2903</v>
      </c>
      <c r="C36" s="131"/>
      <c r="D36" s="203"/>
      <c r="E36" s="65"/>
      <c r="F36" s="203"/>
      <c r="G36" s="207">
        <f>SUM(D36:F36)</f>
        <v>0</v>
      </c>
      <c r="H36" s="208">
        <v>175030294</v>
      </c>
      <c r="I36" s="705">
        <f>SUM(G36:H36)</f>
        <v>175030294</v>
      </c>
      <c r="S36" s="865"/>
    </row>
    <row r="37" spans="2:19" s="63" customFormat="1" hidden="1" x14ac:dyDescent="0.2">
      <c r="B37" s="702" t="s">
        <v>1086</v>
      </c>
      <c r="C37" s="131"/>
      <c r="D37" s="107">
        <f t="shared" ref="D37:I37" si="6">SUM(D31:D36)</f>
        <v>11247728</v>
      </c>
      <c r="E37" s="107">
        <f t="shared" si="6"/>
        <v>0</v>
      </c>
      <c r="F37" s="107">
        <f t="shared" si="6"/>
        <v>770838771</v>
      </c>
      <c r="G37" s="159">
        <f t="shared" si="6"/>
        <v>782086499</v>
      </c>
      <c r="H37" s="107">
        <f t="shared" si="6"/>
        <v>4852201579.5500002</v>
      </c>
      <c r="I37" s="963">
        <f t="shared" si="6"/>
        <v>5634288078.5500002</v>
      </c>
      <c r="S37" s="865"/>
    </row>
    <row r="38" spans="2:19" s="63" customFormat="1" hidden="1" x14ac:dyDescent="0.2">
      <c r="B38" s="703"/>
      <c r="C38" s="131"/>
      <c r="D38" s="203"/>
      <c r="E38" s="65"/>
      <c r="F38" s="208"/>
      <c r="G38" s="207">
        <f>SUM(D38:F38)</f>
        <v>0</v>
      </c>
      <c r="H38" s="208"/>
      <c r="I38" s="700">
        <f>SUM(G38:H38)</f>
        <v>0</v>
      </c>
      <c r="S38" s="865"/>
    </row>
    <row r="39" spans="2:19" s="63" customFormat="1" hidden="1" x14ac:dyDescent="0.2">
      <c r="B39" s="704" t="s">
        <v>3500</v>
      </c>
      <c r="C39" s="131"/>
      <c r="D39" s="208"/>
      <c r="E39" s="65"/>
      <c r="F39" s="208">
        <v>1935956825</v>
      </c>
      <c r="G39" s="207">
        <f>SUM(D39:F39)</f>
        <v>1935956825</v>
      </c>
      <c r="H39" s="208"/>
      <c r="I39" s="700">
        <f>SUM(G39:H39)</f>
        <v>1935956825</v>
      </c>
      <c r="S39" s="865"/>
    </row>
    <row r="40" spans="2:19" s="63" customFormat="1" ht="13.5" hidden="1" thickBot="1" x14ac:dyDescent="0.25">
      <c r="B40" s="704" t="s">
        <v>3501</v>
      </c>
      <c r="C40" s="131"/>
      <c r="D40" s="856"/>
      <c r="E40" s="857"/>
      <c r="F40" s="856">
        <v>-770838771</v>
      </c>
      <c r="G40" s="858">
        <f>+F40</f>
        <v>-770838771</v>
      </c>
      <c r="H40" s="952">
        <v>1093098488.1812239</v>
      </c>
      <c r="I40" s="859">
        <f>SUM(G40:H40)</f>
        <v>322259717.18122387</v>
      </c>
      <c r="S40" s="865"/>
    </row>
    <row r="41" spans="2:19" s="63" customFormat="1" hidden="1" x14ac:dyDescent="0.2">
      <c r="B41" s="964" t="s">
        <v>3502</v>
      </c>
      <c r="C41" s="131"/>
      <c r="D41" s="208">
        <f t="shared" ref="D41:I41" si="7">SUM(D37:D40)</f>
        <v>11247728</v>
      </c>
      <c r="E41" s="208">
        <f t="shared" si="7"/>
        <v>0</v>
      </c>
      <c r="F41" s="208">
        <f t="shared" si="7"/>
        <v>1935956825</v>
      </c>
      <c r="G41" s="208">
        <f t="shared" si="7"/>
        <v>1947204553</v>
      </c>
      <c r="H41" s="208">
        <f>SUM(H37:H40)</f>
        <v>5945300067.7312241</v>
      </c>
      <c r="I41" s="965">
        <f t="shared" si="7"/>
        <v>7892504620.7312241</v>
      </c>
      <c r="S41" s="865"/>
    </row>
    <row r="42" spans="2:19" s="63" customFormat="1" hidden="1" x14ac:dyDescent="0.2">
      <c r="B42" s="966" t="s">
        <v>3024</v>
      </c>
      <c r="C42" s="131"/>
      <c r="D42" s="208"/>
      <c r="E42" s="65"/>
      <c r="F42" s="208"/>
      <c r="G42" s="207">
        <f>SUM(D42:F42)</f>
        <v>0</v>
      </c>
      <c r="H42" s="208">
        <v>5635968.5599999996</v>
      </c>
      <c r="I42" s="700">
        <f>SUM(G42:H42)</f>
        <v>5635968.5599999996</v>
      </c>
      <c r="S42" s="865"/>
    </row>
    <row r="43" spans="2:19" s="63" customFormat="1" hidden="1" x14ac:dyDescent="0.2">
      <c r="B43" s="704" t="s">
        <v>3501</v>
      </c>
      <c r="C43" s="131"/>
      <c r="D43" s="208"/>
      <c r="E43" s="65"/>
      <c r="F43" s="208"/>
      <c r="G43" s="207"/>
      <c r="H43" s="208">
        <v>17377137.471079499</v>
      </c>
      <c r="I43" s="700">
        <f>+H43</f>
        <v>17377137.471079499</v>
      </c>
      <c r="S43" s="865"/>
    </row>
    <row r="44" spans="2:19" s="63" customFormat="1" hidden="1" x14ac:dyDescent="0.2">
      <c r="B44" s="704" t="s">
        <v>3561</v>
      </c>
      <c r="C44" s="131"/>
      <c r="D44" s="208"/>
      <c r="E44" s="65"/>
      <c r="F44" s="208"/>
      <c r="G44" s="207"/>
      <c r="H44" s="208"/>
      <c r="I44" s="700">
        <f>+H44</f>
        <v>0</v>
      </c>
      <c r="S44" s="865"/>
    </row>
    <row r="45" spans="2:19" s="63" customFormat="1" hidden="1" x14ac:dyDescent="0.2">
      <c r="B45" s="704" t="s">
        <v>3563</v>
      </c>
      <c r="C45" s="131"/>
      <c r="D45" s="208"/>
      <c r="E45" s="65"/>
      <c r="F45" s="208"/>
      <c r="G45" s="207"/>
      <c r="H45" s="208"/>
      <c r="I45" s="700">
        <f>+H45</f>
        <v>0</v>
      </c>
      <c r="K45" s="81"/>
      <c r="S45" s="865"/>
    </row>
    <row r="46" spans="2:19" s="63" customFormat="1" hidden="1" x14ac:dyDescent="0.2">
      <c r="B46" s="704" t="s">
        <v>3562</v>
      </c>
      <c r="C46" s="131"/>
      <c r="D46" s="208"/>
      <c r="E46" s="65"/>
      <c r="F46" s="208"/>
      <c r="G46" s="207"/>
      <c r="H46" s="208"/>
      <c r="I46" s="700">
        <f>+H46</f>
        <v>0</v>
      </c>
      <c r="S46" s="865"/>
    </row>
    <row r="47" spans="2:19" s="63" customFormat="1" hidden="1" x14ac:dyDescent="0.2">
      <c r="B47" s="704" t="s">
        <v>3570</v>
      </c>
      <c r="C47" s="131"/>
      <c r="D47" s="208"/>
      <c r="E47" s="65"/>
      <c r="F47" s="208"/>
      <c r="G47" s="207"/>
      <c r="H47" s="208"/>
      <c r="I47" s="700">
        <f>+H47</f>
        <v>0</v>
      </c>
      <c r="S47" s="865"/>
    </row>
    <row r="48" spans="2:19" s="63" customFormat="1" hidden="1" x14ac:dyDescent="0.2">
      <c r="B48" s="704" t="s">
        <v>3564</v>
      </c>
      <c r="C48" s="131"/>
      <c r="D48" s="208"/>
      <c r="E48" s="65"/>
      <c r="F48" s="208"/>
      <c r="G48" s="207"/>
      <c r="H48" s="208"/>
      <c r="I48" s="700"/>
      <c r="S48" s="865"/>
    </row>
    <row r="49" spans="2:19" s="63" customFormat="1" ht="25.5" hidden="1" x14ac:dyDescent="0.2">
      <c r="B49" s="964" t="s">
        <v>3503</v>
      </c>
      <c r="C49" s="131"/>
      <c r="D49" s="208">
        <v>-492807</v>
      </c>
      <c r="E49" s="65"/>
      <c r="F49" s="208"/>
      <c r="G49" s="207">
        <f>+D49</f>
        <v>-492807</v>
      </c>
      <c r="H49" s="208"/>
      <c r="I49" s="700">
        <f>+G49</f>
        <v>-492807</v>
      </c>
      <c r="S49" s="865"/>
    </row>
    <row r="50" spans="2:19" s="63" customFormat="1" hidden="1" x14ac:dyDescent="0.2">
      <c r="B50" s="966" t="s">
        <v>3498</v>
      </c>
      <c r="C50" s="131"/>
      <c r="D50" s="208"/>
      <c r="E50" s="65"/>
      <c r="F50" s="208">
        <v>-6585251</v>
      </c>
      <c r="G50" s="207">
        <f>+F50</f>
        <v>-6585251</v>
      </c>
      <c r="H50" s="208"/>
      <c r="I50" s="700">
        <f>SUM(G50:H50)</f>
        <v>-6585251</v>
      </c>
      <c r="S50" s="865"/>
    </row>
    <row r="51" spans="2:19" s="63" customFormat="1" hidden="1" x14ac:dyDescent="0.2">
      <c r="B51" s="703" t="s">
        <v>2903</v>
      </c>
      <c r="C51" s="131"/>
      <c r="D51" s="219"/>
      <c r="E51" s="65"/>
      <c r="F51" s="219"/>
      <c r="G51" s="207">
        <f>SUM(D51:F51)</f>
        <v>0</v>
      </c>
      <c r="H51" s="220">
        <v>-124561748</v>
      </c>
      <c r="I51" s="700">
        <f>SUM(G51:H51)</f>
        <v>-124561748</v>
      </c>
      <c r="S51" s="865"/>
    </row>
    <row r="52" spans="2:19" s="63" customFormat="1" ht="13.5" hidden="1" thickBot="1" x14ac:dyDescent="0.25">
      <c r="B52" s="706" t="s">
        <v>2954</v>
      </c>
      <c r="C52" s="519"/>
      <c r="D52" s="205">
        <f t="shared" ref="D52:I52" si="8">SUM(D41:D51)</f>
        <v>10754921</v>
      </c>
      <c r="E52" s="205">
        <f t="shared" si="8"/>
        <v>0</v>
      </c>
      <c r="F52" s="205">
        <f t="shared" si="8"/>
        <v>1929371574</v>
      </c>
      <c r="G52" s="205">
        <f t="shared" si="8"/>
        <v>1940126495</v>
      </c>
      <c r="H52" s="205">
        <f t="shared" si="8"/>
        <v>5843751425.7623043</v>
      </c>
      <c r="I52" s="962">
        <f t="shared" si="8"/>
        <v>7783877920.7623043</v>
      </c>
      <c r="K52" s="865"/>
      <c r="S52" s="865"/>
    </row>
    <row r="53" spans="2:19" s="63" customFormat="1" ht="13.5" hidden="1" thickTop="1" x14ac:dyDescent="0.2">
      <c r="B53" s="967" t="s">
        <v>3073</v>
      </c>
      <c r="C53" s="997"/>
      <c r="D53" s="1217">
        <v>0</v>
      </c>
      <c r="E53" s="81"/>
      <c r="F53" s="1217">
        <v>0</v>
      </c>
      <c r="G53" s="207">
        <f>SUM(D53:F53)</f>
        <v>0</v>
      </c>
      <c r="H53" s="250">
        <v>0</v>
      </c>
      <c r="I53" s="998">
        <f t="shared" ref="I53:I69" si="9">SUM(G53:H53)</f>
        <v>0</v>
      </c>
      <c r="S53" s="865"/>
    </row>
    <row r="54" spans="2:19" s="63" customFormat="1" ht="15.75" hidden="1" thickTop="1" x14ac:dyDescent="0.25">
      <c r="B54" s="984" t="s">
        <v>3656</v>
      </c>
      <c r="C54" s="997"/>
      <c r="D54" s="1217">
        <v>0</v>
      </c>
      <c r="E54" s="1185"/>
      <c r="F54" s="1217">
        <v>0</v>
      </c>
      <c r="G54" s="207">
        <f>SUM(D54:F54)</f>
        <v>0</v>
      </c>
      <c r="H54" s="1184">
        <f>'[2]2013 Statements'!$G$20</f>
        <v>916425.14000000013</v>
      </c>
      <c r="I54" s="1222">
        <f>G54+H54</f>
        <v>916425.14000000013</v>
      </c>
      <c r="S54" s="865"/>
    </row>
    <row r="55" spans="2:19" s="63" customFormat="1" ht="15" hidden="1" x14ac:dyDescent="0.25">
      <c r="B55" s="984" t="s">
        <v>3657</v>
      </c>
      <c r="C55" s="997"/>
      <c r="D55" s="1215">
        <v>0</v>
      </c>
      <c r="E55" s="1186"/>
      <c r="F55" s="1187">
        <v>1490675622.28</v>
      </c>
      <c r="G55" s="1187">
        <v>1490675622.28</v>
      </c>
      <c r="H55" s="1221">
        <f>-80630853.71-84550</f>
        <v>-80715403.709999993</v>
      </c>
      <c r="I55" s="1219">
        <f>G55+H55</f>
        <v>1409960218.5699999</v>
      </c>
      <c r="L55" s="485"/>
      <c r="S55" s="865"/>
    </row>
    <row r="56" spans="2:19" s="63" customFormat="1" hidden="1" x14ac:dyDescent="0.2">
      <c r="B56" s="966" t="s">
        <v>3658</v>
      </c>
      <c r="C56" s="997"/>
      <c r="D56" s="1184">
        <f>+D52+D55</f>
        <v>10754921</v>
      </c>
      <c r="E56" s="1183"/>
      <c r="F56" s="1184">
        <f>+F52+F55+F54</f>
        <v>3420047196.2799997</v>
      </c>
      <c r="G56" s="1184">
        <f>+G52+G55+G54</f>
        <v>3430802117.2799997</v>
      </c>
      <c r="H56" s="1184">
        <f>+H52+H55+H54</f>
        <v>5763952447.1923046</v>
      </c>
      <c r="I56" s="1218">
        <f>+I52+I55+I54</f>
        <v>9194754564.4723034</v>
      </c>
      <c r="J56" s="485"/>
      <c r="S56" s="865"/>
    </row>
    <row r="57" spans="2:19" s="63" customFormat="1" ht="15" hidden="1" x14ac:dyDescent="0.25">
      <c r="B57" s="984" t="s">
        <v>3657</v>
      </c>
      <c r="C57" s="997"/>
      <c r="D57" s="1195"/>
      <c r="E57" s="1196"/>
      <c r="F57" s="1213">
        <v>-10414339.34</v>
      </c>
      <c r="G57" s="1213">
        <f>+F57</f>
        <v>-10414339.34</v>
      </c>
      <c r="H57" s="1213">
        <v>-44005773.920000002</v>
      </c>
      <c r="I57" s="1219">
        <f>SUM(G57:H57)</f>
        <v>-54420113.260000005</v>
      </c>
      <c r="J57" s="485"/>
      <c r="S57" s="865"/>
    </row>
    <row r="58" spans="2:19" s="63" customFormat="1" hidden="1" x14ac:dyDescent="0.2">
      <c r="B58" s="966" t="s">
        <v>3659</v>
      </c>
      <c r="C58" s="997"/>
      <c r="D58" s="1184">
        <f>+D56+D57</f>
        <v>10754921</v>
      </c>
      <c r="E58" s="1183"/>
      <c r="F58" s="1184">
        <f>+F56+F57</f>
        <v>3409632856.9399996</v>
      </c>
      <c r="G58" s="1184">
        <f>+G56+G57</f>
        <v>3420387777.9399996</v>
      </c>
      <c r="H58" s="1184">
        <f>+H56+H57</f>
        <v>5719946673.2723045</v>
      </c>
      <c r="I58" s="1218">
        <f>G58+H58</f>
        <v>9140334451.2123032</v>
      </c>
      <c r="S58" s="865"/>
    </row>
    <row r="59" spans="2:19" s="63" customFormat="1" ht="15" hidden="1" x14ac:dyDescent="0.25">
      <c r="B59" s="984" t="s">
        <v>3261</v>
      </c>
      <c r="C59" s="997"/>
      <c r="D59" s="1212">
        <v>0</v>
      </c>
      <c r="E59" s="1183"/>
      <c r="F59" s="1212">
        <v>0</v>
      </c>
      <c r="G59" s="1212">
        <f>SUM(D59:F59)</f>
        <v>0</v>
      </c>
      <c r="H59" s="1212">
        <v>14645730</v>
      </c>
      <c r="I59" s="1197">
        <f t="shared" si="9"/>
        <v>14645730</v>
      </c>
      <c r="S59" s="865"/>
    </row>
    <row r="60" spans="2:19" s="63" customFormat="1" ht="15" hidden="1" x14ac:dyDescent="0.25">
      <c r="B60" s="984" t="s">
        <v>3152</v>
      </c>
      <c r="C60" s="997"/>
      <c r="D60" s="1212">
        <v>0</v>
      </c>
      <c r="E60" s="1183"/>
      <c r="F60" s="1212">
        <v>0</v>
      </c>
      <c r="G60" s="1212">
        <f>SUM(D60:F60)</f>
        <v>0</v>
      </c>
      <c r="H60" s="1212">
        <v>31398377</v>
      </c>
      <c r="I60" s="1197">
        <f t="shared" si="9"/>
        <v>31398377</v>
      </c>
      <c r="S60" s="865"/>
    </row>
    <row r="61" spans="2:19" s="63" customFormat="1" ht="15" hidden="1" x14ac:dyDescent="0.25">
      <c r="B61" s="984" t="s">
        <v>3857</v>
      </c>
      <c r="C61" s="997"/>
      <c r="D61" s="1212">
        <v>0</v>
      </c>
      <c r="E61" s="1183"/>
      <c r="F61" s="1212">
        <v>0</v>
      </c>
      <c r="G61" s="1212">
        <v>0</v>
      </c>
      <c r="H61" s="1212"/>
      <c r="I61" s="1197">
        <f t="shared" si="9"/>
        <v>0</v>
      </c>
      <c r="J61" s="485" t="s">
        <v>3775</v>
      </c>
      <c r="S61" s="865"/>
    </row>
    <row r="62" spans="2:19" s="63" customFormat="1" ht="15" hidden="1" x14ac:dyDescent="0.25">
      <c r="B62" s="984"/>
      <c r="C62" s="997"/>
      <c r="D62" s="1212"/>
      <c r="E62" s="1183"/>
      <c r="F62" s="1212"/>
      <c r="G62" s="1212"/>
      <c r="H62" s="1212"/>
      <c r="I62" s="1197">
        <f t="shared" si="9"/>
        <v>0</v>
      </c>
      <c r="J62" s="485"/>
      <c r="S62" s="865"/>
    </row>
    <row r="63" spans="2:19" s="63" customFormat="1" ht="15" hidden="1" x14ac:dyDescent="0.25">
      <c r="B63" s="984" t="s">
        <v>3572</v>
      </c>
      <c r="C63" s="997"/>
      <c r="D63" s="1212">
        <v>0</v>
      </c>
      <c r="E63" s="1183"/>
      <c r="F63" s="1212">
        <v>0</v>
      </c>
      <c r="G63" s="1212">
        <v>0</v>
      </c>
      <c r="H63" s="1212">
        <v>-2658768</v>
      </c>
      <c r="I63" s="1220">
        <f t="shared" si="9"/>
        <v>-2658768</v>
      </c>
      <c r="S63" s="865"/>
    </row>
    <row r="64" spans="2:19" s="63" customFormat="1" ht="15" hidden="1" x14ac:dyDescent="0.25">
      <c r="B64" s="984" t="s">
        <v>3548</v>
      </c>
      <c r="C64" s="997"/>
      <c r="D64" s="1212">
        <v>0</v>
      </c>
      <c r="E64" s="1183"/>
      <c r="F64" s="1212">
        <v>0</v>
      </c>
      <c r="G64" s="1212">
        <v>0</v>
      </c>
      <c r="H64" s="1212">
        <f>-55563591+27.28</f>
        <v>-55563563.719999999</v>
      </c>
      <c r="I64" s="1220">
        <f t="shared" si="9"/>
        <v>-55563563.719999999</v>
      </c>
      <c r="S64" s="865"/>
    </row>
    <row r="65" spans="2:19" s="63" customFormat="1" ht="14.25" hidden="1" x14ac:dyDescent="0.2">
      <c r="B65" s="969" t="s">
        <v>3706</v>
      </c>
      <c r="C65" s="997"/>
      <c r="D65" s="1212"/>
      <c r="E65" s="1183"/>
      <c r="F65" s="1212"/>
      <c r="G65" s="1185"/>
      <c r="H65" s="1212"/>
      <c r="I65" s="1220">
        <f t="shared" si="9"/>
        <v>0</v>
      </c>
      <c r="S65" s="865"/>
    </row>
    <row r="66" spans="2:19" s="63" customFormat="1" ht="14.25" hidden="1" customHeight="1" x14ac:dyDescent="0.2">
      <c r="B66" s="969" t="s">
        <v>3688</v>
      </c>
      <c r="C66" s="997"/>
      <c r="D66" s="1212"/>
      <c r="E66" s="1183"/>
      <c r="F66" s="1212"/>
      <c r="G66" s="1185"/>
      <c r="H66" s="1212"/>
      <c r="I66" s="1220">
        <f t="shared" si="9"/>
        <v>0</v>
      </c>
      <c r="S66" s="865"/>
    </row>
    <row r="67" spans="2:19" s="63" customFormat="1" ht="15" hidden="1" x14ac:dyDescent="0.25">
      <c r="B67" s="984" t="s">
        <v>3497</v>
      </c>
      <c r="C67" s="997"/>
      <c r="D67" s="1212">
        <v>0</v>
      </c>
      <c r="E67" s="1183"/>
      <c r="F67" s="1212">
        <f>6714030</f>
        <v>6714030</v>
      </c>
      <c r="G67" s="1185">
        <f>SUM(D67:F67)</f>
        <v>6714030</v>
      </c>
      <c r="H67" s="1212">
        <v>0</v>
      </c>
      <c r="I67" s="1220">
        <f t="shared" si="9"/>
        <v>6714030</v>
      </c>
      <c r="J67" s="1323"/>
      <c r="K67" s="1324"/>
      <c r="S67" s="865"/>
    </row>
    <row r="68" spans="2:19" s="63" customFormat="1" ht="15" hidden="1" x14ac:dyDescent="0.25">
      <c r="B68" s="984" t="s">
        <v>3855</v>
      </c>
      <c r="C68" s="997"/>
      <c r="D68" s="1212">
        <v>0</v>
      </c>
      <c r="E68" s="1183"/>
      <c r="F68" s="1212">
        <v>-13573154</v>
      </c>
      <c r="G68" s="1212">
        <f>SUM(D68:F68)</f>
        <v>-13573154</v>
      </c>
      <c r="H68" s="1212">
        <v>0</v>
      </c>
      <c r="I68" s="1220">
        <f t="shared" si="9"/>
        <v>-13573154</v>
      </c>
      <c r="S68" s="865"/>
    </row>
    <row r="69" spans="2:19" s="63" customFormat="1" ht="15" hidden="1" x14ac:dyDescent="0.25">
      <c r="B69" s="984" t="s">
        <v>403</v>
      </c>
      <c r="C69" s="997"/>
      <c r="D69" s="1212"/>
      <c r="E69" s="1183"/>
      <c r="F69" s="1212"/>
      <c r="G69" s="1212"/>
      <c r="H69" s="1212">
        <v>1000</v>
      </c>
      <c r="I69" s="1220">
        <f t="shared" si="9"/>
        <v>1000</v>
      </c>
      <c r="S69" s="865"/>
    </row>
    <row r="70" spans="2:19" s="63" customFormat="1" ht="30" hidden="1" x14ac:dyDescent="0.25">
      <c r="B70" s="1223" t="s">
        <v>3025</v>
      </c>
      <c r="C70" s="999"/>
      <c r="D70" s="1212">
        <v>-310480.01999999955</v>
      </c>
      <c r="E70" s="1183"/>
      <c r="F70" s="1212">
        <v>0</v>
      </c>
      <c r="G70" s="1212">
        <f>SUM(D70:F70)</f>
        <v>-310480.01999999955</v>
      </c>
      <c r="H70" s="1212">
        <v>0</v>
      </c>
      <c r="I70" s="1220">
        <f>SUM(G70:H70)</f>
        <v>-310480.01999999955</v>
      </c>
      <c r="S70" s="865"/>
    </row>
    <row r="71" spans="2:19" s="63" customFormat="1" ht="15" hidden="1" x14ac:dyDescent="0.25">
      <c r="B71" s="984" t="s">
        <v>3024</v>
      </c>
      <c r="C71" s="999"/>
      <c r="D71" s="1184"/>
      <c r="E71" s="1183"/>
      <c r="F71" s="1184"/>
      <c r="G71" s="1185">
        <f>SUM(D71:F71)</f>
        <v>0</v>
      </c>
      <c r="H71" s="1184"/>
      <c r="I71" s="1197">
        <f>SUM(G71:H71)</f>
        <v>0</v>
      </c>
      <c r="J71" s="485"/>
      <c r="S71" s="865"/>
    </row>
    <row r="72" spans="2:19" s="63" customFormat="1" ht="15" hidden="1" x14ac:dyDescent="0.25">
      <c r="B72" s="984" t="s">
        <v>2903</v>
      </c>
      <c r="C72" s="999"/>
      <c r="D72" s="1215">
        <v>0</v>
      </c>
      <c r="E72" s="1216"/>
      <c r="F72" s="1215">
        <v>0</v>
      </c>
      <c r="G72" s="1216">
        <f>SUM(D72:F72)</f>
        <v>0</v>
      </c>
      <c r="H72" s="1212">
        <v>-117281908</v>
      </c>
      <c r="I72" s="1220">
        <f>SUM(G72:H72)</f>
        <v>-117281908</v>
      </c>
      <c r="J72" s="485"/>
      <c r="S72" s="865"/>
    </row>
    <row r="73" spans="2:19" s="63" customFormat="1" ht="13.5" thickBot="1" x14ac:dyDescent="0.25">
      <c r="B73" s="1000" t="s">
        <v>3156</v>
      </c>
      <c r="C73" s="1001"/>
      <c r="D73" s="1198">
        <f>SUM(D58:D72)</f>
        <v>10444440.98</v>
      </c>
      <c r="E73" s="1198">
        <f>SUM(E52:E72)</f>
        <v>0</v>
      </c>
      <c r="F73" s="1198">
        <f>SUM(F58:F72)</f>
        <v>3402773732.9399996</v>
      </c>
      <c r="G73" s="1198">
        <f>SUM(G58:G72)</f>
        <v>3413218173.9199996</v>
      </c>
      <c r="H73" s="1198">
        <f>SUM(H58:H72)</f>
        <v>5590487540.5523043</v>
      </c>
      <c r="I73" s="1556">
        <f>SUM(I58:I72)</f>
        <v>9003705714.4723034</v>
      </c>
      <c r="J73" s="80"/>
      <c r="O73" s="485"/>
      <c r="R73" s="865">
        <f>SUM(R59:R72)</f>
        <v>0</v>
      </c>
      <c r="S73" s="865">
        <f>SUM(S59:S72)</f>
        <v>0</v>
      </c>
    </row>
    <row r="74" spans="2:19" s="63" customFormat="1" ht="14.25" x14ac:dyDescent="0.2">
      <c r="B74" s="969" t="s">
        <v>3657</v>
      </c>
      <c r="C74" s="829"/>
      <c r="D74" s="1199"/>
      <c r="E74" s="1200"/>
      <c r="F74" s="1184">
        <v>37972207</v>
      </c>
      <c r="G74" s="1185">
        <f t="shared" ref="G74:G80" si="10">SUM(D74:F74)</f>
        <v>37972207</v>
      </c>
      <c r="H74" s="564">
        <v>15370470.24</v>
      </c>
      <c r="I74" s="1557">
        <f t="shared" ref="I74:I91" si="11">SUM(G74:H74)</f>
        <v>53342677.240000002</v>
      </c>
      <c r="S74" s="865"/>
    </row>
    <row r="75" spans="2:19" s="63" customFormat="1" ht="14.25" x14ac:dyDescent="0.2">
      <c r="B75" s="1552" t="s">
        <v>4129</v>
      </c>
      <c r="C75" s="1553"/>
      <c r="D75" s="1446">
        <f>D73+D74</f>
        <v>10444440.98</v>
      </c>
      <c r="E75" s="1446">
        <f>E73+E74</f>
        <v>0</v>
      </c>
      <c r="F75" s="1446">
        <f>F73+F74</f>
        <v>3440745939.9399996</v>
      </c>
      <c r="G75" s="1554">
        <f>G73+G74</f>
        <v>3451190380.9199996</v>
      </c>
      <c r="H75" s="1555">
        <f>H73+H74</f>
        <v>5605858010.792304</v>
      </c>
      <c r="I75" s="1557">
        <f t="shared" si="11"/>
        <v>9057048391.7123032</v>
      </c>
      <c r="S75" s="865"/>
    </row>
    <row r="76" spans="2:19" s="63" customFormat="1" ht="15" x14ac:dyDescent="0.25">
      <c r="B76" s="970" t="s">
        <v>3152</v>
      </c>
      <c r="C76" s="829"/>
      <c r="D76" s="1199"/>
      <c r="E76" s="1200"/>
      <c r="F76" s="1184"/>
      <c r="G76" s="1185">
        <f t="shared" si="10"/>
        <v>0</v>
      </c>
      <c r="H76" s="564"/>
      <c r="I76" s="1201">
        <f t="shared" si="11"/>
        <v>0</v>
      </c>
      <c r="S76" s="865"/>
    </row>
    <row r="77" spans="2:19" s="63" customFormat="1" ht="15" x14ac:dyDescent="0.25">
      <c r="B77" s="970" t="s">
        <v>3572</v>
      </c>
      <c r="C77" s="829"/>
      <c r="D77" s="1199"/>
      <c r="E77" s="1200"/>
      <c r="F77" s="1184"/>
      <c r="G77" s="1185">
        <f t="shared" si="10"/>
        <v>0</v>
      </c>
      <c r="H77" s="564"/>
      <c r="I77" s="1201">
        <f t="shared" si="11"/>
        <v>0</v>
      </c>
      <c r="J77" s="485"/>
      <c r="S77" s="865"/>
    </row>
    <row r="78" spans="2:19" s="63" customFormat="1" ht="15" x14ac:dyDescent="0.25">
      <c r="B78" s="970" t="s">
        <v>3548</v>
      </c>
      <c r="C78" s="829"/>
      <c r="D78" s="1199"/>
      <c r="E78" s="1200"/>
      <c r="F78" s="1184"/>
      <c r="G78" s="1185">
        <f t="shared" si="10"/>
        <v>0</v>
      </c>
      <c r="H78" s="564"/>
      <c r="I78" s="1201">
        <f t="shared" si="11"/>
        <v>0</v>
      </c>
      <c r="J78" s="485"/>
      <c r="S78" s="865"/>
    </row>
    <row r="79" spans="2:19" s="63" customFormat="1" ht="15" x14ac:dyDescent="0.25">
      <c r="B79" s="970" t="s">
        <v>3532</v>
      </c>
      <c r="C79" s="829"/>
      <c r="D79" s="1199"/>
      <c r="E79" s="1200"/>
      <c r="F79" s="1184"/>
      <c r="G79" s="1185">
        <f t="shared" si="10"/>
        <v>0</v>
      </c>
      <c r="H79" s="564"/>
      <c r="I79" s="1201">
        <f t="shared" si="11"/>
        <v>0</v>
      </c>
      <c r="S79" s="865"/>
    </row>
    <row r="80" spans="2:19" s="63" customFormat="1" ht="14.25" x14ac:dyDescent="0.2">
      <c r="B80" s="969" t="s">
        <v>3657</v>
      </c>
      <c r="C80" s="829"/>
      <c r="D80" s="1199"/>
      <c r="E80" s="1200"/>
      <c r="F80" s="1184"/>
      <c r="G80" s="1185">
        <f t="shared" si="10"/>
        <v>0</v>
      </c>
      <c r="H80" s="564">
        <v>21615287.710000001</v>
      </c>
      <c r="I80" s="1201">
        <f>G80+H80</f>
        <v>21615287.710000001</v>
      </c>
      <c r="S80" s="865"/>
    </row>
    <row r="81" spans="1:19" s="63" customFormat="1" ht="14.25" x14ac:dyDescent="0.2">
      <c r="B81" s="969" t="s">
        <v>3498</v>
      </c>
      <c r="C81" s="829"/>
      <c r="D81" s="1206">
        <v>0</v>
      </c>
      <c r="E81" s="1206"/>
      <c r="F81" s="1206">
        <v>-7671172.7000000002</v>
      </c>
      <c r="G81" s="1206">
        <f>F81</f>
        <v>-7671172.7000000002</v>
      </c>
      <c r="H81" s="1206">
        <v>7671172.7000000002</v>
      </c>
      <c r="I81" s="1201">
        <f>G81+H81</f>
        <v>0</v>
      </c>
      <c r="K81" s="312"/>
      <c r="S81" s="865"/>
    </row>
    <row r="82" spans="1:19" s="63" customFormat="1" ht="14.25" x14ac:dyDescent="0.2">
      <c r="B82" s="969" t="s">
        <v>4231</v>
      </c>
      <c r="C82" s="829"/>
      <c r="D82" s="1206"/>
      <c r="E82" s="1206"/>
      <c r="F82" s="1206"/>
      <c r="G82" s="1206"/>
      <c r="H82" s="1206">
        <v>7926684.29</v>
      </c>
      <c r="I82" s="1393">
        <f t="shared" si="11"/>
        <v>7926684.29</v>
      </c>
      <c r="S82" s="865"/>
    </row>
    <row r="83" spans="1:19" s="63" customFormat="1" ht="14.25" x14ac:dyDescent="0.2">
      <c r="B83" s="969" t="s">
        <v>3687</v>
      </c>
      <c r="C83" s="829"/>
      <c r="D83" s="1206"/>
      <c r="E83" s="1206"/>
      <c r="F83" s="1206"/>
      <c r="G83" s="1206"/>
      <c r="H83" s="1206"/>
      <c r="I83" s="1393">
        <f t="shared" si="11"/>
        <v>0</v>
      </c>
      <c r="S83" s="865"/>
    </row>
    <row r="84" spans="1:19" s="63" customFormat="1" ht="14.25" x14ac:dyDescent="0.2">
      <c r="A84" s="485"/>
      <c r="B84" s="1245" t="s">
        <v>3688</v>
      </c>
      <c r="C84" s="829"/>
      <c r="D84" s="1206"/>
      <c r="E84" s="1206"/>
      <c r="F84" s="1206"/>
      <c r="G84" s="1206"/>
      <c r="H84" s="1206"/>
      <c r="I84" s="1393">
        <f t="shared" si="11"/>
        <v>0</v>
      </c>
      <c r="S84" s="865"/>
    </row>
    <row r="85" spans="1:19" s="63" customFormat="1" ht="14.25" x14ac:dyDescent="0.2">
      <c r="B85" s="969" t="s">
        <v>3689</v>
      </c>
      <c r="C85" s="829"/>
      <c r="D85" s="1206"/>
      <c r="E85" s="1206"/>
      <c r="F85" s="1206"/>
      <c r="G85" s="1206"/>
      <c r="H85" s="1206"/>
      <c r="I85" s="1393">
        <f t="shared" si="11"/>
        <v>0</v>
      </c>
      <c r="S85" s="865"/>
    </row>
    <row r="86" spans="1:19" s="63" customFormat="1" ht="14.25" x14ac:dyDescent="0.2">
      <c r="B86" s="969" t="s">
        <v>3686</v>
      </c>
      <c r="C86" s="997"/>
      <c r="D86" s="1206"/>
      <c r="E86" s="1206"/>
      <c r="F86" s="1206"/>
      <c r="G86" s="1206"/>
      <c r="H86" s="1206"/>
      <c r="I86" s="1393"/>
      <c r="S86" s="865"/>
    </row>
    <row r="87" spans="1:19" s="63" customFormat="1" ht="14.25" x14ac:dyDescent="0.2">
      <c r="B87" s="969" t="s">
        <v>3706</v>
      </c>
      <c r="C87" s="829"/>
      <c r="D87" s="1206"/>
      <c r="E87" s="1206"/>
      <c r="F87" s="1206"/>
      <c r="G87" s="1206"/>
      <c r="H87" s="1206"/>
      <c r="I87" s="1393"/>
      <c r="S87" s="865"/>
    </row>
    <row r="88" spans="1:19" s="63" customFormat="1" ht="14.25" x14ac:dyDescent="0.2">
      <c r="B88" s="969" t="s">
        <v>3688</v>
      </c>
      <c r="C88" s="829"/>
      <c r="D88" s="1206"/>
      <c r="E88" s="1206"/>
      <c r="F88" s="1206"/>
      <c r="G88" s="1206"/>
      <c r="H88" s="1206"/>
      <c r="I88" s="1393"/>
      <c r="S88" s="865"/>
    </row>
    <row r="89" spans="1:19" s="63" customFormat="1" ht="14.25" x14ac:dyDescent="0.2">
      <c r="B89" s="969" t="s">
        <v>3689</v>
      </c>
      <c r="C89" s="829"/>
      <c r="D89" s="1206"/>
      <c r="E89" s="1206"/>
      <c r="F89" s="1206"/>
      <c r="G89" s="1206"/>
      <c r="H89" s="1206"/>
      <c r="I89" s="1393"/>
      <c r="S89" s="865"/>
    </row>
    <row r="90" spans="1:19" s="63" customFormat="1" ht="14.25" x14ac:dyDescent="0.2">
      <c r="B90" s="969"/>
      <c r="C90" s="829"/>
      <c r="D90" s="1206"/>
      <c r="E90" s="1206"/>
      <c r="F90" s="1206"/>
      <c r="G90" s="1206"/>
      <c r="H90" s="1206"/>
      <c r="I90" s="1393">
        <f>H90</f>
        <v>0</v>
      </c>
      <c r="S90" s="865"/>
    </row>
    <row r="91" spans="1:19" s="63" customFormat="1" ht="28.5" x14ac:dyDescent="0.2">
      <c r="B91" s="971" t="s">
        <v>3662</v>
      </c>
      <c r="C91" s="830"/>
      <c r="D91" s="1206">
        <f>-'TB4'!U5+'TB4'!R5</f>
        <v>-3488480.3500000006</v>
      </c>
      <c r="E91" s="1206"/>
      <c r="F91" s="1206">
        <v>0</v>
      </c>
      <c r="G91" s="1206">
        <f>SUM(D91:F91)</f>
        <v>-3488480.3500000006</v>
      </c>
      <c r="H91" s="1206">
        <v>0</v>
      </c>
      <c r="I91" s="1393">
        <f t="shared" si="11"/>
        <v>-3488480.3500000006</v>
      </c>
      <c r="K91" s="312"/>
      <c r="S91" s="865"/>
    </row>
    <row r="92" spans="1:19" s="63" customFormat="1" ht="14.25" x14ac:dyDescent="0.2">
      <c r="B92" s="969" t="s">
        <v>3024</v>
      </c>
      <c r="C92" s="830"/>
      <c r="D92" s="1184"/>
      <c r="E92" s="1200"/>
      <c r="F92" s="1184"/>
      <c r="G92" s="1185">
        <f>SUM(D92:F92)</f>
        <v>0</v>
      </c>
      <c r="H92" s="1206"/>
      <c r="I92" s="1393">
        <f>SUM(G92:H92)</f>
        <v>0</v>
      </c>
      <c r="J92" s="485"/>
      <c r="S92" s="865"/>
    </row>
    <row r="93" spans="1:19" s="63" customFormat="1" ht="15" thickBot="1" x14ac:dyDescent="0.25">
      <c r="B93" s="1243" t="s">
        <v>3629</v>
      </c>
      <c r="C93" s="1244"/>
      <c r="D93" s="1663">
        <v>0</v>
      </c>
      <c r="E93" s="1664"/>
      <c r="F93" s="1663">
        <v>0</v>
      </c>
      <c r="G93" s="1664">
        <f>SUM(D93:F93)</f>
        <v>0</v>
      </c>
      <c r="H93" s="1394">
        <f>'Statement of Financial Performa'!J43</f>
        <v>-130154512.27274664</v>
      </c>
      <c r="I93" s="1395">
        <f>SUM(G93:H93)</f>
        <v>-130154512.27274664</v>
      </c>
      <c r="J93" s="485"/>
      <c r="S93" s="865"/>
    </row>
    <row r="94" spans="1:19" s="63" customFormat="1" ht="15.75" thickBot="1" x14ac:dyDescent="0.25">
      <c r="B94" s="1432" t="s">
        <v>3630</v>
      </c>
      <c r="C94" s="1433"/>
      <c r="D94" s="1434">
        <f>D73+D81+D91+D93</f>
        <v>6955960.6299999999</v>
      </c>
      <c r="E94" s="1434">
        <f>E73+E81+E91+E93</f>
        <v>0</v>
      </c>
      <c r="F94" s="1434">
        <f>F73+F74+F80+F81+F91+F93</f>
        <v>3433074767.2399998</v>
      </c>
      <c r="G94" s="1434">
        <f>G75+G80+G81+G91+G93</f>
        <v>3440030727.8699999</v>
      </c>
      <c r="H94" s="1434">
        <f>SUM(H75:H93)-0.49</f>
        <v>5512916642.729557</v>
      </c>
      <c r="I94" s="1558">
        <f>I75+I80+I81+I91+I92+I93</f>
        <v>8945020686.7995548</v>
      </c>
      <c r="J94" s="80"/>
      <c r="O94" s="485"/>
      <c r="R94" s="865">
        <f>SUM(R80:R93)</f>
        <v>0</v>
      </c>
      <c r="S94" s="865">
        <f>SUM(S80:S93)</f>
        <v>0</v>
      </c>
    </row>
    <row r="95" spans="1:19" s="63" customFormat="1" ht="14.25" hidden="1" x14ac:dyDescent="0.2">
      <c r="B95" s="969" t="s">
        <v>3498</v>
      </c>
      <c r="C95" s="829"/>
      <c r="D95" s="1206">
        <v>0</v>
      </c>
      <c r="E95" s="1206"/>
      <c r="F95" s="1206"/>
      <c r="G95" s="1665">
        <f>D95+F95</f>
        <v>0</v>
      </c>
      <c r="H95" s="1206"/>
      <c r="I95" s="1666">
        <f t="shared" ref="I95:I113" si="12">SUM(G95:H95)</f>
        <v>0</v>
      </c>
      <c r="S95" s="865"/>
    </row>
    <row r="96" spans="1:19" s="63" customFormat="1" ht="14.25" hidden="1" x14ac:dyDescent="0.2">
      <c r="B96" s="969" t="s">
        <v>4077</v>
      </c>
      <c r="C96" s="829"/>
      <c r="D96" s="1206"/>
      <c r="E96" s="1206"/>
      <c r="F96" s="1206"/>
      <c r="G96" s="1665">
        <f t="shared" ref="G96:G120" si="13">D96+F96</f>
        <v>0</v>
      </c>
      <c r="H96" s="1206"/>
      <c r="I96" s="1666">
        <f t="shared" si="12"/>
        <v>0</v>
      </c>
      <c r="K96" s="1392">
        <v>-9157477.0800000001</v>
      </c>
      <c r="S96" s="865"/>
    </row>
    <row r="97" spans="1:19" s="63" customFormat="1" ht="14.25" hidden="1" x14ac:dyDescent="0.2">
      <c r="B97" s="969" t="s">
        <v>4078</v>
      </c>
      <c r="C97" s="829"/>
      <c r="D97" s="1206"/>
      <c r="E97" s="1206"/>
      <c r="F97" s="1206"/>
      <c r="G97" s="1665">
        <f t="shared" si="13"/>
        <v>0</v>
      </c>
      <c r="H97" s="1206"/>
      <c r="I97" s="1666">
        <f t="shared" si="12"/>
        <v>0</v>
      </c>
      <c r="K97" s="1392">
        <f>-8367168.75-142</f>
        <v>-8367310.75</v>
      </c>
      <c r="S97" s="865"/>
    </row>
    <row r="98" spans="1:19" s="63" customFormat="1" ht="14.25" hidden="1" x14ac:dyDescent="0.2">
      <c r="A98" s="485"/>
      <c r="B98" s="1245" t="s">
        <v>4079</v>
      </c>
      <c r="C98" s="829"/>
      <c r="D98" s="1206"/>
      <c r="E98" s="1206"/>
      <c r="F98" s="1206"/>
      <c r="G98" s="1665">
        <f t="shared" si="13"/>
        <v>0</v>
      </c>
      <c r="H98" s="1206"/>
      <c r="I98" s="1666">
        <f t="shared" si="12"/>
        <v>0</v>
      </c>
      <c r="K98" s="1392">
        <v>-351322.42</v>
      </c>
      <c r="S98" s="865"/>
    </row>
    <row r="99" spans="1:19" s="63" customFormat="1" ht="14.25" hidden="1" x14ac:dyDescent="0.2">
      <c r="B99" s="969" t="s">
        <v>4080</v>
      </c>
      <c r="C99" s="829"/>
      <c r="D99" s="1206"/>
      <c r="E99" s="1206"/>
      <c r="F99" s="1206"/>
      <c r="G99" s="1665">
        <f t="shared" si="13"/>
        <v>0</v>
      </c>
      <c r="H99" s="1206"/>
      <c r="I99" s="1666">
        <f t="shared" si="12"/>
        <v>0</v>
      </c>
      <c r="K99" s="1392">
        <v>-811545.53</v>
      </c>
      <c r="S99" s="865"/>
    </row>
    <row r="100" spans="1:19" s="63" customFormat="1" ht="14.25" hidden="1" x14ac:dyDescent="0.2">
      <c r="B100" s="969" t="s">
        <v>4097</v>
      </c>
      <c r="C100" s="997"/>
      <c r="D100" s="1206"/>
      <c r="E100" s="1206"/>
      <c r="F100" s="1206"/>
      <c r="G100" s="1665">
        <f t="shared" si="13"/>
        <v>0</v>
      </c>
      <c r="H100" s="1206"/>
      <c r="I100" s="1666">
        <f t="shared" si="12"/>
        <v>0</v>
      </c>
      <c r="K100" s="1392">
        <v>1662.18</v>
      </c>
      <c r="S100" s="865"/>
    </row>
    <row r="101" spans="1:19" s="63" customFormat="1" ht="14.25" hidden="1" x14ac:dyDescent="0.2">
      <c r="B101" s="969" t="s">
        <v>4102</v>
      </c>
      <c r="C101" s="997"/>
      <c r="D101" s="1206"/>
      <c r="E101" s="1206"/>
      <c r="F101" s="1206"/>
      <c r="G101" s="1665"/>
      <c r="H101" s="1206"/>
      <c r="I101" s="1666">
        <f t="shared" si="12"/>
        <v>0</v>
      </c>
      <c r="K101" s="1392">
        <v>2419371.7000000002</v>
      </c>
      <c r="S101" s="865"/>
    </row>
    <row r="102" spans="1:19" s="63" customFormat="1" ht="14.25" hidden="1" x14ac:dyDescent="0.2">
      <c r="B102" s="969"/>
      <c r="C102" s="997"/>
      <c r="D102" s="1206"/>
      <c r="E102" s="1206"/>
      <c r="F102" s="1206"/>
      <c r="G102" s="1665"/>
      <c r="H102" s="1206"/>
      <c r="I102" s="1666"/>
      <c r="K102" s="1392"/>
      <c r="S102" s="865"/>
    </row>
    <row r="103" spans="1:19" s="63" customFormat="1" ht="14.25" hidden="1" x14ac:dyDescent="0.2">
      <c r="B103" s="969" t="s">
        <v>4081</v>
      </c>
      <c r="C103" s="829"/>
      <c r="D103" s="1206"/>
      <c r="E103" s="1206"/>
      <c r="F103" s="1206"/>
      <c r="G103" s="1665">
        <f t="shared" si="13"/>
        <v>0</v>
      </c>
      <c r="H103" s="1206"/>
      <c r="I103" s="1666">
        <f t="shared" si="12"/>
        <v>0</v>
      </c>
      <c r="K103" s="1392">
        <v>-588427.18999999994</v>
      </c>
      <c r="S103" s="865"/>
    </row>
    <row r="104" spans="1:19" s="63" customFormat="1" ht="14.25" hidden="1" x14ac:dyDescent="0.2">
      <c r="B104" s="969" t="s">
        <v>4082</v>
      </c>
      <c r="C104" s="829"/>
      <c r="D104" s="1206"/>
      <c r="E104" s="1206"/>
      <c r="F104" s="1206"/>
      <c r="G104" s="1665">
        <f t="shared" si="13"/>
        <v>0</v>
      </c>
      <c r="H104" s="1206"/>
      <c r="I104" s="1666">
        <f t="shared" si="12"/>
        <v>0</v>
      </c>
      <c r="K104" s="1392">
        <v>220851.08</v>
      </c>
      <c r="S104" s="865"/>
    </row>
    <row r="105" spans="1:19" s="63" customFormat="1" ht="14.25" hidden="1" x14ac:dyDescent="0.2">
      <c r="B105" s="969" t="s">
        <v>4083</v>
      </c>
      <c r="C105" s="829"/>
      <c r="D105" s="1206"/>
      <c r="E105" s="1206"/>
      <c r="F105" s="1206"/>
      <c r="G105" s="1665">
        <f t="shared" si="13"/>
        <v>0</v>
      </c>
      <c r="H105" s="1206"/>
      <c r="I105" s="1666">
        <f t="shared" si="12"/>
        <v>0</v>
      </c>
      <c r="K105" s="1392">
        <v>925226.22</v>
      </c>
      <c r="S105" s="865"/>
    </row>
    <row r="106" spans="1:19" s="63" customFormat="1" ht="14.25" hidden="1" x14ac:dyDescent="0.2">
      <c r="B106" s="969" t="s">
        <v>4091</v>
      </c>
      <c r="C106" s="829"/>
      <c r="D106" s="1206"/>
      <c r="E106" s="1206"/>
      <c r="F106" s="1206"/>
      <c r="G106" s="1665"/>
      <c r="H106" s="1206"/>
      <c r="I106" s="1666">
        <f t="shared" si="12"/>
        <v>0</v>
      </c>
      <c r="K106" s="1392">
        <v>11592674</v>
      </c>
      <c r="S106" s="865"/>
    </row>
    <row r="107" spans="1:19" s="63" customFormat="1" ht="14.25" hidden="1" x14ac:dyDescent="0.2">
      <c r="B107" s="969" t="s">
        <v>4092</v>
      </c>
      <c r="C107" s="829"/>
      <c r="D107" s="1206"/>
      <c r="E107" s="1206"/>
      <c r="F107" s="1206"/>
      <c r="G107" s="1665"/>
      <c r="H107" s="1206"/>
      <c r="I107" s="1666">
        <f t="shared" si="12"/>
        <v>0</v>
      </c>
      <c r="K107" s="1392">
        <v>153924461.05000001</v>
      </c>
      <c r="S107" s="865"/>
    </row>
    <row r="108" spans="1:19" s="63" customFormat="1" ht="14.25" hidden="1" x14ac:dyDescent="0.2">
      <c r="B108" s="969" t="s">
        <v>4093</v>
      </c>
      <c r="C108" s="829"/>
      <c r="D108" s="1206"/>
      <c r="E108" s="1206"/>
      <c r="F108" s="1206"/>
      <c r="G108" s="1665"/>
      <c r="H108" s="1206"/>
      <c r="I108" s="1666">
        <f t="shared" si="12"/>
        <v>0</v>
      </c>
      <c r="K108" s="1392">
        <v>-102127162.09</v>
      </c>
      <c r="S108" s="865"/>
    </row>
    <row r="109" spans="1:19" s="63" customFormat="1" ht="14.25" hidden="1" x14ac:dyDescent="0.2">
      <c r="B109" s="969" t="s">
        <v>4095</v>
      </c>
      <c r="C109" s="829"/>
      <c r="D109" s="1206"/>
      <c r="E109" s="1206"/>
      <c r="F109" s="1206"/>
      <c r="G109" s="1665"/>
      <c r="H109" s="1206"/>
      <c r="I109" s="1666">
        <f t="shared" si="12"/>
        <v>0</v>
      </c>
      <c r="K109" s="1392">
        <v>2091261.16</v>
      </c>
      <c r="S109" s="865"/>
    </row>
    <row r="110" spans="1:19" s="63" customFormat="1" ht="14.25" hidden="1" x14ac:dyDescent="0.2">
      <c r="B110" s="969" t="s">
        <v>4096</v>
      </c>
      <c r="C110" s="829"/>
      <c r="D110" s="1206"/>
      <c r="E110" s="1206"/>
      <c r="F110" s="1206"/>
      <c r="G110" s="1665"/>
      <c r="H110" s="1206"/>
      <c r="I110" s="1666">
        <f t="shared" si="12"/>
        <v>0</v>
      </c>
      <c r="K110" s="1392">
        <v>175665.26</v>
      </c>
      <c r="S110" s="865"/>
    </row>
    <row r="111" spans="1:19" s="63" customFormat="1" ht="14.25" hidden="1" x14ac:dyDescent="0.2">
      <c r="B111" s="969" t="s">
        <v>4098</v>
      </c>
      <c r="C111" s="829"/>
      <c r="D111" s="1206"/>
      <c r="E111" s="1206"/>
      <c r="F111" s="1206"/>
      <c r="G111" s="1665"/>
      <c r="H111" s="1206"/>
      <c r="I111" s="1666">
        <f t="shared" si="12"/>
        <v>0</v>
      </c>
      <c r="K111" s="1392">
        <v>8508980.7300000004</v>
      </c>
      <c r="S111" s="865"/>
    </row>
    <row r="112" spans="1:19" s="63" customFormat="1" ht="14.25" hidden="1" x14ac:dyDescent="0.2">
      <c r="B112" s="969" t="s">
        <v>4099</v>
      </c>
      <c r="C112" s="829"/>
      <c r="D112" s="1206"/>
      <c r="E112" s="1206"/>
      <c r="F112" s="1206"/>
      <c r="G112" s="1665"/>
      <c r="H112" s="1206"/>
      <c r="I112" s="1666">
        <f t="shared" si="12"/>
        <v>0</v>
      </c>
      <c r="K112" s="1392">
        <v>-4446131.95</v>
      </c>
      <c r="S112" s="865"/>
    </row>
    <row r="113" spans="2:19" s="63" customFormat="1" ht="14.25" x14ac:dyDescent="0.2">
      <c r="B113" s="969" t="s">
        <v>4233</v>
      </c>
      <c r="C113" s="829"/>
      <c r="D113" s="1206"/>
      <c r="E113" s="1206"/>
      <c r="F113" s="1206"/>
      <c r="G113" s="1665"/>
      <c r="H113" s="1206">
        <v>-18687655.780000001</v>
      </c>
      <c r="I113" s="1666">
        <f t="shared" si="12"/>
        <v>-18687655.780000001</v>
      </c>
      <c r="K113" s="1392"/>
      <c r="S113" s="865"/>
    </row>
    <row r="114" spans="2:19" s="63" customFormat="1" ht="14.25" x14ac:dyDescent="0.2">
      <c r="B114" s="969" t="s">
        <v>4232</v>
      </c>
      <c r="C114" s="829"/>
      <c r="D114" s="1206"/>
      <c r="E114" s="1206"/>
      <c r="F114" s="1206"/>
      <c r="G114" s="1665"/>
      <c r="H114" s="1206">
        <v>-2421033.88</v>
      </c>
      <c r="I114" s="1666"/>
      <c r="K114" s="1667"/>
      <c r="S114" s="865"/>
    </row>
    <row r="115" spans="2:19" s="63" customFormat="1" ht="14.25" x14ac:dyDescent="0.2">
      <c r="B115" s="1669" t="s">
        <v>265</v>
      </c>
      <c r="C115" s="1693"/>
      <c r="D115" s="1206"/>
      <c r="E115" s="1206"/>
      <c r="F115" s="1206"/>
      <c r="G115" s="1665"/>
      <c r="H115" s="1206">
        <f>99731.2-26.79</f>
        <v>99704.41</v>
      </c>
      <c r="I115" s="1666"/>
      <c r="K115" s="1667"/>
      <c r="S115" s="865"/>
    </row>
    <row r="116" spans="2:19" s="63" customFormat="1" ht="14.25" x14ac:dyDescent="0.2">
      <c r="B116" s="1669" t="s">
        <v>265</v>
      </c>
      <c r="C116" s="1693"/>
      <c r="D116" s="1206"/>
      <c r="E116" s="1206"/>
      <c r="F116" s="1206"/>
      <c r="G116" s="1665"/>
      <c r="H116" s="1691">
        <v>26.79</v>
      </c>
      <c r="I116" s="1666"/>
      <c r="K116" s="1667"/>
      <c r="S116" s="865"/>
    </row>
    <row r="117" spans="2:19" s="63" customFormat="1" ht="28.5" x14ac:dyDescent="0.2">
      <c r="B117" s="971" t="s">
        <v>3662</v>
      </c>
      <c r="C117" s="830"/>
      <c r="D117" s="1206">
        <v>19675.11</v>
      </c>
      <c r="E117" s="1206"/>
      <c r="F117" s="1206">
        <v>0</v>
      </c>
      <c r="G117" s="1665">
        <f t="shared" si="13"/>
        <v>19675.11</v>
      </c>
      <c r="H117" s="1689"/>
      <c r="I117" s="1666">
        <f>SUM(G117:H117)</f>
        <v>19675.11</v>
      </c>
      <c r="S117" s="865"/>
    </row>
    <row r="118" spans="2:19" s="63" customFormat="1" ht="14.25" x14ac:dyDescent="0.2">
      <c r="B118" s="969" t="s">
        <v>3498</v>
      </c>
      <c r="C118" s="830"/>
      <c r="D118" s="1206"/>
      <c r="E118" s="1600"/>
      <c r="F118" s="1206">
        <v>-24555566.440000001</v>
      </c>
      <c r="G118" s="1665">
        <f t="shared" si="13"/>
        <v>-24555566.440000001</v>
      </c>
      <c r="H118" s="1665">
        <f>E118-G118</f>
        <v>24555566.440000001</v>
      </c>
      <c r="I118" s="1393">
        <f>SUM(G118:H118)</f>
        <v>0</v>
      </c>
      <c r="S118" s="865"/>
    </row>
    <row r="119" spans="2:19" s="63" customFormat="1" ht="14.25" x14ac:dyDescent="0.2">
      <c r="B119" s="969" t="s">
        <v>4178</v>
      </c>
      <c r="C119" s="830"/>
      <c r="D119" s="1184">
        <v>-6975635.7400000002</v>
      </c>
      <c r="E119" s="1200"/>
      <c r="F119" s="1184"/>
      <c r="G119" s="1665">
        <f t="shared" si="13"/>
        <v>-6975635.7400000002</v>
      </c>
      <c r="H119" s="1184"/>
      <c r="I119" s="1666">
        <f>SUM(G119:H119)</f>
        <v>-6975635.7400000002</v>
      </c>
      <c r="J119" s="485"/>
      <c r="S119" s="865"/>
    </row>
    <row r="120" spans="2:19" s="63" customFormat="1" ht="15" thickBot="1" x14ac:dyDescent="0.25">
      <c r="B120" s="969" t="s">
        <v>3629</v>
      </c>
      <c r="C120" s="830"/>
      <c r="D120" s="1184">
        <v>0</v>
      </c>
      <c r="E120" s="1185"/>
      <c r="F120" s="1184">
        <v>0</v>
      </c>
      <c r="G120" s="1665">
        <f t="shared" si="13"/>
        <v>0</v>
      </c>
      <c r="H120" s="1206">
        <f>'Statement of Financial Performa'!G43</f>
        <v>58058705.770000741</v>
      </c>
      <c r="I120" s="1666">
        <f>SUM(G120:H120)</f>
        <v>58058705.770000741</v>
      </c>
      <c r="J120" s="485"/>
      <c r="S120" s="865"/>
    </row>
    <row r="121" spans="2:19" s="63" customFormat="1" ht="15.75" thickBot="1" x14ac:dyDescent="0.25">
      <c r="B121" s="1432" t="s">
        <v>3911</v>
      </c>
      <c r="C121" s="1433"/>
      <c r="D121" s="1434">
        <f>D94+D95+D117+D119+D120</f>
        <v>0</v>
      </c>
      <c r="E121" s="1434">
        <f>E94+E95+E117+E120</f>
        <v>0</v>
      </c>
      <c r="F121" s="1586">
        <f>F94+F95+F117+F118+F119+F120</f>
        <v>3408519200.7999997</v>
      </c>
      <c r="G121" s="1345">
        <f>G94+G95+G117+G119+G120</f>
        <v>3433074767.2400002</v>
      </c>
      <c r="H121" s="1690">
        <f>SUM(H94:H120)</f>
        <v>5574521956.479557</v>
      </c>
      <c r="I121" s="1558">
        <f>SUM(I94:I120)</f>
        <v>8977435776.1595554</v>
      </c>
      <c r="J121" s="80"/>
      <c r="O121" s="485"/>
      <c r="R121" s="865">
        <f>SUM(R94:R120)</f>
        <v>0</v>
      </c>
      <c r="S121" s="865">
        <f>SUM(S94:S120)</f>
        <v>0</v>
      </c>
    </row>
    <row r="123" spans="2:19" x14ac:dyDescent="0.2">
      <c r="H123" s="1668"/>
    </row>
    <row r="124" spans="2:19" x14ac:dyDescent="0.2">
      <c r="H124" s="1668"/>
    </row>
  </sheetData>
  <phoneticPr fontId="0" type="noConversion"/>
  <pageMargins left="0.47244094488188998" right="0.47244094488188998" top="0.74803149606299202" bottom="0.74803149606299202" header="0.511811023622047" footer="0.511811023622047"/>
  <pageSetup paperSize="9" scale="71" firstPageNumber="6" orientation="landscape" useFirstPageNumber="1" r:id="rId1"/>
  <headerFooter alignWithMargins="0">
    <oddHeader xml:space="preserve">&amp;L&amp;"-,Bold"POLOKWANE MUNICIPALITY STATEMENT OF CHANGES IN NET ASSETS 30 JUNE 2016
&amp;C&amp;"-,Bold"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92</vt:i4>
      </vt:variant>
    </vt:vector>
  </HeadingPairs>
  <TitlesOfParts>
    <vt:vector size="126" baseType="lpstr">
      <vt:lpstr>Cover 1</vt:lpstr>
      <vt:lpstr>Cover</vt:lpstr>
      <vt:lpstr>Index</vt:lpstr>
      <vt:lpstr>App</vt:lpstr>
      <vt:lpstr>Statement of Financial Position</vt:lpstr>
      <vt:lpstr>General Info</vt:lpstr>
      <vt:lpstr>Statement of Fin Pos</vt:lpstr>
      <vt:lpstr>Statement of Financial Performa</vt:lpstr>
      <vt:lpstr>Changes in Net assets</vt:lpstr>
      <vt:lpstr>TB4 (New) (2)</vt:lpstr>
      <vt:lpstr>Cash Flow Statement</vt:lpstr>
      <vt:lpstr>Statement com budget and actual</vt:lpstr>
      <vt:lpstr>Acc Policy </vt:lpstr>
      <vt:lpstr>Notes 2 - 7</vt:lpstr>
      <vt:lpstr>Note 8 Assets</vt:lpstr>
      <vt:lpstr>Note 8.2 Assets</vt:lpstr>
      <vt:lpstr>Note 9-33</vt:lpstr>
      <vt:lpstr>Note 34-48</vt:lpstr>
      <vt:lpstr>Appendix A</vt:lpstr>
      <vt:lpstr>Appendix B</vt:lpstr>
      <vt:lpstr>Appendix C</vt:lpstr>
      <vt:lpstr>Appendix D</vt:lpstr>
      <vt:lpstr>Appendix E(1)</vt:lpstr>
      <vt:lpstr>Appendix E(2)</vt:lpstr>
      <vt:lpstr>Appendix F</vt:lpstr>
      <vt:lpstr>Annexure G</vt:lpstr>
      <vt:lpstr>TB1</vt:lpstr>
      <vt:lpstr>TB2</vt:lpstr>
      <vt:lpstr>Annexure H</vt:lpstr>
      <vt:lpstr>Sheet5</vt:lpstr>
      <vt:lpstr>Annexure I</vt:lpstr>
      <vt:lpstr>TB3</vt:lpstr>
      <vt:lpstr>TB4</vt:lpstr>
      <vt:lpstr>Cash flow recon</vt:lpstr>
      <vt:lpstr>'TB3'!IEMAY.</vt:lpstr>
      <vt:lpstr>'Acc Policy '!New_Accounting_Policy_1</vt:lpstr>
      <vt:lpstr>'Acc Policy '!New_Accounting_Policy_2</vt:lpstr>
      <vt:lpstr>'Acc Policy '!New_Accounting_Policy_3</vt:lpstr>
      <vt:lpstr>'Acc Policy '!New_Accounting_Policy_4</vt:lpstr>
      <vt:lpstr>'Acc Policy '!New_Accounting_Policy_5</vt:lpstr>
      <vt:lpstr>'Acc Policy '!New_Accounting_Policy_6</vt:lpstr>
      <vt:lpstr>'Acc Policy '!New_Accounting_Policy_7</vt:lpstr>
      <vt:lpstr>'Acc Policy '!New_Accounting_Policy_8</vt:lpstr>
      <vt:lpstr>'Acc Policy '!Print_Area</vt:lpstr>
      <vt:lpstr>App!Print_Area</vt:lpstr>
      <vt:lpstr>'Appendix D'!Print_Area</vt:lpstr>
      <vt:lpstr>'Appendix E(2)'!Print_Area</vt:lpstr>
      <vt:lpstr>'Appendix F'!Print_Area</vt:lpstr>
      <vt:lpstr>'Cash Flow Statement'!Print_Area</vt:lpstr>
      <vt:lpstr>'Changes in Net assets'!Print_Area</vt:lpstr>
      <vt:lpstr>Cover!Print_Area</vt:lpstr>
      <vt:lpstr>'General Info'!Print_Area</vt:lpstr>
      <vt:lpstr>Index!Print_Area</vt:lpstr>
      <vt:lpstr>'Note 34-48'!Print_Area</vt:lpstr>
      <vt:lpstr>'Note 8 Assets'!Print_Area</vt:lpstr>
      <vt:lpstr>'Note 8.2 Assets'!Print_Area</vt:lpstr>
      <vt:lpstr>'Note 9-33'!Print_Area</vt:lpstr>
      <vt:lpstr>'Notes 2 - 7'!Print_Area</vt:lpstr>
      <vt:lpstr>'Statement com budget and actual'!Print_Area</vt:lpstr>
      <vt:lpstr>'Statement of Fin Pos'!Print_Area</vt:lpstr>
      <vt:lpstr>'Statement of Financial Performa'!Print_Area</vt:lpstr>
      <vt:lpstr>'Statement of Financial Position'!Print_Area</vt:lpstr>
      <vt:lpstr>'TB1'!Print_Area</vt:lpstr>
      <vt:lpstr>'TB2'!Print_Area</vt:lpstr>
      <vt:lpstr>'TB3'!Print_Area</vt:lpstr>
      <vt:lpstr>'TB4'!Print_Area</vt:lpstr>
      <vt:lpstr>'TB4 (New) (2)'!Print_Area</vt:lpstr>
      <vt:lpstr>'Appendix D'!Print_Titles</vt:lpstr>
      <vt:lpstr>'Note 9-33'!Print_Titles</vt:lpstr>
      <vt:lpstr>'Notes 2 - 7'!Print_Titles</vt:lpstr>
      <vt:lpstr>'TB1'!Print_Titles</vt:lpstr>
      <vt:lpstr>Province</vt:lpstr>
      <vt:lpstr>tm_268446625</vt:lpstr>
      <vt:lpstr>tm_738206261</vt:lpstr>
      <vt:lpstr>tm_738206382</vt:lpstr>
      <vt:lpstr>tm_738206383</vt:lpstr>
      <vt:lpstr>tm_738206392</vt:lpstr>
      <vt:lpstr>tm_738206393</vt:lpstr>
      <vt:lpstr>tm_738206401</vt:lpstr>
      <vt:lpstr>tm_738206402</vt:lpstr>
      <vt:lpstr>tm_738206474</vt:lpstr>
      <vt:lpstr>tm_738206503</vt:lpstr>
      <vt:lpstr>tm_738206504</vt:lpstr>
      <vt:lpstr>tm_738206505</vt:lpstr>
      <vt:lpstr>tm_738206512</vt:lpstr>
      <vt:lpstr>tm_738206518</vt:lpstr>
      <vt:lpstr>tm_738206523</vt:lpstr>
      <vt:lpstr>tm_738206528</vt:lpstr>
      <vt:lpstr>tm_738206538</vt:lpstr>
      <vt:lpstr>tm_738206546</vt:lpstr>
      <vt:lpstr>tm_738206549</vt:lpstr>
      <vt:lpstr>tm_738206557</vt:lpstr>
      <vt:lpstr>tm_738206560</vt:lpstr>
      <vt:lpstr>tm_738206591</vt:lpstr>
      <vt:lpstr>tm_738206592</vt:lpstr>
      <vt:lpstr>tm_738206593</vt:lpstr>
      <vt:lpstr>tm_738206600</vt:lpstr>
      <vt:lpstr>tm_738206601</vt:lpstr>
      <vt:lpstr>tm_738206602</vt:lpstr>
      <vt:lpstr>tm_738206615</vt:lpstr>
      <vt:lpstr>tm_738206616</vt:lpstr>
      <vt:lpstr>tm_738206617</vt:lpstr>
      <vt:lpstr>tm_738206622</vt:lpstr>
      <vt:lpstr>tm_738206637</vt:lpstr>
      <vt:lpstr>tm_738206638</vt:lpstr>
      <vt:lpstr>tm_738206677</vt:lpstr>
      <vt:lpstr>tm_738206682</vt:lpstr>
      <vt:lpstr>tm_738206690</vt:lpstr>
      <vt:lpstr>tm_738206700</vt:lpstr>
      <vt:lpstr>tm_738206710</vt:lpstr>
      <vt:lpstr>tm_738206722</vt:lpstr>
      <vt:lpstr>tm_738206723</vt:lpstr>
      <vt:lpstr>tm_738206744</vt:lpstr>
      <vt:lpstr>tm_738206745</vt:lpstr>
      <vt:lpstr>tm_738206769</vt:lpstr>
      <vt:lpstr>tm_738206770</vt:lpstr>
      <vt:lpstr>tm_738206794</vt:lpstr>
      <vt:lpstr>tm_738206804</vt:lpstr>
      <vt:lpstr>tm_738206805</vt:lpstr>
      <vt:lpstr>tm_738206814</vt:lpstr>
      <vt:lpstr>tm_738206821</vt:lpstr>
      <vt:lpstr>tm_738206822</vt:lpstr>
      <vt:lpstr>tm_738206895</vt:lpstr>
      <vt:lpstr>tm_738206896</vt:lpstr>
      <vt:lpstr>tm_738206936</vt:lpstr>
      <vt:lpstr>tm_738206941</vt:lpstr>
    </vt:vector>
  </TitlesOfParts>
  <Company>Private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Wilken Nell</dc:creator>
  <cp:lastModifiedBy>Moleboheng Mathebula</cp:lastModifiedBy>
  <cp:lastPrinted>2016-08-31T12:55:42Z</cp:lastPrinted>
  <dcterms:created xsi:type="dcterms:W3CDTF">2008-06-30T11:37:03Z</dcterms:created>
  <dcterms:modified xsi:type="dcterms:W3CDTF">2016-08-31T13:14:47Z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