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24226"/>
  <mc:AlternateContent xmlns:mc="http://schemas.openxmlformats.org/markup-compatibility/2006">
    <mc:Choice Requires="x15">
      <x15ac:absPath xmlns:x15ac="http://schemas.microsoft.com/office/spreadsheetml/2010/11/ac" url="C:\Users\zinzim2\Desktop\Budget 2020_21\S71\April 2021\"/>
    </mc:Choice>
  </mc:AlternateContent>
  <xr:revisionPtr revIDLastSave="0" documentId="13_ncr:1_{816F674F-E193-4C58-956B-7016D193E823}" xr6:coauthVersionLast="46" xr6:coauthVersionMax="46" xr10:uidLastSave="{00000000-0000-0000-0000-000000000000}"/>
  <bookViews>
    <workbookView xWindow="-120" yWindow="-120" windowWidth="29040" windowHeight="15840" tabRatio="792" firstSheet="10" activeTab="14"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34">SC71charts!$A$1:$U$132</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77" l="1"/>
  <c r="L42" i="317"/>
  <c r="L41" i="317"/>
  <c r="L49" i="317" l="1"/>
  <c r="I256" i="330" l="1"/>
  <c r="F55" i="330"/>
  <c r="G55" i="330"/>
  <c r="G39" i="182" l="1"/>
  <c r="F39" i="182"/>
  <c r="G50" i="269" l="1"/>
  <c r="G27" i="182"/>
  <c r="F19" i="182"/>
  <c r="H12" i="333"/>
  <c r="H11" i="333"/>
  <c r="H10" i="333"/>
  <c r="H9" i="333"/>
  <c r="H16" i="333"/>
  <c r="H15" i="333"/>
  <c r="H14" i="333"/>
  <c r="H26" i="333"/>
  <c r="H25" i="333"/>
  <c r="H24" i="333"/>
  <c r="H23" i="333"/>
  <c r="H22" i="333"/>
  <c r="H21" i="333"/>
  <c r="H20" i="333"/>
  <c r="H19" i="333"/>
  <c r="H18" i="333"/>
  <c r="H37" i="333"/>
  <c r="H36" i="333"/>
  <c r="H35" i="333"/>
  <c r="H34" i="333"/>
  <c r="H33" i="333"/>
  <c r="H32" i="333"/>
  <c r="H31" i="333"/>
  <c r="H30" i="333"/>
  <c r="H29" i="333"/>
  <c r="H28" i="333"/>
  <c r="H44" i="333"/>
  <c r="H43" i="333"/>
  <c r="H42" i="333"/>
  <c r="H41" i="333"/>
  <c r="H40" i="333"/>
  <c r="H39" i="333"/>
  <c r="H52" i="333"/>
  <c r="H51" i="333"/>
  <c r="H50" i="333"/>
  <c r="H49" i="333"/>
  <c r="H48" i="333"/>
  <c r="H47" i="333"/>
  <c r="H46" i="333"/>
  <c r="H73" i="333"/>
  <c r="H72" i="333"/>
  <c r="H71" i="333"/>
  <c r="H70" i="333"/>
  <c r="H98" i="333"/>
  <c r="H97" i="333"/>
  <c r="H96" i="333"/>
  <c r="H95" i="333"/>
  <c r="H94" i="333"/>
  <c r="H93" i="333"/>
  <c r="H92" i="333"/>
  <c r="H91" i="333"/>
  <c r="H90" i="333"/>
  <c r="H89" i="333"/>
  <c r="H88" i="333"/>
  <c r="H87" i="333"/>
  <c r="H86" i="333"/>
  <c r="H85" i="333"/>
  <c r="H84" i="333"/>
  <c r="H83" i="333"/>
  <c r="H82" i="333"/>
  <c r="H81" i="333"/>
  <c r="H80" i="333"/>
  <c r="H79" i="333"/>
  <c r="H78" i="333"/>
  <c r="H77" i="333"/>
  <c r="H102" i="333"/>
  <c r="H101" i="333"/>
  <c r="H100" i="333"/>
  <c r="H129" i="333"/>
  <c r="H128" i="333"/>
  <c r="H127" i="333"/>
  <c r="H126" i="333"/>
  <c r="H125" i="333"/>
  <c r="H124" i="333"/>
  <c r="H123" i="333"/>
  <c r="H122" i="333"/>
  <c r="H121" i="333"/>
  <c r="H120" i="333"/>
  <c r="H119" i="333"/>
  <c r="H133" i="333"/>
  <c r="H132" i="333"/>
  <c r="H131" i="333"/>
  <c r="H149" i="333"/>
  <c r="H152" i="333"/>
  <c r="H155" i="333"/>
  <c r="H158" i="333"/>
  <c r="H158" i="242"/>
  <c r="H21" i="242"/>
  <c r="H9" i="242"/>
  <c r="H158" i="325"/>
  <c r="H155" i="325"/>
  <c r="H152" i="325"/>
  <c r="H149" i="325"/>
  <c r="H144" i="325"/>
  <c r="H119" i="325"/>
  <c r="H101" i="325"/>
  <c r="H77" i="325"/>
  <c r="H48" i="325"/>
  <c r="H41" i="325"/>
  <c r="H34" i="325"/>
  <c r="H22" i="325"/>
  <c r="H9" i="325"/>
  <c r="G97" i="242"/>
  <c r="F97" i="242"/>
  <c r="G55" i="268"/>
  <c r="F55" i="268"/>
  <c r="G299" i="324"/>
  <c r="F299" i="324"/>
  <c r="H129" i="335" l="1"/>
  <c r="H128" i="335"/>
  <c r="H127" i="335"/>
  <c r="H126" i="335"/>
  <c r="H125" i="335"/>
  <c r="H124" i="335"/>
  <c r="H123" i="335"/>
  <c r="H122" i="335"/>
  <c r="H121" i="335"/>
  <c r="H120" i="335"/>
  <c r="H119" i="335"/>
  <c r="H116" i="335"/>
  <c r="H115" i="335"/>
  <c r="H113" i="335"/>
  <c r="H112" i="335"/>
  <c r="H108" i="335"/>
  <c r="H107" i="335"/>
  <c r="H106" i="335"/>
  <c r="H105" i="335"/>
  <c r="H104"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68" i="335"/>
  <c r="H67" i="335"/>
  <c r="H66" i="335"/>
  <c r="H65" i="335"/>
  <c r="H64" i="335"/>
  <c r="H62" i="335"/>
  <c r="H61" i="335"/>
  <c r="H60" i="335"/>
  <c r="H59" i="335"/>
  <c r="H58" i="335"/>
  <c r="H57" i="335"/>
  <c r="H56" i="335"/>
  <c r="H55" i="335"/>
  <c r="H54" i="335"/>
  <c r="H52" i="335"/>
  <c r="H51" i="335"/>
  <c r="H50" i="335"/>
  <c r="H49" i="335"/>
  <c r="H48" i="335"/>
  <c r="H47" i="335"/>
  <c r="H46" i="335"/>
  <c r="H44" i="335"/>
  <c r="H43" i="335"/>
  <c r="H42" i="335"/>
  <c r="H41" i="335"/>
  <c r="H40" i="335"/>
  <c r="H39" i="335"/>
  <c r="H37" i="335"/>
  <c r="H36" i="335"/>
  <c r="H35" i="335"/>
  <c r="H34" i="335"/>
  <c r="H33" i="335"/>
  <c r="H32" i="335"/>
  <c r="H31" i="335"/>
  <c r="H30" i="335"/>
  <c r="H29" i="335"/>
  <c r="H28" i="335"/>
  <c r="H10" i="335"/>
  <c r="H9" i="335"/>
  <c r="H119" i="326"/>
  <c r="H97" i="326"/>
  <c r="H79" i="326"/>
  <c r="H78" i="326"/>
  <c r="H77" i="326"/>
  <c r="H41" i="326"/>
  <c r="H9" i="326"/>
  <c r="H155" i="242"/>
  <c r="H152" i="242"/>
  <c r="H149" i="242"/>
  <c r="H146" i="242"/>
  <c r="H145" i="242"/>
  <c r="H144" i="242"/>
  <c r="H143" i="242"/>
  <c r="H142" i="242"/>
  <c r="H141" i="242"/>
  <c r="H129" i="242"/>
  <c r="H128" i="242"/>
  <c r="H127" i="242"/>
  <c r="H126" i="242"/>
  <c r="H125" i="242"/>
  <c r="H124" i="242"/>
  <c r="H123" i="242"/>
  <c r="H122" i="242"/>
  <c r="H121" i="242"/>
  <c r="H120" i="242"/>
  <c r="H119" i="242"/>
  <c r="H113" i="242"/>
  <c r="H112"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73" i="242"/>
  <c r="H72" i="242"/>
  <c r="H71" i="242"/>
  <c r="H70"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0" i="242"/>
  <c r="H19" i="242"/>
  <c r="H18" i="242"/>
  <c r="H16" i="242"/>
  <c r="H15" i="242"/>
  <c r="H14" i="242"/>
  <c r="H12" i="242"/>
  <c r="H11" i="242"/>
  <c r="H10" i="242"/>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40" i="269"/>
  <c r="H39" i="269"/>
  <c r="H38" i="269"/>
  <c r="H37" i="269"/>
  <c r="H36" i="269"/>
  <c r="H35" i="269"/>
  <c r="H34" i="269"/>
  <c r="H17" i="269"/>
  <c r="H16" i="269"/>
  <c r="H15" i="269"/>
  <c r="H14" i="269"/>
  <c r="H13" i="269"/>
  <c r="H12" i="269"/>
  <c r="H11" i="269"/>
  <c r="H10" i="269"/>
  <c r="H9" i="269"/>
  <c r="H48" i="270"/>
  <c r="H47" i="270"/>
  <c r="H46" i="270"/>
  <c r="H45" i="270"/>
  <c r="H44" i="270"/>
  <c r="H43" i="270"/>
  <c r="H42" i="270"/>
  <c r="H19" i="270"/>
  <c r="H18" i="270"/>
  <c r="H17" i="270"/>
  <c r="H16" i="270"/>
  <c r="H15" i="270"/>
  <c r="H14" i="270"/>
  <c r="H13" i="270"/>
  <c r="H12" i="270"/>
  <c r="H11" i="270"/>
  <c r="H10" i="270"/>
  <c r="H9" i="270"/>
  <c r="H36" i="177"/>
  <c r="H34" i="177"/>
  <c r="H33" i="177"/>
  <c r="H32" i="177"/>
  <c r="H27" i="177"/>
  <c r="H17" i="177"/>
  <c r="H16" i="177"/>
  <c r="H15" i="177"/>
  <c r="H13" i="177"/>
  <c r="H12" i="177"/>
  <c r="H11" i="177"/>
  <c r="H10" i="177"/>
  <c r="H9" i="177"/>
  <c r="H8" i="177"/>
  <c r="H7" i="177"/>
  <c r="H302" i="324"/>
  <c r="H301" i="324"/>
  <c r="H300" i="324"/>
  <c r="H299" i="324"/>
  <c r="H298" i="324"/>
  <c r="H297" i="324"/>
  <c r="H296" i="324"/>
  <c r="H295" i="324"/>
  <c r="H294" i="324"/>
  <c r="H293" i="324"/>
  <c r="H291" i="324"/>
  <c r="H290" i="324"/>
  <c r="H289" i="324"/>
  <c r="H288" i="324"/>
  <c r="H287" i="324"/>
  <c r="H286" i="324"/>
  <c r="H285" i="324"/>
  <c r="H284" i="324"/>
  <c r="H282" i="324"/>
  <c r="H281" i="324"/>
  <c r="H280" i="324"/>
  <c r="H279" i="324"/>
  <c r="H278" i="324"/>
  <c r="H277" i="324"/>
  <c r="H276" i="324"/>
  <c r="H275" i="324"/>
  <c r="H274" i="324"/>
  <c r="H273" i="324"/>
  <c r="H272" i="324"/>
  <c r="H271" i="324"/>
  <c r="H269" i="324"/>
  <c r="H268" i="324"/>
  <c r="H267" i="324"/>
  <c r="H266" i="324"/>
  <c r="H265" i="324"/>
  <c r="H264" i="324"/>
  <c r="H263" i="324"/>
  <c r="H262" i="324"/>
  <c r="H261" i="324"/>
  <c r="H260" i="324"/>
  <c r="H259" i="324"/>
  <c r="H258" i="324"/>
  <c r="H257" i="324"/>
  <c r="H256" i="324"/>
  <c r="H255" i="324"/>
  <c r="H254" i="324"/>
  <c r="H253" i="324"/>
  <c r="H251" i="324"/>
  <c r="H250" i="324"/>
  <c r="H249" i="324"/>
  <c r="H248" i="324"/>
  <c r="H247" i="324"/>
  <c r="H246" i="324"/>
  <c r="H245" i="324"/>
  <c r="H244" i="324"/>
  <c r="H243" i="324"/>
  <c r="H242" i="324"/>
  <c r="H241" i="324"/>
  <c r="H240" i="324"/>
  <c r="H238" i="324"/>
  <c r="H237" i="324"/>
  <c r="H236" i="324"/>
  <c r="H235" i="324"/>
  <c r="H234" i="324"/>
  <c r="H233" i="324"/>
  <c r="H232" i="324"/>
  <c r="H231"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97" i="324"/>
  <c r="H196" i="324"/>
  <c r="H195" i="324"/>
  <c r="H194" i="324"/>
  <c r="H193" i="324"/>
  <c r="H192" i="324"/>
  <c r="H191" i="324"/>
  <c r="H190" i="324"/>
  <c r="H189" i="324"/>
  <c r="H188" i="324"/>
  <c r="H186" i="324"/>
  <c r="H185" i="324"/>
  <c r="H184" i="324"/>
  <c r="H183" i="324"/>
  <c r="H182" i="324"/>
  <c r="H181" i="324"/>
  <c r="H180" i="324"/>
  <c r="H179" i="324"/>
  <c r="H178" i="324"/>
  <c r="H177" i="324"/>
  <c r="H73" i="268"/>
  <c r="H72" i="268"/>
  <c r="H69" i="268"/>
  <c r="H68" i="268"/>
  <c r="H67" i="268"/>
  <c r="H66" i="268"/>
  <c r="H62" i="268"/>
  <c r="H61" i="268"/>
  <c r="H60" i="268"/>
  <c r="H59" i="268"/>
  <c r="H58" i="268"/>
  <c r="H56" i="268"/>
  <c r="H55" i="268"/>
  <c r="H54" i="268"/>
  <c r="H52" i="268"/>
  <c r="H51" i="268"/>
  <c r="H50" i="268"/>
  <c r="H49" i="268"/>
  <c r="H48" i="268"/>
  <c r="H46" i="268"/>
  <c r="H45" i="268"/>
  <c r="H44" i="268"/>
  <c r="H14" i="182"/>
  <c r="H13" i="182"/>
  <c r="H12" i="182"/>
  <c r="H10" i="182"/>
  <c r="H9" i="182"/>
  <c r="H8" i="182"/>
  <c r="H7" i="182"/>
  <c r="H6" i="182"/>
  <c r="H15" i="182"/>
  <c r="H21" i="182"/>
  <c r="H20" i="182"/>
  <c r="H19" i="182"/>
  <c r="H18" i="182"/>
  <c r="H17" i="182"/>
  <c r="H16" i="182"/>
  <c r="H35" i="182"/>
  <c r="H34" i="182"/>
  <c r="H33" i="182"/>
  <c r="H32" i="182"/>
  <c r="H31" i="182"/>
  <c r="H30" i="182"/>
  <c r="H29" i="182"/>
  <c r="H28" i="182"/>
  <c r="H27" i="182"/>
  <c r="H26" i="182"/>
  <c r="H25" i="182"/>
  <c r="H41" i="182"/>
  <c r="H40" i="182"/>
  <c r="H39" i="182"/>
  <c r="H43" i="182"/>
  <c r="H47" i="182"/>
  <c r="H338" i="323"/>
  <c r="H337" i="323"/>
  <c r="H336" i="323"/>
  <c r="H335" i="323"/>
  <c r="H334" i="323"/>
  <c r="H333" i="323"/>
  <c r="H332" i="323"/>
  <c r="H331" i="323"/>
  <c r="H330" i="323"/>
  <c r="H329" i="323"/>
  <c r="H327" i="323"/>
  <c r="H326" i="323"/>
  <c r="H325" i="323"/>
  <c r="H324" i="323"/>
  <c r="H323" i="323"/>
  <c r="H322" i="323"/>
  <c r="H321" i="323"/>
  <c r="H320" i="323"/>
  <c r="H319" i="323"/>
  <c r="H318" i="323"/>
  <c r="H316" i="323"/>
  <c r="H315" i="323"/>
  <c r="H314" i="323"/>
  <c r="H313" i="323"/>
  <c r="H312" i="323"/>
  <c r="H311" i="323"/>
  <c r="H310" i="323"/>
  <c r="H309" i="323"/>
  <c r="H308" i="323"/>
  <c r="H307" i="323"/>
  <c r="H305" i="323"/>
  <c r="H304" i="323"/>
  <c r="H303" i="323"/>
  <c r="H302" i="323"/>
  <c r="H301" i="323"/>
  <c r="H300" i="323"/>
  <c r="H299" i="323"/>
  <c r="H298" i="323"/>
  <c r="H297" i="323"/>
  <c r="H296" i="323"/>
  <c r="H294" i="323"/>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70" i="323"/>
  <c r="H169" i="323"/>
  <c r="H168" i="323"/>
  <c r="H167" i="323"/>
  <c r="H166" i="323"/>
  <c r="H165" i="323"/>
  <c r="H164" i="323"/>
  <c r="H163" i="323"/>
  <c r="H162" i="323"/>
  <c r="H161" i="323"/>
  <c r="H159" i="323"/>
  <c r="H158" i="323"/>
  <c r="H157" i="323"/>
  <c r="H156" i="323"/>
  <c r="H155" i="323"/>
  <c r="H154" i="323"/>
  <c r="H153" i="323"/>
  <c r="H152" i="323"/>
  <c r="H151" i="323"/>
  <c r="H150" i="323"/>
  <c r="H148" i="323"/>
  <c r="H147" i="323"/>
  <c r="H146" i="323"/>
  <c r="H145" i="323"/>
  <c r="H144" i="323"/>
  <c r="H143" i="323"/>
  <c r="H142" i="323"/>
  <c r="H141" i="323"/>
  <c r="H140" i="323"/>
  <c r="H139" i="323"/>
  <c r="H137" i="323"/>
  <c r="H136" i="323"/>
  <c r="H135" i="323"/>
  <c r="H134" i="323"/>
  <c r="H133" i="323"/>
  <c r="H132" i="323"/>
  <c r="H131" i="323"/>
  <c r="H130" i="323"/>
  <c r="H129" i="323"/>
  <c r="H128"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7" i="330"/>
  <c r="H136" i="330"/>
  <c r="H135" i="330"/>
  <c r="H134" i="330"/>
  <c r="H133" i="330"/>
  <c r="H131" i="330"/>
  <c r="H130" i="330"/>
  <c r="H124" i="330"/>
  <c r="H123" i="330"/>
  <c r="H122" i="330"/>
  <c r="H121" i="330"/>
  <c r="H120" i="330"/>
  <c r="H119" i="330"/>
  <c r="H117" i="330"/>
  <c r="H116" i="330"/>
  <c r="H115" i="330"/>
  <c r="H114" i="330"/>
  <c r="H112" i="330"/>
  <c r="H111" i="330"/>
  <c r="H110" i="330"/>
  <c r="H109"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50" i="330"/>
  <c r="H48" i="330"/>
  <c r="H47" i="330"/>
  <c r="H46" i="330"/>
  <c r="H45" i="330"/>
  <c r="H44" i="330"/>
  <c r="H43" i="330"/>
  <c r="H42" i="330"/>
  <c r="H41" i="330"/>
  <c r="H40"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3" i="330"/>
  <c r="H12" i="330"/>
  <c r="H11" i="330"/>
  <c r="H9" i="330"/>
  <c r="H8" i="330"/>
  <c r="K34" i="177" l="1"/>
  <c r="K27" i="177"/>
  <c r="I38" i="269" l="1"/>
  <c r="J38" i="269" s="1"/>
  <c r="H98" i="326"/>
  <c r="H96" i="326"/>
  <c r="H95" i="326"/>
  <c r="H94" i="326"/>
  <c r="H93" i="326"/>
  <c r="H92" i="326"/>
  <c r="H91" i="326"/>
  <c r="H90" i="326"/>
  <c r="H89" i="326"/>
  <c r="H88" i="326"/>
  <c r="H87" i="326"/>
  <c r="H86" i="326"/>
  <c r="H85" i="326"/>
  <c r="H84" i="326"/>
  <c r="H83" i="326"/>
  <c r="H82" i="326"/>
  <c r="H81" i="326"/>
  <c r="H80" i="326"/>
  <c r="H26" i="325"/>
  <c r="H25" i="325"/>
  <c r="H24" i="325"/>
  <c r="H23" i="325"/>
  <c r="H21" i="325"/>
  <c r="H20" i="325"/>
  <c r="H19" i="325"/>
  <c r="H18" i="325"/>
  <c r="H37" i="325"/>
  <c r="H36" i="325"/>
  <c r="H35" i="325"/>
  <c r="H33" i="325"/>
  <c r="H32" i="325"/>
  <c r="H31" i="325"/>
  <c r="H30" i="325"/>
  <c r="H29" i="325"/>
  <c r="H28" i="325"/>
  <c r="H44" i="325"/>
  <c r="H43" i="325"/>
  <c r="H42" i="325"/>
  <c r="H40" i="325"/>
  <c r="H39" i="325"/>
  <c r="H51" i="325"/>
  <c r="H50" i="325"/>
  <c r="H49" i="325"/>
  <c r="H47" i="325"/>
  <c r="H46" i="325"/>
  <c r="H146" i="325"/>
  <c r="H145" i="325"/>
  <c r="H143" i="325"/>
  <c r="H142" i="325"/>
  <c r="H141" i="325"/>
  <c r="H55" i="242" l="1"/>
  <c r="H56" i="242"/>
  <c r="H57" i="242"/>
  <c r="H58" i="242"/>
  <c r="H59" i="242"/>
  <c r="H60" i="242"/>
  <c r="H61" i="242"/>
  <c r="H62" i="242"/>
  <c r="H100" i="326"/>
  <c r="H101" i="326"/>
  <c r="H102" i="326"/>
  <c r="H104" i="326"/>
  <c r="H105" i="326"/>
  <c r="H106" i="326"/>
  <c r="H107" i="326"/>
  <c r="H108" i="326"/>
  <c r="H112" i="326"/>
  <c r="H113" i="326"/>
  <c r="H115" i="326"/>
  <c r="H116" i="326"/>
  <c r="H120" i="326"/>
  <c r="H121" i="326"/>
  <c r="H122" i="326"/>
  <c r="H123" i="326"/>
  <c r="H124" i="326"/>
  <c r="H125" i="326"/>
  <c r="H126" i="326"/>
  <c r="H127" i="326"/>
  <c r="H128" i="326"/>
  <c r="H129" i="326"/>
  <c r="H131" i="326"/>
  <c r="H132" i="326"/>
  <c r="H133" i="326"/>
  <c r="H136" i="326"/>
  <c r="H139" i="326"/>
  <c r="H141" i="326"/>
  <c r="H142" i="326"/>
  <c r="H143" i="326"/>
  <c r="H144" i="326"/>
  <c r="H145" i="326"/>
  <c r="H146" i="326"/>
  <c r="H149" i="326"/>
  <c r="H152" i="326"/>
  <c r="H155" i="326"/>
  <c r="H158" i="326"/>
  <c r="H161" i="326"/>
  <c r="H164" i="326"/>
  <c r="H164" i="325"/>
  <c r="H11" i="335"/>
  <c r="H12" i="335"/>
  <c r="H14" i="335"/>
  <c r="H15" i="335"/>
  <c r="H16" i="335"/>
  <c r="H18" i="335"/>
  <c r="H19" i="335"/>
  <c r="H20" i="335"/>
  <c r="H21" i="335"/>
  <c r="H22" i="335"/>
  <c r="H23" i="335"/>
  <c r="H24" i="335"/>
  <c r="H25" i="335"/>
  <c r="H26" i="335"/>
  <c r="H131" i="335"/>
  <c r="H132" i="335"/>
  <c r="H133" i="335"/>
  <c r="H136" i="335"/>
  <c r="H139" i="335"/>
  <c r="H141" i="335"/>
  <c r="H142" i="335"/>
  <c r="H143" i="335"/>
  <c r="H144" i="335"/>
  <c r="H145" i="335"/>
  <c r="H146" i="335"/>
  <c r="H149" i="335"/>
  <c r="H152" i="335"/>
  <c r="H155" i="335"/>
  <c r="H158" i="335"/>
  <c r="H161" i="335"/>
  <c r="H164" i="335"/>
  <c r="H309" i="324" l="1"/>
  <c r="H308" i="324"/>
  <c r="H307" i="324"/>
  <c r="H306" i="324"/>
  <c r="H305" i="324"/>
  <c r="H304" i="324"/>
  <c r="H45" i="182"/>
  <c r="H49" i="270" l="1"/>
  <c r="K250" i="323" l="1"/>
  <c r="K272" i="323"/>
  <c r="K271" i="323"/>
  <c r="K270" i="323"/>
  <c r="K269" i="323"/>
  <c r="K268" i="323"/>
  <c r="K267" i="323"/>
  <c r="K266" i="323"/>
  <c r="K265" i="323"/>
  <c r="K264" i="323"/>
  <c r="K263" i="323"/>
  <c r="K261" i="323"/>
  <c r="K260" i="323"/>
  <c r="K259" i="323"/>
  <c r="K258" i="323"/>
  <c r="K257" i="323"/>
  <c r="K256" i="323"/>
  <c r="K255" i="323"/>
  <c r="K254" i="323"/>
  <c r="K253" i="323"/>
  <c r="K252" i="323"/>
  <c r="K214" i="323"/>
  <c r="K213" i="323"/>
  <c r="K212" i="323"/>
  <c r="K211" i="323"/>
  <c r="K210" i="323"/>
  <c r="K209" i="323"/>
  <c r="K208" i="323"/>
  <c r="K175" i="323"/>
  <c r="K176" i="323"/>
  <c r="K177" i="323"/>
  <c r="K178" i="323"/>
  <c r="K179" i="323"/>
  <c r="K180" i="323"/>
  <c r="K181" i="323"/>
  <c r="K182" i="323"/>
  <c r="K183" i="323"/>
  <c r="K184"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K27" i="323"/>
  <c r="K26" i="323"/>
  <c r="K25" i="323"/>
  <c r="K24" i="323"/>
  <c r="K23" i="323"/>
  <c r="K22" i="323"/>
  <c r="K21" i="323"/>
  <c r="K20" i="323"/>
  <c r="K19" i="323"/>
  <c r="K18" i="323"/>
  <c r="K8" i="323"/>
  <c r="K9" i="323"/>
  <c r="K10" i="323"/>
  <c r="K11" i="323"/>
  <c r="K12" i="323"/>
  <c r="K13" i="323"/>
  <c r="K14" i="323"/>
  <c r="K15" i="323"/>
  <c r="K16" i="323"/>
  <c r="K7" i="323"/>
  <c r="E174" i="323" l="1"/>
  <c r="E185" i="323"/>
  <c r="K198" i="323"/>
  <c r="K199" i="323"/>
  <c r="K200" i="323"/>
  <c r="K201" i="323"/>
  <c r="K202" i="323"/>
  <c r="K203" i="323"/>
  <c r="K204" i="323"/>
  <c r="K205" i="323"/>
  <c r="K197" i="323"/>
  <c r="E196" i="323"/>
  <c r="F196" i="323"/>
  <c r="E207" i="323"/>
  <c r="E218" i="323"/>
  <c r="E229" i="323"/>
  <c r="E251" i="323"/>
  <c r="E262" i="323"/>
  <c r="E273" i="323"/>
  <c r="D284" i="323"/>
  <c r="F284" i="323"/>
  <c r="G284" i="323"/>
  <c r="E284" i="323"/>
  <c r="K13" i="182"/>
  <c r="K14" i="182"/>
  <c r="K15" i="182"/>
  <c r="K16" i="182"/>
  <c r="K17" i="182"/>
  <c r="K18" i="182"/>
  <c r="K19" i="182"/>
  <c r="K20" i="182"/>
  <c r="K12" i="182"/>
  <c r="K7" i="182"/>
  <c r="K8" i="182"/>
  <c r="K9" i="182"/>
  <c r="K10" i="182"/>
  <c r="K6" i="182"/>
  <c r="K26" i="182"/>
  <c r="K27" i="182"/>
  <c r="K28" i="182"/>
  <c r="K29" i="182"/>
  <c r="K30" i="182"/>
  <c r="K31" i="182"/>
  <c r="K32" i="182"/>
  <c r="K33" i="182"/>
  <c r="K34" i="182"/>
  <c r="K35" i="182"/>
  <c r="K25" i="182"/>
  <c r="K187" i="323"/>
  <c r="K188" i="323"/>
  <c r="K189" i="323"/>
  <c r="K190" i="323"/>
  <c r="K191" i="323"/>
  <c r="K192" i="323"/>
  <c r="K186" i="323"/>
  <c r="K220" i="323"/>
  <c r="K221" i="323"/>
  <c r="K222" i="323"/>
  <c r="K223" i="323"/>
  <c r="K224" i="323"/>
  <c r="K225" i="323"/>
  <c r="K226" i="323"/>
  <c r="K227" i="323"/>
  <c r="K228" i="323"/>
  <c r="K219" i="323"/>
  <c r="K231" i="323"/>
  <c r="K232" i="323"/>
  <c r="K233" i="323"/>
  <c r="K234" i="323"/>
  <c r="K235" i="323"/>
  <c r="K236" i="323"/>
  <c r="K237" i="323"/>
  <c r="K238" i="323"/>
  <c r="K239" i="323"/>
  <c r="K230" i="323"/>
  <c r="K242" i="323"/>
  <c r="K243" i="323"/>
  <c r="K244" i="323"/>
  <c r="K245" i="323"/>
  <c r="K246" i="323"/>
  <c r="K247" i="323"/>
  <c r="K248" i="323"/>
  <c r="K249" i="323"/>
  <c r="K241" i="323"/>
  <c r="K275" i="323"/>
  <c r="K276" i="323"/>
  <c r="K277" i="323"/>
  <c r="K278" i="323"/>
  <c r="K279" i="323"/>
  <c r="K280" i="323"/>
  <c r="K281" i="323"/>
  <c r="K282" i="323"/>
  <c r="K283" i="323"/>
  <c r="K274" i="323"/>
  <c r="K286" i="323"/>
  <c r="K287" i="323"/>
  <c r="K288" i="323"/>
  <c r="K285" i="323"/>
  <c r="K13" i="330"/>
  <c r="K14" i="330"/>
  <c r="K15" i="330"/>
  <c r="K16" i="330"/>
  <c r="K17" i="330"/>
  <c r="K18" i="330"/>
  <c r="K19" i="330"/>
  <c r="K20" i="330"/>
  <c r="K21" i="330"/>
  <c r="K22" i="330"/>
  <c r="K23" i="330"/>
  <c r="K12" i="330"/>
  <c r="K273" i="323" l="1"/>
  <c r="G119" i="325"/>
  <c r="G101" i="325"/>
  <c r="G77" i="325"/>
  <c r="G48" i="325"/>
  <c r="G41" i="325"/>
  <c r="G34" i="325"/>
  <c r="G22" i="325"/>
  <c r="G9" i="325"/>
  <c r="I271" i="323" l="1"/>
  <c r="K286" i="324" l="1"/>
  <c r="K200" i="324"/>
  <c r="K201" i="324"/>
  <c r="K202" i="324"/>
  <c r="K249" i="324"/>
  <c r="E41" i="269" l="1"/>
  <c r="F41" i="269"/>
  <c r="G41" i="269"/>
  <c r="H41" i="269"/>
  <c r="E33" i="269" l="1"/>
  <c r="E239" i="324"/>
  <c r="E252" i="324"/>
  <c r="H52" i="325" l="1"/>
  <c r="B26" i="251" l="1"/>
  <c r="B27" i="251"/>
  <c r="B28" i="251"/>
  <c r="B29" i="251"/>
  <c r="B30" i="251"/>
  <c r="B31" i="251"/>
  <c r="B32" i="251"/>
  <c r="B33" i="251"/>
  <c r="B34" i="251"/>
  <c r="B25" i="251"/>
  <c r="C13" i="251"/>
  <c r="B18" i="251"/>
  <c r="B19" i="251"/>
  <c r="B20" i="251"/>
  <c r="B21" i="251"/>
  <c r="B22" i="251"/>
  <c r="B23" i="251"/>
  <c r="B7" i="251"/>
  <c r="B10" i="251"/>
  <c r="B11" i="251"/>
  <c r="B12" i="251"/>
  <c r="B13" i="251"/>
  <c r="B14" i="251"/>
  <c r="B15" i="251"/>
  <c r="B16" i="251"/>
  <c r="B17" i="251"/>
  <c r="B6" i="251"/>
  <c r="F133" i="333" l="1"/>
  <c r="F132" i="333"/>
  <c r="F131" i="333"/>
  <c r="F129" i="333"/>
  <c r="F128" i="333"/>
  <c r="F127" i="333"/>
  <c r="F126" i="333"/>
  <c r="F125" i="333"/>
  <c r="F124" i="333"/>
  <c r="F123" i="333"/>
  <c r="F122" i="333"/>
  <c r="F121" i="333"/>
  <c r="F120" i="333"/>
  <c r="F119" i="333"/>
  <c r="F102"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52" i="333"/>
  <c r="F51" i="333"/>
  <c r="F50" i="333"/>
  <c r="F49" i="333"/>
  <c r="F48" i="333"/>
  <c r="F47" i="333"/>
  <c r="F46" i="333"/>
  <c r="F44" i="333"/>
  <c r="F43" i="333"/>
  <c r="F42" i="333"/>
  <c r="F41" i="333"/>
  <c r="F40" i="333"/>
  <c r="F39" i="333"/>
  <c r="F37" i="333"/>
  <c r="F36" i="333"/>
  <c r="F35" i="333"/>
  <c r="F34" i="333"/>
  <c r="F33" i="333"/>
  <c r="F32" i="333"/>
  <c r="F31" i="333"/>
  <c r="F30" i="333"/>
  <c r="F29" i="333"/>
  <c r="F28" i="333"/>
  <c r="F26" i="333"/>
  <c r="F25" i="333"/>
  <c r="F24" i="333"/>
  <c r="F23" i="333"/>
  <c r="F22" i="333"/>
  <c r="F21" i="333"/>
  <c r="F20" i="333"/>
  <c r="F19" i="333"/>
  <c r="F18" i="333"/>
  <c r="F16" i="333"/>
  <c r="F15" i="333"/>
  <c r="F14" i="333"/>
  <c r="F10" i="333"/>
  <c r="F11" i="333"/>
  <c r="F9" i="333"/>
  <c r="G12" i="333"/>
  <c r="G11" i="333"/>
  <c r="G10" i="333"/>
  <c r="G9" i="333"/>
  <c r="G16" i="333"/>
  <c r="G15" i="333"/>
  <c r="G14" i="333"/>
  <c r="G26" i="333"/>
  <c r="G25" i="333"/>
  <c r="G24" i="333"/>
  <c r="G23" i="333"/>
  <c r="G22" i="333"/>
  <c r="G21" i="333"/>
  <c r="G20" i="333"/>
  <c r="G19" i="333"/>
  <c r="G18" i="333"/>
  <c r="G37" i="333"/>
  <c r="G36" i="333"/>
  <c r="G35" i="333"/>
  <c r="G34" i="333"/>
  <c r="G33" i="333"/>
  <c r="G32" i="333"/>
  <c r="G31" i="333"/>
  <c r="G30" i="333"/>
  <c r="G29" i="333"/>
  <c r="G28" i="333"/>
  <c r="G44" i="333"/>
  <c r="G43" i="333"/>
  <c r="G42" i="333"/>
  <c r="G41" i="333"/>
  <c r="G40" i="333"/>
  <c r="G39" i="333"/>
  <c r="G48" i="333"/>
  <c r="G47" i="333"/>
  <c r="G46" i="333"/>
  <c r="G73" i="333"/>
  <c r="G72" i="333"/>
  <c r="G71" i="333"/>
  <c r="G70" i="333"/>
  <c r="G98" i="333"/>
  <c r="G97" i="333"/>
  <c r="G96" i="333"/>
  <c r="G95" i="333"/>
  <c r="G94" i="333"/>
  <c r="G93" i="333"/>
  <c r="G92" i="333"/>
  <c r="G91" i="333"/>
  <c r="G90" i="333"/>
  <c r="G89" i="333"/>
  <c r="G88" i="333"/>
  <c r="G87" i="333"/>
  <c r="G86" i="333"/>
  <c r="G85" i="333"/>
  <c r="G84" i="333"/>
  <c r="G83" i="333"/>
  <c r="G82" i="333"/>
  <c r="G81" i="333"/>
  <c r="G80" i="333"/>
  <c r="G79" i="333"/>
  <c r="G78" i="333"/>
  <c r="G77" i="333"/>
  <c r="G101" i="333"/>
  <c r="G100" i="333"/>
  <c r="G120" i="333"/>
  <c r="G121" i="333"/>
  <c r="G122" i="333"/>
  <c r="G123" i="333"/>
  <c r="G124" i="333"/>
  <c r="G125" i="333"/>
  <c r="G126" i="333"/>
  <c r="G127" i="333"/>
  <c r="G128" i="333"/>
  <c r="G129" i="333"/>
  <c r="G119" i="333"/>
  <c r="G28" i="182" l="1"/>
  <c r="F28" i="182"/>
  <c r="F27" i="182"/>
  <c r="H129" i="325" l="1"/>
  <c r="H128" i="325"/>
  <c r="H127" i="325"/>
  <c r="H126" i="325"/>
  <c r="H125" i="325"/>
  <c r="H124" i="325"/>
  <c r="H123" i="325"/>
  <c r="H122" i="325"/>
  <c r="H121" i="325"/>
  <c r="H120" i="325"/>
  <c r="H102" i="325"/>
  <c r="H100" i="325"/>
  <c r="H98" i="325"/>
  <c r="H97" i="325"/>
  <c r="H96" i="325"/>
  <c r="H95" i="325"/>
  <c r="H94" i="325"/>
  <c r="H93" i="325"/>
  <c r="H92" i="325"/>
  <c r="H91" i="325"/>
  <c r="H90" i="325"/>
  <c r="H89" i="325"/>
  <c r="H88" i="325"/>
  <c r="H87" i="325"/>
  <c r="H86" i="325"/>
  <c r="H85" i="325"/>
  <c r="H84" i="325"/>
  <c r="H83" i="325"/>
  <c r="H82" i="325"/>
  <c r="H81" i="325"/>
  <c r="H80" i="325"/>
  <c r="H79" i="325"/>
  <c r="H78" i="325"/>
  <c r="H16" i="325"/>
  <c r="H15" i="325"/>
  <c r="H14" i="325"/>
  <c r="H12" i="325"/>
  <c r="H11" i="325"/>
  <c r="H10" i="325"/>
  <c r="H62" i="333"/>
  <c r="H61" i="333"/>
  <c r="H60" i="333"/>
  <c r="H59" i="333"/>
  <c r="H58" i="333"/>
  <c r="H57" i="333"/>
  <c r="H56" i="333"/>
  <c r="H55" i="333"/>
  <c r="H54" i="333"/>
  <c r="H68" i="333"/>
  <c r="H67" i="333"/>
  <c r="H66" i="333"/>
  <c r="H65" i="333"/>
  <c r="H64" i="333"/>
  <c r="H108" i="333"/>
  <c r="H107" i="333"/>
  <c r="H106" i="333"/>
  <c r="H105" i="333"/>
  <c r="H104" i="333"/>
  <c r="H113" i="333"/>
  <c r="H112" i="333"/>
  <c r="H116" i="333"/>
  <c r="H115" i="333"/>
  <c r="H136" i="333"/>
  <c r="H139" i="333"/>
  <c r="H146" i="333"/>
  <c r="H145" i="333"/>
  <c r="H144" i="333"/>
  <c r="H143" i="333"/>
  <c r="H142" i="333"/>
  <c r="H141" i="333"/>
  <c r="H147" i="326"/>
  <c r="H284" i="323" l="1"/>
  <c r="F31" i="178"/>
  <c r="G131" i="333" l="1"/>
  <c r="G132" i="333"/>
  <c r="F17" i="323" l="1"/>
  <c r="G17" i="323"/>
  <c r="K73" i="268" l="1"/>
  <c r="C263" i="323" l="1"/>
  <c r="C10" i="178" l="1"/>
  <c r="C299" i="324" l="1"/>
  <c r="C98" i="242"/>
  <c r="C129" i="242"/>
  <c r="C21" i="242"/>
  <c r="C158" i="242"/>
  <c r="C294" i="324"/>
  <c r="C287" i="324"/>
  <c r="C254" i="324"/>
  <c r="C247" i="324"/>
  <c r="C214" i="324"/>
  <c r="C39" i="178" l="1"/>
  <c r="C38" i="178"/>
  <c r="C33" i="178"/>
  <c r="C31" i="178"/>
  <c r="C20" i="178"/>
  <c r="F39" i="178" l="1"/>
  <c r="F38" i="178"/>
  <c r="F34" i="178"/>
  <c r="F186" i="330" l="1"/>
  <c r="G186" i="330"/>
  <c r="A17" i="269" l="1"/>
  <c r="A16" i="269"/>
  <c r="A15" i="269"/>
  <c r="I43" i="270" l="1"/>
  <c r="J43" i="270" s="1"/>
  <c r="I44" i="270"/>
  <c r="J44" i="270" s="1"/>
  <c r="I45" i="270"/>
  <c r="J45" i="270" s="1"/>
  <c r="I46" i="270"/>
  <c r="J46" i="270" s="1"/>
  <c r="I10" i="270"/>
  <c r="J10" i="270" s="1"/>
  <c r="I11" i="270"/>
  <c r="J11" i="270" s="1"/>
  <c r="I12" i="270"/>
  <c r="J12" i="270" s="1"/>
  <c r="I13" i="270"/>
  <c r="J13" i="270" s="1"/>
  <c r="H139" i="325" l="1"/>
  <c r="H136" i="325"/>
  <c r="H133" i="325"/>
  <c r="H132" i="325"/>
  <c r="H131" i="325"/>
  <c r="H116" i="325"/>
  <c r="H115" i="325"/>
  <c r="H113" i="325"/>
  <c r="H112" i="325"/>
  <c r="H105" i="325"/>
  <c r="H106" i="325"/>
  <c r="H107" i="325"/>
  <c r="H108" i="325"/>
  <c r="H104" i="325"/>
  <c r="H71" i="325"/>
  <c r="H72" i="325"/>
  <c r="H73" i="325"/>
  <c r="H70" i="325"/>
  <c r="H65" i="325"/>
  <c r="H66" i="325"/>
  <c r="H67" i="325"/>
  <c r="H68" i="325"/>
  <c r="H64" i="325"/>
  <c r="H55" i="325"/>
  <c r="H56" i="325"/>
  <c r="H57" i="325"/>
  <c r="H58" i="325"/>
  <c r="H59" i="325"/>
  <c r="H60" i="325"/>
  <c r="H61" i="325"/>
  <c r="H62" i="325"/>
  <c r="H54" i="325"/>
  <c r="K9" i="330" l="1"/>
  <c r="K8" i="330"/>
  <c r="K11" i="330"/>
  <c r="K25" i="330"/>
  <c r="K48" i="330"/>
  <c r="K47" i="330"/>
  <c r="K46" i="330"/>
  <c r="K45" i="330"/>
  <c r="K44" i="330"/>
  <c r="K43" i="330"/>
  <c r="K42" i="330"/>
  <c r="K41" i="330"/>
  <c r="K40" i="330"/>
  <c r="K39" i="330"/>
  <c r="K38" i="330"/>
  <c r="K37" i="330"/>
  <c r="K36" i="330"/>
  <c r="K35" i="330"/>
  <c r="K34" i="330"/>
  <c r="K33" i="330"/>
  <c r="K32" i="330"/>
  <c r="K31" i="330"/>
  <c r="K30" i="330"/>
  <c r="K29" i="330"/>
  <c r="K28" i="330"/>
  <c r="K54" i="330"/>
  <c r="K53" i="330"/>
  <c r="K52" i="330"/>
  <c r="K51" i="330"/>
  <c r="K50" i="330"/>
  <c r="K63" i="330"/>
  <c r="K62" i="330"/>
  <c r="K61" i="330"/>
  <c r="K60" i="330"/>
  <c r="K59" i="330"/>
  <c r="K58" i="330"/>
  <c r="K57" i="330"/>
  <c r="K56" i="330"/>
  <c r="K66" i="330"/>
  <c r="K65" i="330"/>
  <c r="K74" i="330"/>
  <c r="K73" i="330"/>
  <c r="K72" i="330"/>
  <c r="K71" i="330"/>
  <c r="K70" i="330"/>
  <c r="K69" i="330"/>
  <c r="K68" i="330"/>
  <c r="K86" i="330"/>
  <c r="K85" i="330"/>
  <c r="K84" i="330"/>
  <c r="K83" i="330"/>
  <c r="K82" i="330"/>
  <c r="K81" i="330"/>
  <c r="K80" i="330"/>
  <c r="K79" i="330"/>
  <c r="K78" i="330"/>
  <c r="K77" i="330"/>
  <c r="K91" i="330"/>
  <c r="K90" i="330"/>
  <c r="K89" i="330"/>
  <c r="K88" i="330"/>
  <c r="K98" i="330"/>
  <c r="K97" i="330"/>
  <c r="K96" i="330"/>
  <c r="K95" i="330"/>
  <c r="K94" i="330"/>
  <c r="K93" i="330"/>
  <c r="K103" i="330"/>
  <c r="K102" i="330"/>
  <c r="K101" i="330"/>
  <c r="K107" i="330"/>
  <c r="K106" i="330"/>
  <c r="K105" i="330"/>
  <c r="K112" i="330"/>
  <c r="K111" i="330"/>
  <c r="K110" i="330"/>
  <c r="K109" i="330"/>
  <c r="K116" i="330"/>
  <c r="K124" i="330"/>
  <c r="K123" i="330"/>
  <c r="K122" i="330"/>
  <c r="K121" i="330"/>
  <c r="K120" i="330"/>
  <c r="K119" i="330"/>
  <c r="K131" i="330"/>
  <c r="K130" i="330"/>
  <c r="K147" i="330"/>
  <c r="K146" i="330" s="1"/>
  <c r="K13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5" i="330"/>
  <c r="K174" i="330"/>
  <c r="K173" i="330"/>
  <c r="K172" i="330"/>
  <c r="K185" i="330"/>
  <c r="K184" i="330"/>
  <c r="K183" i="330"/>
  <c r="K182" i="330"/>
  <c r="K181" i="330"/>
  <c r="K180" i="330"/>
  <c r="K179" i="330"/>
  <c r="K178" i="330"/>
  <c r="K188" i="330"/>
  <c r="K187" i="330"/>
  <c r="K196" i="330"/>
  <c r="K195" i="330"/>
  <c r="K194" i="330"/>
  <c r="K193" i="330"/>
  <c r="K192" i="330"/>
  <c r="K191" i="330"/>
  <c r="K190" i="330"/>
  <c r="K208" i="330"/>
  <c r="K207" i="330"/>
  <c r="K206" i="330"/>
  <c r="K205" i="330"/>
  <c r="K204" i="330"/>
  <c r="K203" i="330"/>
  <c r="K202" i="330"/>
  <c r="K201" i="330"/>
  <c r="K200" i="330"/>
  <c r="K199" i="330"/>
  <c r="K213" i="330"/>
  <c r="K212" i="330"/>
  <c r="K211" i="330"/>
  <c r="K210" i="330"/>
  <c r="K220" i="330"/>
  <c r="K219" i="330"/>
  <c r="K218" i="330"/>
  <c r="K217" i="330"/>
  <c r="K216" i="330"/>
  <c r="K215" i="330"/>
  <c r="K223" i="330"/>
  <c r="K228" i="330"/>
  <c r="K229" i="330"/>
  <c r="K227" i="330"/>
  <c r="K226" i="330" s="1"/>
  <c r="K45" i="241" s="1"/>
  <c r="E177" i="330"/>
  <c r="E36" i="241" s="1"/>
  <c r="F177" i="330"/>
  <c r="F36" i="241" s="1"/>
  <c r="G177" i="330"/>
  <c r="G36" i="241" s="1"/>
  <c r="K161" i="325"/>
  <c r="K158" i="325"/>
  <c r="K155" i="325"/>
  <c r="K152" i="325"/>
  <c r="K151" i="325" s="1"/>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11" i="325" s="1"/>
  <c r="K108" i="325"/>
  <c r="K107" i="325"/>
  <c r="K106" i="325"/>
  <c r="K105" i="325"/>
  <c r="K104" i="325"/>
  <c r="K102" i="325"/>
  <c r="K101" i="325"/>
  <c r="K100" i="325"/>
  <c r="K99" i="325" s="1"/>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3" i="325" s="1"/>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2" i="325"/>
  <c r="K11" i="325"/>
  <c r="K10" i="325"/>
  <c r="K9" i="325"/>
  <c r="K132" i="326"/>
  <c r="K131" i="326"/>
  <c r="K129" i="326"/>
  <c r="K128" i="326"/>
  <c r="K127" i="326"/>
  <c r="K126" i="326"/>
  <c r="K125" i="326"/>
  <c r="K124" i="326"/>
  <c r="K123" i="326"/>
  <c r="K122" i="326"/>
  <c r="K121" i="326"/>
  <c r="K120" i="326"/>
  <c r="K119" i="326"/>
  <c r="K37" i="326"/>
  <c r="K36" i="326"/>
  <c r="K35" i="326"/>
  <c r="K34" i="326"/>
  <c r="K33" i="326"/>
  <c r="K32" i="326"/>
  <c r="K31" i="326"/>
  <c r="K30" i="326"/>
  <c r="K29" i="326"/>
  <c r="K28" i="326"/>
  <c r="K26" i="326"/>
  <c r="K25" i="326"/>
  <c r="K24" i="326"/>
  <c r="K23" i="326"/>
  <c r="K22" i="326"/>
  <c r="K21" i="326"/>
  <c r="K20" i="326"/>
  <c r="K19" i="326"/>
  <c r="K18" i="326"/>
  <c r="K16" i="326"/>
  <c r="K15" i="326"/>
  <c r="K14" i="326"/>
  <c r="K10" i="326"/>
  <c r="K11" i="326"/>
  <c r="K12" i="326"/>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0" i="326"/>
  <c r="K39" i="326"/>
  <c r="K161" i="326"/>
  <c r="K158" i="326"/>
  <c r="K155" i="326"/>
  <c r="K152" i="326"/>
  <c r="K149" i="326"/>
  <c r="K148" i="326" s="1"/>
  <c r="K146" i="326"/>
  <c r="K145" i="326"/>
  <c r="K144" i="326"/>
  <c r="K143" i="326"/>
  <c r="K142" i="326"/>
  <c r="K141" i="326"/>
  <c r="K158" i="242"/>
  <c r="K157" i="242" s="1"/>
  <c r="K155" i="242"/>
  <c r="K154" i="242" s="1"/>
  <c r="K149" i="242"/>
  <c r="K70" i="242"/>
  <c r="K161" i="335"/>
  <c r="K158" i="335"/>
  <c r="K157" i="335" s="1"/>
  <c r="K155" i="335"/>
  <c r="K152" i="335"/>
  <c r="K149" i="335"/>
  <c r="K148" i="335" s="1"/>
  <c r="K146" i="335"/>
  <c r="K145" i="335"/>
  <c r="K144" i="335"/>
  <c r="K143" i="335"/>
  <c r="K142" i="335"/>
  <c r="K141" i="335"/>
  <c r="K133" i="335"/>
  <c r="K132" i="335"/>
  <c r="K131" i="335"/>
  <c r="K129" i="335"/>
  <c r="K128" i="335"/>
  <c r="K127" i="335"/>
  <c r="K126" i="335"/>
  <c r="K125" i="335"/>
  <c r="K124" i="335"/>
  <c r="K123" i="335"/>
  <c r="K122" i="335"/>
  <c r="K121" i="335"/>
  <c r="K120" i="335"/>
  <c r="K119" i="335"/>
  <c r="K113" i="335"/>
  <c r="K111" i="335" s="1"/>
  <c r="K112" i="335"/>
  <c r="K108" i="335"/>
  <c r="K107" i="335"/>
  <c r="K106" i="335"/>
  <c r="K105" i="335"/>
  <c r="K104" i="335"/>
  <c r="K102" i="335"/>
  <c r="K101" i="335"/>
  <c r="K100" i="335"/>
  <c r="K98" i="335"/>
  <c r="K97" i="335"/>
  <c r="K96" i="335"/>
  <c r="K95" i="335"/>
  <c r="K94" i="335"/>
  <c r="K93" i="335"/>
  <c r="K92" i="335"/>
  <c r="K91" i="335"/>
  <c r="K90" i="335"/>
  <c r="K89" i="335"/>
  <c r="K88" i="335"/>
  <c r="K87" i="335"/>
  <c r="K86" i="335"/>
  <c r="K85" i="335"/>
  <c r="K84" i="335"/>
  <c r="K83" i="335"/>
  <c r="K82" i="335"/>
  <c r="K81" i="335"/>
  <c r="K80" i="335"/>
  <c r="K79" i="335"/>
  <c r="K7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K16" i="333"/>
  <c r="K15" i="333"/>
  <c r="K11" i="333"/>
  <c r="K10" i="333"/>
  <c r="K9" i="333"/>
  <c r="K26" i="333"/>
  <c r="K25" i="333"/>
  <c r="K24" i="333"/>
  <c r="K23" i="333"/>
  <c r="K22" i="333"/>
  <c r="K21" i="333"/>
  <c r="K20" i="333"/>
  <c r="K19" i="333"/>
  <c r="K37" i="333"/>
  <c r="K36" i="333"/>
  <c r="K35" i="333"/>
  <c r="K34" i="333"/>
  <c r="K33" i="333"/>
  <c r="K32" i="333"/>
  <c r="K31" i="333"/>
  <c r="K30" i="333"/>
  <c r="K29" i="333"/>
  <c r="K28" i="333"/>
  <c r="K44" i="333"/>
  <c r="K43" i="333"/>
  <c r="K42" i="333"/>
  <c r="K41" i="333"/>
  <c r="K40" i="333"/>
  <c r="K39" i="333"/>
  <c r="K52" i="333"/>
  <c r="K51" i="333"/>
  <c r="K50" i="333"/>
  <c r="K49" i="333"/>
  <c r="K48" i="333"/>
  <c r="K47" i="333"/>
  <c r="K46" i="333"/>
  <c r="K62" i="333"/>
  <c r="K61" i="333"/>
  <c r="K60" i="333"/>
  <c r="K59" i="333"/>
  <c r="K58" i="333"/>
  <c r="K57" i="333"/>
  <c r="K56" i="333"/>
  <c r="K55" i="333"/>
  <c r="K54" i="333"/>
  <c r="K68" i="333"/>
  <c r="K67" i="333"/>
  <c r="K66" i="333"/>
  <c r="K65" i="333"/>
  <c r="K64" i="333"/>
  <c r="K73" i="333"/>
  <c r="K72" i="333"/>
  <c r="K71" i="333"/>
  <c r="K70" i="333"/>
  <c r="K98" i="333"/>
  <c r="K97" i="333"/>
  <c r="K96" i="333"/>
  <c r="K95" i="333"/>
  <c r="K94" i="333"/>
  <c r="K93" i="333"/>
  <c r="K92" i="333"/>
  <c r="K91" i="333"/>
  <c r="K90" i="333"/>
  <c r="K89" i="333"/>
  <c r="K88" i="333"/>
  <c r="K87" i="333"/>
  <c r="K86" i="333"/>
  <c r="K85" i="333"/>
  <c r="K84" i="333"/>
  <c r="K83" i="333"/>
  <c r="K82" i="333"/>
  <c r="K81" i="333"/>
  <c r="K80" i="333"/>
  <c r="K79" i="333"/>
  <c r="K78" i="333"/>
  <c r="K77" i="333"/>
  <c r="K102" i="333"/>
  <c r="K101" i="333"/>
  <c r="K100" i="333"/>
  <c r="K129" i="333"/>
  <c r="K128" i="333"/>
  <c r="K127" i="333"/>
  <c r="K126" i="333"/>
  <c r="K125" i="333"/>
  <c r="K124" i="333"/>
  <c r="K123" i="333"/>
  <c r="K122" i="333"/>
  <c r="K121" i="333"/>
  <c r="K120" i="333"/>
  <c r="K119" i="333"/>
  <c r="K133" i="333"/>
  <c r="K132" i="333"/>
  <c r="K131" i="333"/>
  <c r="K130" i="333" s="1"/>
  <c r="K146" i="333"/>
  <c r="K145" i="333"/>
  <c r="K144" i="333"/>
  <c r="K143" i="333"/>
  <c r="K142" i="333"/>
  <c r="K141" i="333"/>
  <c r="G133" i="333"/>
  <c r="I132" i="333"/>
  <c r="J132" i="333" s="1"/>
  <c r="I131" i="333"/>
  <c r="J131" i="333" s="1"/>
  <c r="F130" i="333"/>
  <c r="F118" i="333"/>
  <c r="G108" i="333"/>
  <c r="F108" i="333"/>
  <c r="G107" i="333"/>
  <c r="I107" i="333" s="1"/>
  <c r="J107" i="333" s="1"/>
  <c r="F107" i="333"/>
  <c r="G106" i="333"/>
  <c r="F106" i="333"/>
  <c r="G105" i="333"/>
  <c r="I105" i="333" s="1"/>
  <c r="J105" i="333" s="1"/>
  <c r="F105" i="333"/>
  <c r="G104" i="333"/>
  <c r="F104" i="333"/>
  <c r="G102" i="333"/>
  <c r="I102" i="333" s="1"/>
  <c r="J102" i="333" s="1"/>
  <c r="I101" i="333"/>
  <c r="J101" i="333" s="1"/>
  <c r="F99" i="333"/>
  <c r="I98" i="333"/>
  <c r="J98" i="333" s="1"/>
  <c r="I97" i="333"/>
  <c r="J97" i="333" s="1"/>
  <c r="I96" i="333"/>
  <c r="J96" i="333" s="1"/>
  <c r="I92" i="333"/>
  <c r="J92" i="333" s="1"/>
  <c r="I90" i="333"/>
  <c r="J90" i="333" s="1"/>
  <c r="I88" i="333"/>
  <c r="J88" i="333" s="1"/>
  <c r="I86" i="333"/>
  <c r="J86" i="333" s="1"/>
  <c r="I84" i="333"/>
  <c r="J84" i="333" s="1"/>
  <c r="I83" i="333"/>
  <c r="J83" i="333" s="1"/>
  <c r="I82" i="333"/>
  <c r="J82" i="333" s="1"/>
  <c r="I81" i="333"/>
  <c r="J81" i="333" s="1"/>
  <c r="I78" i="333"/>
  <c r="J78" i="333" s="1"/>
  <c r="I77" i="333"/>
  <c r="J77" i="333" s="1"/>
  <c r="F76" i="333"/>
  <c r="G68" i="333"/>
  <c r="I68" i="333" s="1"/>
  <c r="J68" i="333" s="1"/>
  <c r="F68" i="333"/>
  <c r="G67" i="333"/>
  <c r="F67" i="333"/>
  <c r="G66" i="333"/>
  <c r="F66" i="333"/>
  <c r="G65" i="333"/>
  <c r="F65" i="333"/>
  <c r="G64" i="333"/>
  <c r="F64" i="333"/>
  <c r="I72" i="333"/>
  <c r="J72" i="333" s="1"/>
  <c r="F69" i="333"/>
  <c r="G62" i="333"/>
  <c r="F62" i="333"/>
  <c r="G61" i="333"/>
  <c r="F61" i="333"/>
  <c r="G60" i="333"/>
  <c r="F60" i="333"/>
  <c r="G59" i="333"/>
  <c r="F59" i="333"/>
  <c r="G58" i="333"/>
  <c r="F58" i="333"/>
  <c r="G57" i="333"/>
  <c r="F57" i="333"/>
  <c r="G56" i="333"/>
  <c r="I56" i="333" s="1"/>
  <c r="J56" i="333" s="1"/>
  <c r="F56" i="333"/>
  <c r="F53" i="333" s="1"/>
  <c r="G55" i="333"/>
  <c r="F55" i="333"/>
  <c r="G54" i="333"/>
  <c r="F54" i="333"/>
  <c r="G52" i="333"/>
  <c r="G51" i="333"/>
  <c r="I51" i="333" s="1"/>
  <c r="J51" i="333" s="1"/>
  <c r="G50" i="333"/>
  <c r="G49" i="333"/>
  <c r="I47" i="333"/>
  <c r="J47" i="333" s="1"/>
  <c r="F45" i="333"/>
  <c r="I46" i="333"/>
  <c r="J46" i="333" s="1"/>
  <c r="I44" i="333"/>
  <c r="J44" i="333" s="1"/>
  <c r="I43" i="333"/>
  <c r="J43" i="333" s="1"/>
  <c r="I42" i="333"/>
  <c r="J42" i="333" s="1"/>
  <c r="I41" i="333"/>
  <c r="J41" i="333" s="1"/>
  <c r="I40" i="333"/>
  <c r="J40" i="333" s="1"/>
  <c r="F38" i="333"/>
  <c r="I39" i="333"/>
  <c r="J39" i="333" s="1"/>
  <c r="I37" i="333"/>
  <c r="J37" i="333" s="1"/>
  <c r="I35" i="333"/>
  <c r="J35" i="333" s="1"/>
  <c r="I34" i="333"/>
  <c r="J34" i="333" s="1"/>
  <c r="I33" i="333"/>
  <c r="J33" i="333" s="1"/>
  <c r="I31" i="333"/>
  <c r="J31" i="333" s="1"/>
  <c r="I30" i="333"/>
  <c r="J30" i="333" s="1"/>
  <c r="I29" i="333"/>
  <c r="J29" i="333" s="1"/>
  <c r="F27" i="333"/>
  <c r="I25" i="333"/>
  <c r="J25" i="333" s="1"/>
  <c r="I24" i="333"/>
  <c r="J24" i="333" s="1"/>
  <c r="I23" i="333"/>
  <c r="J23" i="333" s="1"/>
  <c r="I21" i="333"/>
  <c r="J21" i="333" s="1"/>
  <c r="I20" i="333"/>
  <c r="J20" i="333" s="1"/>
  <c r="I19" i="333"/>
  <c r="J19" i="333" s="1"/>
  <c r="I18" i="333"/>
  <c r="J18" i="333" s="1"/>
  <c r="F17" i="333"/>
  <c r="I16" i="333"/>
  <c r="J16" i="333" s="1"/>
  <c r="I15" i="333"/>
  <c r="J15" i="333" s="1"/>
  <c r="F13" i="333"/>
  <c r="I14" i="333"/>
  <c r="J14" i="333" s="1"/>
  <c r="I12" i="333"/>
  <c r="J12" i="333" s="1"/>
  <c r="F12" i="333"/>
  <c r="F8" i="333" s="1"/>
  <c r="I10" i="333"/>
  <c r="J10" i="333" s="1"/>
  <c r="I9" i="333"/>
  <c r="J9" i="333" s="1"/>
  <c r="E158" i="333"/>
  <c r="E155" i="333"/>
  <c r="E152" i="333"/>
  <c r="E149" i="333"/>
  <c r="K116" i="326"/>
  <c r="K115" i="326"/>
  <c r="K16" i="242"/>
  <c r="K15" i="242"/>
  <c r="K14" i="242"/>
  <c r="K116" i="242"/>
  <c r="K115" i="242"/>
  <c r="K113" i="242"/>
  <c r="K112" i="242"/>
  <c r="K108" i="242"/>
  <c r="K107" i="242"/>
  <c r="K106" i="242"/>
  <c r="K105" i="242"/>
  <c r="K104" i="242"/>
  <c r="K129" i="242"/>
  <c r="K128" i="242"/>
  <c r="K127" i="242"/>
  <c r="K126" i="242"/>
  <c r="K125" i="242"/>
  <c r="K124" i="242"/>
  <c r="K123" i="242"/>
  <c r="K122" i="242"/>
  <c r="K121" i="242"/>
  <c r="K120" i="242"/>
  <c r="K119" i="242"/>
  <c r="K146" i="242"/>
  <c r="K145" i="242"/>
  <c r="K144" i="242"/>
  <c r="K143" i="242"/>
  <c r="K142" i="242"/>
  <c r="K141" i="242"/>
  <c r="K62" i="242"/>
  <c r="K61" i="242"/>
  <c r="K60" i="242"/>
  <c r="K59" i="242"/>
  <c r="K58" i="242"/>
  <c r="K57" i="242"/>
  <c r="K56" i="242"/>
  <c r="K55" i="242"/>
  <c r="K54" i="242"/>
  <c r="K52" i="242"/>
  <c r="K51" i="242"/>
  <c r="K50" i="242"/>
  <c r="K49" i="242"/>
  <c r="K48" i="242"/>
  <c r="K47" i="242"/>
  <c r="K46" i="242"/>
  <c r="K44" i="242"/>
  <c r="K43" i="242"/>
  <c r="K42" i="242"/>
  <c r="K41" i="242"/>
  <c r="K40" i="242"/>
  <c r="K39" i="242"/>
  <c r="K98" i="242"/>
  <c r="K97" i="242"/>
  <c r="K102" i="242"/>
  <c r="K101" i="242"/>
  <c r="K100" i="242"/>
  <c r="K152" i="242"/>
  <c r="K151" i="242" s="1"/>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22" i="242"/>
  <c r="K21" i="242"/>
  <c r="K20" i="242"/>
  <c r="K19" i="242"/>
  <c r="K18" i="242"/>
  <c r="K35" i="242"/>
  <c r="K34" i="242"/>
  <c r="K33" i="242"/>
  <c r="K32" i="242"/>
  <c r="K31" i="242"/>
  <c r="K30" i="242"/>
  <c r="K29" i="242"/>
  <c r="K28" i="242"/>
  <c r="K10" i="242"/>
  <c r="K11" i="242"/>
  <c r="K12" i="242"/>
  <c r="K9" i="242"/>
  <c r="K33" i="269"/>
  <c r="K17" i="269"/>
  <c r="K48" i="270"/>
  <c r="K47" i="270"/>
  <c r="K46" i="270"/>
  <c r="K45" i="270"/>
  <c r="K44" i="270"/>
  <c r="K43" i="270"/>
  <c r="K42" i="270"/>
  <c r="K19" i="270"/>
  <c r="K18" i="270"/>
  <c r="K17" i="270"/>
  <c r="K16" i="270"/>
  <c r="K15" i="270"/>
  <c r="K14" i="270"/>
  <c r="K13" i="270"/>
  <c r="K12" i="270"/>
  <c r="K11" i="270"/>
  <c r="K10" i="270"/>
  <c r="K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16" i="177"/>
  <c r="K17" i="177"/>
  <c r="K15" i="177"/>
  <c r="K8" i="177"/>
  <c r="K9" i="177"/>
  <c r="K10" i="177"/>
  <c r="K11" i="177"/>
  <c r="K12" i="177"/>
  <c r="K13" i="177"/>
  <c r="K7" i="177"/>
  <c r="B17" i="180"/>
  <c r="K72" i="268"/>
  <c r="K66" i="268"/>
  <c r="K59" i="268"/>
  <c r="K60" i="268"/>
  <c r="K61" i="268"/>
  <c r="K58" i="268"/>
  <c r="K55" i="268"/>
  <c r="K54" i="268"/>
  <c r="K49" i="268"/>
  <c r="K48" i="268"/>
  <c r="K45" i="268"/>
  <c r="K235" i="324"/>
  <c r="K222" i="324"/>
  <c r="H239" i="324"/>
  <c r="H29" i="268" s="1"/>
  <c r="K266" i="324"/>
  <c r="K253" i="324"/>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s="1"/>
  <c r="K178" i="324"/>
  <c r="K179" i="324"/>
  <c r="K180" i="324"/>
  <c r="K181" i="324"/>
  <c r="K182" i="324"/>
  <c r="K183" i="324"/>
  <c r="K184" i="324"/>
  <c r="K185" i="324"/>
  <c r="K186" i="324"/>
  <c r="K177" i="324"/>
  <c r="I184" i="324"/>
  <c r="J184" i="324" s="1"/>
  <c r="I180" i="324"/>
  <c r="H176" i="324"/>
  <c r="H24" i="268" s="1"/>
  <c r="C292" i="324"/>
  <c r="C33" i="268" s="1"/>
  <c r="K40" i="182"/>
  <c r="J22" i="267" s="1"/>
  <c r="K39" i="182"/>
  <c r="J21" i="267" s="1"/>
  <c r="H22" i="182"/>
  <c r="I225" i="323"/>
  <c r="J225" i="323" s="1"/>
  <c r="I221" i="323"/>
  <c r="J221" i="323" s="1"/>
  <c r="I181" i="323"/>
  <c r="J181" i="323" s="1"/>
  <c r="I177" i="323"/>
  <c r="J177" i="323" s="1"/>
  <c r="H174" i="323"/>
  <c r="H24" i="272" s="1"/>
  <c r="I145" i="323"/>
  <c r="J145" i="323" s="1"/>
  <c r="I141" i="323"/>
  <c r="J141" i="323" s="1"/>
  <c r="I123" i="323"/>
  <c r="J123" i="323" s="1"/>
  <c r="I119" i="323"/>
  <c r="J119" i="323" s="1"/>
  <c r="I101" i="323"/>
  <c r="J101" i="323" s="1"/>
  <c r="I97" i="323"/>
  <c r="J97" i="323" s="1"/>
  <c r="I90" i="323"/>
  <c r="J90" i="323" s="1"/>
  <c r="H83" i="323"/>
  <c r="H13" i="272" s="1"/>
  <c r="I79" i="323"/>
  <c r="J79" i="323" s="1"/>
  <c r="I75" i="323"/>
  <c r="J75" i="323" s="1"/>
  <c r="I46" i="323"/>
  <c r="J46" i="323" s="1"/>
  <c r="H39" i="323"/>
  <c r="I11" i="323"/>
  <c r="J11" i="323" s="1"/>
  <c r="I15" i="323"/>
  <c r="J15" i="323" s="1"/>
  <c r="I236" i="330"/>
  <c r="J236" i="330" s="1"/>
  <c r="I237" i="330"/>
  <c r="J237" i="330" s="1"/>
  <c r="I231" i="330"/>
  <c r="J231" i="330" s="1"/>
  <c r="I227" i="330"/>
  <c r="J227" i="330" s="1"/>
  <c r="I217" i="330"/>
  <c r="J217" i="330" s="1"/>
  <c r="I206" i="330"/>
  <c r="J206" i="330" s="1"/>
  <c r="I205" i="330"/>
  <c r="J205" i="330" s="1"/>
  <c r="I201" i="330"/>
  <c r="J201" i="330" s="1"/>
  <c r="H209" i="330"/>
  <c r="I182" i="330"/>
  <c r="J182" i="330" s="1"/>
  <c r="I178" i="330"/>
  <c r="J178" i="330" s="1"/>
  <c r="I173" i="330"/>
  <c r="J173" i="330" s="1"/>
  <c r="I155" i="330"/>
  <c r="J155" i="330" s="1"/>
  <c r="I151" i="330"/>
  <c r="J151" i="330" s="1"/>
  <c r="I167" i="330"/>
  <c r="J167" i="330" s="1"/>
  <c r="I140" i="330"/>
  <c r="J140" i="330" s="1"/>
  <c r="C146" i="330"/>
  <c r="D146" i="330"/>
  <c r="D32" i="241" s="1"/>
  <c r="I123" i="330"/>
  <c r="J123" i="330" s="1"/>
  <c r="I119" i="330"/>
  <c r="J119" i="330" s="1"/>
  <c r="I109" i="330"/>
  <c r="J109" i="330" s="1"/>
  <c r="I95" i="330"/>
  <c r="J95" i="330" s="1"/>
  <c r="I89" i="330"/>
  <c r="J89" i="330" s="1"/>
  <c r="I83" i="330"/>
  <c r="J83" i="330" s="1"/>
  <c r="I71" i="330"/>
  <c r="J71" i="330" s="1"/>
  <c r="I61" i="330"/>
  <c r="J61" i="330" s="1"/>
  <c r="I56" i="330"/>
  <c r="J56" i="330" s="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N12" i="238"/>
  <c r="N24" i="238" s="1"/>
  <c r="M12" i="238"/>
  <c r="M24" i="238" s="1"/>
  <c r="K12" i="238"/>
  <c r="K24" i="238" s="1"/>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I21" i="317"/>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E53" i="333"/>
  <c r="D53" i="333"/>
  <c r="H53" i="335"/>
  <c r="G53" i="335"/>
  <c r="F53" i="335"/>
  <c r="E53" i="335"/>
  <c r="D53" i="335"/>
  <c r="H8" i="335"/>
  <c r="G8" i="335"/>
  <c r="F8" i="335"/>
  <c r="E8" i="335"/>
  <c r="D8" i="335"/>
  <c r="H8" i="333"/>
  <c r="E8" i="333"/>
  <c r="D8" i="333"/>
  <c r="H53" i="325"/>
  <c r="G53" i="325"/>
  <c r="F53" i="325"/>
  <c r="E53" i="325"/>
  <c r="D53" i="325"/>
  <c r="H8" i="325"/>
  <c r="G8" i="325"/>
  <c r="F8" i="325"/>
  <c r="E8" i="325"/>
  <c r="D8" i="325"/>
  <c r="H53" i="326"/>
  <c r="G53" i="326"/>
  <c r="F53" i="326"/>
  <c r="E53" i="326"/>
  <c r="D53" i="326"/>
  <c r="H8" i="326"/>
  <c r="G8" i="326"/>
  <c r="F8" i="326"/>
  <c r="E8" i="326"/>
  <c r="D8" i="326"/>
  <c r="H53" i="242"/>
  <c r="G53" i="242"/>
  <c r="F53" i="242"/>
  <c r="E53" i="242"/>
  <c r="D53" i="242"/>
  <c r="H8" i="242"/>
  <c r="G8" i="242"/>
  <c r="E8" i="242"/>
  <c r="D8" i="242"/>
  <c r="I180" i="330"/>
  <c r="J180" i="330" s="1"/>
  <c r="A180"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H148" i="335"/>
  <c r="G148" i="335"/>
  <c r="F148" i="335"/>
  <c r="E148" i="335"/>
  <c r="D148" i="335"/>
  <c r="C148" i="335"/>
  <c r="I146" i="335"/>
  <c r="J146" i="335" s="1"/>
  <c r="I145" i="335"/>
  <c r="J145" i="335" s="1"/>
  <c r="I144" i="335"/>
  <c r="J144" i="335" s="1"/>
  <c r="I143" i="335"/>
  <c r="J143" i="335" s="1"/>
  <c r="I142" i="335"/>
  <c r="J142" i="335" s="1"/>
  <c r="I141" i="335"/>
  <c r="J141"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I135" i="335" s="1"/>
  <c r="J135" i="335" s="1"/>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H118" i="335"/>
  <c r="G118" i="335"/>
  <c r="F118" i="335"/>
  <c r="E118" i="335"/>
  <c r="D118" i="335"/>
  <c r="C118" i="335"/>
  <c r="C117" i="335" s="1"/>
  <c r="I116" i="335"/>
  <c r="J116" i="335" s="1"/>
  <c r="I115" i="335"/>
  <c r="J115" i="335" s="1"/>
  <c r="K114" i="335"/>
  <c r="H114" i="335"/>
  <c r="G114" i="335"/>
  <c r="F114" i="335"/>
  <c r="E114" i="335"/>
  <c r="D114" i="335"/>
  <c r="C114" i="335"/>
  <c r="I113" i="335"/>
  <c r="J113" i="335" s="1"/>
  <c r="I112" i="335"/>
  <c r="J112" i="335" s="1"/>
  <c r="H111" i="335"/>
  <c r="G111" i="335"/>
  <c r="G110" i="335" s="1"/>
  <c r="F111" i="335"/>
  <c r="E111" i="335"/>
  <c r="D111" i="335"/>
  <c r="C111" i="335"/>
  <c r="C110" i="335" s="1"/>
  <c r="I109" i="335"/>
  <c r="J109" i="335" s="1"/>
  <c r="I108" i="335"/>
  <c r="J108" i="335" s="1"/>
  <c r="I107" i="335"/>
  <c r="J107" i="335" s="1"/>
  <c r="I106" i="335"/>
  <c r="J106" i="335" s="1"/>
  <c r="I105" i="335"/>
  <c r="J105" i="335" s="1"/>
  <c r="I104" i="335"/>
  <c r="J104" i="335" s="1"/>
  <c r="H103" i="335"/>
  <c r="G103" i="335"/>
  <c r="F103" i="335"/>
  <c r="E103" i="335"/>
  <c r="D103" i="335"/>
  <c r="C103" i="335"/>
  <c r="I102" i="335"/>
  <c r="J102" i="335" s="1"/>
  <c r="I101" i="335"/>
  <c r="J101" i="335" s="1"/>
  <c r="I100" i="335"/>
  <c r="J100" i="335" s="1"/>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H76" i="335"/>
  <c r="G76" i="335"/>
  <c r="F76" i="335"/>
  <c r="E76" i="335"/>
  <c r="D76" i="335"/>
  <c r="C76" i="335"/>
  <c r="J74" i="335"/>
  <c r="I73" i="335"/>
  <c r="J73" i="335" s="1"/>
  <c r="I72" i="335"/>
  <c r="J72" i="335" s="1"/>
  <c r="I71" i="335"/>
  <c r="J71" i="335" s="1"/>
  <c r="I70" i="335"/>
  <c r="J70" i="335" s="1"/>
  <c r="H69" i="335"/>
  <c r="G69" i="335"/>
  <c r="F69" i="335"/>
  <c r="E69" i="335"/>
  <c r="D69" i="335"/>
  <c r="C69" i="335"/>
  <c r="I68" i="335"/>
  <c r="J68" i="335" s="1"/>
  <c r="I67" i="335"/>
  <c r="J67" i="335" s="1"/>
  <c r="I66" i="335"/>
  <c r="J66" i="335" s="1"/>
  <c r="I65" i="335"/>
  <c r="J65" i="335" s="1"/>
  <c r="I64" i="335"/>
  <c r="J64"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H45" i="335"/>
  <c r="G45" i="335"/>
  <c r="F45" i="335"/>
  <c r="E45" i="335"/>
  <c r="E7" i="335" s="1"/>
  <c r="D45" i="335"/>
  <c r="C45" i="335"/>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H17" i="335"/>
  <c r="G17" i="335"/>
  <c r="F17" i="335"/>
  <c r="E17" i="335"/>
  <c r="D17" i="335"/>
  <c r="C17" i="335"/>
  <c r="I16" i="335"/>
  <c r="J16" i="335" s="1"/>
  <c r="I15" i="335"/>
  <c r="J15" i="335" s="1"/>
  <c r="I14" i="335"/>
  <c r="J14" i="335" s="1"/>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E157" i="333"/>
  <c r="D157" i="333"/>
  <c r="C157" i="333"/>
  <c r="D154" i="333"/>
  <c r="C154" i="333"/>
  <c r="J153" i="333"/>
  <c r="E151" i="333"/>
  <c r="D151" i="333"/>
  <c r="C151" i="333"/>
  <c r="E148" i="333"/>
  <c r="D148" i="333"/>
  <c r="C148" i="333"/>
  <c r="I146" i="333"/>
  <c r="J146" i="333" s="1"/>
  <c r="I145" i="333"/>
  <c r="J145" i="333" s="1"/>
  <c r="I144" i="333"/>
  <c r="J144" i="333" s="1"/>
  <c r="I143" i="333"/>
  <c r="J143" i="333" s="1"/>
  <c r="I142" i="333"/>
  <c r="J142" i="333" s="1"/>
  <c r="I141" i="333"/>
  <c r="J141" i="333" s="1"/>
  <c r="H140" i="333"/>
  <c r="G140" i="333"/>
  <c r="G138" i="333" s="1"/>
  <c r="F140" i="333"/>
  <c r="F138" i="333"/>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H130" i="333"/>
  <c r="E130" i="333"/>
  <c r="D130" i="333"/>
  <c r="D117" i="333"/>
  <c r="C130" i="333"/>
  <c r="I128" i="333"/>
  <c r="J128" i="333" s="1"/>
  <c r="I125" i="333"/>
  <c r="J125" i="333" s="1"/>
  <c r="I119" i="333"/>
  <c r="J119" i="333" s="1"/>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D110" i="333" s="1"/>
  <c r="C111" i="333"/>
  <c r="I109" i="333"/>
  <c r="J109" i="333" s="1"/>
  <c r="I108" i="333"/>
  <c r="J108" i="333" s="1"/>
  <c r="I106" i="333"/>
  <c r="J106" i="333" s="1"/>
  <c r="I104" i="333"/>
  <c r="J104" i="333" s="1"/>
  <c r="K103" i="333"/>
  <c r="H103" i="333"/>
  <c r="E103" i="333"/>
  <c r="D103" i="333"/>
  <c r="C103" i="333"/>
  <c r="H99" i="333"/>
  <c r="E99" i="333"/>
  <c r="D99" i="333"/>
  <c r="C99" i="333"/>
  <c r="I95" i="333"/>
  <c r="J95" i="333" s="1"/>
  <c r="I94" i="333"/>
  <c r="J94" i="333" s="1"/>
  <c r="I93" i="333"/>
  <c r="J93" i="333" s="1"/>
  <c r="I91" i="333"/>
  <c r="J91" i="333" s="1"/>
  <c r="I89" i="333"/>
  <c r="J89" i="333" s="1"/>
  <c r="I87" i="333"/>
  <c r="J87" i="333" s="1"/>
  <c r="I85" i="333"/>
  <c r="J85" i="333" s="1"/>
  <c r="I80" i="333"/>
  <c r="J80" i="333" s="1"/>
  <c r="I79" i="333"/>
  <c r="J79" i="333" s="1"/>
  <c r="H76" i="333"/>
  <c r="E76" i="333"/>
  <c r="D76" i="333"/>
  <c r="C76" i="333"/>
  <c r="J74" i="333"/>
  <c r="I73" i="333"/>
  <c r="J73" i="333" s="1"/>
  <c r="I71" i="333"/>
  <c r="J71" i="333" s="1"/>
  <c r="H69" i="333"/>
  <c r="E69" i="333"/>
  <c r="D69" i="333"/>
  <c r="C69" i="333"/>
  <c r="I67" i="333"/>
  <c r="J67" i="333" s="1"/>
  <c r="I66" i="333"/>
  <c r="J66" i="333" s="1"/>
  <c r="I65" i="333"/>
  <c r="J65" i="333" s="1"/>
  <c r="I64" i="333"/>
  <c r="J64" i="333" s="1"/>
  <c r="H63" i="333"/>
  <c r="E63" i="333"/>
  <c r="D63" i="333"/>
  <c r="C63" i="333"/>
  <c r="I62" i="333"/>
  <c r="J62" i="333" s="1"/>
  <c r="I61" i="333"/>
  <c r="J61" i="333" s="1"/>
  <c r="I60" i="333"/>
  <c r="J60" i="333" s="1"/>
  <c r="I59" i="333"/>
  <c r="J59" i="333" s="1"/>
  <c r="I58" i="333"/>
  <c r="J58" i="333" s="1"/>
  <c r="I57" i="333"/>
  <c r="J57" i="333" s="1"/>
  <c r="I55" i="333"/>
  <c r="J55" i="333" s="1"/>
  <c r="I54" i="333"/>
  <c r="J54" i="333" s="1"/>
  <c r="C53" i="333"/>
  <c r="I52" i="333"/>
  <c r="J52" i="333" s="1"/>
  <c r="I50" i="333"/>
  <c r="J50" i="333" s="1"/>
  <c r="I49" i="333"/>
  <c r="J49" i="333" s="1"/>
  <c r="I48" i="333"/>
  <c r="J48" i="333" s="1"/>
  <c r="H45" i="333"/>
  <c r="E45" i="333"/>
  <c r="D45" i="333"/>
  <c r="C45" i="333"/>
  <c r="H38" i="333"/>
  <c r="E38" i="333"/>
  <c r="D38" i="333"/>
  <c r="C38" i="333"/>
  <c r="I36" i="333"/>
  <c r="J36" i="333" s="1"/>
  <c r="I32" i="333"/>
  <c r="J32" i="333" s="1"/>
  <c r="I28" i="333"/>
  <c r="J28" i="333" s="1"/>
  <c r="H27" i="333"/>
  <c r="E27" i="333"/>
  <c r="D27" i="333"/>
  <c r="C27" i="333"/>
  <c r="I26" i="333"/>
  <c r="J26" i="333" s="1"/>
  <c r="I22" i="333"/>
  <c r="J22" i="333" s="1"/>
  <c r="H17" i="333"/>
  <c r="E17" i="333"/>
  <c r="D17" i="333"/>
  <c r="C17" i="333"/>
  <c r="K13" i="333"/>
  <c r="H13" i="333"/>
  <c r="E13" i="333"/>
  <c r="D13" i="333"/>
  <c r="C13" i="333"/>
  <c r="C8" i="333"/>
  <c r="J165" i="325"/>
  <c r="K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H118" i="325"/>
  <c r="G118" i="325"/>
  <c r="F118" i="325"/>
  <c r="E118" i="325"/>
  <c r="E117" i="325" s="1"/>
  <c r="D118" i="325"/>
  <c r="C118" i="325"/>
  <c r="I116" i="325"/>
  <c r="J116" i="325" s="1"/>
  <c r="I115" i="325"/>
  <c r="J115" i="325" s="1"/>
  <c r="H114" i="325"/>
  <c r="G114" i="325"/>
  <c r="F114" i="325"/>
  <c r="E114" i="325"/>
  <c r="D114" i="325"/>
  <c r="C114" i="325"/>
  <c r="I113" i="325"/>
  <c r="J113" i="325" s="1"/>
  <c r="I112" i="325"/>
  <c r="J112" i="325" s="1"/>
  <c r="H111" i="325"/>
  <c r="G111" i="325"/>
  <c r="F111" i="325"/>
  <c r="F110" i="325" s="1"/>
  <c r="E111" i="325"/>
  <c r="D111" i="325"/>
  <c r="C111" i="325"/>
  <c r="I109" i="325"/>
  <c r="J109" i="325" s="1"/>
  <c r="I108" i="325"/>
  <c r="J108" i="325" s="1"/>
  <c r="I107" i="325"/>
  <c r="J107" i="325" s="1"/>
  <c r="I106" i="325"/>
  <c r="J106" i="325" s="1"/>
  <c r="I105" i="325"/>
  <c r="J105" i="325" s="1"/>
  <c r="I104" i="325"/>
  <c r="J104" i="325" s="1"/>
  <c r="H103" i="325"/>
  <c r="G103" i="325"/>
  <c r="F103" i="325"/>
  <c r="E103" i="325"/>
  <c r="D103" i="325"/>
  <c r="C103" i="325"/>
  <c r="I102" i="325"/>
  <c r="J102" i="325" s="1"/>
  <c r="I101" i="325"/>
  <c r="J101" i="325" s="1"/>
  <c r="I100" i="325"/>
  <c r="J100" i="325" s="1"/>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H76" i="325"/>
  <c r="G76" i="325"/>
  <c r="F76" i="325"/>
  <c r="E76" i="325"/>
  <c r="D76" i="325"/>
  <c r="C76" i="325"/>
  <c r="J74" i="325"/>
  <c r="I73" i="325"/>
  <c r="J73" i="325" s="1"/>
  <c r="I72" i="325"/>
  <c r="J72" i="325" s="1"/>
  <c r="I71" i="325"/>
  <c r="J71" i="325" s="1"/>
  <c r="I70" i="325"/>
  <c r="J70" i="325" s="1"/>
  <c r="H69" i="325"/>
  <c r="G69" i="325"/>
  <c r="F69" i="325"/>
  <c r="E69" i="325"/>
  <c r="D69" i="325"/>
  <c r="C69" i="325"/>
  <c r="I68" i="325"/>
  <c r="J68" i="325" s="1"/>
  <c r="I67" i="325"/>
  <c r="J67" i="325" s="1"/>
  <c r="I66" i="325"/>
  <c r="J66" i="325" s="1"/>
  <c r="I65" i="325"/>
  <c r="J65" i="325" s="1"/>
  <c r="I64" i="325"/>
  <c r="J64" i="325" s="1"/>
  <c r="H63" i="325"/>
  <c r="I63" i="325" s="1"/>
  <c r="J63" i="325" s="1"/>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H45" i="325"/>
  <c r="G45" i="325"/>
  <c r="F45" i="325"/>
  <c r="E45" i="325"/>
  <c r="D45" i="325"/>
  <c r="C45" i="325"/>
  <c r="I44" i="325"/>
  <c r="J44" i="325" s="1"/>
  <c r="I43" i="325"/>
  <c r="J43" i="325" s="1"/>
  <c r="I42" i="325"/>
  <c r="J42" i="325" s="1"/>
  <c r="I41" i="325"/>
  <c r="J41" i="325" s="1"/>
  <c r="I40" i="325"/>
  <c r="J40" i="325" s="1"/>
  <c r="I39" i="325"/>
  <c r="J39" i="325" s="1"/>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C17" i="325"/>
  <c r="I16" i="325"/>
  <c r="J16" i="325" s="1"/>
  <c r="I15" i="325"/>
  <c r="J15" i="325" s="1"/>
  <c r="I14" i="325"/>
  <c r="J14" i="325" s="1"/>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H148" i="326"/>
  <c r="G148" i="326"/>
  <c r="F148" i="326"/>
  <c r="E148" i="326"/>
  <c r="D148" i="326"/>
  <c r="C148" i="326"/>
  <c r="I146" i="326"/>
  <c r="J146" i="326" s="1"/>
  <c r="I145" i="326"/>
  <c r="J145" i="326" s="1"/>
  <c r="I144" i="326"/>
  <c r="J144" i="326" s="1"/>
  <c r="I143" i="326"/>
  <c r="J143" i="326" s="1"/>
  <c r="I142" i="326"/>
  <c r="J142" i="326" s="1"/>
  <c r="I141" i="326"/>
  <c r="J141" i="326" s="1"/>
  <c r="H140" i="326"/>
  <c r="G140" i="326"/>
  <c r="G138" i="326" s="1"/>
  <c r="F140" i="326"/>
  <c r="F138" i="326" s="1"/>
  <c r="E140" i="326"/>
  <c r="E138" i="326" s="1"/>
  <c r="D140" i="326"/>
  <c r="D138" i="326" s="1"/>
  <c r="C140" i="326"/>
  <c r="C138" i="326" s="1"/>
  <c r="I139" i="326"/>
  <c r="J139" i="326" s="1"/>
  <c r="J137" i="326"/>
  <c r="I136" i="326"/>
  <c r="J136" i="326" s="1"/>
  <c r="K135" i="326"/>
  <c r="H135" i="326"/>
  <c r="I135" i="326" s="1"/>
  <c r="J135" i="326" s="1"/>
  <c r="G135" i="326"/>
  <c r="F135" i="326"/>
  <c r="E135" i="326"/>
  <c r="D135" i="326"/>
  <c r="C135" i="326"/>
  <c r="J134" i="326"/>
  <c r="I133" i="326"/>
  <c r="J133" i="326" s="1"/>
  <c r="I132" i="326"/>
  <c r="J132" i="326" s="1"/>
  <c r="I131" i="326"/>
  <c r="J131" i="326" s="1"/>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C110" i="326" s="1"/>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E76" i="326"/>
  <c r="D76" i="326"/>
  <c r="C76" i="326"/>
  <c r="J74" i="326"/>
  <c r="I73" i="326"/>
  <c r="J73" i="326" s="1"/>
  <c r="I72" i="326"/>
  <c r="J72" i="326" s="1"/>
  <c r="I71" i="326"/>
  <c r="J71" i="326" s="1"/>
  <c r="I70" i="326"/>
  <c r="J70" i="326" s="1"/>
  <c r="H69" i="326"/>
  <c r="G69" i="326"/>
  <c r="F69" i="326"/>
  <c r="E69" i="326"/>
  <c r="D69" i="326"/>
  <c r="C69" i="326"/>
  <c r="I68" i="326"/>
  <c r="J68" i="326" s="1"/>
  <c r="I67" i="326"/>
  <c r="J67" i="326" s="1"/>
  <c r="I66" i="326"/>
  <c r="J66" i="326" s="1"/>
  <c r="I65" i="326"/>
  <c r="J65" i="326"/>
  <c r="I64" i="326"/>
  <c r="J64" i="326" s="1"/>
  <c r="H63" i="326"/>
  <c r="I63" i="326" s="1"/>
  <c r="J63" i="326" s="1"/>
  <c r="G63" i="326"/>
  <c r="F63" i="326"/>
  <c r="E63" i="326"/>
  <c r="D63" i="326"/>
  <c r="C63" i="326"/>
  <c r="I62" i="326"/>
  <c r="J62" i="326"/>
  <c r="I61" i="326"/>
  <c r="J61" i="326" s="1"/>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c r="I47" i="326"/>
  <c r="J47" i="326" s="1"/>
  <c r="I46" i="326"/>
  <c r="J46" i="326" s="1"/>
  <c r="H45" i="326"/>
  <c r="I45" i="326" s="1"/>
  <c r="J45" i="326" s="1"/>
  <c r="G45" i="326"/>
  <c r="F45" i="326"/>
  <c r="E45" i="326"/>
  <c r="D45" i="326"/>
  <c r="C45" i="326"/>
  <c r="I44" i="326"/>
  <c r="J44" i="326" s="1"/>
  <c r="I43" i="326"/>
  <c r="J43" i="326" s="1"/>
  <c r="I42" i="326"/>
  <c r="J42" i="326" s="1"/>
  <c r="I41" i="326"/>
  <c r="J41" i="326" s="1"/>
  <c r="I40" i="326"/>
  <c r="J40" i="326" s="1"/>
  <c r="I39" i="326"/>
  <c r="J39" i="326" s="1"/>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c r="I22" i="326"/>
  <c r="J22" i="326" s="1"/>
  <c r="I21" i="326"/>
  <c r="J21" i="326" s="1"/>
  <c r="I20" i="326"/>
  <c r="J20" i="326" s="1"/>
  <c r="I19" i="326"/>
  <c r="J19" i="326" s="1"/>
  <c r="I18" i="326"/>
  <c r="J18" i="326" s="1"/>
  <c r="H17" i="326"/>
  <c r="G17" i="326"/>
  <c r="F17" i="326"/>
  <c r="E17" i="326"/>
  <c r="D17" i="326"/>
  <c r="C17" i="326"/>
  <c r="I16" i="326"/>
  <c r="J16" i="326" s="1"/>
  <c r="I15" i="326"/>
  <c r="J15" i="326" s="1"/>
  <c r="I14" i="326"/>
  <c r="J14" i="326" s="1"/>
  <c r="H13" i="326"/>
  <c r="I13" i="326" s="1"/>
  <c r="J13" i="326" s="1"/>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H140" i="242"/>
  <c r="H138" i="242" s="1"/>
  <c r="G140" i="242"/>
  <c r="G138" i="242" s="1"/>
  <c r="F140" i="242"/>
  <c r="F138" i="242" s="1"/>
  <c r="E140" i="242"/>
  <c r="E138" i="242" s="1"/>
  <c r="D140" i="242"/>
  <c r="D138" i="242" s="1"/>
  <c r="C140" i="242"/>
  <c r="C138" i="242"/>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H157" i="242"/>
  <c r="G157" i="242"/>
  <c r="F157" i="242"/>
  <c r="E157" i="242"/>
  <c r="D157" i="242"/>
  <c r="C157" i="242"/>
  <c r="I155" i="242"/>
  <c r="J155" i="242" s="1"/>
  <c r="H154" i="242"/>
  <c r="G154" i="242"/>
  <c r="F154" i="242"/>
  <c r="E154" i="242"/>
  <c r="D154" i="242"/>
  <c r="C154" i="242"/>
  <c r="J153" i="242"/>
  <c r="I152" i="242"/>
  <c r="J152" i="242" s="1"/>
  <c r="H151" i="242"/>
  <c r="G151" i="242"/>
  <c r="F151" i="242"/>
  <c r="E151" i="242"/>
  <c r="D151" i="242"/>
  <c r="C151" i="242"/>
  <c r="K130" i="242"/>
  <c r="H130" i="242"/>
  <c r="G130" i="242"/>
  <c r="F130" i="242"/>
  <c r="E130" i="242"/>
  <c r="E117" i="242" s="1"/>
  <c r="D130" i="242"/>
  <c r="H118" i="242"/>
  <c r="G118" i="242"/>
  <c r="F118" i="242"/>
  <c r="E118" i="242"/>
  <c r="D118" i="242"/>
  <c r="C118" i="242"/>
  <c r="I122" i="242"/>
  <c r="J122" i="242" s="1"/>
  <c r="I121" i="242"/>
  <c r="J121" i="242" s="1"/>
  <c r="I120" i="242"/>
  <c r="J120" i="242" s="1"/>
  <c r="C130" i="242"/>
  <c r="H111" i="242"/>
  <c r="G111" i="242"/>
  <c r="F111" i="242"/>
  <c r="E111" i="242"/>
  <c r="D111" i="242"/>
  <c r="D110" i="242" s="1"/>
  <c r="C111" i="242"/>
  <c r="K114" i="242"/>
  <c r="H114" i="242"/>
  <c r="G114" i="242"/>
  <c r="F114" i="242"/>
  <c r="E114" i="242"/>
  <c r="D114" i="242"/>
  <c r="C114" i="242"/>
  <c r="C110" i="242" s="1"/>
  <c r="I112" i="242"/>
  <c r="J112" i="242" s="1"/>
  <c r="I113" i="242"/>
  <c r="J113" i="242" s="1"/>
  <c r="I116" i="242"/>
  <c r="J116" i="242" s="1"/>
  <c r="I115" i="242"/>
  <c r="J115" i="242" s="1"/>
  <c r="H103" i="242"/>
  <c r="I103" i="242" s="1"/>
  <c r="J103" i="242" s="1"/>
  <c r="G103" i="242"/>
  <c r="F103" i="242"/>
  <c r="E103" i="242"/>
  <c r="D103" i="242"/>
  <c r="C103" i="242"/>
  <c r="I106" i="242"/>
  <c r="J106" i="242" s="1"/>
  <c r="I105" i="242"/>
  <c r="J105" i="242" s="1"/>
  <c r="I104" i="242"/>
  <c r="J104" i="242" s="1"/>
  <c r="K99" i="242"/>
  <c r="H99" i="242"/>
  <c r="G99" i="242"/>
  <c r="F99" i="242"/>
  <c r="E99" i="242"/>
  <c r="D99" i="242"/>
  <c r="H76" i="242"/>
  <c r="G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H45" i="242"/>
  <c r="G45" i="242"/>
  <c r="F45" i="242"/>
  <c r="E45" i="242"/>
  <c r="D45" i="242"/>
  <c r="C45" i="242"/>
  <c r="I41" i="242"/>
  <c r="J41" i="242" s="1"/>
  <c r="I42" i="242"/>
  <c r="J42" i="242" s="1"/>
  <c r="I40" i="242"/>
  <c r="J40" i="242" s="1"/>
  <c r="I44" i="242"/>
  <c r="J44" i="242" s="1"/>
  <c r="I43" i="242"/>
  <c r="J43" i="242" s="1"/>
  <c r="I39" i="242"/>
  <c r="J39" i="242" s="1"/>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A243" i="330"/>
  <c r="A239" i="330"/>
  <c r="K235" i="330"/>
  <c r="K47" i="241" s="1"/>
  <c r="G235" i="330"/>
  <c r="G47" i="241" s="1"/>
  <c r="F235" i="330"/>
  <c r="F47" i="241" s="1"/>
  <c r="E235" i="330"/>
  <c r="E47" i="241" s="1"/>
  <c r="D235" i="330"/>
  <c r="D47" i="241" s="1"/>
  <c r="C235" i="330"/>
  <c r="C47" i="241" s="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H186" i="330"/>
  <c r="I186" i="330" s="1"/>
  <c r="J186" i="330" s="1"/>
  <c r="F37" i="241"/>
  <c r="E186" i="330"/>
  <c r="E37" i="241" s="1"/>
  <c r="D186" i="330"/>
  <c r="D37" i="241" s="1"/>
  <c r="C186" i="330"/>
  <c r="C37" i="241" s="1"/>
  <c r="I188" i="330"/>
  <c r="J188" i="330" s="1"/>
  <c r="I187" i="330"/>
  <c r="J187" i="330" s="1"/>
  <c r="A176" i="330"/>
  <c r="A175" i="330"/>
  <c r="A174" i="330"/>
  <c r="H171" i="330"/>
  <c r="H35" i="241" s="1"/>
  <c r="G171" i="330"/>
  <c r="G35" i="241" s="1"/>
  <c r="F171" i="330"/>
  <c r="F35" i="241" s="1"/>
  <c r="E171" i="330"/>
  <c r="E35" i="241" s="1"/>
  <c r="D171" i="330"/>
  <c r="D35" i="241"/>
  <c r="C171" i="330"/>
  <c r="C35" i="241" s="1"/>
  <c r="I176" i="330"/>
  <c r="J176" i="330" s="1"/>
  <c r="I175" i="330"/>
  <c r="J175" i="330" s="1"/>
  <c r="I174" i="330"/>
  <c r="J174"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s="1"/>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E31" i="241" s="1"/>
  <c r="D132" i="330"/>
  <c r="D31" i="241" s="1"/>
  <c r="H27" i="330"/>
  <c r="H11" i="241" s="1"/>
  <c r="G27" i="330"/>
  <c r="F27" i="330"/>
  <c r="F11" i="241" s="1"/>
  <c r="E27" i="330"/>
  <c r="E11" i="241" s="1"/>
  <c r="D27" i="330"/>
  <c r="C27" i="330"/>
  <c r="C11" i="241"/>
  <c r="G10" i="330"/>
  <c r="G8" i="241" s="1"/>
  <c r="F10" i="330"/>
  <c r="F8" i="241" s="1"/>
  <c r="E10" i="330"/>
  <c r="E8" i="241" s="1"/>
  <c r="D10" i="330"/>
  <c r="D8" i="241" s="1"/>
  <c r="C10" i="330"/>
  <c r="C8" i="241" s="1"/>
  <c r="C132" i="330"/>
  <c r="C31"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C32" i="241"/>
  <c r="E146" i="330"/>
  <c r="E32" i="241" s="1"/>
  <c r="F146" i="330"/>
  <c r="F32" i="241" s="1"/>
  <c r="G146" i="330"/>
  <c r="H146" i="330"/>
  <c r="K32" i="241"/>
  <c r="I147" i="330"/>
  <c r="J147" i="330" s="1"/>
  <c r="A148" i="330"/>
  <c r="A149" i="330"/>
  <c r="C149" i="330"/>
  <c r="C34" i="241" s="1"/>
  <c r="D149" i="330"/>
  <c r="D34" i="241" s="1"/>
  <c r="E149" i="330"/>
  <c r="E34" i="241" s="1"/>
  <c r="F149" i="330"/>
  <c r="F34" i="241" s="1"/>
  <c r="G149" i="330"/>
  <c r="G34" i="241" s="1"/>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s="1"/>
  <c r="I106" i="330"/>
  <c r="J106" i="330" s="1"/>
  <c r="I102" i="330"/>
  <c r="J102" i="330" s="1"/>
  <c r="I94" i="330"/>
  <c r="J94" i="330" s="1"/>
  <c r="I96" i="330"/>
  <c r="J96" i="330" s="1"/>
  <c r="H76" i="330"/>
  <c r="H17" i="241" s="1"/>
  <c r="G76" i="330"/>
  <c r="G17" i="241" s="1"/>
  <c r="F76" i="330"/>
  <c r="F17" i="241" s="1"/>
  <c r="E76" i="330"/>
  <c r="E17" i="241" s="1"/>
  <c r="D76" i="330"/>
  <c r="D17" i="241" s="1"/>
  <c r="C76" i="330"/>
  <c r="C17" i="241" s="1"/>
  <c r="I77" i="330"/>
  <c r="J77" i="330" s="1"/>
  <c r="I81" i="330"/>
  <c r="J81" i="330" s="1"/>
  <c r="I80" i="330"/>
  <c r="J80" i="330" s="1"/>
  <c r="I79" i="330"/>
  <c r="J79" i="330" s="1"/>
  <c r="I78" i="330"/>
  <c r="J78" i="330" s="1"/>
  <c r="I82" i="330"/>
  <c r="J82" i="330" s="1"/>
  <c r="H67" i="330"/>
  <c r="H15" i="241" s="1"/>
  <c r="G67" i="330"/>
  <c r="F67" i="330"/>
  <c r="F15" i="241" s="1"/>
  <c r="E67" i="330"/>
  <c r="E15" i="241" s="1"/>
  <c r="D67" i="330"/>
  <c r="C67" i="330"/>
  <c r="C15" i="241" s="1"/>
  <c r="H64" i="330"/>
  <c r="G64" i="330"/>
  <c r="G14" i="241" s="1"/>
  <c r="F64" i="330"/>
  <c r="F14" i="241" s="1"/>
  <c r="E64" i="330"/>
  <c r="E14" i="241" s="1"/>
  <c r="D64" i="330"/>
  <c r="D14" i="241" s="1"/>
  <c r="K64" i="330"/>
  <c r="K14" i="241" s="1"/>
  <c r="C64" i="330"/>
  <c r="C14" i="241" s="1"/>
  <c r="I69" i="330"/>
  <c r="J69" i="330" s="1"/>
  <c r="I68" i="330"/>
  <c r="J68" i="330" s="1"/>
  <c r="I70" i="330"/>
  <c r="J70" i="330" s="1"/>
  <c r="I66" i="330"/>
  <c r="J66" i="330" s="1"/>
  <c r="I65" i="330"/>
  <c r="J65" i="330" s="1"/>
  <c r="I58" i="330"/>
  <c r="J58" i="330" s="1"/>
  <c r="H49" i="330"/>
  <c r="H12" i="241" s="1"/>
  <c r="G49" i="330"/>
  <c r="G12" i="241" s="1"/>
  <c r="F49" i="330"/>
  <c r="F12" i="241" s="1"/>
  <c r="E49" i="330"/>
  <c r="E12" i="241" s="1"/>
  <c r="D49" i="330"/>
  <c r="D12" i="241" s="1"/>
  <c r="C49" i="330"/>
  <c r="C12" i="241"/>
  <c r="I54" i="330"/>
  <c r="J54" i="330" s="1"/>
  <c r="I53" i="330"/>
  <c r="J53" i="330" s="1"/>
  <c r="I52" i="330"/>
  <c r="J52" i="330" s="1"/>
  <c r="I51" i="330"/>
  <c r="J51" i="330" s="1"/>
  <c r="I50" i="330"/>
  <c r="J50" i="330" s="1"/>
  <c r="C55" i="330"/>
  <c r="C13" i="241" s="1"/>
  <c r="D55" i="330"/>
  <c r="E55" i="330"/>
  <c r="E13" i="241" s="1"/>
  <c r="F13" i="241"/>
  <c r="G13" i="24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F9" i="178" s="1"/>
  <c r="L15" i="175"/>
  <c r="L12" i="175"/>
  <c r="L11" i="175"/>
  <c r="L8" i="175"/>
  <c r="L7" i="175"/>
  <c r="L6" i="175"/>
  <c r="L5" i="175"/>
  <c r="X11" i="329"/>
  <c r="D64" i="100" s="1"/>
  <c r="F9" i="334"/>
  <c r="G30" i="334"/>
  <c r="G29" i="334"/>
  <c r="F46" i="334"/>
  <c r="F45" i="334"/>
  <c r="F43" i="334"/>
  <c r="G43" i="334" s="1"/>
  <c r="F42" i="334"/>
  <c r="F40" i="334"/>
  <c r="G40" i="334" s="1"/>
  <c r="F39" i="334"/>
  <c r="F37" i="334"/>
  <c r="G37" i="334" s="1"/>
  <c r="F36" i="334"/>
  <c r="G36" i="334" s="1"/>
  <c r="F35" i="334"/>
  <c r="G35" i="334" s="1"/>
  <c r="F34" i="334"/>
  <c r="G34" i="334" s="1"/>
  <c r="F33" i="334"/>
  <c r="G33" i="334" s="1"/>
  <c r="F32" i="334"/>
  <c r="G32" i="334" s="1"/>
  <c r="F27" i="334"/>
  <c r="F26" i="334"/>
  <c r="G26" i="334" s="1"/>
  <c r="F24" i="334"/>
  <c r="G24" i="334" s="1"/>
  <c r="F23" i="334"/>
  <c r="G23" i="334" s="1"/>
  <c r="F21" i="334"/>
  <c r="G21" i="334" s="1"/>
  <c r="F20" i="334"/>
  <c r="G20" i="334" s="1"/>
  <c r="F19" i="334"/>
  <c r="F18" i="334"/>
  <c r="G18" i="334" s="1"/>
  <c r="F17" i="334"/>
  <c r="G17" i="334" s="1"/>
  <c r="F15" i="334"/>
  <c r="G15" i="334" s="1"/>
  <c r="F14" i="334"/>
  <c r="G14" i="334" s="1"/>
  <c r="F13" i="334"/>
  <c r="G13" i="334" s="1"/>
  <c r="F12" i="334"/>
  <c r="G12" i="334" s="1"/>
  <c r="F11" i="334"/>
  <c r="G11" i="334" s="1"/>
  <c r="F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4"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s="1"/>
  <c r="I90" i="318"/>
  <c r="J90" i="318" s="1"/>
  <c r="I89" i="318"/>
  <c r="J89" i="318" s="1"/>
  <c r="I78" i="318"/>
  <c r="J78" i="318"/>
  <c r="I77" i="318"/>
  <c r="J77" i="318"/>
  <c r="I76" i="318"/>
  <c r="J76" i="318"/>
  <c r="I75" i="318"/>
  <c r="J75" i="318" s="1"/>
  <c r="I63" i="318"/>
  <c r="J63" i="318" s="1"/>
  <c r="I61" i="318"/>
  <c r="J61" i="318"/>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F174" i="323"/>
  <c r="F24" i="272" s="1"/>
  <c r="G174" i="323"/>
  <c r="G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3" i="332"/>
  <c r="A17" i="323" s="1"/>
  <c r="D3" i="332"/>
  <c r="A4" i="332"/>
  <c r="A198" i="324" s="1"/>
  <c r="D4" i="332"/>
  <c r="A5" i="332"/>
  <c r="D5" i="332"/>
  <c r="A6" i="332"/>
  <c r="A10" i="272" s="1"/>
  <c r="D6" i="332"/>
  <c r="A7" i="332"/>
  <c r="A229" i="323" s="1"/>
  <c r="D7" i="332"/>
  <c r="A8" i="332"/>
  <c r="A72" i="323" s="1"/>
  <c r="D8" i="332"/>
  <c r="A9" i="332"/>
  <c r="A83" i="323" s="1"/>
  <c r="D9" i="332"/>
  <c r="A10" i="332"/>
  <c r="A262" i="323" s="1"/>
  <c r="D10" i="332"/>
  <c r="A11" i="332"/>
  <c r="A105" i="323" s="1"/>
  <c r="D11" i="332"/>
  <c r="A12" i="332"/>
  <c r="A16" i="272" s="1"/>
  <c r="D12" i="332"/>
  <c r="A13" i="332"/>
  <c r="A128" i="324" s="1"/>
  <c r="A14" i="332"/>
  <c r="A36" i="272" s="1"/>
  <c r="D14" i="332"/>
  <c r="A15" i="332"/>
  <c r="A37" i="268" s="1"/>
  <c r="D15" i="332"/>
  <c r="A16" i="332"/>
  <c r="A160" i="323"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s="1"/>
  <c r="K70" i="268"/>
  <c r="K74" i="268" s="1"/>
  <c r="H57" i="268"/>
  <c r="G57" i="268"/>
  <c r="F57" i="268"/>
  <c r="E57" i="268"/>
  <c r="D57" i="268"/>
  <c r="C57" i="268"/>
  <c r="C118" i="330"/>
  <c r="C25" i="241" s="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6" i="272" s="1"/>
  <c r="K207" i="323"/>
  <c r="K218" i="323"/>
  <c r="K229" i="323"/>
  <c r="K29" i="272" s="1"/>
  <c r="K240" i="323"/>
  <c r="K30" i="272" s="1"/>
  <c r="K251" i="323"/>
  <c r="K31" i="272" s="1"/>
  <c r="K262" i="323"/>
  <c r="K33" i="272"/>
  <c r="K284" i="323"/>
  <c r="K34" i="272" s="1"/>
  <c r="K295" i="323"/>
  <c r="K306" i="323"/>
  <c r="K317" i="323"/>
  <c r="K37" i="272" s="1"/>
  <c r="K328" i="323"/>
  <c r="H185" i="323"/>
  <c r="H25" i="272" s="1"/>
  <c r="H196" i="323"/>
  <c r="H207" i="323"/>
  <c r="H27" i="272" s="1"/>
  <c r="H218" i="323"/>
  <c r="H28" i="272" s="1"/>
  <c r="H229" i="323"/>
  <c r="H240" i="323"/>
  <c r="H30" i="272" s="1"/>
  <c r="H251" i="323"/>
  <c r="H31" i="272" s="1"/>
  <c r="H262" i="323"/>
  <c r="H32" i="272" s="1"/>
  <c r="H273" i="323"/>
  <c r="H34" i="272"/>
  <c r="H295" i="323"/>
  <c r="H35" i="272" s="1"/>
  <c r="H306" i="323"/>
  <c r="H36" i="272" s="1"/>
  <c r="H317" i="323"/>
  <c r="H328" i="323"/>
  <c r="I328" i="323" s="1"/>
  <c r="J328" i="323" s="1"/>
  <c r="G185" i="323"/>
  <c r="G25" i="272" s="1"/>
  <c r="G196" i="323"/>
  <c r="G26" i="272" s="1"/>
  <c r="G207" i="323"/>
  <c r="G27" i="272" s="1"/>
  <c r="G218" i="323"/>
  <c r="G28" i="272" s="1"/>
  <c r="G229" i="323"/>
  <c r="G29" i="272" s="1"/>
  <c r="G240" i="323"/>
  <c r="G30" i="272" s="1"/>
  <c r="G251" i="323"/>
  <c r="G31" i="272" s="1"/>
  <c r="I31" i="272" s="1"/>
  <c r="J31" i="272" s="1"/>
  <c r="G262" i="323"/>
  <c r="G273" i="323"/>
  <c r="G33" i="272" s="1"/>
  <c r="G34" i="272"/>
  <c r="G295" i="323"/>
  <c r="G35" i="272" s="1"/>
  <c r="I35" i="272" s="1"/>
  <c r="J35" i="272" s="1"/>
  <c r="G306" i="323"/>
  <c r="G317" i="323"/>
  <c r="G37" i="272" s="1"/>
  <c r="G328" i="323"/>
  <c r="F185" i="323"/>
  <c r="F25" i="272" s="1"/>
  <c r="F26" i="272"/>
  <c r="F207" i="323"/>
  <c r="F27" i="272" s="1"/>
  <c r="F218" i="323"/>
  <c r="F28" i="272" s="1"/>
  <c r="F229" i="323"/>
  <c r="F29" i="272" s="1"/>
  <c r="F240" i="323"/>
  <c r="F30" i="272" s="1"/>
  <c r="F251" i="323"/>
  <c r="F31" i="272" s="1"/>
  <c r="F262" i="323"/>
  <c r="F32" i="272" s="1"/>
  <c r="F273" i="323"/>
  <c r="F33" i="272" s="1"/>
  <c r="F34" i="272"/>
  <c r="F295" i="323"/>
  <c r="F35" i="272" s="1"/>
  <c r="F306" i="323"/>
  <c r="F36" i="272"/>
  <c r="F317" i="323"/>
  <c r="F37" i="272" s="1"/>
  <c r="F328" i="323"/>
  <c r="F38" i="272" s="1"/>
  <c r="E26" i="272"/>
  <c r="E27" i="272"/>
  <c r="E29" i="272"/>
  <c r="E240" i="323"/>
  <c r="E31" i="272"/>
  <c r="E32" i="272"/>
  <c r="E33" i="272"/>
  <c r="E34" i="272"/>
  <c r="E295" i="323"/>
  <c r="E35" i="272"/>
  <c r="E306" i="323"/>
  <c r="E36" i="272" s="1"/>
  <c r="E317" i="323"/>
  <c r="E37" i="272" s="1"/>
  <c r="E328" i="323"/>
  <c r="E38" i="272" s="1"/>
  <c r="D185" i="323"/>
  <c r="D196" i="323"/>
  <c r="D207" i="323"/>
  <c r="D218" i="323"/>
  <c r="D28" i="272" s="1"/>
  <c r="D229" i="323"/>
  <c r="D29" i="272" s="1"/>
  <c r="D240" i="323"/>
  <c r="D30" i="272" s="1"/>
  <c r="D251" i="323"/>
  <c r="D31" i="272" s="1"/>
  <c r="D262" i="323"/>
  <c r="D32" i="272" s="1"/>
  <c r="D273" i="323"/>
  <c r="D33" i="272" s="1"/>
  <c r="D34" i="272"/>
  <c r="D295" i="323"/>
  <c r="D35" i="272" s="1"/>
  <c r="D306" i="323"/>
  <c r="D36" i="272" s="1"/>
  <c r="D317" i="323"/>
  <c r="D37" i="272" s="1"/>
  <c r="D328" i="323"/>
  <c r="D38" i="272"/>
  <c r="C185" i="323"/>
  <c r="C25" i="272" s="1"/>
  <c r="C196" i="323"/>
  <c r="C26" i="272" s="1"/>
  <c r="C207" i="323"/>
  <c r="C218" i="323"/>
  <c r="C229" i="323"/>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C43" i="267" s="1"/>
  <c r="K343" i="324"/>
  <c r="K38" i="268" s="1"/>
  <c r="K332" i="324"/>
  <c r="K37" i="268" s="1"/>
  <c r="K321" i="324"/>
  <c r="K36" i="268" s="1"/>
  <c r="K310" i="324"/>
  <c r="K35" i="268" s="1"/>
  <c r="K303" i="324"/>
  <c r="K34" i="268" s="1"/>
  <c r="K283" i="324"/>
  <c r="K32" i="268" s="1"/>
  <c r="K270" i="324"/>
  <c r="K31" i="268" s="1"/>
  <c r="K239" i="324"/>
  <c r="K29" i="268" s="1"/>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s="1"/>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s="1"/>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30" i="268"/>
  <c r="D252" i="324"/>
  <c r="D30" i="268" s="1"/>
  <c r="G239" i="324"/>
  <c r="G29" i="268" s="1"/>
  <c r="F239" i="324"/>
  <c r="F29" i="268" s="1"/>
  <c r="E29" i="268"/>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G25" i="268" s="1"/>
  <c r="H187" i="324"/>
  <c r="H25" i="268" s="1"/>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9" i="268" s="1"/>
  <c r="K29" i="324"/>
  <c r="K8" i="268" s="1"/>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s="1"/>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I117" i="324" s="1"/>
  <c r="J117" i="324" s="1"/>
  <c r="G117" i="324"/>
  <c r="G16" i="268" s="1"/>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G84" i="324"/>
  <c r="G13" i="268" s="1"/>
  <c r="F84" i="324"/>
  <c r="F13" i="268" s="1"/>
  <c r="E84" i="324"/>
  <c r="E13" i="268" s="1"/>
  <c r="D84" i="324"/>
  <c r="D13" i="268" s="1"/>
  <c r="H73" i="324"/>
  <c r="G73" i="324"/>
  <c r="G12" i="268" s="1"/>
  <c r="F73" i="324"/>
  <c r="F12" i="268" s="1"/>
  <c r="E73" i="324"/>
  <c r="E12" i="268" s="1"/>
  <c r="D73" i="324"/>
  <c r="D12" i="268" s="1"/>
  <c r="H62" i="324"/>
  <c r="G62" i="324"/>
  <c r="G11" i="268" s="1"/>
  <c r="F62" i="324"/>
  <c r="F11" i="268" s="1"/>
  <c r="E62" i="324"/>
  <c r="D62" i="324"/>
  <c r="D11" i="268" s="1"/>
  <c r="H51" i="324"/>
  <c r="H10" i="268" s="1"/>
  <c r="G51" i="324"/>
  <c r="G10" i="268" s="1"/>
  <c r="F51" i="324"/>
  <c r="F10" i="268" s="1"/>
  <c r="E51" i="324"/>
  <c r="E10" i="268" s="1"/>
  <c r="D51" i="324"/>
  <c r="D10" i="268" s="1"/>
  <c r="H40" i="324"/>
  <c r="H9" i="268" s="1"/>
  <c r="G40" i="324"/>
  <c r="G9" i="268" s="1"/>
  <c r="F40" i="324"/>
  <c r="F9" i="268" s="1"/>
  <c r="E40" i="324"/>
  <c r="E9" i="268" s="1"/>
  <c r="D40" i="324"/>
  <c r="D9" i="268" s="1"/>
  <c r="H29" i="324"/>
  <c r="G29" i="324"/>
  <c r="F29" i="324"/>
  <c r="F8" i="268" s="1"/>
  <c r="E29" i="324"/>
  <c r="E8" i="268" s="1"/>
  <c r="D29" i="324"/>
  <c r="D8" i="268" s="1"/>
  <c r="H18" i="324"/>
  <c r="G18" i="324"/>
  <c r="G7" i="268" s="1"/>
  <c r="F18" i="324"/>
  <c r="E18" i="324"/>
  <c r="E7" i="268" s="1"/>
  <c r="D18" i="324"/>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E70" i="268"/>
  <c r="F70" i="268"/>
  <c r="F74" i="268" s="1"/>
  <c r="G70" i="268"/>
  <c r="G74" i="268" s="1"/>
  <c r="G27" i="177" s="1"/>
  <c r="I27" i="177" s="1"/>
  <c r="J27" i="177" s="1"/>
  <c r="H70" i="268"/>
  <c r="H74" i="268" s="1"/>
  <c r="C70" i="268"/>
  <c r="C74" i="268" s="1"/>
  <c r="A75" i="100"/>
  <c r="B78"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69" i="242"/>
  <c r="K135" i="242"/>
  <c r="K148" i="242"/>
  <c r="C13" i="242"/>
  <c r="C27" i="242"/>
  <c r="C69" i="242"/>
  <c r="C135" i="242"/>
  <c r="C148" i="242"/>
  <c r="K36" i="272"/>
  <c r="K35" i="272"/>
  <c r="G38" i="272"/>
  <c r="G36" i="272"/>
  <c r="K160" i="323"/>
  <c r="K20" i="272" s="1"/>
  <c r="K149" i="323"/>
  <c r="K19" i="272" s="1"/>
  <c r="K138" i="323"/>
  <c r="K18" i="272" s="1"/>
  <c r="K127" i="323"/>
  <c r="K17" i="272" s="1"/>
  <c r="K116" i="323"/>
  <c r="K16" i="272" s="1"/>
  <c r="K105" i="323"/>
  <c r="K15" i="272" s="1"/>
  <c r="K94" i="323"/>
  <c r="K14" i="272" s="1"/>
  <c r="G105" i="323"/>
  <c r="G15" i="272" s="1"/>
  <c r="H105" i="323"/>
  <c r="G116" i="323"/>
  <c r="G16" i="272" s="1"/>
  <c r="G127" i="323"/>
  <c r="G17" i="272" s="1"/>
  <c r="H127" i="323"/>
  <c r="G138" i="323"/>
  <c r="G18" i="272" s="1"/>
  <c r="H138" i="323"/>
  <c r="H18" i="272" s="1"/>
  <c r="G149" i="323"/>
  <c r="G19" i="272" s="1"/>
  <c r="H149" i="323"/>
  <c r="H19" i="272" s="1"/>
  <c r="G160" i="323"/>
  <c r="H160" i="323"/>
  <c r="H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c r="C160" i="323"/>
  <c r="C20" i="272"/>
  <c r="C149" i="323"/>
  <c r="C19" i="272" s="1"/>
  <c r="C138" i="323"/>
  <c r="C18" i="272" s="1"/>
  <c r="C127" i="323"/>
  <c r="C17" i="272" s="1"/>
  <c r="C116" i="323"/>
  <c r="C16" i="272" s="1"/>
  <c r="X36" i="329"/>
  <c r="B4" i="100" s="1"/>
  <c r="F77" i="100"/>
  <c r="B27" i="322"/>
  <c r="B73" i="100" s="1"/>
  <c r="C7" i="330"/>
  <c r="C7" i="241" s="1"/>
  <c r="C24" i="330"/>
  <c r="C9" i="241" s="1"/>
  <c r="C87" i="330"/>
  <c r="C18" i="241" s="1"/>
  <c r="C92" i="330"/>
  <c r="C19" i="241" s="1"/>
  <c r="C100" i="330"/>
  <c r="C104" i="330"/>
  <c r="C108" i="330"/>
  <c r="C23" i="241" s="1"/>
  <c r="K7" i="330"/>
  <c r="K7" i="241" s="1"/>
  <c r="K24" i="330"/>
  <c r="K9" i="241" s="1"/>
  <c r="K87" i="330"/>
  <c r="K18" i="241" s="1"/>
  <c r="K100" i="330"/>
  <c r="K104" i="330"/>
  <c r="K22" i="241" s="1"/>
  <c r="K118" i="330"/>
  <c r="K25" i="241" s="1"/>
  <c r="K129" i="330"/>
  <c r="K30" i="241" s="1"/>
  <c r="K214" i="330"/>
  <c r="K42" i="241"/>
  <c r="K222" i="330"/>
  <c r="K230" i="330"/>
  <c r="K46" i="241" s="1"/>
  <c r="K240" i="330"/>
  <c r="K48" i="241" s="1"/>
  <c r="H7" i="330"/>
  <c r="H7" i="241" s="1"/>
  <c r="H24" i="330"/>
  <c r="H9" i="241" s="1"/>
  <c r="H92" i="330"/>
  <c r="H19" i="241" s="1"/>
  <c r="H100" i="330"/>
  <c r="H21" i="241" s="1"/>
  <c r="H104" i="330"/>
  <c r="H22" i="241" s="1"/>
  <c r="H108" i="330"/>
  <c r="H23" i="241" s="1"/>
  <c r="H129" i="330"/>
  <c r="H30" i="241" s="1"/>
  <c r="H189" i="330"/>
  <c r="H38" i="241" s="1"/>
  <c r="H198" i="330"/>
  <c r="H40" i="241" s="1"/>
  <c r="H222" i="330"/>
  <c r="H44" i="241" s="1"/>
  <c r="H226" i="330"/>
  <c r="H45" i="241" s="1"/>
  <c r="H230" i="330"/>
  <c r="H46" i="241" s="1"/>
  <c r="G7" i="330"/>
  <c r="G7" i="241" s="1"/>
  <c r="G24" i="330"/>
  <c r="G9" i="241" s="1"/>
  <c r="G87" i="330"/>
  <c r="G18" i="241" s="1"/>
  <c r="G92" i="330"/>
  <c r="G100" i="330"/>
  <c r="G21" i="241" s="1"/>
  <c r="G104" i="330"/>
  <c r="G22" i="241" s="1"/>
  <c r="G108" i="330"/>
  <c r="G23" i="241" s="1"/>
  <c r="G118" i="330"/>
  <c r="G25" i="241" s="1"/>
  <c r="G129" i="330"/>
  <c r="G30" i="241" s="1"/>
  <c r="G189" i="330"/>
  <c r="G38" i="241" s="1"/>
  <c r="G198" i="330"/>
  <c r="G40" i="241" s="1"/>
  <c r="G209" i="330"/>
  <c r="G41" i="241" s="1"/>
  <c r="G214" i="330"/>
  <c r="G42" i="241" s="1"/>
  <c r="G222" i="330"/>
  <c r="G44" i="241" s="1"/>
  <c r="G226" i="330"/>
  <c r="G45" i="241" s="1"/>
  <c r="G230" i="330"/>
  <c r="G46" i="241" s="1"/>
  <c r="G240" i="330"/>
  <c r="G48" i="241" s="1"/>
  <c r="F7" i="330"/>
  <c r="F7" i="241" s="1"/>
  <c r="F24" i="330"/>
  <c r="F87" i="330"/>
  <c r="F18" i="241" s="1"/>
  <c r="F92" i="330"/>
  <c r="F19" i="241" s="1"/>
  <c r="F100" i="330"/>
  <c r="F21" i="241" s="1"/>
  <c r="F104" i="330"/>
  <c r="F22" i="241" s="1"/>
  <c r="F108" i="330"/>
  <c r="F23" i="241" s="1"/>
  <c r="F118" i="330"/>
  <c r="F25" i="241" s="1"/>
  <c r="F129" i="330"/>
  <c r="F189" i="330"/>
  <c r="F38" i="241" s="1"/>
  <c r="F198" i="330"/>
  <c r="F40" i="241" s="1"/>
  <c r="F209" i="330"/>
  <c r="F214" i="330"/>
  <c r="F42" i="241" s="1"/>
  <c r="F222" i="330"/>
  <c r="F44" i="241" s="1"/>
  <c r="F226" i="330"/>
  <c r="F45" i="241" s="1"/>
  <c r="F230" i="330"/>
  <c r="F46" i="241" s="1"/>
  <c r="F240" i="330"/>
  <c r="F48" i="241" s="1"/>
  <c r="E7" i="330"/>
  <c r="E7" i="241" s="1"/>
  <c r="E24" i="330"/>
  <c r="E9" i="241" s="1"/>
  <c r="E87" i="330"/>
  <c r="E18" i="241" s="1"/>
  <c r="E92" i="330"/>
  <c r="E19" i="241" s="1"/>
  <c r="E100" i="330"/>
  <c r="E21" i="241"/>
  <c r="E104" i="330"/>
  <c r="E108" i="330"/>
  <c r="E23" i="241" s="1"/>
  <c r="E118" i="330"/>
  <c r="E25" i="241" s="1"/>
  <c r="E129" i="330"/>
  <c r="E30" i="241" s="1"/>
  <c r="E189" i="330"/>
  <c r="E38" i="241" s="1"/>
  <c r="E198" i="330"/>
  <c r="E40" i="241" s="1"/>
  <c r="E209" i="330"/>
  <c r="E41" i="241" s="1"/>
  <c r="E214" i="330"/>
  <c r="E42" i="241" s="1"/>
  <c r="E222" i="330"/>
  <c r="E44" i="241" s="1"/>
  <c r="E226" i="330"/>
  <c r="E45" i="241" s="1"/>
  <c r="E230" i="330"/>
  <c r="E46" i="241" s="1"/>
  <c r="D7" i="330"/>
  <c r="D24" i="330"/>
  <c r="D9" i="241" s="1"/>
  <c r="D87" i="330"/>
  <c r="D92" i="330"/>
  <c r="D19" i="241" s="1"/>
  <c r="D100" i="330"/>
  <c r="D21" i="241" s="1"/>
  <c r="D104" i="330"/>
  <c r="D108" i="330"/>
  <c r="D118" i="330"/>
  <c r="D25" i="241" s="1"/>
  <c r="D129" i="330"/>
  <c r="D30" i="241" s="1"/>
  <c r="D177" i="330"/>
  <c r="D189" i="330"/>
  <c r="D38" i="241" s="1"/>
  <c r="D198" i="330"/>
  <c r="D40" i="241" s="1"/>
  <c r="D209" i="330"/>
  <c r="D41" i="241" s="1"/>
  <c r="D214" i="330"/>
  <c r="D42" i="241" s="1"/>
  <c r="D222" i="330"/>
  <c r="D226" i="330"/>
  <c r="D45" i="241" s="1"/>
  <c r="D230" i="330"/>
  <c r="D46" i="241" s="1"/>
  <c r="D240" i="330"/>
  <c r="D48" i="241" s="1"/>
  <c r="C240" i="330"/>
  <c r="C48" i="241" s="1"/>
  <c r="C230" i="330"/>
  <c r="C46" i="241" s="1"/>
  <c r="C226" i="330"/>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s="1"/>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s="1"/>
  <c r="I93" i="330"/>
  <c r="J93" i="330" s="1"/>
  <c r="I91" i="330"/>
  <c r="J91" i="330" s="1"/>
  <c r="I90" i="330"/>
  <c r="J90" i="330" s="1"/>
  <c r="I86" i="330"/>
  <c r="J86" i="330" s="1"/>
  <c r="I85" i="330"/>
  <c r="J85" i="330" s="1"/>
  <c r="I84" i="330"/>
  <c r="J84" i="330" s="1"/>
  <c r="I74" i="330"/>
  <c r="J74" i="330" s="1"/>
  <c r="I73" i="330"/>
  <c r="J73" i="330" s="1"/>
  <c r="I72" i="330"/>
  <c r="J72" i="330" s="1"/>
  <c r="I63" i="330"/>
  <c r="J63" i="330" s="1"/>
  <c r="I47" i="330"/>
  <c r="J47" i="330" s="1"/>
  <c r="I46" i="330"/>
  <c r="J46" i="330" s="1"/>
  <c r="I45" i="330"/>
  <c r="J45"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C33" i="251" s="1"/>
  <c r="F83" i="100"/>
  <c r="F82" i="100"/>
  <c r="F80" i="100"/>
  <c r="F78" i="100"/>
  <c r="F98" i="100"/>
  <c r="B98" i="100" s="1"/>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s="1"/>
  <c r="D37" i="177"/>
  <c r="C45" i="267" s="1"/>
  <c r="C37" i="177"/>
  <c r="B45" i="267" s="1"/>
  <c r="K28" i="177"/>
  <c r="J44" i="267" s="1"/>
  <c r="H28" i="177"/>
  <c r="G44" i="267" s="1"/>
  <c r="E28" i="177"/>
  <c r="D44" i="267"/>
  <c r="C28" i="177"/>
  <c r="B44" i="267" s="1"/>
  <c r="E18" i="177"/>
  <c r="D43" i="267" s="1"/>
  <c r="E77" i="100"/>
  <c r="E46" i="267"/>
  <c r="G48" i="178"/>
  <c r="J40" i="267" s="1"/>
  <c r="G40" i="178"/>
  <c r="J39" i="267" s="1"/>
  <c r="G35" i="178"/>
  <c r="G13" i="178"/>
  <c r="E48" i="178"/>
  <c r="D40" i="267" s="1"/>
  <c r="D48" i="178"/>
  <c r="E49" i="174" s="1"/>
  <c r="E40" i="178"/>
  <c r="D39" i="267" s="1"/>
  <c r="D40" i="178"/>
  <c r="C39" i="267" s="1"/>
  <c r="E35" i="178"/>
  <c r="D38" i="267" s="1"/>
  <c r="D35" i="178"/>
  <c r="E13" i="178"/>
  <c r="D36" i="267" s="1"/>
  <c r="D13" i="178"/>
  <c r="E52" i="174" s="1"/>
  <c r="C48" i="178"/>
  <c r="B40" i="267" s="1"/>
  <c r="C40" i="178"/>
  <c r="C41" i="178" s="1"/>
  <c r="C35" i="178"/>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K38" i="182" s="1"/>
  <c r="K42" i="182" s="1"/>
  <c r="K44" i="182" s="1"/>
  <c r="K46" i="182" s="1"/>
  <c r="K48" i="182" s="1"/>
  <c r="J6" i="267"/>
  <c r="J9" i="267"/>
  <c r="G22" i="267"/>
  <c r="F22" i="267"/>
  <c r="E22" i="267"/>
  <c r="D22" i="267"/>
  <c r="C22" i="267"/>
  <c r="G21" i="267"/>
  <c r="D21" i="267"/>
  <c r="C21" i="267"/>
  <c r="B22" i="267"/>
  <c r="B21" i="267"/>
  <c r="H36" i="182"/>
  <c r="G36" i="182"/>
  <c r="G45" i="174" s="1"/>
  <c r="F36" i="182"/>
  <c r="E36" i="182"/>
  <c r="D36" i="182"/>
  <c r="C36" i="182"/>
  <c r="F6" i="267"/>
  <c r="G6" i="267"/>
  <c r="G9" i="267"/>
  <c r="I6" i="182"/>
  <c r="J6" i="182" s="1"/>
  <c r="C6" i="251" s="1"/>
  <c r="I7" i="182"/>
  <c r="J7" i="182" s="1"/>
  <c r="C7" i="251" s="1"/>
  <c r="I8" i="182"/>
  <c r="J8" i="182" s="1"/>
  <c r="C10" i="251" s="1"/>
  <c r="I9" i="182"/>
  <c r="J9" i="182" s="1"/>
  <c r="C11" i="251" s="1"/>
  <c r="I10" i="182"/>
  <c r="J10" i="182" s="1"/>
  <c r="C12" i="251" s="1"/>
  <c r="I13" i="182"/>
  <c r="J13" i="182" s="1"/>
  <c r="C15" i="251" s="1"/>
  <c r="I14" i="182"/>
  <c r="J14" i="182" s="1"/>
  <c r="C16" i="251" s="1"/>
  <c r="E6"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E104" i="172" s="1"/>
  <c r="K10" i="173"/>
  <c r="F104" i="172" s="1"/>
  <c r="K11" i="173"/>
  <c r="G104" i="172" s="1"/>
  <c r="K12" i="173"/>
  <c r="H104" i="172" s="1"/>
  <c r="K13" i="173"/>
  <c r="I104" i="172" s="1"/>
  <c r="K14" i="173"/>
  <c r="J104" i="172" s="1"/>
  <c r="C14" i="175"/>
  <c r="D14" i="175"/>
  <c r="C50" i="267" s="1"/>
  <c r="E14" i="175"/>
  <c r="D50" i="267" s="1"/>
  <c r="F14" i="175"/>
  <c r="E50" i="267" s="1"/>
  <c r="G14" i="175"/>
  <c r="F50" i="267" s="1"/>
  <c r="H14" i="175"/>
  <c r="G50" i="267" s="1"/>
  <c r="I14" i="175"/>
  <c r="H53" i="172" s="1"/>
  <c r="J14" i="175"/>
  <c r="I53" i="172" s="1"/>
  <c r="K40" i="177"/>
  <c r="C6" i="323"/>
  <c r="C17" i="323"/>
  <c r="C7" i="272" s="1"/>
  <c r="C28" i="323"/>
  <c r="C39" i="323"/>
  <c r="C9" i="272" s="1"/>
  <c r="C50" i="323"/>
  <c r="C10" i="272" s="1"/>
  <c r="C61" i="323"/>
  <c r="C11" i="272" s="1"/>
  <c r="C72" i="323"/>
  <c r="C12" i="272" s="1"/>
  <c r="C83" i="323"/>
  <c r="C13" i="272" s="1"/>
  <c r="C94" i="323"/>
  <c r="C14" i="272" s="1"/>
  <c r="C105" i="323"/>
  <c r="C15" i="272"/>
  <c r="H6" i="323"/>
  <c r="H6" i="272" s="1"/>
  <c r="H17" i="323"/>
  <c r="H7" i="272" s="1"/>
  <c r="H28" i="323"/>
  <c r="H50" i="323"/>
  <c r="H10" i="272" s="1"/>
  <c r="H61" i="323"/>
  <c r="H11" i="272" s="1"/>
  <c r="G6" i="323"/>
  <c r="G28" i="323"/>
  <c r="G8" i="272" s="1"/>
  <c r="G39" i="323"/>
  <c r="G9" i="272" s="1"/>
  <c r="G50" i="323"/>
  <c r="G10" i="272" s="1"/>
  <c r="G61" i="323"/>
  <c r="G11" i="272" s="1"/>
  <c r="G72" i="323"/>
  <c r="G12" i="272" s="1"/>
  <c r="G83" i="323"/>
  <c r="G13" i="272" s="1"/>
  <c r="G94" i="323"/>
  <c r="G14" i="272" s="1"/>
  <c r="D6" i="323"/>
  <c r="D17" i="323"/>
  <c r="D28" i="323"/>
  <c r="D8" i="272" s="1"/>
  <c r="D39" i="323"/>
  <c r="D9" i="272" s="1"/>
  <c r="D50" i="323"/>
  <c r="D10" i="272" s="1"/>
  <c r="D61" i="323"/>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7" i="272"/>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J271" i="323"/>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4" i="323"/>
  <c r="J144" i="323" s="1"/>
  <c r="I143" i="323"/>
  <c r="J143" i="323" s="1"/>
  <c r="I142" i="323"/>
  <c r="J142"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2" i="323"/>
  <c r="J122" i="323" s="1"/>
  <c r="I121" i="323"/>
  <c r="J121" i="323" s="1"/>
  <c r="I120" i="323"/>
  <c r="J120"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4" i="323"/>
  <c r="J14" i="323" s="1"/>
  <c r="I13" i="323"/>
  <c r="J13" i="323" s="1"/>
  <c r="I12" i="323"/>
  <c r="J12" i="323" s="1"/>
  <c r="I10" i="323"/>
  <c r="J10" i="323" s="1"/>
  <c r="I9" i="323"/>
  <c r="J9" i="323" s="1"/>
  <c r="I8" i="323"/>
  <c r="J8" i="323" s="1"/>
  <c r="I7" i="323"/>
  <c r="J7" i="323" s="1"/>
  <c r="K3" i="323"/>
  <c r="J3" i="323"/>
  <c r="I3" i="323"/>
  <c r="H3" i="323"/>
  <c r="G3" i="323"/>
  <c r="F3" i="323"/>
  <c r="E3" i="323"/>
  <c r="D3" i="323"/>
  <c r="C3" i="323"/>
  <c r="A342" i="323"/>
  <c r="W170" i="323"/>
  <c r="W338" i="323"/>
  <c r="V170" i="323"/>
  <c r="V340" i="323" s="1"/>
  <c r="V338" i="323"/>
  <c r="U170" i="323"/>
  <c r="U338" i="323"/>
  <c r="T170" i="323"/>
  <c r="T338" i="323"/>
  <c r="S170" i="323"/>
  <c r="S340" i="323" s="1"/>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G7" i="272"/>
  <c r="K24" i="272"/>
  <c r="K27" i="272"/>
  <c r="K32" i="272"/>
  <c r="E24" i="272"/>
  <c r="E25" i="272"/>
  <c r="E28" i="272"/>
  <c r="D25" i="272"/>
  <c r="D26" i="272"/>
  <c r="D27" i="272"/>
  <c r="C29" i="272"/>
  <c r="E78" i="100"/>
  <c r="C3" i="272"/>
  <c r="A2" i="272"/>
  <c r="B2" i="272"/>
  <c r="F3" i="272"/>
  <c r="E3" i="272"/>
  <c r="D3" i="272"/>
  <c r="K3" i="272"/>
  <c r="J3" i="272"/>
  <c r="I3" i="272"/>
  <c r="H3" i="272"/>
  <c r="G3" i="272"/>
  <c r="A40" i="272"/>
  <c r="A41" i="272"/>
  <c r="E80" i="100"/>
  <c r="A53" i="182"/>
  <c r="I43" i="182"/>
  <c r="J43" i="182" s="1"/>
  <c r="I35" i="182"/>
  <c r="J35" i="182" s="1"/>
  <c r="I34" i="182"/>
  <c r="J34" i="182" s="1"/>
  <c r="C34" i="251" s="1"/>
  <c r="I32" i="182"/>
  <c r="J32" i="182" s="1"/>
  <c r="C32" i="251" s="1"/>
  <c r="I31" i="182"/>
  <c r="J31" i="182" s="1"/>
  <c r="C31" i="251" s="1"/>
  <c r="I30" i="182"/>
  <c r="J30" i="182" s="1"/>
  <c r="C30" i="251" s="1"/>
  <c r="I29" i="182"/>
  <c r="J29" i="182" s="1"/>
  <c r="C29" i="251" s="1"/>
  <c r="I28" i="182"/>
  <c r="J28" i="182" s="1"/>
  <c r="C28" i="251" s="1"/>
  <c r="I27" i="182"/>
  <c r="J27" i="182" s="1"/>
  <c r="C27" i="251" s="1"/>
  <c r="I26" i="182"/>
  <c r="J26" i="182" s="1"/>
  <c r="C26" i="251" s="1"/>
  <c r="I25" i="182"/>
  <c r="J25" i="182" s="1"/>
  <c r="C25" i="251" s="1"/>
  <c r="I21" i="182"/>
  <c r="J21" i="182" s="1"/>
  <c r="C23" i="251" s="1"/>
  <c r="I20" i="182"/>
  <c r="J20" i="182" s="1"/>
  <c r="C22" i="251" s="1"/>
  <c r="I18" i="182"/>
  <c r="J18" i="182" s="1"/>
  <c r="C20" i="251" s="1"/>
  <c r="I17" i="182"/>
  <c r="J17" i="182" s="1"/>
  <c r="C19" i="251" s="1"/>
  <c r="I16" i="182"/>
  <c r="J16" i="182" s="1"/>
  <c r="C18" i="251" s="1"/>
  <c r="I15" i="182"/>
  <c r="J15" i="182" s="1"/>
  <c r="C17" i="251" s="1"/>
  <c r="I12" i="182"/>
  <c r="J12" i="182" s="1"/>
  <c r="C14" i="251" s="1"/>
  <c r="A49" i="182"/>
  <c r="K3" i="182"/>
  <c r="J3" i="182"/>
  <c r="I3" i="182"/>
  <c r="H3" i="182"/>
  <c r="G3" i="182"/>
  <c r="F3" i="182"/>
  <c r="E3" i="182"/>
  <c r="D3" i="182"/>
  <c r="C3" i="182"/>
  <c r="B2" i="182"/>
  <c r="A2" i="182"/>
  <c r="A357" i="324"/>
  <c r="W171" i="324"/>
  <c r="W353" i="324"/>
  <c r="V171" i="324"/>
  <c r="V353" i="324"/>
  <c r="U171" i="324"/>
  <c r="U353" i="324"/>
  <c r="T171" i="324"/>
  <c r="T353" i="324"/>
  <c r="S171" i="324"/>
  <c r="S353" i="324"/>
  <c r="R171" i="324"/>
  <c r="R353" i="324"/>
  <c r="Q171" i="324"/>
  <c r="Q353" i="324"/>
  <c r="P171" i="324"/>
  <c r="P353" i="324"/>
  <c r="O171" i="324"/>
  <c r="O353" i="324"/>
  <c r="N171" i="324"/>
  <c r="N353" i="324"/>
  <c r="M171" i="324"/>
  <c r="M353" i="324"/>
  <c r="L171" i="324"/>
  <c r="L353" i="324"/>
  <c r="I355" i="324"/>
  <c r="J355" i="324" s="1"/>
  <c r="I353" i="324"/>
  <c r="J353" i="324" s="1"/>
  <c r="I352" i="324"/>
  <c r="J352" i="324" s="1"/>
  <c r="I351" i="324"/>
  <c r="J351" i="324" s="1"/>
  <c r="I350" i="324"/>
  <c r="J350" i="324" s="1"/>
  <c r="I349" i="324"/>
  <c r="J349" i="324" s="1"/>
  <c r="I348" i="324"/>
  <c r="J348" i="324" s="1"/>
  <c r="I347" i="324"/>
  <c r="J347" i="324" s="1"/>
  <c r="I346" i="324"/>
  <c r="J346" i="324" s="1"/>
  <c r="I345" i="324"/>
  <c r="J345" i="324" s="1"/>
  <c r="I344" i="324"/>
  <c r="J344" i="324" s="1"/>
  <c r="I342" i="324"/>
  <c r="J342" i="324" s="1"/>
  <c r="I341" i="324"/>
  <c r="J341" i="324" s="1"/>
  <c r="I340" i="324"/>
  <c r="J340" i="324" s="1"/>
  <c r="I339" i="324"/>
  <c r="J339" i="324" s="1"/>
  <c r="I338" i="324"/>
  <c r="J338" i="324" s="1"/>
  <c r="I337" i="324"/>
  <c r="J337" i="324" s="1"/>
  <c r="I336" i="324"/>
  <c r="J336" i="324" s="1"/>
  <c r="I335" i="324"/>
  <c r="J335" i="324" s="1"/>
  <c r="I334" i="324"/>
  <c r="J334" i="324" s="1"/>
  <c r="I333" i="324"/>
  <c r="J333" i="324" s="1"/>
  <c r="I331" i="324"/>
  <c r="J331" i="324" s="1"/>
  <c r="I330" i="324"/>
  <c r="J330" i="324" s="1"/>
  <c r="I329" i="324"/>
  <c r="J329" i="324" s="1"/>
  <c r="I328" i="324"/>
  <c r="J328" i="324" s="1"/>
  <c r="I327" i="324"/>
  <c r="J327" i="324" s="1"/>
  <c r="I326" i="324"/>
  <c r="J326" i="324" s="1"/>
  <c r="I325" i="324"/>
  <c r="J325" i="324" s="1"/>
  <c r="I324" i="324"/>
  <c r="J324" i="324" s="1"/>
  <c r="I323" i="324"/>
  <c r="J323" i="324" s="1"/>
  <c r="I322" i="324"/>
  <c r="J322" i="324" s="1"/>
  <c r="I320" i="324"/>
  <c r="J320" i="324" s="1"/>
  <c r="I319" i="324"/>
  <c r="J319" i="324" s="1"/>
  <c r="I318" i="324"/>
  <c r="J318" i="324" s="1"/>
  <c r="I317" i="324"/>
  <c r="J317" i="324" s="1"/>
  <c r="I316" i="324"/>
  <c r="J316" i="324" s="1"/>
  <c r="I315" i="324"/>
  <c r="J315" i="324" s="1"/>
  <c r="I314" i="324"/>
  <c r="J314" i="324" s="1"/>
  <c r="I313" i="324"/>
  <c r="J313" i="324" s="1"/>
  <c r="I312" i="324"/>
  <c r="J312" i="324" s="1"/>
  <c r="I311" i="324"/>
  <c r="J311" i="324" s="1"/>
  <c r="I309" i="324"/>
  <c r="J309" i="324" s="1"/>
  <c r="I308" i="324"/>
  <c r="J308" i="324" s="1"/>
  <c r="I307" i="324"/>
  <c r="J307" i="324" s="1"/>
  <c r="I306" i="324"/>
  <c r="J306" i="324" s="1"/>
  <c r="I305" i="324"/>
  <c r="J305" i="324" s="1"/>
  <c r="I304" i="324"/>
  <c r="J304" i="324" s="1"/>
  <c r="I298" i="324"/>
  <c r="J298" i="324" s="1"/>
  <c r="I297" i="324"/>
  <c r="J297" i="324" s="1"/>
  <c r="I296" i="324"/>
  <c r="J296" i="324" s="1"/>
  <c r="I295" i="324"/>
  <c r="J295" i="324" s="1"/>
  <c r="I294" i="324"/>
  <c r="J294" i="324" s="1"/>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s="1"/>
  <c r="I269" i="324"/>
  <c r="J269" i="324" s="1"/>
  <c r="I268" i="324"/>
  <c r="J268" i="324" s="1"/>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s="1"/>
  <c r="I244" i="324"/>
  <c r="J244" i="324" s="1"/>
  <c r="I243" i="324"/>
  <c r="J243" i="324" s="1"/>
  <c r="I242" i="324"/>
  <c r="J242" i="324" s="1"/>
  <c r="I241" i="324"/>
  <c r="J241" i="324" s="1"/>
  <c r="I240" i="324"/>
  <c r="J240" i="324" s="1"/>
  <c r="I238" i="324"/>
  <c r="J238" i="324" s="1"/>
  <c r="I237" i="324"/>
  <c r="J237" i="324" s="1"/>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I7" i="177"/>
  <c r="J7"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4" i="177"/>
  <c r="J24" i="177"/>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F17" i="180"/>
  <c r="B39" i="172" s="1"/>
  <c r="F16" i="180"/>
  <c r="B38" i="172" s="1"/>
  <c r="G6" i="180"/>
  <c r="C28" i="172" s="1"/>
  <c r="F6" i="180"/>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35" i="251"/>
  <c r="B24" i="251"/>
  <c r="B5" i="251"/>
  <c r="A61" i="251"/>
  <c r="B2" i="251"/>
  <c r="A2" i="251"/>
  <c r="E93" i="100"/>
  <c r="A5" i="181"/>
  <c r="G36" i="181"/>
  <c r="G38" i="181" s="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K38" i="181" s="1"/>
  <c r="K42" i="181" s="1"/>
  <c r="K44" i="181" s="1"/>
  <c r="F36" i="181"/>
  <c r="F38" i="181" s="1"/>
  <c r="F42" i="181" s="1"/>
  <c r="F44" i="181" s="1"/>
  <c r="E36" i="181"/>
  <c r="E38" i="181" s="1"/>
  <c r="E42" i="181" s="1"/>
  <c r="E44" i="181" s="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B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H63" i="174"/>
  <c r="H18" i="174" s="1"/>
  <c r="G63" i="174"/>
  <c r="G18" i="174" s="1"/>
  <c r="F63" i="174"/>
  <c r="F18" i="174" s="1"/>
  <c r="E63" i="174"/>
  <c r="E18" i="174" s="1"/>
  <c r="H59" i="174"/>
  <c r="F59" i="174"/>
  <c r="E59" i="174"/>
  <c r="D63" i="174"/>
  <c r="D18" i="174" s="1"/>
  <c r="D59" i="174"/>
  <c r="F53" i="174"/>
  <c r="E53" i="174"/>
  <c r="E14" i="174" s="1"/>
  <c r="H51" i="174"/>
  <c r="H50" i="174"/>
  <c r="G51" i="174"/>
  <c r="G50" i="174"/>
  <c r="F51" i="174"/>
  <c r="F50" i="174"/>
  <c r="E51" i="174"/>
  <c r="E50" i="174"/>
  <c r="D51" i="174"/>
  <c r="D50" i="174"/>
  <c r="H48" i="174"/>
  <c r="F48" i="174"/>
  <c r="E48" i="174"/>
  <c r="D48"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G41" i="270"/>
  <c r="H41" i="270"/>
  <c r="F41" i="270"/>
  <c r="E41" i="270"/>
  <c r="D41" i="270"/>
  <c r="D69" i="270" s="1"/>
  <c r="G27" i="270"/>
  <c r="H27" i="270"/>
  <c r="I28" i="270"/>
  <c r="J28" i="270" s="1"/>
  <c r="I29" i="270"/>
  <c r="J29" i="270" s="1"/>
  <c r="G30" i="270"/>
  <c r="H30" i="270"/>
  <c r="I31" i="270"/>
  <c r="J31" i="270" s="1"/>
  <c r="I37" i="270"/>
  <c r="J37" i="270" s="1"/>
  <c r="K8" i="270"/>
  <c r="K20" i="270"/>
  <c r="K27" i="270"/>
  <c r="K30" i="270"/>
  <c r="H8" i="270"/>
  <c r="H20" i="270"/>
  <c r="G8" i="270"/>
  <c r="G10" i="177" s="1"/>
  <c r="G20" i="270"/>
  <c r="F8" i="270"/>
  <c r="K21" i="317" s="1"/>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I41" i="269"/>
  <c r="J41" i="269" s="1"/>
  <c r="D41" i="269"/>
  <c r="C41" i="269"/>
  <c r="I40" i="269"/>
  <c r="J40" i="269" s="1"/>
  <c r="I39" i="269"/>
  <c r="J39" i="269" s="1"/>
  <c r="I37" i="269"/>
  <c r="J37" i="269" s="1"/>
  <c r="I36" i="269"/>
  <c r="J36" i="269" s="1"/>
  <c r="I35" i="269"/>
  <c r="J35" i="269" s="1"/>
  <c r="I34" i="269"/>
  <c r="J34" i="269" s="1"/>
  <c r="H33" i="269"/>
  <c r="G33" i="269"/>
  <c r="F33" i="269"/>
  <c r="D33" i="269"/>
  <c r="C33" i="269"/>
  <c r="K18" i="269"/>
  <c r="K24" i="269"/>
  <c r="K27" i="269"/>
  <c r="I9" i="269"/>
  <c r="J9" i="269" s="1"/>
  <c r="I10" i="269"/>
  <c r="J10" i="269" s="1"/>
  <c r="I11" i="269"/>
  <c r="J11" i="269" s="1"/>
  <c r="I12" i="269"/>
  <c r="J12" i="269" s="1"/>
  <c r="I13" i="269"/>
  <c r="J13" i="269" s="1"/>
  <c r="I14" i="269"/>
  <c r="J14" i="269" s="1"/>
  <c r="I17" i="269"/>
  <c r="J17" i="269" s="1"/>
  <c r="I19" i="269"/>
  <c r="J19" i="269" s="1"/>
  <c r="I20" i="269"/>
  <c r="J20" i="269" s="1"/>
  <c r="I21" i="269"/>
  <c r="J21" i="269" s="1"/>
  <c r="I22" i="269"/>
  <c r="J22" i="269" s="1"/>
  <c r="I23" i="269"/>
  <c r="J23" i="269" s="1"/>
  <c r="G24" i="269"/>
  <c r="H24" i="269"/>
  <c r="G27" i="269"/>
  <c r="H27" i="269"/>
  <c r="H8" i="269"/>
  <c r="H18" i="269"/>
  <c r="G8" i="269"/>
  <c r="G18" i="269"/>
  <c r="F8" i="269"/>
  <c r="F18" i="269"/>
  <c r="F24" i="269"/>
  <c r="F27" i="269"/>
  <c r="E8" i="269"/>
  <c r="E18" i="269"/>
  <c r="E27" i="269"/>
  <c r="D8" i="269"/>
  <c r="D18" i="269"/>
  <c r="D24" i="269"/>
  <c r="D27" i="269"/>
  <c r="C8" i="269"/>
  <c r="C18" i="269"/>
  <c r="C24" i="269"/>
  <c r="C27" i="269"/>
  <c r="I29" i="269"/>
  <c r="J29" i="269" s="1"/>
  <c r="I28" i="269"/>
  <c r="J28" i="269" s="1"/>
  <c r="I26" i="269"/>
  <c r="J26" i="269" s="1"/>
  <c r="I25" i="269"/>
  <c r="J25" i="269" s="1"/>
  <c r="A49" i="269"/>
  <c r="A46" i="269"/>
  <c r="A43" i="269"/>
  <c r="A29" i="269"/>
  <c r="A27" i="269"/>
  <c r="A26" i="269"/>
  <c r="A24" i="269"/>
  <c r="A23" i="269"/>
  <c r="A22" i="269"/>
  <c r="A21" i="269"/>
  <c r="A20" i="269"/>
  <c r="A19" i="269"/>
  <c r="A18"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67" i="318"/>
  <c r="K83" i="318"/>
  <c r="K99" i="318"/>
  <c r="E14" i="318"/>
  <c r="E30" i="318"/>
  <c r="E46" i="318"/>
  <c r="E67" i="318"/>
  <c r="E83" i="318"/>
  <c r="E84" i="318" s="1"/>
  <c r="E99" i="318"/>
  <c r="E100" i="318" s="1"/>
  <c r="D14" i="318"/>
  <c r="D30" i="318"/>
  <c r="D46" i="318"/>
  <c r="D67" i="318"/>
  <c r="D68" i="318" s="1"/>
  <c r="D83" i="318"/>
  <c r="D84" i="318" s="1"/>
  <c r="D99" i="318"/>
  <c r="D100" i="318" s="1"/>
  <c r="C83" i="318"/>
  <c r="C14" i="318"/>
  <c r="I98" i="318"/>
  <c r="J98" i="318" s="1"/>
  <c r="I97" i="318"/>
  <c r="J97" i="318" s="1"/>
  <c r="I96" i="318"/>
  <c r="J96" i="318" s="1"/>
  <c r="I95" i="318"/>
  <c r="J95" i="318" s="1"/>
  <c r="I94" i="318"/>
  <c r="J94" i="318" s="1"/>
  <c r="I93" i="318"/>
  <c r="J93" i="318" s="1"/>
  <c r="I88" i="318"/>
  <c r="J88" i="318" s="1"/>
  <c r="I87" i="318"/>
  <c r="J87" i="318"/>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c r="I56" i="318"/>
  <c r="J56" i="318" s="1"/>
  <c r="I55" i="318"/>
  <c r="J55" i="318"/>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46" i="317"/>
  <c r="P65" i="317" s="1"/>
  <c r="O46" i="317"/>
  <c r="O55" i="317"/>
  <c r="Q46" i="317"/>
  <c r="Q52" i="317" s="1"/>
  <c r="Q54" i="317" s="1"/>
  <c r="D46" i="317"/>
  <c r="D52" i="317" s="1"/>
  <c r="D54" i="317" s="1"/>
  <c r="C46" i="317"/>
  <c r="C52" i="317" s="1"/>
  <c r="E46" i="317"/>
  <c r="E65" i="317" s="1"/>
  <c r="F46" i="317"/>
  <c r="F52" i="317" s="1"/>
  <c r="G46" i="317"/>
  <c r="H46" i="317"/>
  <c r="I46" i="317"/>
  <c r="J46" i="317"/>
  <c r="J52" i="317" s="1"/>
  <c r="K46" i="317"/>
  <c r="L46" i="317"/>
  <c r="L52" i="317" s="1"/>
  <c r="M46" i="317"/>
  <c r="M52" i="317" s="1"/>
  <c r="M54" i="317" s="1"/>
  <c r="M66" i="317" s="1"/>
  <c r="N36" i="317"/>
  <c r="N37" i="317"/>
  <c r="N38" i="317"/>
  <c r="N39" i="317"/>
  <c r="N40" i="317"/>
  <c r="N41" i="317"/>
  <c r="N42" i="317"/>
  <c r="N43" i="317"/>
  <c r="N44" i="317"/>
  <c r="N45" i="317"/>
  <c r="N50" i="317"/>
  <c r="N51" i="317"/>
  <c r="N47" i="317"/>
  <c r="N6" i="317"/>
  <c r="N7" i="317"/>
  <c r="N8" i="317"/>
  <c r="N9" i="317"/>
  <c r="N10" i="317"/>
  <c r="N12" i="317"/>
  <c r="N13" i="317"/>
  <c r="N14" i="317"/>
  <c r="N15" i="317"/>
  <c r="N16" i="317"/>
  <c r="N18" i="317"/>
  <c r="N20" i="317"/>
  <c r="N25" i="317"/>
  <c r="N26" i="317"/>
  <c r="N27" i="317"/>
  <c r="N28" i="317"/>
  <c r="N29" i="317"/>
  <c r="N31" i="317"/>
  <c r="N32" i="317"/>
  <c r="N22" i="317"/>
  <c r="N23" i="317"/>
  <c r="A2" i="317"/>
  <c r="N53" i="317"/>
  <c r="N35" i="317"/>
  <c r="N34" i="317"/>
  <c r="B2" i="317"/>
  <c r="B46" i="317"/>
  <c r="B52" i="317" s="1"/>
  <c r="B54" i="317" s="1"/>
  <c r="A57" i="317"/>
  <c r="F9" i="241"/>
  <c r="G15" i="241"/>
  <c r="K21" i="241"/>
  <c r="B79" i="100"/>
  <c r="B97" i="100"/>
  <c r="A116" i="323"/>
  <c r="A15" i="272"/>
  <c r="A7" i="272"/>
  <c r="A30" i="272"/>
  <c r="A252" i="324"/>
  <c r="A18" i="324"/>
  <c r="A106" i="324"/>
  <c r="A15" i="268"/>
  <c r="A9" i="268"/>
  <c r="A7" i="268"/>
  <c r="A30" i="268"/>
  <c r="A26" i="268"/>
  <c r="A149" i="323"/>
  <c r="A273" i="323"/>
  <c r="A8" i="272"/>
  <c r="A24" i="272"/>
  <c r="A37" i="272"/>
  <c r="A29" i="272"/>
  <c r="A25" i="272"/>
  <c r="A270" i="324"/>
  <c r="A73" i="324"/>
  <c r="G6" i="272"/>
  <c r="I17" i="323"/>
  <c r="J17" i="323" s="1"/>
  <c r="A127" i="323"/>
  <c r="A29" i="268"/>
  <c r="A25" i="268"/>
  <c r="G19" i="241"/>
  <c r="B81" i="100"/>
  <c r="A27" i="268"/>
  <c r="G9" i="334"/>
  <c r="G45" i="334"/>
  <c r="F7" i="268"/>
  <c r="C28" i="272"/>
  <c r="H16" i="268"/>
  <c r="I16" i="268" s="1"/>
  <c r="J16" i="268" s="1"/>
  <c r="K84" i="318"/>
  <c r="C30" i="268"/>
  <c r="D17" i="272"/>
  <c r="H15" i="272"/>
  <c r="B100" i="100"/>
  <c r="I63" i="335"/>
  <c r="J63" i="335" s="1"/>
  <c r="I99" i="335"/>
  <c r="J99" i="335" s="1"/>
  <c r="I130" i="335"/>
  <c r="J130" i="335" s="1"/>
  <c r="I157" i="335"/>
  <c r="J157" i="335" s="1"/>
  <c r="E117" i="333"/>
  <c r="I163" i="333"/>
  <c r="J163" i="333" s="1"/>
  <c r="E75" i="333"/>
  <c r="F110" i="333"/>
  <c r="I154" i="325"/>
  <c r="J154" i="325" s="1"/>
  <c r="C75" i="325"/>
  <c r="I103" i="325"/>
  <c r="J103" i="325" s="1"/>
  <c r="E110" i="325"/>
  <c r="H117" i="325"/>
  <c r="F110" i="326"/>
  <c r="E110" i="326"/>
  <c r="I17" i="326"/>
  <c r="J17" i="326" s="1"/>
  <c r="I114" i="326"/>
  <c r="J114" i="326" s="1"/>
  <c r="I154" i="326"/>
  <c r="J154" i="326" s="1"/>
  <c r="I157" i="326"/>
  <c r="J157" i="326" s="1"/>
  <c r="C117" i="326"/>
  <c r="D110" i="326"/>
  <c r="H110" i="326"/>
  <c r="I140" i="326"/>
  <c r="J140" i="326" s="1"/>
  <c r="G7" i="326"/>
  <c r="E75" i="326"/>
  <c r="H138" i="326"/>
  <c r="I138" i="326" s="1"/>
  <c r="J138" i="326" s="1"/>
  <c r="I163" i="242"/>
  <c r="J163" i="242" s="1"/>
  <c r="I160" i="242"/>
  <c r="J160" i="242" s="1"/>
  <c r="C75" i="242"/>
  <c r="F117" i="242"/>
  <c r="I135" i="242"/>
  <c r="J135" i="242" s="1"/>
  <c r="F110" i="242"/>
  <c r="I63" i="242"/>
  <c r="J63" i="242" s="1"/>
  <c r="D11" i="241"/>
  <c r="C21" i="241"/>
  <c r="G11" i="241"/>
  <c r="H55" i="174"/>
  <c r="H27" i="174" s="1"/>
  <c r="I53" i="242"/>
  <c r="J53" i="242" s="1"/>
  <c r="I114" i="242"/>
  <c r="J114" i="242" s="1"/>
  <c r="I53" i="325"/>
  <c r="J53" i="325" s="1"/>
  <c r="A44" i="269"/>
  <c r="D6" i="272"/>
  <c r="G39" i="334"/>
  <c r="I22" i="181"/>
  <c r="J22" i="181" s="1"/>
  <c r="C6" i="272"/>
  <c r="C36" i="267"/>
  <c r="C40" i="267"/>
  <c r="A20" i="268"/>
  <c r="A161" i="324"/>
  <c r="G6" i="268"/>
  <c r="H8" i="268"/>
  <c r="G37" i="241"/>
  <c r="A207" i="323"/>
  <c r="A40" i="324"/>
  <c r="A27" i="272"/>
  <c r="A209" i="324"/>
  <c r="I140" i="242"/>
  <c r="J140" i="242" s="1"/>
  <c r="G110" i="326"/>
  <c r="I111" i="326"/>
  <c r="J111" i="326" s="1"/>
  <c r="B99" i="100"/>
  <c r="B94" i="100"/>
  <c r="A39" i="323"/>
  <c r="A6" i="268"/>
  <c r="A9" i="272"/>
  <c r="A138" i="323"/>
  <c r="B77" i="100"/>
  <c r="B93" i="100"/>
  <c r="C38" i="267"/>
  <c r="A310" i="324"/>
  <c r="A24" i="268"/>
  <c r="G46" i="334"/>
  <c r="C110" i="325"/>
  <c r="I53" i="335"/>
  <c r="J53" i="335" s="1"/>
  <c r="A240" i="323"/>
  <c r="E7" i="333"/>
  <c r="O22" i="238"/>
  <c r="I148" i="335"/>
  <c r="J148" i="335" s="1"/>
  <c r="H235" i="330"/>
  <c r="H47" i="241" s="1"/>
  <c r="H214" i="330"/>
  <c r="H42" i="241" s="1"/>
  <c r="I42" i="241" s="1"/>
  <c r="J42" i="241" s="1"/>
  <c r="D197" i="330"/>
  <c r="I210" i="330"/>
  <c r="J210" i="330" s="1"/>
  <c r="H177" i="330"/>
  <c r="H36" i="241" s="1"/>
  <c r="H149" i="330"/>
  <c r="H34" i="241" s="1"/>
  <c r="H32" i="241"/>
  <c r="H132" i="330"/>
  <c r="I136" i="330"/>
  <c r="J136" i="330" s="1"/>
  <c r="H118" i="330"/>
  <c r="I118" i="330" s="1"/>
  <c r="J118" i="330" s="1"/>
  <c r="D22" i="241"/>
  <c r="H87" i="330"/>
  <c r="I88" i="330"/>
  <c r="J88" i="330" s="1"/>
  <c r="C16" i="241"/>
  <c r="D15" i="241"/>
  <c r="H55" i="330"/>
  <c r="C26" i="330"/>
  <c r="H10" i="330"/>
  <c r="H8" i="241" s="1"/>
  <c r="I11" i="330"/>
  <c r="J11" i="330" s="1"/>
  <c r="I150" i="324"/>
  <c r="J150" i="324" s="1"/>
  <c r="L355" i="324"/>
  <c r="P355" i="324"/>
  <c r="A35" i="272"/>
  <c r="A17" i="272"/>
  <c r="A35" i="268"/>
  <c r="A17" i="268"/>
  <c r="A295" i="323"/>
  <c r="A13" i="268"/>
  <c r="A343" i="324"/>
  <c r="A61" i="323"/>
  <c r="A33" i="268"/>
  <c r="A292" i="324"/>
  <c r="A31" i="272"/>
  <c r="A20" i="272"/>
  <c r="A19" i="268"/>
  <c r="A19" i="272"/>
  <c r="A13" i="272"/>
  <c r="A328" i="323"/>
  <c r="A38" i="272"/>
  <c r="A31" i="268"/>
  <c r="A332" i="324"/>
  <c r="A33" i="272"/>
  <c r="A11" i="268"/>
  <c r="A150" i="324"/>
  <c r="A11" i="272"/>
  <c r="A317" i="323"/>
  <c r="A84" i="324"/>
  <c r="A251" i="323"/>
  <c r="A38" i="268"/>
  <c r="A62" i="324"/>
  <c r="A239" i="324"/>
  <c r="I114" i="333"/>
  <c r="J114" i="333" s="1"/>
  <c r="G110" i="333"/>
  <c r="D39" i="177"/>
  <c r="D41" i="177" s="1"/>
  <c r="C46" i="267" s="1"/>
  <c r="H53" i="174"/>
  <c r="H14" i="174" s="1"/>
  <c r="H198" i="324"/>
  <c r="H26" i="268" s="1"/>
  <c r="I332" i="324"/>
  <c r="J332" i="324" s="1"/>
  <c r="H209" i="324"/>
  <c r="H27" i="268" s="1"/>
  <c r="I205" i="324"/>
  <c r="J205" i="324" s="1"/>
  <c r="H116" i="323"/>
  <c r="H16" i="272" s="1"/>
  <c r="H94" i="323"/>
  <c r="H14" i="272" s="1"/>
  <c r="I86" i="323"/>
  <c r="J86" i="323" s="1"/>
  <c r="H72" i="323"/>
  <c r="I72" i="323" s="1"/>
  <c r="J72" i="323" s="1"/>
  <c r="H9" i="272"/>
  <c r="I42" i="323"/>
  <c r="J42" i="323" s="1"/>
  <c r="D7" i="272"/>
  <c r="E10" i="241"/>
  <c r="E26" i="330"/>
  <c r="D110" i="335"/>
  <c r="D117" i="335"/>
  <c r="E117" i="335"/>
  <c r="C75" i="335"/>
  <c r="C7" i="335"/>
  <c r="C166" i="335" s="1"/>
  <c r="C117" i="325"/>
  <c r="I130" i="325"/>
  <c r="J130" i="325" s="1"/>
  <c r="D117" i="325"/>
  <c r="C7" i="326"/>
  <c r="I148" i="326"/>
  <c r="J148" i="326" s="1"/>
  <c r="I130" i="242"/>
  <c r="J130" i="242" s="1"/>
  <c r="P52" i="317"/>
  <c r="P54" i="317" s="1"/>
  <c r="P66" i="317" s="1"/>
  <c r="K110" i="333"/>
  <c r="I111" i="333"/>
  <c r="J111" i="333" s="1"/>
  <c r="C7" i="333"/>
  <c r="I30" i="270"/>
  <c r="J30" i="270" s="1"/>
  <c r="L65" i="317" l="1"/>
  <c r="I27" i="326"/>
  <c r="J27" i="326" s="1"/>
  <c r="E117" i="326"/>
  <c r="D7" i="325"/>
  <c r="C39" i="241"/>
  <c r="I18" i="269"/>
  <c r="J18" i="269" s="1"/>
  <c r="I226" i="330"/>
  <c r="J226" i="330" s="1"/>
  <c r="A50" i="323"/>
  <c r="A218" i="323"/>
  <c r="E50" i="269"/>
  <c r="W340" i="323"/>
  <c r="E13" i="174"/>
  <c r="C7" i="325"/>
  <c r="I69" i="335"/>
  <c r="J69" i="335" s="1"/>
  <c r="K13" i="325"/>
  <c r="K209" i="330"/>
  <c r="K41" i="241" s="1"/>
  <c r="K189" i="330"/>
  <c r="K38" i="241" s="1"/>
  <c r="K171" i="330"/>
  <c r="K35" i="241" s="1"/>
  <c r="K67" i="330"/>
  <c r="K15" i="241" s="1"/>
  <c r="K55" i="330"/>
  <c r="K13" i="241" s="1"/>
  <c r="K49" i="330"/>
  <c r="K12" i="241" s="1"/>
  <c r="K27" i="330"/>
  <c r="K11" i="241" s="1"/>
  <c r="E75" i="330"/>
  <c r="F52" i="174"/>
  <c r="F13" i="174" s="1"/>
  <c r="C31" i="183"/>
  <c r="D41" i="178"/>
  <c r="K339" i="323"/>
  <c r="D75" i="242"/>
  <c r="E110" i="242"/>
  <c r="C117" i="242"/>
  <c r="F75" i="326"/>
  <c r="I103" i="326"/>
  <c r="J103" i="326" s="1"/>
  <c r="K110" i="326"/>
  <c r="D7" i="335"/>
  <c r="F7" i="326"/>
  <c r="A139" i="324"/>
  <c r="B13" i="100"/>
  <c r="P3" i="317" s="1"/>
  <c r="D31" i="318"/>
  <c r="D49" i="174"/>
  <c r="P340" i="323"/>
  <c r="K252" i="324"/>
  <c r="K30" i="268" s="1"/>
  <c r="K53" i="268"/>
  <c r="A28" i="272"/>
  <c r="A220" i="324"/>
  <c r="D7" i="242"/>
  <c r="D166" i="242" s="1"/>
  <c r="G19" i="182"/>
  <c r="I128" i="324"/>
  <c r="J128" i="324" s="1"/>
  <c r="I295" i="323"/>
  <c r="J295" i="323" s="1"/>
  <c r="I62" i="270"/>
  <c r="J62" i="270" s="1"/>
  <c r="E10" i="174"/>
  <c r="M340" i="323"/>
  <c r="Q340" i="323"/>
  <c r="U340" i="323"/>
  <c r="E7" i="326"/>
  <c r="E166" i="326" s="1"/>
  <c r="I114" i="325"/>
  <c r="J114" i="325" s="1"/>
  <c r="D7" i="333"/>
  <c r="K68" i="318"/>
  <c r="I43" i="183"/>
  <c r="J43" i="183" s="1"/>
  <c r="C33" i="241"/>
  <c r="K33" i="317"/>
  <c r="H38" i="272"/>
  <c r="I38" i="272" s="1"/>
  <c r="J38" i="272" s="1"/>
  <c r="K52" i="317"/>
  <c r="K38" i="272"/>
  <c r="I185" i="323"/>
  <c r="J185" i="323" s="1"/>
  <c r="K65" i="317"/>
  <c r="E22" i="241"/>
  <c r="E20" i="241" s="1"/>
  <c r="E99" i="330"/>
  <c r="C29" i="172"/>
  <c r="G8" i="180"/>
  <c r="D36" i="241"/>
  <c r="D148" i="330"/>
  <c r="D44" i="241"/>
  <c r="D43" i="241" s="1"/>
  <c r="D221" i="330"/>
  <c r="C7" i="242"/>
  <c r="E197" i="330"/>
  <c r="I59" i="270"/>
  <c r="J59" i="270" s="1"/>
  <c r="J18" i="267"/>
  <c r="J19" i="267" s="1"/>
  <c r="C10" i="241"/>
  <c r="D30" i="269"/>
  <c r="D18" i="241"/>
  <c r="D16" i="241" s="1"/>
  <c r="D75" i="330"/>
  <c r="A1" i="331"/>
  <c r="B4" i="331"/>
  <c r="B8" i="331" s="1"/>
  <c r="A1" i="328"/>
  <c r="H7" i="268"/>
  <c r="I7" i="268" s="1"/>
  <c r="J7" i="268" s="1"/>
  <c r="I18" i="324"/>
  <c r="J18" i="324" s="1"/>
  <c r="A6" i="272"/>
  <c r="A176" i="324"/>
  <c r="A174" i="323"/>
  <c r="A6" i="323"/>
  <c r="A7" i="324"/>
  <c r="B29" i="267"/>
  <c r="B33" i="267" s="1"/>
  <c r="I106" i="324"/>
  <c r="J106" i="324" s="1"/>
  <c r="D29" i="241"/>
  <c r="I157" i="242"/>
  <c r="J157" i="242" s="1"/>
  <c r="I17" i="335"/>
  <c r="J17" i="335" s="1"/>
  <c r="A12" i="268"/>
  <c r="A14" i="268"/>
  <c r="A51" i="324"/>
  <c r="A12" i="272"/>
  <c r="A36" i="268"/>
  <c r="A283" i="324"/>
  <c r="A94" i="323"/>
  <c r="E68" i="318"/>
  <c r="C30" i="269"/>
  <c r="E30" i="269"/>
  <c r="E52" i="269" s="1"/>
  <c r="H30" i="269"/>
  <c r="H49" i="174"/>
  <c r="H10" i="174" s="1"/>
  <c r="E31" i="183"/>
  <c r="L340" i="323"/>
  <c r="D117" i="242"/>
  <c r="I36" i="272"/>
  <c r="J36" i="272" s="1"/>
  <c r="D75" i="325"/>
  <c r="I160" i="325"/>
  <c r="J160" i="325" s="1"/>
  <c r="I135" i="333"/>
  <c r="J135" i="333" s="1"/>
  <c r="I114" i="335"/>
  <c r="J114" i="335" s="1"/>
  <c r="I8" i="326"/>
  <c r="J8" i="326" s="1"/>
  <c r="O12" i="238"/>
  <c r="O24" i="238" s="1"/>
  <c r="K45" i="326"/>
  <c r="K13" i="326"/>
  <c r="K69" i="325"/>
  <c r="K76" i="325"/>
  <c r="K75" i="325" s="1"/>
  <c r="K118" i="325"/>
  <c r="I99" i="318"/>
  <c r="J99" i="318" s="1"/>
  <c r="G110" i="325"/>
  <c r="I321" i="324"/>
  <c r="I36" i="268" s="1"/>
  <c r="J36" i="268" s="1"/>
  <c r="A8" i="268"/>
  <c r="C148" i="330"/>
  <c r="A32" i="272"/>
  <c r="A18" i="272"/>
  <c r="A29" i="324"/>
  <c r="A321" i="324"/>
  <c r="D50" i="269"/>
  <c r="D31" i="183"/>
  <c r="J29" i="267"/>
  <c r="A196" i="323"/>
  <c r="A18" i="268"/>
  <c r="H17" i="174"/>
  <c r="F22" i="334"/>
  <c r="G22" i="334" s="1"/>
  <c r="A306" i="323"/>
  <c r="A26" i="272"/>
  <c r="G69" i="270"/>
  <c r="G11" i="177" s="1"/>
  <c r="I11" i="177" s="1"/>
  <c r="J11" i="177" s="1"/>
  <c r="F31" i="183"/>
  <c r="E43" i="241"/>
  <c r="E16" i="241"/>
  <c r="I151" i="326"/>
  <c r="J151" i="326" s="1"/>
  <c r="I69" i="325"/>
  <c r="J69" i="325" s="1"/>
  <c r="E75" i="325"/>
  <c r="G117" i="335"/>
  <c r="K13" i="335"/>
  <c r="K38" i="335"/>
  <c r="K103" i="335"/>
  <c r="K118" i="335"/>
  <c r="K130" i="335"/>
  <c r="D75" i="335"/>
  <c r="D166" i="335" s="1"/>
  <c r="K17" i="333"/>
  <c r="K8" i="333"/>
  <c r="A28" i="268"/>
  <c r="C166" i="242"/>
  <c r="J6" i="180"/>
  <c r="I13" i="268"/>
  <c r="J13" i="268" s="1"/>
  <c r="H37" i="241"/>
  <c r="I37" i="241" s="1"/>
  <c r="J37" i="241" s="1"/>
  <c r="I140" i="333"/>
  <c r="J140" i="333" s="1"/>
  <c r="K63" i="326"/>
  <c r="K103" i="325"/>
  <c r="K114" i="325"/>
  <c r="K110" i="325" s="1"/>
  <c r="D128" i="330"/>
  <c r="C197" i="330"/>
  <c r="E221" i="330"/>
  <c r="I84" i="324"/>
  <c r="J84" i="324" s="1"/>
  <c r="C106" i="318"/>
  <c r="D15" i="318"/>
  <c r="C50" i="269"/>
  <c r="I27" i="270"/>
  <c r="J27" i="270" s="1"/>
  <c r="T355" i="324"/>
  <c r="N340" i="323"/>
  <c r="I38" i="326"/>
  <c r="J38" i="326" s="1"/>
  <c r="I111" i="325"/>
  <c r="J111" i="325" s="1"/>
  <c r="K140" i="326"/>
  <c r="K138" i="326" s="1"/>
  <c r="K8" i="335"/>
  <c r="K47" i="268"/>
  <c r="K8" i="242"/>
  <c r="K103" i="242"/>
  <c r="K13" i="242"/>
  <c r="K38" i="326"/>
  <c r="I13" i="242"/>
  <c r="J13" i="242" s="1"/>
  <c r="H117" i="326"/>
  <c r="H7" i="326"/>
  <c r="I7" i="326" s="1"/>
  <c r="J7" i="326" s="1"/>
  <c r="I19" i="272"/>
  <c r="J19" i="272" s="1"/>
  <c r="I138" i="323"/>
  <c r="J138" i="323" s="1"/>
  <c r="B103" i="100"/>
  <c r="A26" i="172" s="1"/>
  <c r="B102" i="100"/>
  <c r="A1" i="172" s="1"/>
  <c r="B3" i="100"/>
  <c r="C75" i="330"/>
  <c r="I110" i="326"/>
  <c r="J110" i="326" s="1"/>
  <c r="C166" i="325"/>
  <c r="H102" i="318"/>
  <c r="C69" i="270"/>
  <c r="G31" i="183"/>
  <c r="I16" i="183"/>
  <c r="E39" i="241"/>
  <c r="H11" i="268"/>
  <c r="I11" i="268" s="1"/>
  <c r="J11" i="268" s="1"/>
  <c r="I62" i="324"/>
  <c r="J62" i="324" s="1"/>
  <c r="C49" i="318"/>
  <c r="C104" i="318" s="1"/>
  <c r="F172" i="324"/>
  <c r="C102" i="318"/>
  <c r="D47" i="318"/>
  <c r="E102" i="318"/>
  <c r="D38" i="270"/>
  <c r="D71" i="270" s="1"/>
  <c r="J38" i="267"/>
  <c r="G41" i="178"/>
  <c r="D33" i="241"/>
  <c r="D74" i="268"/>
  <c r="C29" i="267"/>
  <c r="C33" i="267" s="1"/>
  <c r="F21" i="267"/>
  <c r="H21" i="267" s="1"/>
  <c r="I21" i="267" s="1"/>
  <c r="A44" i="334"/>
  <c r="I52" i="270"/>
  <c r="J52" i="270" s="1"/>
  <c r="B82" i="100"/>
  <c r="B96" i="100"/>
  <c r="B80" i="100"/>
  <c r="A1" i="182" s="1"/>
  <c r="C11" i="267"/>
  <c r="G10" i="334"/>
  <c r="F8" i="334"/>
  <c r="G8" i="334" s="1"/>
  <c r="G19" i="334"/>
  <c r="F16" i="334"/>
  <c r="G16" i="334" s="1"/>
  <c r="D102" i="318"/>
  <c r="E15" i="318"/>
  <c r="F102" i="318"/>
  <c r="B38" i="267"/>
  <c r="D53" i="174"/>
  <c r="D14" i="174" s="1"/>
  <c r="D7" i="241"/>
  <c r="D6" i="330"/>
  <c r="B14" i="100"/>
  <c r="Q3" i="317" s="1"/>
  <c r="B2" i="100"/>
  <c r="D106" i="318"/>
  <c r="I65" i="317"/>
  <c r="I52" i="317"/>
  <c r="B12" i="100"/>
  <c r="O3" i="317" s="1"/>
  <c r="I343" i="324"/>
  <c r="I24" i="269"/>
  <c r="J24" i="269" s="1"/>
  <c r="I149" i="323"/>
  <c r="J149" i="323" s="1"/>
  <c r="D23" i="241"/>
  <c r="D20" i="241" s="1"/>
  <c r="D99" i="330"/>
  <c r="C22" i="241"/>
  <c r="C20" i="241" s="1"/>
  <c r="C99" i="330"/>
  <c r="A33" i="269"/>
  <c r="X38" i="329"/>
  <c r="H69" i="270"/>
  <c r="B28" i="172"/>
  <c r="F7" i="180"/>
  <c r="H7" i="180" s="1"/>
  <c r="H6" i="180"/>
  <c r="I6" i="180" s="1"/>
  <c r="C6" i="241"/>
  <c r="G110" i="242"/>
  <c r="K10" i="241"/>
  <c r="H110" i="242"/>
  <c r="I111" i="335"/>
  <c r="J111" i="335" s="1"/>
  <c r="I163" i="335"/>
  <c r="J163" i="335" s="1"/>
  <c r="K17" i="242"/>
  <c r="K38" i="242"/>
  <c r="K45" i="242"/>
  <c r="K140" i="333"/>
  <c r="K138" i="333" s="1"/>
  <c r="K118" i="333"/>
  <c r="K76" i="333"/>
  <c r="K63" i="333"/>
  <c r="K45" i="333"/>
  <c r="K177" i="330"/>
  <c r="K36" i="241" s="1"/>
  <c r="K149" i="330"/>
  <c r="A95" i="324"/>
  <c r="A185" i="323"/>
  <c r="A28" i="323"/>
  <c r="E31" i="318"/>
  <c r="I27" i="269"/>
  <c r="J27" i="269" s="1"/>
  <c r="H31" i="183"/>
  <c r="D63" i="268"/>
  <c r="C39" i="177"/>
  <c r="C41" i="177" s="1"/>
  <c r="B46" i="267" s="1"/>
  <c r="G117" i="242"/>
  <c r="D117" i="326"/>
  <c r="F117" i="325"/>
  <c r="E110" i="333"/>
  <c r="C117" i="333"/>
  <c r="I45" i="335"/>
  <c r="J45" i="335" s="1"/>
  <c r="K110" i="335"/>
  <c r="K27" i="242"/>
  <c r="K118" i="242"/>
  <c r="K117" i="242" s="1"/>
  <c r="K111" i="242"/>
  <c r="K110" i="242" s="1"/>
  <c r="C75" i="333"/>
  <c r="F117" i="335"/>
  <c r="K18" i="177"/>
  <c r="K46" i="318"/>
  <c r="K47" i="318" s="1"/>
  <c r="K41" i="270"/>
  <c r="K69" i="270" s="1"/>
  <c r="H148" i="333"/>
  <c r="F149" i="333"/>
  <c r="F148" i="333" s="1"/>
  <c r="G63" i="333"/>
  <c r="I63" i="333" s="1"/>
  <c r="J63" i="333" s="1"/>
  <c r="K53" i="326"/>
  <c r="K69" i="326"/>
  <c r="K17" i="326"/>
  <c r="K8" i="325"/>
  <c r="K17" i="325"/>
  <c r="K27" i="325"/>
  <c r="K38" i="325"/>
  <c r="K45" i="325"/>
  <c r="K63" i="325"/>
  <c r="K198" i="330"/>
  <c r="K40" i="241" s="1"/>
  <c r="E63" i="268"/>
  <c r="M355" i="324"/>
  <c r="Q355" i="324"/>
  <c r="U355" i="324"/>
  <c r="T340" i="323"/>
  <c r="A32" i="268"/>
  <c r="I13" i="325"/>
  <c r="J13" i="325" s="1"/>
  <c r="E7" i="325"/>
  <c r="K30" i="318"/>
  <c r="K31" i="318" s="1"/>
  <c r="K140" i="242"/>
  <c r="K138" i="242" s="1"/>
  <c r="H151" i="333"/>
  <c r="F152" i="333"/>
  <c r="F151" i="333" s="1"/>
  <c r="F63" i="333"/>
  <c r="F7" i="333" s="1"/>
  <c r="K17" i="335"/>
  <c r="K45" i="335"/>
  <c r="K53" i="335"/>
  <c r="K63" i="335"/>
  <c r="K69" i="335"/>
  <c r="K140" i="335"/>
  <c r="K138" i="335" s="1"/>
  <c r="K108" i="330"/>
  <c r="K23" i="241" s="1"/>
  <c r="K20" i="241" s="1"/>
  <c r="K92" i="330"/>
  <c r="K19" i="241" s="1"/>
  <c r="I160" i="326"/>
  <c r="J160" i="326" s="1"/>
  <c r="D110" i="325"/>
  <c r="D166" i="325" s="1"/>
  <c r="I160" i="333"/>
  <c r="J160" i="333" s="1"/>
  <c r="E75" i="335"/>
  <c r="I103" i="335"/>
  <c r="J103" i="335" s="1"/>
  <c r="I53" i="326"/>
  <c r="J53" i="326" s="1"/>
  <c r="K14" i="318"/>
  <c r="K53" i="242"/>
  <c r="F155" i="333"/>
  <c r="F154" i="333" s="1"/>
  <c r="K99" i="333"/>
  <c r="K69" i="333"/>
  <c r="K53" i="333"/>
  <c r="K38" i="333"/>
  <c r="K27" i="333"/>
  <c r="K76" i="330"/>
  <c r="A10" i="268"/>
  <c r="A187" i="324"/>
  <c r="A14" i="272"/>
  <c r="I44" i="269"/>
  <c r="J44" i="269" s="1"/>
  <c r="B11" i="267"/>
  <c r="B18" i="267"/>
  <c r="B19" i="267" s="1"/>
  <c r="J11" i="267"/>
  <c r="B5" i="100"/>
  <c r="C75" i="326"/>
  <c r="C166" i="326" s="1"/>
  <c r="G117" i="326"/>
  <c r="I13" i="335"/>
  <c r="J13" i="335" s="1"/>
  <c r="E110" i="335"/>
  <c r="K57" i="268"/>
  <c r="H157" i="333"/>
  <c r="F158" i="333"/>
  <c r="F157" i="333" s="1"/>
  <c r="K152" i="333"/>
  <c r="K151" i="333" s="1"/>
  <c r="D39" i="241"/>
  <c r="E30" i="272"/>
  <c r="E339" i="323"/>
  <c r="C29" i="241"/>
  <c r="D75" i="326"/>
  <c r="F110" i="335"/>
  <c r="K50" i="269"/>
  <c r="F103" i="333"/>
  <c r="K130" i="326"/>
  <c r="K130" i="325"/>
  <c r="K140" i="325"/>
  <c r="K138" i="325" s="1"/>
  <c r="J21" i="317"/>
  <c r="F10" i="177"/>
  <c r="G38" i="270"/>
  <c r="I10" i="177"/>
  <c r="J10" i="177" s="1"/>
  <c r="K21" i="272"/>
  <c r="K171" i="323"/>
  <c r="H26" i="174"/>
  <c r="H28" i="174"/>
  <c r="J65" i="317"/>
  <c r="I7" i="241"/>
  <c r="J7" i="241" s="1"/>
  <c r="I76" i="335"/>
  <c r="J76" i="335" s="1"/>
  <c r="K176" i="324"/>
  <c r="I6" i="268"/>
  <c r="J6" i="268" s="1"/>
  <c r="I37" i="268"/>
  <c r="J37" i="268" s="1"/>
  <c r="F44" i="334"/>
  <c r="G44" i="334" s="1"/>
  <c r="E47" i="334"/>
  <c r="D47" i="334"/>
  <c r="F38" i="334"/>
  <c r="G38" i="334" s="1"/>
  <c r="C47" i="334"/>
  <c r="D28" i="334"/>
  <c r="F31" i="334"/>
  <c r="G31" i="334" s="1"/>
  <c r="E28" i="334"/>
  <c r="C28" i="334"/>
  <c r="E38" i="270"/>
  <c r="K76" i="335"/>
  <c r="F76" i="242"/>
  <c r="F75" i="242" s="1"/>
  <c r="E75" i="242"/>
  <c r="K8" i="269"/>
  <c r="K30" i="269" s="1"/>
  <c r="K52" i="269" s="1"/>
  <c r="E39" i="177"/>
  <c r="E41" i="177" s="1"/>
  <c r="D46" i="267" s="1"/>
  <c r="J43" i="267"/>
  <c r="K39" i="177"/>
  <c r="K41" i="177" s="1"/>
  <c r="J46" i="267" s="1"/>
  <c r="F49" i="174"/>
  <c r="F10" i="174" s="1"/>
  <c r="E41" i="178"/>
  <c r="K53" i="182"/>
  <c r="H57" i="174"/>
  <c r="H13" i="267"/>
  <c r="I13" i="267" s="1"/>
  <c r="D11" i="267"/>
  <c r="I262" i="323"/>
  <c r="J262" i="323" s="1"/>
  <c r="I174" i="323"/>
  <c r="J174" i="323" s="1"/>
  <c r="E171" i="323"/>
  <c r="E33" i="241"/>
  <c r="E148" i="330"/>
  <c r="K34" i="241"/>
  <c r="E29" i="241"/>
  <c r="K17" i="241"/>
  <c r="K10" i="330"/>
  <c r="K8" i="241" s="1"/>
  <c r="K6" i="241" s="1"/>
  <c r="K99" i="335"/>
  <c r="K27" i="335"/>
  <c r="K118" i="326"/>
  <c r="K8" i="326"/>
  <c r="K76" i="242"/>
  <c r="K75" i="242" s="1"/>
  <c r="K220" i="324"/>
  <c r="K28" i="268" s="1"/>
  <c r="G99" i="333"/>
  <c r="I99" i="333" s="1"/>
  <c r="J99" i="333" s="1"/>
  <c r="I187" i="324"/>
  <c r="I25" i="268" s="1"/>
  <c r="J25" i="268" s="1"/>
  <c r="F128" i="330"/>
  <c r="I38" i="325"/>
  <c r="J38" i="325" s="1"/>
  <c r="I33" i="317"/>
  <c r="E128" i="330"/>
  <c r="K31" i="241"/>
  <c r="K29" i="241" s="1"/>
  <c r="K128" i="330"/>
  <c r="C128" i="330"/>
  <c r="C6" i="330"/>
  <c r="C125" i="330" s="1"/>
  <c r="D26" i="175"/>
  <c r="D27" i="175" s="1"/>
  <c r="H110" i="333"/>
  <c r="I110" i="333" s="1"/>
  <c r="J110" i="333" s="1"/>
  <c r="H138" i="333"/>
  <c r="I138" i="333" s="1"/>
  <c r="J138" i="333" s="1"/>
  <c r="I118" i="326"/>
  <c r="J118" i="326" s="1"/>
  <c r="D39" i="272"/>
  <c r="D339" i="323"/>
  <c r="I251" i="323"/>
  <c r="J251" i="323" s="1"/>
  <c r="I16" i="272"/>
  <c r="J16" i="272" s="1"/>
  <c r="L21" i="175"/>
  <c r="F148" i="330"/>
  <c r="G75" i="330"/>
  <c r="I87" i="330"/>
  <c r="J87" i="330" s="1"/>
  <c r="G16" i="241"/>
  <c r="F53" i="172"/>
  <c r="G26" i="175"/>
  <c r="G27" i="175" s="1"/>
  <c r="E21" i="317"/>
  <c r="E33" i="317" s="1"/>
  <c r="G21" i="317"/>
  <c r="G75" i="335"/>
  <c r="F75" i="333"/>
  <c r="G49" i="318"/>
  <c r="F117" i="333"/>
  <c r="I16" i="180"/>
  <c r="I17" i="180"/>
  <c r="J16" i="180"/>
  <c r="H16" i="180"/>
  <c r="G28" i="177"/>
  <c r="F44" i="267" s="1"/>
  <c r="H44" i="267" s="1"/>
  <c r="I44" i="267" s="1"/>
  <c r="F29" i="267"/>
  <c r="F33" i="267" s="1"/>
  <c r="I100" i="333"/>
  <c r="J100" i="333" s="1"/>
  <c r="G69" i="333"/>
  <c r="I27" i="325"/>
  <c r="J27" i="325" s="1"/>
  <c r="G29" i="267"/>
  <c r="I70" i="268"/>
  <c r="J70" i="268" s="1"/>
  <c r="I67" i="330"/>
  <c r="J67" i="330" s="1"/>
  <c r="A1" i="268"/>
  <c r="B61" i="100"/>
  <c r="A1" i="325" s="1"/>
  <c r="A1" i="272"/>
  <c r="E354" i="324"/>
  <c r="I292" i="324"/>
  <c r="I33" i="268" s="1"/>
  <c r="J33" i="268" s="1"/>
  <c r="E29" i="267"/>
  <c r="E33" i="267" s="1"/>
  <c r="F27" i="177"/>
  <c r="F28" i="177" s="1"/>
  <c r="E44" i="267" s="1"/>
  <c r="N49" i="317"/>
  <c r="G65" i="317"/>
  <c r="I45" i="325"/>
  <c r="J45" i="325" s="1"/>
  <c r="I14" i="272"/>
  <c r="J14" i="272" s="1"/>
  <c r="G32" i="272"/>
  <c r="I32" i="272" s="1"/>
  <c r="J32" i="272" s="1"/>
  <c r="I83" i="323"/>
  <c r="J83" i="323" s="1"/>
  <c r="I47" i="241"/>
  <c r="J47" i="241" s="1"/>
  <c r="I214" i="330"/>
  <c r="J214" i="330" s="1"/>
  <c r="I129" i="330"/>
  <c r="J129" i="330" s="1"/>
  <c r="F30" i="241"/>
  <c r="F29" i="241" s="1"/>
  <c r="G99" i="330"/>
  <c r="G20" i="241"/>
  <c r="F99" i="330"/>
  <c r="F16" i="241"/>
  <c r="F75" i="330"/>
  <c r="F26" i="330"/>
  <c r="I64" i="330"/>
  <c r="J64" i="330" s="1"/>
  <c r="F6" i="330"/>
  <c r="I146" i="330"/>
  <c r="J146" i="330" s="1"/>
  <c r="I30" i="241"/>
  <c r="J30" i="241" s="1"/>
  <c r="H25" i="241"/>
  <c r="I25" i="241" s="1"/>
  <c r="J25" i="241" s="1"/>
  <c r="H18" i="241"/>
  <c r="I18" i="241" s="1"/>
  <c r="J18" i="241" s="1"/>
  <c r="I24" i="330"/>
  <c r="J24" i="330" s="1"/>
  <c r="H15" i="267"/>
  <c r="I15" i="267" s="1"/>
  <c r="H24" i="267"/>
  <c r="I24" i="267" s="1"/>
  <c r="H10" i="267"/>
  <c r="I10" i="267" s="1"/>
  <c r="H6" i="267"/>
  <c r="I6" i="267" s="1"/>
  <c r="I50" i="267"/>
  <c r="E53" i="172"/>
  <c r="J26" i="175"/>
  <c r="J27" i="175" s="1"/>
  <c r="I70" i="333"/>
  <c r="J70" i="333" s="1"/>
  <c r="F38" i="270"/>
  <c r="I6" i="323"/>
  <c r="J6" i="323" s="1"/>
  <c r="I116" i="323"/>
  <c r="J116" i="323" s="1"/>
  <c r="I24" i="272"/>
  <c r="J24" i="272" s="1"/>
  <c r="I207" i="323"/>
  <c r="J207" i="323" s="1"/>
  <c r="H110" i="335"/>
  <c r="I110" i="335" s="1"/>
  <c r="J110" i="335" s="1"/>
  <c r="H75" i="335"/>
  <c r="I27" i="335"/>
  <c r="J27" i="335" s="1"/>
  <c r="I45" i="242"/>
  <c r="J45" i="242" s="1"/>
  <c r="F7" i="335"/>
  <c r="G75" i="326"/>
  <c r="G166" i="326" s="1"/>
  <c r="I8" i="242"/>
  <c r="J8" i="242" s="1"/>
  <c r="I148" i="242"/>
  <c r="J148" i="242" s="1"/>
  <c r="G75" i="242"/>
  <c r="I270" i="324"/>
  <c r="I31" i="268" s="1"/>
  <c r="J31" i="268" s="1"/>
  <c r="E47" i="318"/>
  <c r="D49" i="318"/>
  <c r="I138" i="325"/>
  <c r="J138" i="325" s="1"/>
  <c r="I157" i="325"/>
  <c r="J157" i="325" s="1"/>
  <c r="E21" i="272"/>
  <c r="D45" i="174"/>
  <c r="D7" i="174" s="1"/>
  <c r="D27" i="174"/>
  <c r="D26" i="174"/>
  <c r="D28" i="174"/>
  <c r="D17" i="174"/>
  <c r="C53" i="182"/>
  <c r="C63" i="268"/>
  <c r="D10" i="174"/>
  <c r="G11" i="174"/>
  <c r="D11" i="174"/>
  <c r="B39" i="267"/>
  <c r="D52" i="174"/>
  <c r="C26" i="178"/>
  <c r="D39" i="174" s="1"/>
  <c r="C54" i="317"/>
  <c r="C56" i="317" s="1"/>
  <c r="D55" i="317" s="1"/>
  <c r="D56" i="317" s="1"/>
  <c r="E55" i="317" s="1"/>
  <c r="F54" i="317"/>
  <c r="F66" i="317" s="1"/>
  <c r="F65" i="317"/>
  <c r="G30" i="269"/>
  <c r="I34" i="272"/>
  <c r="J34" i="272" s="1"/>
  <c r="I28" i="272"/>
  <c r="J28" i="272" s="1"/>
  <c r="F39" i="272"/>
  <c r="F339" i="323"/>
  <c r="I15" i="272"/>
  <c r="J15" i="272" s="1"/>
  <c r="I105" i="323"/>
  <c r="J105" i="323" s="1"/>
  <c r="I13" i="272"/>
  <c r="J13" i="272" s="1"/>
  <c r="G171" i="323"/>
  <c r="I39" i="323"/>
  <c r="J39" i="323" s="1"/>
  <c r="I9" i="272"/>
  <c r="J9" i="272" s="1"/>
  <c r="G43" i="241"/>
  <c r="F43" i="241"/>
  <c r="G221" i="330"/>
  <c r="F221" i="330"/>
  <c r="F197" i="330"/>
  <c r="G39" i="241"/>
  <c r="F41" i="241"/>
  <c r="F39" i="241" s="1"/>
  <c r="I198" i="330"/>
  <c r="J198" i="330" s="1"/>
  <c r="G197" i="330"/>
  <c r="F33" i="241"/>
  <c r="G33" i="241"/>
  <c r="G148" i="330"/>
  <c r="I36" i="241"/>
  <c r="J36" i="241" s="1"/>
  <c r="G128" i="330"/>
  <c r="G32" i="241"/>
  <c r="I32" i="241" s="1"/>
  <c r="J32" i="241" s="1"/>
  <c r="F20" i="241"/>
  <c r="I22" i="241"/>
  <c r="J22" i="241" s="1"/>
  <c r="F10" i="241"/>
  <c r="I55" i="330"/>
  <c r="J55" i="330" s="1"/>
  <c r="G26" i="330"/>
  <c r="G6" i="330"/>
  <c r="E52" i="317"/>
  <c r="H7" i="267"/>
  <c r="I7" i="267" s="1"/>
  <c r="H17" i="180"/>
  <c r="J17" i="180"/>
  <c r="G53" i="172"/>
  <c r="C53" i="172"/>
  <c r="K14" i="175"/>
  <c r="I26" i="175"/>
  <c r="I27" i="175" s="1"/>
  <c r="E26" i="175"/>
  <c r="E27" i="175" s="1"/>
  <c r="H50" i="267"/>
  <c r="L14" i="175"/>
  <c r="H26" i="175"/>
  <c r="H27" i="175" s="1"/>
  <c r="K21" i="175"/>
  <c r="G59" i="174" s="1"/>
  <c r="D53" i="172"/>
  <c r="F26" i="175"/>
  <c r="F27" i="175" s="1"/>
  <c r="A1" i="178"/>
  <c r="A1" i="241"/>
  <c r="A1" i="267"/>
  <c r="A1" i="251"/>
  <c r="A1" i="324"/>
  <c r="A1" i="177"/>
  <c r="A1" i="323"/>
  <c r="A1" i="330"/>
  <c r="F50" i="269"/>
  <c r="E21" i="267" s="1"/>
  <c r="F30" i="269"/>
  <c r="F69" i="270"/>
  <c r="H38" i="270"/>
  <c r="I111" i="242"/>
  <c r="J111" i="242" s="1"/>
  <c r="G7" i="335"/>
  <c r="I27" i="242"/>
  <c r="J27" i="242" s="1"/>
  <c r="I8" i="335"/>
  <c r="J8" i="335" s="1"/>
  <c r="G7" i="242"/>
  <c r="F75" i="335"/>
  <c r="K354" i="324"/>
  <c r="K24" i="268"/>
  <c r="I176" i="324"/>
  <c r="I139" i="324"/>
  <c r="J139" i="324" s="1"/>
  <c r="E39" i="268"/>
  <c r="C172" i="324"/>
  <c r="I9" i="268"/>
  <c r="J9" i="268" s="1"/>
  <c r="G20" i="268"/>
  <c r="I51" i="324"/>
  <c r="J51" i="324" s="1"/>
  <c r="I19" i="268"/>
  <c r="J19" i="268" s="1"/>
  <c r="I303" i="324"/>
  <c r="J303" i="324" s="1"/>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I220" i="324"/>
  <c r="I28" i="268" s="1"/>
  <c r="J28" i="268" s="1"/>
  <c r="H172" i="324"/>
  <c r="I95" i="324"/>
  <c r="J95" i="324" s="1"/>
  <c r="D354" i="324"/>
  <c r="I18" i="268"/>
  <c r="J18" i="268" s="1"/>
  <c r="I283" i="324"/>
  <c r="J283" i="324" s="1"/>
  <c r="I43" i="268"/>
  <c r="J43" i="268" s="1"/>
  <c r="F63" i="268"/>
  <c r="J16" i="183"/>
  <c r="K15" i="318"/>
  <c r="I29" i="183"/>
  <c r="J29" i="183" s="1"/>
  <c r="G42" i="181"/>
  <c r="K38" i="270"/>
  <c r="F11" i="174"/>
  <c r="H11" i="174"/>
  <c r="F40" i="267"/>
  <c r="G49" i="174"/>
  <c r="O340" i="323"/>
  <c r="C8" i="272"/>
  <c r="C21" i="272" s="1"/>
  <c r="C171" i="323"/>
  <c r="F160" i="323" s="1"/>
  <c r="B50" i="267"/>
  <c r="B53" i="172"/>
  <c r="C26" i="175"/>
  <c r="C27" i="175" s="1"/>
  <c r="E74" i="268"/>
  <c r="D29" i="267"/>
  <c r="D33" i="267" s="1"/>
  <c r="D7" i="268"/>
  <c r="D21" i="268" s="1"/>
  <c r="D172" i="324"/>
  <c r="G8" i="268"/>
  <c r="I29" i="324"/>
  <c r="J29" i="324" s="1"/>
  <c r="G172" i="324"/>
  <c r="E11" i="268"/>
  <c r="E21" i="268" s="1"/>
  <c r="E172" i="324"/>
  <c r="H12" i="268"/>
  <c r="I73" i="324"/>
  <c r="J73" i="324" s="1"/>
  <c r="K12" i="268"/>
  <c r="K21" i="268" s="1"/>
  <c r="K172" i="324"/>
  <c r="C36" i="268"/>
  <c r="C39" i="268" s="1"/>
  <c r="C354" i="324"/>
  <c r="C27" i="272"/>
  <c r="C39" i="272" s="1"/>
  <c r="C339" i="323"/>
  <c r="E39" i="272"/>
  <c r="E106" i="318"/>
  <c r="E49" i="318"/>
  <c r="H38" i="181"/>
  <c r="H42" i="181" s="1"/>
  <c r="H44" i="181" s="1"/>
  <c r="I36" i="181"/>
  <c r="J36" i="181" s="1"/>
  <c r="A16" i="268"/>
  <c r="A34" i="272"/>
  <c r="A303" i="324"/>
  <c r="A284" i="323"/>
  <c r="A117" i="324"/>
  <c r="A34" i="268"/>
  <c r="G27" i="334"/>
  <c r="F25" i="334"/>
  <c r="G25" i="334" s="1"/>
  <c r="G42" i="334"/>
  <c r="F41" i="334"/>
  <c r="D13" i="241"/>
  <c r="D10" i="241" s="1"/>
  <c r="D26" i="330"/>
  <c r="G339" i="323"/>
  <c r="J321" i="324"/>
  <c r="H52" i="317"/>
  <c r="H65" i="317"/>
  <c r="O65" i="317"/>
  <c r="O52" i="317"/>
  <c r="O54" i="317" s="1"/>
  <c r="K100" i="318"/>
  <c r="K102" i="318"/>
  <c r="I47" i="269"/>
  <c r="J47" i="269" s="1"/>
  <c r="I20" i="270"/>
  <c r="J20" i="270" s="1"/>
  <c r="J21" i="270"/>
  <c r="K31" i="183"/>
  <c r="J36" i="267"/>
  <c r="H52" i="174"/>
  <c r="H13" i="174" s="1"/>
  <c r="C45" i="241"/>
  <c r="C43" i="241" s="1"/>
  <c r="C221" i="330"/>
  <c r="K44" i="241"/>
  <c r="K43" i="241" s="1"/>
  <c r="K221" i="330"/>
  <c r="G20" i="272"/>
  <c r="I160" i="323"/>
  <c r="J160" i="323" s="1"/>
  <c r="I39" i="182"/>
  <c r="J39" i="182" s="1"/>
  <c r="G57" i="174"/>
  <c r="D104" i="172"/>
  <c r="K15" i="173"/>
  <c r="H37" i="272"/>
  <c r="I37" i="272" s="1"/>
  <c r="J37" i="272" s="1"/>
  <c r="I317" i="323"/>
  <c r="J317" i="323" s="1"/>
  <c r="K28" i="272"/>
  <c r="I8" i="270"/>
  <c r="J8" i="270" s="1"/>
  <c r="J33" i="267"/>
  <c r="G102" i="318"/>
  <c r="I67" i="318"/>
  <c r="J67" i="318" s="1"/>
  <c r="G106" i="318"/>
  <c r="I83" i="318"/>
  <c r="J83" i="318" s="1"/>
  <c r="E69" i="270"/>
  <c r="E11" i="174"/>
  <c r="R340" i="323"/>
  <c r="D11" i="272"/>
  <c r="D21" i="272" s="1"/>
  <c r="D171" i="323"/>
  <c r="F49" i="318"/>
  <c r="I46" i="318"/>
  <c r="J46" i="318" s="1"/>
  <c r="C38" i="270"/>
  <c r="C71" i="270" s="1"/>
  <c r="I47" i="268"/>
  <c r="J47" i="268" s="1"/>
  <c r="C38" i="182"/>
  <c r="C42" i="182" s="1"/>
  <c r="C44" i="182" s="1"/>
  <c r="C46" i="182" s="1"/>
  <c r="C48" i="182" s="1"/>
  <c r="I110" i="242"/>
  <c r="J110" i="242" s="1"/>
  <c r="I30" i="318"/>
  <c r="J30" i="318" s="1"/>
  <c r="I10" i="272"/>
  <c r="J10" i="272" s="1"/>
  <c r="B20" i="267"/>
  <c r="B23" i="267" s="1"/>
  <c r="B25" i="267" s="1"/>
  <c r="G7" i="174"/>
  <c r="H17" i="272"/>
  <c r="I17" i="272" s="1"/>
  <c r="J17" i="272" s="1"/>
  <c r="I127" i="323"/>
  <c r="J127" i="323" s="1"/>
  <c r="I15" i="268"/>
  <c r="J15" i="268" s="1"/>
  <c r="G10" i="241"/>
  <c r="I14" i="318"/>
  <c r="J14" i="318" s="1"/>
  <c r="H50" i="269"/>
  <c r="H7" i="174"/>
  <c r="I28" i="323"/>
  <c r="J28" i="323" s="1"/>
  <c r="H45" i="267"/>
  <c r="I45" i="267" s="1"/>
  <c r="E7" i="242"/>
  <c r="E166" i="242" s="1"/>
  <c r="C21" i="268"/>
  <c r="I25" i="272"/>
  <c r="J25" i="272" s="1"/>
  <c r="E6" i="241"/>
  <c r="E26" i="241" s="1"/>
  <c r="I46" i="241"/>
  <c r="J46" i="241" s="1"/>
  <c r="I38" i="241"/>
  <c r="J38" i="241" s="1"/>
  <c r="I21" i="241"/>
  <c r="J21" i="241" s="1"/>
  <c r="I18" i="272"/>
  <c r="J18" i="272" s="1"/>
  <c r="I273" i="323"/>
  <c r="J273" i="323" s="1"/>
  <c r="I30" i="272"/>
  <c r="J30" i="272" s="1"/>
  <c r="I27" i="272"/>
  <c r="J27" i="272" s="1"/>
  <c r="I151" i="242"/>
  <c r="J151" i="242" s="1"/>
  <c r="D7" i="326"/>
  <c r="D166" i="326" s="1"/>
  <c r="K117" i="333"/>
  <c r="K76" i="326"/>
  <c r="K75" i="326" s="1"/>
  <c r="I164" i="325"/>
  <c r="J164" i="325" s="1"/>
  <c r="H163" i="325"/>
  <c r="I163" i="325" s="1"/>
  <c r="J163" i="325" s="1"/>
  <c r="I7" i="272"/>
  <c r="J7" i="272" s="1"/>
  <c r="C18" i="267"/>
  <c r="C19" i="267" s="1"/>
  <c r="C20" i="267" s="1"/>
  <c r="C23" i="267" s="1"/>
  <c r="C25" i="267" s="1"/>
  <c r="H22" i="267"/>
  <c r="I22" i="267" s="1"/>
  <c r="H31" i="267"/>
  <c r="I31" i="267" s="1"/>
  <c r="I45" i="241"/>
  <c r="J45" i="241" s="1"/>
  <c r="I19" i="241"/>
  <c r="J19" i="241" s="1"/>
  <c r="I69" i="326"/>
  <c r="J69" i="326" s="1"/>
  <c r="I163" i="326"/>
  <c r="J163" i="326" s="1"/>
  <c r="I11" i="272"/>
  <c r="J11" i="272" s="1"/>
  <c r="I6" i="272"/>
  <c r="J6" i="272" s="1"/>
  <c r="I23" i="241"/>
  <c r="J23" i="241" s="1"/>
  <c r="I9" i="241"/>
  <c r="J9" i="241" s="1"/>
  <c r="I69" i="242"/>
  <c r="J69" i="242" s="1"/>
  <c r="I229" i="323"/>
  <c r="J229" i="323" s="1"/>
  <c r="I196" i="323"/>
  <c r="J196" i="323" s="1"/>
  <c r="F117" i="326"/>
  <c r="F166" i="326" s="1"/>
  <c r="I15" i="241"/>
  <c r="J15" i="241" s="1"/>
  <c r="I38" i="242"/>
  <c r="J38" i="242" s="1"/>
  <c r="I138" i="242"/>
  <c r="J138" i="242" s="1"/>
  <c r="I99" i="326"/>
  <c r="J99" i="326" s="1"/>
  <c r="K155" i="333"/>
  <c r="K154" i="333" s="1"/>
  <c r="E154" i="333"/>
  <c r="E166" i="333" s="1"/>
  <c r="K26" i="330"/>
  <c r="H17" i="267"/>
  <c r="I17" i="267" s="1"/>
  <c r="H8" i="267"/>
  <c r="I8" i="267" s="1"/>
  <c r="I24" i="241"/>
  <c r="J24" i="241" s="1"/>
  <c r="G6" i="241"/>
  <c r="I35" i="241"/>
  <c r="J35" i="241" s="1"/>
  <c r="I99" i="242"/>
  <c r="J99" i="242" s="1"/>
  <c r="H117" i="242"/>
  <c r="I117" i="326"/>
  <c r="J117" i="326" s="1"/>
  <c r="I130" i="326"/>
  <c r="J130" i="326" s="1"/>
  <c r="F7" i="325"/>
  <c r="I151" i="335"/>
  <c r="J151" i="335" s="1"/>
  <c r="I160" i="335"/>
  <c r="J160" i="335" s="1"/>
  <c r="H14" i="267"/>
  <c r="I14" i="267" s="1"/>
  <c r="H16" i="267"/>
  <c r="I16" i="267" s="1"/>
  <c r="H12" i="267"/>
  <c r="I12" i="267" s="1"/>
  <c r="F6" i="241"/>
  <c r="I12" i="241"/>
  <c r="J12" i="241" s="1"/>
  <c r="D6" i="241"/>
  <c r="I17" i="242"/>
  <c r="J17" i="242" s="1"/>
  <c r="I76" i="242"/>
  <c r="J76" i="242" s="1"/>
  <c r="I154" i="242"/>
  <c r="J154" i="242" s="1"/>
  <c r="D75" i="333"/>
  <c r="C110" i="333"/>
  <c r="C166" i="333" s="1"/>
  <c r="H75" i="325"/>
  <c r="I135" i="325"/>
  <c r="J135" i="325" s="1"/>
  <c r="I151" i="325"/>
  <c r="J151" i="325" s="1"/>
  <c r="I38" i="335"/>
  <c r="J38" i="335" s="1"/>
  <c r="I138" i="335"/>
  <c r="J138" i="335" s="1"/>
  <c r="I154" i="335"/>
  <c r="J154" i="335" s="1"/>
  <c r="I8" i="325"/>
  <c r="J8" i="325" s="1"/>
  <c r="K149" i="333"/>
  <c r="K148" i="333" s="1"/>
  <c r="K158" i="333"/>
  <c r="K157" i="333" s="1"/>
  <c r="I148" i="325"/>
  <c r="J148" i="325" s="1"/>
  <c r="I209" i="330"/>
  <c r="J209" i="330" s="1"/>
  <c r="G53" i="333"/>
  <c r="I53" i="333" s="1"/>
  <c r="J53" i="333" s="1"/>
  <c r="F106" i="318"/>
  <c r="I140" i="335"/>
  <c r="J140" i="335" s="1"/>
  <c r="H117" i="335"/>
  <c r="I117" i="335" s="1"/>
  <c r="J117" i="335" s="1"/>
  <c r="I118" i="335"/>
  <c r="J118" i="335" s="1"/>
  <c r="H7" i="335"/>
  <c r="G130" i="333"/>
  <c r="I130" i="333" s="1"/>
  <c r="J130" i="333" s="1"/>
  <c r="I122" i="333"/>
  <c r="J122" i="333" s="1"/>
  <c r="G103" i="333"/>
  <c r="I103" i="333" s="1"/>
  <c r="J103" i="333" s="1"/>
  <c r="H75" i="333"/>
  <c r="G76" i="333"/>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75" i="326"/>
  <c r="I76" i="326"/>
  <c r="J76" i="326" s="1"/>
  <c r="I118" i="242"/>
  <c r="J118" i="242" s="1"/>
  <c r="H75" i="242"/>
  <c r="H7" i="242"/>
  <c r="H106" i="318"/>
  <c r="H49" i="318"/>
  <c r="I33" i="269"/>
  <c r="I50" i="269" s="1"/>
  <c r="I8" i="269"/>
  <c r="J8" i="269" s="1"/>
  <c r="I41" i="270"/>
  <c r="J41" i="270" s="1"/>
  <c r="I37" i="177"/>
  <c r="J37" i="177" s="1"/>
  <c r="G43" i="267"/>
  <c r="H39" i="177"/>
  <c r="H41" i="177" s="1"/>
  <c r="G46" i="267" s="1"/>
  <c r="I252" i="324"/>
  <c r="J252" i="324" s="1"/>
  <c r="I209" i="324"/>
  <c r="H39" i="268"/>
  <c r="H354" i="324"/>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I94" i="323"/>
  <c r="J94" i="323" s="1"/>
  <c r="H12" i="272"/>
  <c r="I12" i="272" s="1"/>
  <c r="J12" i="272" s="1"/>
  <c r="I61" i="323"/>
  <c r="J61" i="323" s="1"/>
  <c r="I50" i="323"/>
  <c r="J50" i="323" s="1"/>
  <c r="H8" i="272"/>
  <c r="I8" i="272" s="1"/>
  <c r="J8" i="272" s="1"/>
  <c r="H171" i="323"/>
  <c r="H41" i="241"/>
  <c r="I41" i="241" s="1"/>
  <c r="J41" i="241" s="1"/>
  <c r="H128" i="330"/>
  <c r="I235" i="330"/>
  <c r="J235" i="330" s="1"/>
  <c r="I230" i="330"/>
  <c r="J230" i="330" s="1"/>
  <c r="H221" i="330"/>
  <c r="I222" i="330"/>
  <c r="I44" i="241"/>
  <c r="H43" i="241"/>
  <c r="H197" i="330"/>
  <c r="I40" i="241"/>
  <c r="J40" i="241" s="1"/>
  <c r="I189" i="330"/>
  <c r="J189" i="330" s="1"/>
  <c r="I177" i="330"/>
  <c r="J177" i="330" s="1"/>
  <c r="I171" i="330"/>
  <c r="J171" i="330" s="1"/>
  <c r="I149" i="330"/>
  <c r="J149" i="330" s="1"/>
  <c r="H148" i="330"/>
  <c r="I34" i="241"/>
  <c r="J34" i="241" s="1"/>
  <c r="I132" i="330"/>
  <c r="J132" i="330" s="1"/>
  <c r="H31" i="241"/>
  <c r="I31" i="241" s="1"/>
  <c r="J31" i="241" s="1"/>
  <c r="I113" i="330"/>
  <c r="J113" i="330" s="1"/>
  <c r="I108" i="330"/>
  <c r="J108" i="330" s="1"/>
  <c r="I104" i="330"/>
  <c r="J104" i="330" s="1"/>
  <c r="H99" i="330"/>
  <c r="I100" i="330"/>
  <c r="J100" i="330" s="1"/>
  <c r="H20" i="241"/>
  <c r="I92" i="330"/>
  <c r="J92" i="330" s="1"/>
  <c r="I76" i="330"/>
  <c r="J76" i="330" s="1"/>
  <c r="I17" i="241"/>
  <c r="J17" i="241" s="1"/>
  <c r="H75" i="330"/>
  <c r="H14" i="241"/>
  <c r="I14" i="241" s="1"/>
  <c r="J14" i="241" s="1"/>
  <c r="H26" i="330"/>
  <c r="H13" i="241"/>
  <c r="I13" i="241" s="1"/>
  <c r="J13" i="241" s="1"/>
  <c r="I49" i="330"/>
  <c r="J49" i="330" s="1"/>
  <c r="I27" i="330"/>
  <c r="J27" i="330" s="1"/>
  <c r="I11" i="241"/>
  <c r="J11" i="241" s="1"/>
  <c r="I7" i="330"/>
  <c r="J7" i="330" s="1"/>
  <c r="I36" i="182"/>
  <c r="J36" i="182" s="1"/>
  <c r="E18" i="267"/>
  <c r="E19" i="267" s="1"/>
  <c r="D18" i="267"/>
  <c r="D19"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E6" i="330"/>
  <c r="E125" i="330" s="1"/>
  <c r="H6" i="241"/>
  <c r="I8" i="241"/>
  <c r="J8" i="241" s="1"/>
  <c r="H6" i="330"/>
  <c r="I10" i="330"/>
  <c r="J10" i="330" s="1"/>
  <c r="F75" i="325"/>
  <c r="G75" i="325"/>
  <c r="G117" i="325"/>
  <c r="I117" i="325" s="1"/>
  <c r="J117" i="325" s="1"/>
  <c r="G7" i="325"/>
  <c r="I17" i="325"/>
  <c r="J17" i="325" s="1"/>
  <c r="G354" i="324"/>
  <c r="G39" i="268"/>
  <c r="F39" i="268"/>
  <c r="F40" i="268" s="1"/>
  <c r="E28" i="267" s="1"/>
  <c r="F354" i="324"/>
  <c r="I74" i="268"/>
  <c r="J74" i="268" s="1"/>
  <c r="G63" i="268"/>
  <c r="F25" i="178" s="1"/>
  <c r="N46" i="317"/>
  <c r="N65" i="317" s="1"/>
  <c r="F14" i="174"/>
  <c r="E26" i="178"/>
  <c r="D26" i="178"/>
  <c r="G26" i="178"/>
  <c r="I54" i="317" l="1"/>
  <c r="I66" i="317" s="1"/>
  <c r="I148" i="330"/>
  <c r="J148" i="330" s="1"/>
  <c r="I197" i="330"/>
  <c r="J197" i="330" s="1"/>
  <c r="C52" i="269"/>
  <c r="D52" i="269"/>
  <c r="K16" i="241"/>
  <c r="K75" i="330"/>
  <c r="K7" i="242"/>
  <c r="K39" i="272"/>
  <c r="K40" i="272" s="1"/>
  <c r="G75" i="333"/>
  <c r="I75" i="333" s="1"/>
  <c r="J75" i="333" s="1"/>
  <c r="I117" i="242"/>
  <c r="J117" i="242" s="1"/>
  <c r="E166" i="335"/>
  <c r="D166" i="333"/>
  <c r="C49" i="241"/>
  <c r="E166" i="325"/>
  <c r="K39" i="241"/>
  <c r="K75" i="333"/>
  <c r="D49" i="241"/>
  <c r="D247" i="330"/>
  <c r="D257" i="330" s="1"/>
  <c r="K54" i="317"/>
  <c r="K66" i="317" s="1"/>
  <c r="H71" i="270"/>
  <c r="H33" i="241"/>
  <c r="G18" i="177"/>
  <c r="F43" i="267" s="1"/>
  <c r="H43" i="267" s="1"/>
  <c r="I43" i="267" s="1"/>
  <c r="D20" i="267"/>
  <c r="D23" i="267" s="1"/>
  <c r="D25" i="267" s="1"/>
  <c r="J270" i="324"/>
  <c r="D125" i="330"/>
  <c r="D256" i="330" s="1"/>
  <c r="K99" i="330"/>
  <c r="K117" i="325"/>
  <c r="E49" i="334"/>
  <c r="C30" i="172"/>
  <c r="G9" i="180"/>
  <c r="K117" i="326"/>
  <c r="K33" i="241"/>
  <c r="K49" i="241" s="1"/>
  <c r="I75" i="330"/>
  <c r="J75" i="330" s="1"/>
  <c r="H52" i="269"/>
  <c r="K148" i="330"/>
  <c r="J20" i="267"/>
  <c r="J23" i="267" s="1"/>
  <c r="J25" i="267" s="1"/>
  <c r="K7" i="325"/>
  <c r="K166" i="325" s="1"/>
  <c r="K117" i="335"/>
  <c r="C247" i="330"/>
  <c r="G71" i="270"/>
  <c r="F104" i="318"/>
  <c r="F356" i="324"/>
  <c r="H166" i="326"/>
  <c r="I166" i="326" s="1"/>
  <c r="J166" i="326" s="1"/>
  <c r="D50" i="318"/>
  <c r="K63" i="268"/>
  <c r="G149" i="333"/>
  <c r="G148" i="333" s="1"/>
  <c r="I148" i="333" s="1"/>
  <c r="J148" i="333" s="1"/>
  <c r="K49" i="318"/>
  <c r="C26" i="241"/>
  <c r="C50" i="241" s="1"/>
  <c r="I38" i="268"/>
  <c r="J38" i="268" s="1"/>
  <c r="J343" i="324"/>
  <c r="H356" i="324"/>
  <c r="J187" i="324"/>
  <c r="D13" i="174"/>
  <c r="K197" i="330"/>
  <c r="K247" i="330" s="1"/>
  <c r="K257" i="330" s="1"/>
  <c r="D49" i="334"/>
  <c r="B47" i="100"/>
  <c r="O2" i="317"/>
  <c r="K26" i="241"/>
  <c r="C256" i="330"/>
  <c r="I172" i="324"/>
  <c r="J172" i="324" s="1"/>
  <c r="D2" i="183"/>
  <c r="D2" i="241"/>
  <c r="D2" i="335"/>
  <c r="D2" i="177"/>
  <c r="E2" i="174"/>
  <c r="D2" i="323"/>
  <c r="D2" i="242"/>
  <c r="D2" i="181"/>
  <c r="C77" i="172"/>
  <c r="D2" i="326"/>
  <c r="C2" i="267"/>
  <c r="A53" i="172"/>
  <c r="A104" i="172" s="1"/>
  <c r="D2" i="272"/>
  <c r="D2" i="324"/>
  <c r="C2" i="175"/>
  <c r="C2" i="173"/>
  <c r="D2" i="182"/>
  <c r="D2" i="178"/>
  <c r="C2" i="317"/>
  <c r="C2" i="180"/>
  <c r="D2" i="318"/>
  <c r="D2" i="325"/>
  <c r="D2" i="269"/>
  <c r="D2" i="270"/>
  <c r="C2" i="334"/>
  <c r="D2" i="330"/>
  <c r="D2" i="268"/>
  <c r="D2" i="333"/>
  <c r="F8" i="180"/>
  <c r="F9" i="180" s="1"/>
  <c r="J9" i="180" s="1"/>
  <c r="K106" i="318"/>
  <c r="J7" i="180"/>
  <c r="K7" i="326"/>
  <c r="K166" i="326" s="1"/>
  <c r="G158" i="333"/>
  <c r="K7" i="333"/>
  <c r="C2" i="272"/>
  <c r="C2" i="241"/>
  <c r="C2" i="335"/>
  <c r="C2" i="269"/>
  <c r="A15" i="175"/>
  <c r="C2" i="326"/>
  <c r="C2" i="268"/>
  <c r="C2" i="242"/>
  <c r="C2" i="181"/>
  <c r="C2" i="182"/>
  <c r="C3" i="334"/>
  <c r="C2" i="177"/>
  <c r="C2" i="323"/>
  <c r="B2" i="180"/>
  <c r="B2" i="172" s="1"/>
  <c r="C2" i="333"/>
  <c r="C2" i="318"/>
  <c r="C2" i="324"/>
  <c r="B2" i="267"/>
  <c r="C2" i="183"/>
  <c r="D2" i="174"/>
  <c r="C2" i="270"/>
  <c r="B77" i="172"/>
  <c r="C2" i="325"/>
  <c r="A54" i="172"/>
  <c r="A103" i="172" s="1"/>
  <c r="C2" i="178"/>
  <c r="C2" i="330"/>
  <c r="D26" i="241"/>
  <c r="D50" i="241" s="1"/>
  <c r="B29" i="172"/>
  <c r="I7" i="180"/>
  <c r="I34" i="268"/>
  <c r="J34" i="268" s="1"/>
  <c r="A1" i="269"/>
  <c r="K7" i="335"/>
  <c r="G152" i="333"/>
  <c r="A1" i="180"/>
  <c r="A1" i="174"/>
  <c r="N24" i="317"/>
  <c r="F11" i="177"/>
  <c r="F18" i="177" s="1"/>
  <c r="K341" i="323"/>
  <c r="K6" i="330"/>
  <c r="K125" i="330" s="1"/>
  <c r="K256" i="330" s="1"/>
  <c r="G166" i="335"/>
  <c r="I75" i="335"/>
  <c r="J75" i="335" s="1"/>
  <c r="C356" i="324"/>
  <c r="C49" i="334"/>
  <c r="E71" i="270"/>
  <c r="I28" i="177"/>
  <c r="J28" i="177" s="1"/>
  <c r="K75" i="335"/>
  <c r="K166" i="242"/>
  <c r="E341" i="323"/>
  <c r="D248" i="330"/>
  <c r="E356" i="324"/>
  <c r="K39" i="268"/>
  <c r="K40" i="268" s="1"/>
  <c r="K356" i="324"/>
  <c r="E40" i="268"/>
  <c r="E86" i="268" s="1"/>
  <c r="H29" i="267"/>
  <c r="I29" i="267" s="1"/>
  <c r="F10" i="180"/>
  <c r="H9" i="180"/>
  <c r="I9" i="180" s="1"/>
  <c r="B31" i="172"/>
  <c r="J292" i="324"/>
  <c r="G39" i="272"/>
  <c r="E40" i="272"/>
  <c r="C248" i="330"/>
  <c r="G52" i="269"/>
  <c r="G22" i="182"/>
  <c r="G38" i="182" s="1"/>
  <c r="G42" i="182" s="1"/>
  <c r="G44" i="182" s="1"/>
  <c r="G46" i="182" s="1"/>
  <c r="G48" i="182" s="1"/>
  <c r="A1" i="317"/>
  <c r="A1" i="335"/>
  <c r="A1" i="183"/>
  <c r="A1" i="238"/>
  <c r="G48" i="174"/>
  <c r="G10" i="174" s="1"/>
  <c r="G33" i="267"/>
  <c r="H33" i="267" s="1"/>
  <c r="I33" i="267" s="1"/>
  <c r="D341" i="323"/>
  <c r="D40" i="272"/>
  <c r="F125" i="330"/>
  <c r="I26" i="330"/>
  <c r="J26" i="330" s="1"/>
  <c r="G26" i="241"/>
  <c r="G33" i="317"/>
  <c r="F71" i="270"/>
  <c r="F166" i="335"/>
  <c r="F166" i="333"/>
  <c r="I75" i="242"/>
  <c r="J75" i="242" s="1"/>
  <c r="G166" i="242"/>
  <c r="H166" i="325"/>
  <c r="I75" i="325"/>
  <c r="J75" i="325" s="1"/>
  <c r="I38" i="270"/>
  <c r="J38" i="270" s="1"/>
  <c r="H16" i="241"/>
  <c r="I16" i="241" s="1"/>
  <c r="J16" i="241" s="1"/>
  <c r="A1" i="173"/>
  <c r="A1" i="326"/>
  <c r="A1" i="318"/>
  <c r="A1" i="242"/>
  <c r="A1" i="334"/>
  <c r="A1" i="270"/>
  <c r="A1" i="333"/>
  <c r="A1" i="181"/>
  <c r="A1" i="175"/>
  <c r="D356" i="324"/>
  <c r="D40" i="268"/>
  <c r="E46" i="174" s="1"/>
  <c r="E8" i="174" s="1"/>
  <c r="G52" i="317"/>
  <c r="F166" i="325"/>
  <c r="F247" i="330"/>
  <c r="F257" i="330" s="1"/>
  <c r="I33" i="241"/>
  <c r="J33" i="241" s="1"/>
  <c r="G29" i="241"/>
  <c r="G49" i="241" s="1"/>
  <c r="F26" i="241"/>
  <c r="H39" i="241"/>
  <c r="I39" i="241" s="1"/>
  <c r="J39" i="241" s="1"/>
  <c r="I128" i="330"/>
  <c r="J128" i="330" s="1"/>
  <c r="I20" i="241"/>
  <c r="J20" i="241" s="1"/>
  <c r="J52" i="267"/>
  <c r="I32" i="268"/>
  <c r="J32" i="268" s="1"/>
  <c r="D104" i="318"/>
  <c r="D105" i="318" s="1"/>
  <c r="C257" i="330"/>
  <c r="F20" i="272"/>
  <c r="F21" i="272" s="1"/>
  <c r="F40" i="272" s="1"/>
  <c r="F171" i="323"/>
  <c r="F341" i="323" s="1"/>
  <c r="E54" i="317"/>
  <c r="E66" i="317" s="1"/>
  <c r="C43" i="178"/>
  <c r="C54" i="178" s="1"/>
  <c r="I339" i="323"/>
  <c r="J339" i="323" s="1"/>
  <c r="G341" i="323"/>
  <c r="G247" i="330"/>
  <c r="G257" i="330" s="1"/>
  <c r="F49" i="241"/>
  <c r="G125" i="330"/>
  <c r="K26" i="175"/>
  <c r="K27" i="175" s="1"/>
  <c r="J50" i="267"/>
  <c r="F52" i="269"/>
  <c r="J50" i="269"/>
  <c r="I30" i="269"/>
  <c r="I52" i="269" s="1"/>
  <c r="J52" i="269" s="1"/>
  <c r="J220" i="324"/>
  <c r="I35" i="268"/>
  <c r="J35" i="268" s="1"/>
  <c r="J310" i="324"/>
  <c r="I29" i="268"/>
  <c r="J29" i="268" s="1"/>
  <c r="J176" i="324"/>
  <c r="I24" i="268"/>
  <c r="J24" i="268" s="1"/>
  <c r="I26" i="268"/>
  <c r="J26" i="268" s="1"/>
  <c r="F86" i="268"/>
  <c r="I106" i="318"/>
  <c r="J106" i="318" s="1"/>
  <c r="E171" i="335"/>
  <c r="F37" i="267"/>
  <c r="C40" i="268"/>
  <c r="H21" i="268"/>
  <c r="H40" i="268" s="1"/>
  <c r="I12" i="268"/>
  <c r="J12" i="268" s="1"/>
  <c r="F28" i="334"/>
  <c r="K104" i="318"/>
  <c r="K105" i="318" s="1"/>
  <c r="K50" i="318"/>
  <c r="E171" i="326"/>
  <c r="G155" i="333"/>
  <c r="H154" i="333"/>
  <c r="B30" i="172"/>
  <c r="H8" i="180"/>
  <c r="I8" i="180" s="1"/>
  <c r="J8" i="180"/>
  <c r="K71" i="270"/>
  <c r="H19" i="267"/>
  <c r="I19" i="267" s="1"/>
  <c r="I69" i="270"/>
  <c r="J69" i="270" s="1"/>
  <c r="I102" i="318"/>
  <c r="J102" i="318" s="1"/>
  <c r="G104" i="318"/>
  <c r="O56" i="317"/>
  <c r="P55" i="317" s="1"/>
  <c r="P56" i="317" s="1"/>
  <c r="Q55" i="317" s="1"/>
  <c r="Q56" i="317" s="1"/>
  <c r="O66" i="317"/>
  <c r="F47" i="334"/>
  <c r="G47" i="334" s="1"/>
  <c r="G41" i="334"/>
  <c r="E50" i="318"/>
  <c r="E104" i="318"/>
  <c r="E105" i="318" s="1"/>
  <c r="I8" i="268"/>
  <c r="G21" i="268"/>
  <c r="G40" i="268" s="1"/>
  <c r="C341" i="323"/>
  <c r="I38" i="181"/>
  <c r="J38" i="181" s="1"/>
  <c r="I31" i="183"/>
  <c r="J31" i="183" s="1"/>
  <c r="I20" i="272"/>
  <c r="J20" i="272" s="1"/>
  <c r="G21" i="272"/>
  <c r="C40" i="272"/>
  <c r="G44" i="181"/>
  <c r="I44" i="181" s="1"/>
  <c r="J44" i="181" s="1"/>
  <c r="I42" i="181"/>
  <c r="J42" i="181" s="1"/>
  <c r="H166" i="335"/>
  <c r="I7" i="335"/>
  <c r="J7" i="335" s="1"/>
  <c r="I76" i="333"/>
  <c r="J76" i="333" s="1"/>
  <c r="G7" i="333"/>
  <c r="I75" i="326"/>
  <c r="J75" i="326" s="1"/>
  <c r="H166" i="242"/>
  <c r="I7" i="242"/>
  <c r="J7" i="242" s="1"/>
  <c r="H104" i="318"/>
  <c r="I49" i="318"/>
  <c r="J49" i="318" s="1"/>
  <c r="J33" i="269"/>
  <c r="I30" i="268"/>
  <c r="J30" i="268" s="1"/>
  <c r="I27" i="268"/>
  <c r="J27" i="268" s="1"/>
  <c r="J209" i="324"/>
  <c r="I63" i="268"/>
  <c r="J63" i="268" s="1"/>
  <c r="H18" i="267"/>
  <c r="I18" i="267" s="1"/>
  <c r="G20" i="267"/>
  <c r="G23" i="267" s="1"/>
  <c r="I39" i="272"/>
  <c r="H341" i="323"/>
  <c r="H39" i="272"/>
  <c r="H21" i="272"/>
  <c r="I171" i="323"/>
  <c r="J171" i="323" s="1"/>
  <c r="J222" i="330"/>
  <c r="I221" i="330"/>
  <c r="J221" i="330" s="1"/>
  <c r="I43" i="241"/>
  <c r="J43" i="241" s="1"/>
  <c r="J44" i="241"/>
  <c r="H29" i="241"/>
  <c r="I99" i="330"/>
  <c r="J99" i="330" s="1"/>
  <c r="H125" i="330"/>
  <c r="H10" i="241"/>
  <c r="I10" i="241" s="1"/>
  <c r="J10" i="241" s="1"/>
  <c r="E256" i="330"/>
  <c r="E28" i="174"/>
  <c r="E27" i="174"/>
  <c r="E26" i="174"/>
  <c r="E17" i="174"/>
  <c r="I6" i="330"/>
  <c r="J6" i="330" s="1"/>
  <c r="I6" i="241"/>
  <c r="G166" i="325"/>
  <c r="I7" i="325"/>
  <c r="J7" i="325" s="1"/>
  <c r="G356" i="324"/>
  <c r="I354" i="324"/>
  <c r="J354" i="324" s="1"/>
  <c r="N52" i="317"/>
  <c r="H21" i="317"/>
  <c r="H33" i="317" s="1"/>
  <c r="H54" i="317" s="1"/>
  <c r="H66" i="317" s="1"/>
  <c r="N19" i="317"/>
  <c r="E43" i="178"/>
  <c r="E54" i="178" s="1"/>
  <c r="F39" i="174"/>
  <c r="E39" i="174"/>
  <c r="D43" i="178"/>
  <c r="D54" i="178" s="1"/>
  <c r="G43" i="178"/>
  <c r="G54" i="178" s="1"/>
  <c r="H39" i="174"/>
  <c r="K166" i="333" l="1"/>
  <c r="K166" i="335"/>
  <c r="K171" i="335" s="1"/>
  <c r="D28" i="267"/>
  <c r="E171" i="242"/>
  <c r="I356" i="324"/>
  <c r="J356" i="324" s="1"/>
  <c r="G39" i="177"/>
  <c r="G41" i="177" s="1"/>
  <c r="F46" i="267" s="1"/>
  <c r="H46" i="267" s="1"/>
  <c r="I46" i="267" s="1"/>
  <c r="I18" i="177"/>
  <c r="J18" i="177" s="1"/>
  <c r="F46" i="174"/>
  <c r="F8" i="174" s="1"/>
  <c r="I149" i="333"/>
  <c r="J149" i="333" s="1"/>
  <c r="C31" i="172"/>
  <c r="G10" i="180"/>
  <c r="D171" i="242"/>
  <c r="E43" i="267"/>
  <c r="F39" i="177"/>
  <c r="G151" i="333"/>
  <c r="I151" i="333" s="1"/>
  <c r="J151" i="333" s="1"/>
  <c r="I152" i="333"/>
  <c r="J152" i="333" s="1"/>
  <c r="E56" i="317"/>
  <c r="F55" i="317" s="1"/>
  <c r="F56" i="317" s="1"/>
  <c r="G55" i="317" s="1"/>
  <c r="G157" i="333"/>
  <c r="I157" i="333" s="1"/>
  <c r="J157" i="333" s="1"/>
  <c r="I158" i="333"/>
  <c r="J158" i="333" s="1"/>
  <c r="I21" i="272"/>
  <c r="J21" i="272" s="1"/>
  <c r="K50" i="241"/>
  <c r="J33" i="317"/>
  <c r="J54" i="317" s="1"/>
  <c r="J66" i="317" s="1"/>
  <c r="C28" i="267"/>
  <c r="D86" i="268"/>
  <c r="D171" i="326"/>
  <c r="K248" i="330"/>
  <c r="K171" i="242"/>
  <c r="K86" i="268"/>
  <c r="J28" i="267"/>
  <c r="K171" i="326"/>
  <c r="H46" i="174"/>
  <c r="H8" i="174" s="1"/>
  <c r="F11" i="180"/>
  <c r="J10" i="180"/>
  <c r="H10" i="180"/>
  <c r="I10" i="180" s="1"/>
  <c r="B32" i="172"/>
  <c r="G53" i="182"/>
  <c r="G256" i="330" s="1"/>
  <c r="I19" i="182"/>
  <c r="J19" i="182" s="1"/>
  <c r="C21" i="251" s="1"/>
  <c r="G56" i="174"/>
  <c r="G40" i="272"/>
  <c r="G55" i="174"/>
  <c r="G26" i="174" s="1"/>
  <c r="I22" i="182"/>
  <c r="I38" i="182" s="1"/>
  <c r="J38" i="182" s="1"/>
  <c r="F9" i="267"/>
  <c r="F11" i="267" s="1"/>
  <c r="H11" i="267" s="1"/>
  <c r="I11" i="267" s="1"/>
  <c r="I166" i="325"/>
  <c r="J166" i="325" s="1"/>
  <c r="I29" i="241"/>
  <c r="J29" i="241" s="1"/>
  <c r="F248" i="330"/>
  <c r="G50" i="241"/>
  <c r="I166" i="242"/>
  <c r="J166" i="242" s="1"/>
  <c r="D171" i="335"/>
  <c r="G54" i="317"/>
  <c r="G66" i="317" s="1"/>
  <c r="F50" i="241"/>
  <c r="E240" i="330"/>
  <c r="E48" i="241" s="1"/>
  <c r="E49" i="241" s="1"/>
  <c r="E50" i="241" s="1"/>
  <c r="I104" i="318"/>
  <c r="J104" i="318" s="1"/>
  <c r="F35" i="178"/>
  <c r="I166" i="335"/>
  <c r="J166" i="335" s="1"/>
  <c r="G248" i="330"/>
  <c r="I125" i="330"/>
  <c r="I341" i="323"/>
  <c r="J341" i="323" s="1"/>
  <c r="F22" i="182"/>
  <c r="E9" i="267"/>
  <c r="E11" i="267" s="1"/>
  <c r="E20" i="267" s="1"/>
  <c r="E23" i="267" s="1"/>
  <c r="E25" i="267" s="1"/>
  <c r="J30" i="269"/>
  <c r="I71" i="270"/>
  <c r="J71" i="270" s="1"/>
  <c r="G28" i="267"/>
  <c r="H86" i="268"/>
  <c r="I39" i="268"/>
  <c r="G171" i="326"/>
  <c r="G46" i="174"/>
  <c r="G8" i="174" s="1"/>
  <c r="G171" i="335"/>
  <c r="G171" i="242"/>
  <c r="G86" i="268"/>
  <c r="F28" i="267"/>
  <c r="J8" i="268"/>
  <c r="I21" i="268"/>
  <c r="J21" i="268" s="1"/>
  <c r="C86" i="268"/>
  <c r="D46" i="174"/>
  <c r="D8" i="174" s="1"/>
  <c r="B28" i="267"/>
  <c r="C171" i="335"/>
  <c r="C171" i="326"/>
  <c r="C171" i="242"/>
  <c r="G28" i="334"/>
  <c r="F49" i="334"/>
  <c r="G49" i="334" s="1"/>
  <c r="I155" i="333"/>
  <c r="J155" i="333" s="1"/>
  <c r="G154" i="333"/>
  <c r="I154" i="333" s="1"/>
  <c r="J154" i="333" s="1"/>
  <c r="I7" i="333"/>
  <c r="J7" i="333" s="1"/>
  <c r="H171" i="326"/>
  <c r="H171" i="335"/>
  <c r="H171" i="242"/>
  <c r="G25" i="267"/>
  <c r="J39" i="272"/>
  <c r="H40" i="272"/>
  <c r="H256" i="330"/>
  <c r="H26" i="241"/>
  <c r="J6" i="241"/>
  <c r="I26" i="241"/>
  <c r="F7" i="178" l="1"/>
  <c r="G61" i="174" s="1"/>
  <c r="G53" i="174"/>
  <c r="G28" i="174"/>
  <c r="C32" i="172"/>
  <c r="G11" i="180"/>
  <c r="I40" i="272"/>
  <c r="J40" i="272" s="1"/>
  <c r="G27" i="174"/>
  <c r="I40" i="268"/>
  <c r="J40" i="268" s="1"/>
  <c r="F12" i="180"/>
  <c r="F13" i="180" s="1"/>
  <c r="F14" i="180" s="1"/>
  <c r="B33" i="172"/>
  <c r="J11" i="180"/>
  <c r="H9" i="267"/>
  <c r="I9" i="267" s="1"/>
  <c r="G17" i="174"/>
  <c r="F20" i="267"/>
  <c r="F23" i="267" s="1"/>
  <c r="F25" i="267" s="1"/>
  <c r="H25" i="267" s="1"/>
  <c r="I25" i="267" s="1"/>
  <c r="J22" i="182"/>
  <c r="G56" i="317"/>
  <c r="E247" i="330"/>
  <c r="E257" i="330" s="1"/>
  <c r="I243" i="330"/>
  <c r="J243" i="330" s="1"/>
  <c r="H240" i="330"/>
  <c r="J125" i="330"/>
  <c r="F38" i="267"/>
  <c r="F41" i="178"/>
  <c r="H28" i="267"/>
  <c r="I28" i="267" s="1"/>
  <c r="J39" i="268"/>
  <c r="F38" i="182"/>
  <c r="F42" i="182" s="1"/>
  <c r="F44" i="182" s="1"/>
  <c r="F46" i="182" s="1"/>
  <c r="F48" i="182" s="1"/>
  <c r="F53" i="182"/>
  <c r="F256" i="330" s="1"/>
  <c r="J26" i="241"/>
  <c r="J14" i="180" l="1"/>
  <c r="F15" i="180"/>
  <c r="B36" i="172"/>
  <c r="G54" i="174"/>
  <c r="G14" i="174" s="1"/>
  <c r="F13" i="178"/>
  <c r="G12" i="180"/>
  <c r="H12" i="180" s="1"/>
  <c r="I12" i="180" s="1"/>
  <c r="C33" i="172"/>
  <c r="H11" i="180"/>
  <c r="I11" i="180" s="1"/>
  <c r="B35" i="172"/>
  <c r="J13" i="180"/>
  <c r="J12" i="180"/>
  <c r="B34" i="172"/>
  <c r="E248" i="330"/>
  <c r="H23" i="267"/>
  <c r="I23" i="267" s="1"/>
  <c r="H20" i="267"/>
  <c r="I20" i="267" s="1"/>
  <c r="H55" i="317"/>
  <c r="H56" i="317" s="1"/>
  <c r="I55" i="317" s="1"/>
  <c r="I56" i="317" s="1"/>
  <c r="J55" i="317" s="1"/>
  <c r="J56" i="317" s="1"/>
  <c r="H48" i="241"/>
  <c r="I240" i="330"/>
  <c r="H247" i="330"/>
  <c r="F8" i="242"/>
  <c r="F7" i="242" s="1"/>
  <c r="F166" i="242" s="1"/>
  <c r="J15" i="180" l="1"/>
  <c r="B37" i="172"/>
  <c r="F36" i="267"/>
  <c r="G52" i="174"/>
  <c r="G13" i="174" s="1"/>
  <c r="F26" i="178"/>
  <c r="G13" i="180"/>
  <c r="C34" i="172"/>
  <c r="K55" i="317"/>
  <c r="K56" i="317" s="1"/>
  <c r="H257" i="330"/>
  <c r="H248" i="330"/>
  <c r="I248" i="330" s="1"/>
  <c r="J248" i="330" s="1"/>
  <c r="J240" i="330"/>
  <c r="I247" i="330"/>
  <c r="I48" i="241"/>
  <c r="H49" i="241"/>
  <c r="H50" i="241" s="1"/>
  <c r="F171" i="242"/>
  <c r="F171" i="335"/>
  <c r="F171" i="326"/>
  <c r="G39" i="174" l="1"/>
  <c r="F43" i="178"/>
  <c r="F54" i="178" s="1"/>
  <c r="L55" i="317"/>
  <c r="C35" i="172"/>
  <c r="H13" i="180"/>
  <c r="I13" i="180" s="1"/>
  <c r="G14" i="180"/>
  <c r="H14" i="180" s="1"/>
  <c r="I14" i="180" s="1"/>
  <c r="J247" i="330"/>
  <c r="I257" i="330"/>
  <c r="J48" i="241"/>
  <c r="I49" i="241"/>
  <c r="C36" i="172" l="1"/>
  <c r="G15" i="180"/>
  <c r="H15" i="180" s="1"/>
  <c r="I15" i="180" s="1"/>
  <c r="J49" i="241"/>
  <c r="I50" i="241"/>
  <c r="J50" i="241" s="1"/>
  <c r="C37" i="172" l="1"/>
  <c r="G16" i="180"/>
  <c r="I124" i="333"/>
  <c r="J124" i="333" s="1"/>
  <c r="I121" i="333"/>
  <c r="J121" i="333" s="1"/>
  <c r="I126" i="333"/>
  <c r="J126" i="333" s="1"/>
  <c r="I123" i="333"/>
  <c r="J123" i="333" s="1"/>
  <c r="I129" i="333"/>
  <c r="J129" i="333" s="1"/>
  <c r="I127" i="333"/>
  <c r="J127" i="333" s="1"/>
  <c r="H118" i="333"/>
  <c r="H117" i="333" s="1"/>
  <c r="I120" i="333"/>
  <c r="J120" i="333" s="1"/>
  <c r="G118" i="333"/>
  <c r="G117" i="333" s="1"/>
  <c r="G166" i="333" s="1"/>
  <c r="G17" i="180" l="1"/>
  <c r="C39" i="172" s="1"/>
  <c r="C38" i="172"/>
  <c r="H166" i="333"/>
  <c r="I166" i="333" s="1"/>
  <c r="J166" i="333" s="1"/>
  <c r="I117" i="333"/>
  <c r="J117" i="333" s="1"/>
  <c r="I118" i="333"/>
  <c r="J118" i="333" s="1"/>
  <c r="L21" i="317" l="1"/>
  <c r="L33" i="317" s="1"/>
  <c r="L54" i="317" s="1"/>
  <c r="N17" i="317"/>
  <c r="N21" i="317" s="1"/>
  <c r="N33" i="317" s="1"/>
  <c r="N54" i="317" s="1"/>
  <c r="L56" i="317" l="1"/>
  <c r="M55" i="317" s="1"/>
  <c r="M56" i="317" s="1"/>
  <c r="N55" i="317" s="1"/>
  <c r="N56" i="317" s="1"/>
  <c r="L66" i="317"/>
  <c r="N66" i="317"/>
</calcChain>
</file>

<file path=xl/sharedStrings.xml><?xml version="1.0" encoding="utf-8"?>
<sst xmlns="http://schemas.openxmlformats.org/spreadsheetml/2006/main" count="3218" uniqueCount="1675">
  <si>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</si>
  <si>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</si>
  <si>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</si>
  <si>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</si>
  <si>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</si>
  <si>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</si>
  <si>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</si>
  <si>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</si>
  <si>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</si>
  <si>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</si>
  <si>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</si>
  <si>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</si>
  <si>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</si>
  <si>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</si>
  <si>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</si>
  <si>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</si>
  <si>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</si>
  <si>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</si>
  <si>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</si>
  <si>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</si>
  <si>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</si>
  <si>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</si>
  <si>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</si>
  <si>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</si>
  <si>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</si>
  <si>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</si>
  <si>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</si>
  <si>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</si>
  <si>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</si>
  <si>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</si>
  <si>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</si>
  <si>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</si>
  <si>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</si>
  <si>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</si>
  <si>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</si>
  <si>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</si>
  <si>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</si>
  <si>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</si>
  <si>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</si>
  <si>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</si>
  <si>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</si>
  <si>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</si>
  <si>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</si>
  <si>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</si>
  <si>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</si>
  <si>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</si>
  <si>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</si>
  <si>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</si>
  <si>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</si>
  <si>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</si>
  <si>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</si>
  <si>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</si>
  <si>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</si>
  <si>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</si>
  <si>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</si>
  <si>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</si>
  <si>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</si>
  <si>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</si>
  <si>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</si>
  <si>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</si>
  <si>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</si>
  <si>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</si>
  <si>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</si>
  <si>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</si>
  <si>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</si>
  <si>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</si>
  <si>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</si>
  <si>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</si>
  <si>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</si>
  <si>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</si>
  <si>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</si>
  <si>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</si>
  <si>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</si>
  <si>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</si>
  <si>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</si>
  <si>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</si>
  <si>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</si>
  <si>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</si>
  <si>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</si>
  <si>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</si>
  <si>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</si>
  <si>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</si>
  <si>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</si>
  <si>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</si>
  <si>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</si>
  <si>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</si>
  <si>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</si>
  <si>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</si>
  <si>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</si>
  <si>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</si>
  <si>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</si>
  <si>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</si>
  <si>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</si>
  <si>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</si>
  <si>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</si>
  <si>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</si>
  <si>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</si>
  <si>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</si>
  <si>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</si>
  <si>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</si>
  <si>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</si>
  <si>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</si>
  <si>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</si>
  <si>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</si>
  <si>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</si>
  <si>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</si>
  <si>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</si>
  <si>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</si>
  <si>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</si>
  <si>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</si>
  <si>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</si>
  <si>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</si>
  <si>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</si>
  <si>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</si>
  <si>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</si>
  <si>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</si>
  <si>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</si>
  <si>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</si>
  <si>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</si>
  <si>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</si>
  <si>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</si>
  <si>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</si>
  <si>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</si>
  <si>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</si>
  <si>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</si>
  <si>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</si>
  <si>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</si>
  <si>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</si>
  <si>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</si>
  <si>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</si>
  <si>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</si>
  <si>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</si>
  <si>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</si>
  <si>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</si>
  <si>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</si>
  <si>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</si>
  <si>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</si>
  <si>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</si>
  <si>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</si>
  <si>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</si>
  <si>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</si>
  <si>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</si>
  <si>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</si>
  <si>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</si>
  <si>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</si>
  <si>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</si>
  <si>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</si>
  <si>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</si>
  <si>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</si>
  <si>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</si>
  <si>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</si>
  <si>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</si>
  <si>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</si>
  <si>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</si>
  <si>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</si>
  <si>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</si>
  <si>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</si>
  <si>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</si>
  <si>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</si>
  <si>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</si>
  <si>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</si>
  <si>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</si>
  <si>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</si>
  <si>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</si>
  <si>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</si>
  <si>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</si>
  <si>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</si>
  <si>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</si>
  <si>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</si>
  <si>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</si>
  <si>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</si>
  <si>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</si>
  <si>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</si>
  <si>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</si>
  <si>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</si>
  <si>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</si>
  <si>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</si>
  <si>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</si>
  <si>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</si>
  <si>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</si>
  <si>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</si>
  <si>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</si>
  <si>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</si>
  <si>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</si>
  <si>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</si>
  <si>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</si>
  <si>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</si>
  <si>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</si>
  <si>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</si>
  <si>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</si>
  <si>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</si>
  <si>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</si>
  <si>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</si>
  <si>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</si>
  <si>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</si>
  <si>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</si>
  <si>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</si>
  <si>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</si>
  <si>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</si>
  <si>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</si>
  <si>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</si>
  <si>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</si>
  <si>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</si>
  <si>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</si>
  <si>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</si>
  <si>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</si>
  <si>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</si>
  <si>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</si>
  <si>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</si>
  <si>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</si>
  <si>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</si>
  <si>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</si>
  <si>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</si>
  <si>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</si>
  <si>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</si>
  <si>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</si>
  <si>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</si>
  <si>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</si>
  <si>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</si>
  <si>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</si>
  <si>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</si>
  <si>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</si>
  <si>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</si>
  <si>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</si>
  <si>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</si>
  <si>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</si>
  <si>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</si>
  <si>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</si>
  <si>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</si>
  <si>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</si>
  <si>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</si>
  <si>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</si>
  <si>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</si>
  <si>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</si>
  <si>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</si>
  <si>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</si>
  <si>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</si>
  <si>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</si>
  <si>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</si>
  <si>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</si>
  <si>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</si>
  <si>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</si>
  <si>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</si>
  <si>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</si>
  <si>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</si>
  <si>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</si>
  <si>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</si>
  <si>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</si>
  <si>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</si>
  <si>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</si>
  <si>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</si>
  <si>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</si>
  <si>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</si>
  <si>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</si>
  <si>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</si>
  <si>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</si>
  <si>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</si>
  <si>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</si>
  <si>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</si>
  <si>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</si>
  <si>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</si>
  <si>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</si>
  <si>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</si>
  <si>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</si>
  <si>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</si>
  <si>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</si>
  <si>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</si>
  <si>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</si>
  <si>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</si>
  <si>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</si>
  <si>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</si>
  <si>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</si>
  <si>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</si>
  <si>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</si>
  <si>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</si>
  <si>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</si>
  <si>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</si>
  <si>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</si>
  <si>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</si>
  <si>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</si>
  <si>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</si>
  <si>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</si>
  <si>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</si>
  <si>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</si>
  <si>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</si>
  <si>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</si>
  <si>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</si>
  <si>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</si>
  <si>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</si>
  <si>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</si>
  <si>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</si>
  <si>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</si>
  <si>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</si>
  <si>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</si>
  <si>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</si>
  <si>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</si>
  <si>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</si>
  <si>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</si>
  <si>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</si>
  <si>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</si>
  <si>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</si>
  <si>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</si>
  <si>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</si>
  <si>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</si>
  <si>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</si>
  <si>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</si>
  <si>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</si>
  <si>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</si>
  <si>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</si>
  <si>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</si>
  <si>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</si>
  <si>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</si>
  <si>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</si>
  <si>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</si>
  <si>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</si>
  <si>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</si>
  <si>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</si>
  <si>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</si>
  <si>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</si>
  <si>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</si>
  <si>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</si>
  <si>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</si>
  <si>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</si>
  <si>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</si>
  <si>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</si>
  <si>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</si>
  <si>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</si>
  <si>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</si>
  <si>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</si>
  <si>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</si>
  <si>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</si>
  <si>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</si>
  <si>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</si>
  <si>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</si>
  <si>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</si>
  <si>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</si>
  <si>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</si>
  <si>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</si>
  <si>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</si>
  <si>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</si>
  <si>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</si>
  <si>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</si>
  <si>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</si>
  <si>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</si>
  <si>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</si>
  <si>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</si>
  <si>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</si>
  <si>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</si>
  <si>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</si>
  <si>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</si>
  <si>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</si>
  <si>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</si>
  <si>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</si>
  <si>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</si>
  <si>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</si>
  <si>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</si>
  <si>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</si>
  <si>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</si>
  <si>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</si>
  <si>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</si>
  <si>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</si>
  <si>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</si>
  <si>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</si>
  <si>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</si>
  <si>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</si>
  <si>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</si>
  <si>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</si>
  <si>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</si>
  <si>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</si>
  <si>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</si>
  <si>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</si>
  <si>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</si>
  <si>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</si>
  <si>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</si>
  <si>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</si>
  <si>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</si>
  <si>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</si>
  <si>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</si>
  <si>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</si>
  <si>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</si>
  <si>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</si>
  <si>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</si>
  <si>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</si>
  <si>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</si>
  <si>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</si>
  <si>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</si>
  <si>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</si>
  <si>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</si>
  <si>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</si>
  <si>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</si>
  <si>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</si>
  <si>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</si>
  <si>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</si>
  <si>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</si>
  <si>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</si>
  <si>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</si>
  <si>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</si>
  <si>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</si>
  <si>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</si>
  <si>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</si>
  <si>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</si>
  <si>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</si>
  <si>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</si>
  <si>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</si>
  <si>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</si>
  <si>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</si>
  <si>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</si>
  <si>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</si>
  <si>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</si>
  <si>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</si>
  <si>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</si>
  <si>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</si>
  <si>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</si>
  <si>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</si>
  <si>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</si>
  <si>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</si>
  <si>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</si>
  <si>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</si>
  <si>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</si>
  <si>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</si>
  <si>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</si>
  <si>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</si>
  <si>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</si>
  <si>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</si>
  <si>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</si>
  <si>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</si>
  <si>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</si>
  <si>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</si>
  <si>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</si>
  <si>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</si>
  <si>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</si>
  <si>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</si>
  <si>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</si>
  <si>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</si>
  <si>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</si>
  <si>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</si>
  <si>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</si>
  <si>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</si>
  <si>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</si>
  <si>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</si>
  <si>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</si>
  <si>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</si>
  <si>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</si>
  <si>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</si>
  <si>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</si>
  <si>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</si>
  <si>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</si>
  <si>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</si>
  <si>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</si>
  <si>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</si>
  <si>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</si>
  <si>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</si>
  <si>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</si>
  <si>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</si>
  <si>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</si>
  <si>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</si>
  <si>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</si>
  <si>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</si>
  <si>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</si>
  <si>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</si>
  <si>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</si>
  <si>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</si>
  <si>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</si>
  <si>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</si>
  <si>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</si>
  <si>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</si>
  <si>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</si>
  <si>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</si>
  <si>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</si>
  <si>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</si>
  <si>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</si>
  <si>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</si>
  <si>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</si>
  <si>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</si>
  <si>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</si>
  <si>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</si>
  <si>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</si>
  <si>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</si>
  <si>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</si>
  <si>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</si>
  <si>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</si>
  <si>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</si>
  <si>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</si>
  <si>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</si>
  <si>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</si>
  <si>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</si>
  <si>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</si>
  <si>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</si>
  <si>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</si>
  <si>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</si>
  <si>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</si>
  <si>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</si>
  <si>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</si>
  <si>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</si>
  <si>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</si>
  <si>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</si>
  <si>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</si>
  <si>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</si>
  <si>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</si>
  <si>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</si>
  <si>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</si>
  <si>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</si>
  <si>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</si>
  <si>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</si>
  <si>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</si>
  <si>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</si>
  <si>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</si>
  <si>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</si>
  <si>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</si>
  <si>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</si>
  <si>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</si>
  <si>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</si>
  <si>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</si>
  <si>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</si>
  <si>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</si>
  <si>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</si>
  <si>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</si>
  <si>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</si>
  <si>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</si>
  <si>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</si>
  <si>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</si>
  <si>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</si>
  <si>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</si>
  <si>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</si>
  <si>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</si>
  <si>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</si>
  <si>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</si>
  <si>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</si>
  <si>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</si>
  <si>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</si>
  <si>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</si>
  <si>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</si>
  <si>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</si>
  <si>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</si>
  <si>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</si>
  <si>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</si>
  <si>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</si>
  <si>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</si>
  <si>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</si>
  <si>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</si>
  <si>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</si>
  <si>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</si>
  <si>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</si>
  <si>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</si>
  <si>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</si>
  <si>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</si>
  <si>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</si>
  <si>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</si>
  <si>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</si>
  <si>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</si>
  <si>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</si>
  <si>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</si>
  <si>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</si>
  <si>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</si>
  <si>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</si>
  <si>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</si>
  <si>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</si>
  <si>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</si>
  <si>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</si>
  <si>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</si>
  <si>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</si>
  <si>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</si>
  <si>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</si>
  <si>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</si>
  <si>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</si>
  <si>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</si>
  <si>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</si>
  <si>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</si>
  <si>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</si>
  <si>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</si>
  <si>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</si>
  <si>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</si>
  <si>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</si>
  <si>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</si>
  <si>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</si>
  <si>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</si>
  <si>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</si>
  <si>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</si>
  <si>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</si>
  <si>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</si>
  <si>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</si>
  <si>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</si>
  <si>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</si>
  <si>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</si>
  <si>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</si>
  <si>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</si>
  <si>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</si>
  <si>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</si>
  <si>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</si>
  <si>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</si>
  <si>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</si>
  <si>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</si>
  <si>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</si>
  <si>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</si>
  <si>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</si>
  <si>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</si>
  <si>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</si>
  <si>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</si>
  <si>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</si>
  <si>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</si>
  <si>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</si>
  <si>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</si>
  <si>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</si>
  <si>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</si>
  <si>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</si>
  <si>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</si>
  <si>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</si>
  <si>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</si>
  <si>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</si>
  <si>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</si>
  <si>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</si>
  <si>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</si>
  <si>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</si>
  <si>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</si>
  <si>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</si>
  <si>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</si>
  <si>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</si>
  <si>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</si>
  <si>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</si>
  <si>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</si>
  <si>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</si>
  <si>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</si>
  <si>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</si>
  <si>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</si>
  <si>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</si>
  <si>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</si>
  <si>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</si>
  <si>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</si>
  <si>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</si>
  <si>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</si>
  <si>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</si>
  <si>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</si>
  <si>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</si>
  <si>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</si>
  <si>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</si>
  <si>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</si>
  <si>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</si>
  <si>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</si>
  <si>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</si>
  <si>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</si>
  <si>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</si>
  <si>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</si>
  <si>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</si>
  <si>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</si>
  <si>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</si>
  <si>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</si>
  <si>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</si>
  <si>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</si>
  <si>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</si>
  <si>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</si>
  <si>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</si>
  <si>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</si>
  <si>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</si>
  <si>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</si>
  <si>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</si>
  <si>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</si>
  <si>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</si>
  <si>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</si>
  <si>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</si>
  <si>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</si>
  <si>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</si>
  <si>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</si>
  <si>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</si>
  <si>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</si>
  <si>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</si>
  <si>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</si>
  <si>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</si>
  <si>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</si>
  <si>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</si>
  <si>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</si>
  <si>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</si>
  <si>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</si>
  <si>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</si>
  <si>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</si>
  <si>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</si>
  <si>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</si>
  <si>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</si>
  <si>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</si>
  <si>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</si>
  <si>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</si>
  <si>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</si>
  <si>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</si>
  <si>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</si>
  <si>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</si>
  <si>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</si>
  <si>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</si>
  <si>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</si>
  <si>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</si>
  <si>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</si>
  <si>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</si>
  <si>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</si>
  <si>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</si>
  <si>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</si>
  <si>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</si>
  <si>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</si>
  <si>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</si>
  <si>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</si>
  <si>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</si>
  <si>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</si>
  <si>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</si>
  <si>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</si>
  <si>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</si>
  <si>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</si>
  <si>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</si>
  <si>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</si>
  <si>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</si>
  <si>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</si>
  <si>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</si>
  <si>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</si>
  <si>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</si>
  <si>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</si>
  <si>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</si>
  <si>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</si>
  <si>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</si>
  <si>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</si>
  <si>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</si>
  <si>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</si>
  <si>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</si>
  <si>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</si>
  <si>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</si>
  <si>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</si>
  <si>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</si>
  <si>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</si>
  <si>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</si>
  <si>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</si>
  <si>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</si>
  <si>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</si>
  <si>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</si>
  <si>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</si>
  <si>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</si>
  <si>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</si>
  <si>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</si>
  <si>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</si>
  <si>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</si>
  <si>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</si>
  <si>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</si>
  <si>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</si>
  <si>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</si>
  <si>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</si>
  <si>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</si>
  <si>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</si>
  <si>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</si>
  <si>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</si>
  <si>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</si>
  <si>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</si>
  <si>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</si>
  <si>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</si>
  <si>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</si>
  <si>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</si>
  <si>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</si>
  <si>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</si>
  <si>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</si>
  <si>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</si>
  <si>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</si>
  <si>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</si>
  <si>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</si>
  <si>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</si>
  <si>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</si>
  <si>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</si>
  <si>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</si>
  <si>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</si>
  <si>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</si>
  <si>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</si>
  <si>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</si>
  <si>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</si>
  <si>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</si>
  <si>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</si>
  <si>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</si>
  <si>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</si>
  <si>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</si>
  <si>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</si>
  <si>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</si>
  <si>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</si>
  <si>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</si>
  <si>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</si>
  <si>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</si>
  <si>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</si>
  <si>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</si>
  <si>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</si>
  <si>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</si>
  <si>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</si>
  <si>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</si>
  <si>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</si>
  <si>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</si>
  <si>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</si>
  <si>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</si>
  <si>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</si>
  <si>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</si>
  <si>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</si>
  <si>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</si>
  <si>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</si>
  <si>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</si>
  <si>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</si>
  <si>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</si>
  <si>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</si>
  <si>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</si>
  <si>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</si>
  <si>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</si>
  <si>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</si>
  <si>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</si>
  <si>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</si>
  <si>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</si>
  <si>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</si>
  <si>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</si>
  <si>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</si>
  <si>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</si>
  <si>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</si>
  <si>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</si>
  <si>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</si>
  <si>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</si>
  <si>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</si>
  <si>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</si>
  <si>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</si>
  <si>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</si>
  <si>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</si>
  <si>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</si>
  <si>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</si>
  <si>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</si>
  <si>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</si>
  <si>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</si>
  <si>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</si>
  <si>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</si>
  <si>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</si>
  <si>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</si>
  <si>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</si>
  <si>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</si>
  <si>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</si>
  <si>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</si>
  <si>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</si>
  <si>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</si>
  <si>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</si>
  <si>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</si>
  <si>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</si>
  <si>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</si>
  <si>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</si>
  <si>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</si>
  <si>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</si>
  <si>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</si>
  <si>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</si>
  <si>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</si>
  <si>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</si>
  <si>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</si>
  <si>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</si>
  <si>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</si>
  <si>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</si>
  <si>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</si>
  <si>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</si>
  <si>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</si>
  <si>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</si>
  <si>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</si>
  <si>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</si>
  <si>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</si>
  <si>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</si>
  <si>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</si>
  <si>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</si>
  <si>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</si>
  <si>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</si>
  <si>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</si>
  <si>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</si>
  <si>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</si>
  <si>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</si>
  <si>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</si>
  <si>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</si>
  <si>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</si>
  <si>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</si>
  <si>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</si>
  <si>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</si>
  <si>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</si>
  <si>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</si>
  <si>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</si>
  <si>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</si>
  <si>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</si>
  <si>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</si>
  <si>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</si>
  <si>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</si>
  <si>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</si>
  <si>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</si>
  <si>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</si>
  <si>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</si>
  <si>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</si>
  <si>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</si>
  <si>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</si>
  <si>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</si>
  <si>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</si>
  <si>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</si>
  <si>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</si>
  <si>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</si>
  <si>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</si>
  <si>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</si>
  <si>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</si>
  <si>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</si>
  <si>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</si>
  <si>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</si>
  <si>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</si>
  <si>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</si>
  <si>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</si>
  <si>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</si>
  <si>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</si>
  <si>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</si>
  <si>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</si>
  <si>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</si>
  <si>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</si>
  <si>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</si>
  <si>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</si>
  <si>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</si>
  <si>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</si>
  <si>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</si>
  <si>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</si>
  <si>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</si>
  <si>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</si>
  <si>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</si>
  <si>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</si>
  <si>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</si>
  <si>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</si>
  <si>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</si>
  <si>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</si>
  <si>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</si>
  <si>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</si>
  <si>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</si>
  <si>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</si>
  <si>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</si>
  <si>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</si>
  <si>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</si>
  <si>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</si>
  <si>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</si>
  <si>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</si>
  <si>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</si>
  <si>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</si>
  <si>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</si>
  <si>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</si>
  <si>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</si>
  <si>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</si>
  <si>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</si>
  <si>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</si>
  <si>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</si>
  <si>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</si>
  <si>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</si>
  <si>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</si>
  <si>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</si>
  <si>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</si>
  <si>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</si>
  <si>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</si>
  <si>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</si>
  <si>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</si>
  <si>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</si>
  <si>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</si>
  <si>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</si>
  <si>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</si>
  <si>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</si>
  <si>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</si>
  <si>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</si>
  <si>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</si>
  <si>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</si>
  <si>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</si>
  <si>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</si>
  <si>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</si>
  <si>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</si>
  <si>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</si>
  <si>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</si>
  <si>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</si>
  <si>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</si>
  <si>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</si>
  <si>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</si>
  <si>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</si>
  <si>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</si>
  <si>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</si>
  <si>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</si>
  <si>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</si>
  <si>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</si>
  <si>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</si>
  <si>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</si>
  <si>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</si>
  <si>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</si>
  <si>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</si>
  <si>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</si>
  <si>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</si>
  <si>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</si>
  <si>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</si>
  <si>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</si>
  <si>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</si>
  <si>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</si>
  <si>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</si>
  <si>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</si>
  <si>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</si>
  <si>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</si>
  <si>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</si>
  <si>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</si>
  <si>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</si>
  <si>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</si>
  <si>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</si>
  <si>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</si>
  <si>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</si>
  <si>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</si>
  <si>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</si>
  <si>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</si>
  <si>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</si>
  <si>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</si>
  <si>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</si>
  <si>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</si>
  <si>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</si>
  <si>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</si>
  <si>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</si>
  <si>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</si>
  <si>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</si>
  <si>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</si>
  <si>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</si>
  <si>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</si>
  <si>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</si>
  <si>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</si>
  <si>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</si>
  <si>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</si>
  <si>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</si>
  <si>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</si>
  <si>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</si>
  <si>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</si>
  <si>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</si>
  <si>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</si>
  <si>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</si>
  <si>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</si>
  <si>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</si>
  <si>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</si>
  <si>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</si>
  <si>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</si>
  <si>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</si>
  <si>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</si>
  <si>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</si>
  <si>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</si>
  <si>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</si>
  <si>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</si>
  <si>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</si>
  <si>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</si>
  <si>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</si>
  <si>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</si>
  <si>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</si>
  <si>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</si>
  <si>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</si>
  <si>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</si>
  <si>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</si>
  <si>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</si>
  <si>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</si>
  <si>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</si>
  <si>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</si>
  <si>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</si>
  <si>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</si>
  <si>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</si>
  <si>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</si>
  <si>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</si>
  <si>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</si>
  <si>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</si>
  <si>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</si>
  <si>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</si>
  <si>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</si>
  <si>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</si>
  <si>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</si>
  <si>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</si>
  <si>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</si>
  <si>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</si>
  <si>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</si>
  <si>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</si>
  <si>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</si>
  <si>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</si>
  <si>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</si>
  <si>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</si>
  <si>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</si>
  <si>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</si>
  <si>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</si>
  <si>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</si>
  <si>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</si>
  <si>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</si>
  <si>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</si>
  <si>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</si>
  <si>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</si>
  <si>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</si>
  <si>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</si>
  <si>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</si>
  <si>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</si>
  <si>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</si>
  <si>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</si>
  <si>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</si>
  <si>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</si>
  <si>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</si>
  <si>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</si>
  <si>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</si>
  <si>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</si>
  <si>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</si>
  <si>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</si>
  <si>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</si>
  <si>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</si>
  <si>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</si>
  <si>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</si>
  <si>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</si>
  <si>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</si>
  <si>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</si>
  <si>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</si>
  <si>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</si>
  <si>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</si>
  <si>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</si>
  <si>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</si>
  <si>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</si>
  <si>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</si>
  <si>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</si>
  <si>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</si>
  <si>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</si>
  <si>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</si>
  <si>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</si>
  <si>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</si>
  <si>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</si>
  <si>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</si>
  <si>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</si>
  <si>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</si>
  <si>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</si>
  <si>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</si>
  <si>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</si>
  <si>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</si>
  <si>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</si>
  <si>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</si>
  <si>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</si>
  <si>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</si>
  <si>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</si>
  <si>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</si>
  <si>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</si>
  <si>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</si>
  <si>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</si>
  <si>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</si>
  <si>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</si>
  <si>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</si>
  <si>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</si>
  <si>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</si>
  <si>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</si>
  <si>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</si>
  <si>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</si>
  <si>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</si>
  <si>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</si>
  <si>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</si>
  <si>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</si>
  <si>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</si>
  <si>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</si>
  <si>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</si>
  <si>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</si>
  <si>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</si>
  <si>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</si>
  <si>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</si>
  <si>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</si>
  <si>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</si>
  <si>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</si>
  <si>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</si>
  <si>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</si>
  <si>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</si>
  <si>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</si>
  <si>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</si>
  <si>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</si>
  <si>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</si>
  <si>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</si>
  <si>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</si>
  <si>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</si>
  <si>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</si>
  <si>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</si>
  <si>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</si>
  <si>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</si>
  <si>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</si>
  <si>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</si>
  <si>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</si>
  <si>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</si>
  <si>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</si>
  <si>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</si>
  <si>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</si>
  <si>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</si>
  <si>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</si>
  <si>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</si>
  <si>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</si>
  <si>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</si>
  <si>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</si>
  <si>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</si>
  <si>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</si>
  <si>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</si>
  <si>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</si>
  <si>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</si>
  <si>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</si>
  <si>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</si>
  <si>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</si>
  <si>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</si>
  <si>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</si>
  <si>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</si>
  <si>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</si>
  <si>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</si>
  <si>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</si>
  <si>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</si>
  <si>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</si>
  <si>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</si>
  <si>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</si>
  <si>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</si>
  <si>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</si>
  <si>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</si>
  <si>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</si>
  <si>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</si>
  <si>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</si>
  <si>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</si>
  <si>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</si>
  <si>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</si>
  <si>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</si>
  <si>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</si>
  <si>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</si>
  <si>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</si>
  <si>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</si>
  <si>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</si>
  <si>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</si>
  <si>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</si>
  <si>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</si>
  <si>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</si>
  <si>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</si>
  <si>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</si>
  <si>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</si>
  <si>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</si>
  <si>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</si>
  <si>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</si>
  <si>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</si>
  <si>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</si>
  <si>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</si>
  <si>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</si>
  <si>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</si>
  <si>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</si>
  <si>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</si>
  <si>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</si>
  <si>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</si>
  <si>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</si>
  <si>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</si>
  <si>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</si>
  <si>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</si>
  <si>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</si>
  <si>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</si>
  <si>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</si>
  <si>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</si>
  <si>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</si>
  <si>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</si>
  <si>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</si>
  <si>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</si>
  <si>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</si>
  <si>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</si>
  <si>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</si>
  <si>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</si>
  <si>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</si>
  <si>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</si>
  <si>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</si>
  <si>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</si>
  <si>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</si>
  <si>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</si>
  <si>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</si>
  <si>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</si>
  <si>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</si>
  <si>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</si>
  <si>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</si>
  <si>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</si>
  <si>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</si>
  <si>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</si>
  <si>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</si>
  <si>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</si>
  <si>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</si>
  <si>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</si>
  <si>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</si>
  <si>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</si>
  <si>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</si>
  <si>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</si>
  <si>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</si>
  <si>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</si>
  <si>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</si>
  <si>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</si>
  <si>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</si>
  <si>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</si>
  <si>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</si>
  <si>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</si>
  <si>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</si>
  <si>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</si>
  <si>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</si>
  <si>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</si>
  <si>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</si>
  <si>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</si>
  <si>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</si>
  <si>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</si>
  <si>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</si>
  <si>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</si>
  <si>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</si>
  <si>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</si>
  <si>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</si>
  <si>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</si>
  <si>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</si>
  <si>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</si>
  <si>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</si>
  <si>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</si>
  <si>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</si>
  <si>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</si>
  <si>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</si>
  <si>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</si>
  <si>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</si>
  <si>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</si>
  <si>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</si>
  <si>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</si>
  <si>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</si>
  <si>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</si>
  <si>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</si>
  <si>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</si>
  <si>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</si>
  <si>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</si>
  <si>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</si>
  <si>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</si>
  <si>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</si>
  <si>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</si>
  <si>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</si>
  <si>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</si>
  <si>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</si>
  <si>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</si>
  <si>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</si>
  <si>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</si>
  <si>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</si>
  <si>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</si>
  <si>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</si>
  <si>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</si>
  <si>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</si>
  <si>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</si>
  <si>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</si>
  <si>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</si>
  <si>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</si>
  <si>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</si>
  <si>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</si>
  <si>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</si>
  <si>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</si>
  <si>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</si>
  <si>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</si>
  <si>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</si>
  <si>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</si>
  <si>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</si>
  <si>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</si>
  <si>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</si>
  <si>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</si>
  <si>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</si>
  <si>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</si>
  <si>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</si>
  <si>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</si>
  <si>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</si>
  <si>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</si>
  <si>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</si>
  <si>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</si>
  <si>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</si>
  <si>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</si>
  <si>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</si>
  <si>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</si>
  <si>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</si>
  <si>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</si>
  <si>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</si>
  <si>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</si>
  <si>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</si>
  <si>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</si>
  <si>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</si>
  <si>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</si>
  <si>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</si>
  <si>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</si>
  <si>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</si>
  <si>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</si>
  <si>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</si>
  <si>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</si>
  <si>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</si>
  <si>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</si>
  <si>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</si>
  <si>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</si>
  <si>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</si>
  <si>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</si>
  <si>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</si>
  <si>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</si>
  <si>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</si>
  <si>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</si>
  <si>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</si>
  <si>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</si>
  <si>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</si>
  <si>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</si>
  <si>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</si>
  <si>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</si>
  <si>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</si>
  <si>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</si>
  <si>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</si>
  <si>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</si>
  <si>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</si>
  <si>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</si>
  <si>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</si>
  <si>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</si>
  <si>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</si>
  <si>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</si>
  <si>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</si>
  <si>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</si>
  <si>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</si>
  <si>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</si>
  <si>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</si>
  <si>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</si>
  <si>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</si>
  <si>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</si>
  <si>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</si>
  <si>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</si>
  <si>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</si>
  <si>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</si>
  <si>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</si>
  <si>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</si>
  <si>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</si>
  <si>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</si>
  <si>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</si>
  <si>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</si>
  <si>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</si>
  <si>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</si>
  <si>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</si>
  <si>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</si>
  <si>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</si>
  <si>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</si>
  <si>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</si>
  <si>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</si>
  <si>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</si>
  <si>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</si>
  <si>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</si>
  <si>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</si>
  <si>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</si>
  <si>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</si>
  <si>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</si>
  <si>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</si>
  <si>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</si>
  <si>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</si>
  <si>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</si>
  <si>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</si>
  <si>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</si>
  <si>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</si>
  <si>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</si>
  <si>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</si>
  <si>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</si>
  <si>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</si>
  <si>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</si>
  <si>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</si>
  <si>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</si>
  <si>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</si>
  <si>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</si>
  <si>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</si>
  <si>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</si>
  <si>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</si>
  <si>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</si>
  <si>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</si>
  <si>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</si>
  <si>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</si>
  <si>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</si>
  <si>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</si>
  <si>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</si>
  <si>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</si>
  <si>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</si>
  <si>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</si>
  <si>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</si>
  <si>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</si>
  <si>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</si>
  <si>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</si>
  <si>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</si>
  <si>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</si>
  <si>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</si>
  <si>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</si>
  <si>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</si>
  <si>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</si>
  <si>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</si>
  <si>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</si>
  <si>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</si>
  <si>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</si>
  <si>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</si>
  <si>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</si>
  <si>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</si>
  <si>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</si>
  <si>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</si>
  <si>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</si>
  <si>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</si>
  <si>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</si>
  <si>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</si>
  <si>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</si>
  <si>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</si>
  <si>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</si>
  <si>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</si>
  <si>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</si>
  <si>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</si>
  <si>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</si>
  <si>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</si>
  <si>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</si>
  <si>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</si>
  <si>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</si>
  <si>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</si>
  <si>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</si>
  <si>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</si>
  <si>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</si>
  <si>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</si>
  <si>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</si>
  <si>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</si>
  <si>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</si>
  <si>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</si>
  <si>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</si>
  <si>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</si>
  <si>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</si>
  <si>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</si>
  <si>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</si>
  <si>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</si>
  <si>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</si>
  <si>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</si>
  <si>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</si>
  <si>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</si>
  <si>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</si>
  <si>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</si>
  <si>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</si>
  <si>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</si>
  <si>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</si>
  <si>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</si>
  <si>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</si>
  <si>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</si>
  <si>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</si>
  <si>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</si>
  <si>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</si>
  <si>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</si>
  <si>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</si>
  <si>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</si>
  <si>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</si>
  <si>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</si>
  <si>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</si>
  <si>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</si>
  <si>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</si>
  <si>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</si>
  <si>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</si>
  <si>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</si>
  <si>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</si>
  <si>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</si>
  <si>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</si>
  <si>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</si>
  <si>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</si>
  <si>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</si>
  <si>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</si>
  <si>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</si>
  <si>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</si>
  <si>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</si>
  <si>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</si>
  <si>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</si>
  <si>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</si>
  <si>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</si>
  <si>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</si>
  <si>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</si>
  <si>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</si>
  <si>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</si>
  <si>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</si>
  <si>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</si>
  <si>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</si>
  <si>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</si>
  <si>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</si>
  <si>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</si>
  <si>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</si>
  <si>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</si>
  <si>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</si>
  <si>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</si>
  <si>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</si>
  <si>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</si>
  <si>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</si>
  <si>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</si>
  <si>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</si>
  <si>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</si>
  <si>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</si>
  <si>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</si>
  <si>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</si>
  <si>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</si>
  <si>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</si>
  <si>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</si>
  <si>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</si>
  <si>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</si>
  <si>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</si>
  <si>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</si>
  <si>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</si>
  <si>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</si>
  <si>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</si>
  <si>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</si>
  <si>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</si>
  <si>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</si>
  <si>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</si>
  <si>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</si>
  <si>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</si>
  <si>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</si>
  <si>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</si>
  <si>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</si>
  <si>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</si>
  <si>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</si>
  <si>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</si>
  <si>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</si>
  <si>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</si>
  <si>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</si>
  <si>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</si>
  <si>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</si>
  <si>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</si>
  <si>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</si>
  <si>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</si>
  <si>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</si>
  <si>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</si>
  <si>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</si>
  <si>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</si>
  <si>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</si>
  <si>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</si>
  <si>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</si>
  <si>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</si>
  <si>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</si>
  <si>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</si>
  <si>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</si>
  <si>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</si>
  <si>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</si>
  <si>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</si>
  <si>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</si>
  <si>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</si>
  <si>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</si>
  <si>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</si>
  <si>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</si>
  <si>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</si>
  <si>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</si>
  <si>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</si>
  <si>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</si>
  <si>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</si>
  <si>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</si>
  <si>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</si>
  <si>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</si>
  <si>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</si>
  <si>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</si>
  <si>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</si>
  <si>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</si>
  <si>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</si>
  <si>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</si>
  <si>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</si>
  <si>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</si>
  <si>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</si>
  <si>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</si>
  <si>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</si>
  <si>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</si>
  <si>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</si>
  <si>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</si>
  <si>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</si>
  <si>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</si>
  <si>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</si>
  <si>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</si>
  <si>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</si>
  <si>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</si>
  <si>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</si>
  <si>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</si>
  <si>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</si>
  <si>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</si>
  <si>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</si>
  <si>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</si>
  <si>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</si>
  <si>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</si>
  <si>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</si>
  <si>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</si>
  <si>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</si>
  <si>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</si>
  <si>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</si>
  <si>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</si>
  <si>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</si>
  <si>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</si>
  <si>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</si>
  <si>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</si>
  <si>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</si>
  <si>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</si>
  <si>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</si>
  <si>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</si>
  <si>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</si>
  <si>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</si>
  <si>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</si>
  <si>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in income instead of liability </t>
  </si>
  <si>
    <t>The expenditure management team  will pass a corrective journal</t>
  </si>
  <si>
    <t>Hard lock down saw lesser driving activity</t>
  </si>
  <si>
    <t>The water disruptions by the water authority was a major factor in revenue recovery coupled withCOVID 19 demand disruptions.</t>
  </si>
  <si>
    <t>Due to energy efficiency interventions (solar water, heating, off grid technologies and loadshedding) The economic climate has also seen a lesser demand from high power users. Illegal
connections is becoming an issue 
the matter</t>
  </si>
  <si>
    <t>–The establishment of an RPU unit will address</t>
  </si>
  <si>
    <t xml:space="preserve">Attributable to competition and under - utilization of municipal facilities due to COVID regulations. </t>
  </si>
  <si>
    <t>Will be adjusted downwards.</t>
  </si>
  <si>
    <t xml:space="preserve">Due to the economy pre and post COVID 19, it was considered prudent to have cash available
immediately rather than investing longer term. Further interest rates have reduced
</t>
  </si>
  <si>
    <t>Extensions were given as per COVID 19 regulations</t>
  </si>
  <si>
    <t>Due to slower collections from consumer due to longer arrangements</t>
  </si>
  <si>
    <t>This expenditure is dependent on needs and requirements of
departments for materials.</t>
  </si>
  <si>
    <t>EPWP Incentive (EPWP)</t>
  </si>
  <si>
    <t>Finance Management Grant (FMG)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</si>
</sst>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10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Border="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6" fillId="0" borderId="10" xfId="0" applyFont="1" applyBorder="1" applyAlignment="1" applyProtection="1">
      <alignment wrapText="1"/>
    </xf>
    <xf numFmtId="0" fontId="6" fillId="32" borderId="72" xfId="0" applyFont="1" applyFill="1" applyBorder="1" applyProtection="1">
      <protection locked="0"/>
    </xf>
    <xf numFmtId="9" fontId="6" fillId="32" borderId="72" xfId="42" applyFont="1" applyFill="1" applyBorder="1" applyProtection="1">
      <protection locked="0"/>
    </xf>
    <xf numFmtId="0" fontId="6" fillId="32" borderId="72" xfId="0" applyFont="1" applyFill="1" applyBorder="1" applyAlignment="1" applyProtection="1">
      <alignment wrapText="1"/>
      <protection locked="0"/>
    </xf>
    <xf numFmtId="0" fontId="6" fillId="32" borderId="72" xfId="0" applyFont="1" applyFill="1" applyBorder="1" applyAlignment="1" applyProtection="1">
      <alignment vertical="center"/>
      <protection locked="0"/>
    </xf>
    <xf numFmtId="9" fontId="6" fillId="32" borderId="72" xfId="42" applyFont="1" applyFill="1" applyBorder="1" applyAlignment="1" applyProtection="1">
      <alignment vertical="center"/>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7" xr:uid="{00000000-0005-0000-0000-000028000000}"/>
    <cellStyle name="Note" xfId="40" builtinId="10" customBuiltin="1"/>
    <cellStyle name="Output" xfId="41" builtinId="21" customBuiltin="1"/>
    <cellStyle name="Percent" xfId="42" builtinId="5"/>
    <cellStyle name="Percent 10 2" xfId="43" xr:uid="{00000000-0005-0000-0000-00002C000000}"/>
    <cellStyle name="Percent 10 2 2" xfId="48" xr:uid="{00000000-0005-0000-0000-00002D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General</c:formatCode>
                <c:ptCount val="8"/>
                <c:pt idx="0">
                  <c:v>150513412</c:v>
                </c:pt>
                <c:pt idx="1">
                  <c:v>65031828</c:v>
                </c:pt>
                <c:pt idx="2">
                  <c:v>45087022</c:v>
                </c:pt>
                <c:pt idx="3">
                  <c:v>41798329</c:v>
                </c:pt>
                <c:pt idx="4">
                  <c:v>37595272</c:v>
                </c:pt>
                <c:pt idx="5">
                  <c:v>40381341</c:v>
                </c:pt>
                <c:pt idx="6">
                  <c:v>166492701</c:v>
                </c:pt>
                <c:pt idx="7">
                  <c:v>1105146081</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General</c:formatCode>
                <c:ptCount val="8"/>
                <c:pt idx="0">
                  <c:v>239760428</c:v>
                </c:pt>
                <c:pt idx="1">
                  <c:v>54373145</c:v>
                </c:pt>
                <c:pt idx="2">
                  <c:v>46328929</c:v>
                </c:pt>
                <c:pt idx="3">
                  <c:v>49397057</c:v>
                </c:pt>
                <c:pt idx="4">
                  <c:v>40822122</c:v>
                </c:pt>
                <c:pt idx="5">
                  <c:v>37589646</c:v>
                </c:pt>
                <c:pt idx="6">
                  <c:v>157166681</c:v>
                </c:pt>
                <c:pt idx="7">
                  <c:v>889720920</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General</c:formatCode>
                <c:ptCount val="4"/>
                <c:pt idx="0">
                  <c:v>97591961.899999991</c:v>
                </c:pt>
                <c:pt idx="1">
                  <c:v>347401827.57999998</c:v>
                </c:pt>
                <c:pt idx="2">
                  <c:v>1157490816.9400001</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General</c:formatCode>
                <c:ptCount val="4"/>
                <c:pt idx="0">
                  <c:v>100610270</c:v>
                </c:pt>
                <c:pt idx="1">
                  <c:v>358146214</c:v>
                </c:pt>
                <c:pt idx="2">
                  <c:v>1193289502</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General</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General</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General</c:formatCode>
                <c:ptCount val="12"/>
                <c:pt idx="0">
                  <c:v>23449713.353499997</c:v>
                </c:pt>
                <c:pt idx="1">
                  <c:v>58840827.868799999</c:v>
                </c:pt>
                <c:pt idx="2">
                  <c:v>69126894.334549993</c:v>
                </c:pt>
                <c:pt idx="3">
                  <c:v>85314622.257499993</c:v>
                </c:pt>
                <c:pt idx="4">
                  <c:v>48292769.820000008</c:v>
                </c:pt>
                <c:pt idx="5">
                  <c:v>95953914.122500002</c:v>
                </c:pt>
                <c:pt idx="6">
                  <c:v>78780754.377229705</c:v>
                </c:pt>
                <c:pt idx="7">
                  <c:v>78780743.314509556</c:v>
                </c:pt>
                <c:pt idx="8">
                  <c:v>118994902.98235315</c:v>
                </c:pt>
                <c:pt idx="9">
                  <c:v>105539683.13322848</c:v>
                </c:pt>
                <c:pt idx="10">
                  <c:v>127230617.56745179</c:v>
                </c:pt>
                <c:pt idx="11">
                  <c:v>149575587.22984177</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General</c:formatCode>
                <c:ptCount val="12"/>
                <c:pt idx="0">
                  <c:v>23449713.350000001</c:v>
                </c:pt>
                <c:pt idx="1">
                  <c:v>58840827.869999997</c:v>
                </c:pt>
                <c:pt idx="2">
                  <c:v>69126894.329999998</c:v>
                </c:pt>
                <c:pt idx="3">
                  <c:v>85425681.670000002</c:v>
                </c:pt>
                <c:pt idx="4">
                  <c:v>48292769.810000002</c:v>
                </c:pt>
                <c:pt idx="5">
                  <c:v>95978639.30250001</c:v>
                </c:pt>
                <c:pt idx="6">
                  <c:v>6570769.858</c:v>
                </c:pt>
                <c:pt idx="7">
                  <c:v>40968693.029000007</c:v>
                </c:pt>
                <c:pt idx="8">
                  <c:v>62477125.801999971</c:v>
                </c:pt>
                <c:pt idx="9">
                  <c:v>111884524.236</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General</c:formatCode>
                <c:ptCount val="12"/>
                <c:pt idx="0">
                  <c:v>23449713.350000001</c:v>
                </c:pt>
                <c:pt idx="1">
                  <c:v>82290541.219999999</c:v>
                </c:pt>
                <c:pt idx="2">
                  <c:v>151417435.55000001</c:v>
                </c:pt>
                <c:pt idx="3">
                  <c:v>236843117.22000003</c:v>
                </c:pt>
                <c:pt idx="4">
                  <c:v>285135887.03000003</c:v>
                </c:pt>
                <c:pt idx="5">
                  <c:v>381114526.33250004</c:v>
                </c:pt>
                <c:pt idx="6">
                  <c:v>387685296.19050002</c:v>
                </c:pt>
                <c:pt idx="7">
                  <c:v>428653989.21950001</c:v>
                </c:pt>
                <c:pt idx="8">
                  <c:v>491131115.02149999</c:v>
                </c:pt>
                <c:pt idx="9">
                  <c:v>603015639.25749993</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General</c:formatCode>
                <c:ptCount val="12"/>
                <c:pt idx="0">
                  <c:v>23449713.353499997</c:v>
                </c:pt>
                <c:pt idx="1">
                  <c:v>82290541.222299993</c:v>
                </c:pt>
                <c:pt idx="2">
                  <c:v>151417435.55684999</c:v>
                </c:pt>
                <c:pt idx="3">
                  <c:v>236732057.81434998</c:v>
                </c:pt>
                <c:pt idx="4">
                  <c:v>285024827.63435</c:v>
                </c:pt>
                <c:pt idx="5">
                  <c:v>380978741.75685</c:v>
                </c:pt>
                <c:pt idx="6">
                  <c:v>459759496.13407969</c:v>
                </c:pt>
                <c:pt idx="7">
                  <c:v>538540239.44858921</c:v>
                </c:pt>
                <c:pt idx="8">
                  <c:v>657535142.4309423</c:v>
                </c:pt>
                <c:pt idx="9">
                  <c:v>763074825.56417084</c:v>
                </c:pt>
                <c:pt idx="10">
                  <c:v>890305443.13162267</c:v>
                </c:pt>
                <c:pt idx="11">
                  <c:v>1039881030.3614645</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10" val="8"/>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a:extLst>
            <a:ext uri="{FF2B5EF4-FFF2-40B4-BE49-F238E27FC236}">
              <a16:creationId xmlns:a16="http://schemas.microsoft.com/office/drawing/2014/main" id="{00000000-0008-0000-0000-00003B392200}"/>
            </a:ext>
          </a:extLst>
        </xdr:cNvPr>
        <xdr:cNvGrpSpPr>
          <a:grpSpLocks/>
        </xdr:cNvGrpSpPr>
      </xdr:nvGrpSpPr>
      <xdr:grpSpPr bwMode="auto">
        <a:xfrm>
          <a:off x="0" y="0"/>
          <a:ext cx="8601075" cy="6400800"/>
          <a:chOff x="0" y="0"/>
          <a:chExt cx="903" cy="672"/>
        </a:xfrm>
      </xdr:grpSpPr>
      <xdr:grpSp>
        <xdr:nvGrpSpPr>
          <xdr:cNvPr id="2242877" name="Group 1">
            <a:extLst>
              <a:ext uri="{FF2B5EF4-FFF2-40B4-BE49-F238E27FC236}">
                <a16:creationId xmlns:a16="http://schemas.microsoft.com/office/drawing/2014/main" id="{00000000-0008-0000-0000-00003D392200}"/>
              </a:ext>
            </a:extLst>
          </xdr:cNvPr>
          <xdr:cNvGrpSpPr>
            <a:grpSpLocks/>
          </xdr:cNvGrpSpPr>
        </xdr:nvGrpSpPr>
        <xdr:grpSpPr bwMode="auto">
          <a:xfrm>
            <a:off x="0" y="0"/>
            <a:ext cx="903" cy="672"/>
            <a:chOff x="0" y="0"/>
            <a:chExt cx="791" cy="672"/>
          </a:xfrm>
        </xdr:grpSpPr>
        <xdr:grpSp>
          <xdr:nvGrpSpPr>
            <xdr:cNvPr id="2242879" name="Group 2">
              <a:extLst>
                <a:ext uri="{FF2B5EF4-FFF2-40B4-BE49-F238E27FC236}">
                  <a16:creationId xmlns:a16="http://schemas.microsoft.com/office/drawing/2014/main" id="{00000000-0008-0000-0000-00003F392200}"/>
                </a:ext>
              </a:extLst>
            </xdr:cNvPr>
            <xdr:cNvGrpSpPr>
              <a:grpSpLocks/>
            </xdr:cNvGrpSpPr>
          </xdr:nvGrpSpPr>
          <xdr:grpSpPr bwMode="auto">
            <a:xfrm>
              <a:off x="0" y="0"/>
              <a:ext cx="791" cy="672"/>
              <a:chOff x="12" y="17"/>
              <a:chExt cx="791" cy="672"/>
            </a:xfrm>
          </xdr:grpSpPr>
          <xdr:pic>
            <xdr:nvPicPr>
              <xdr:cNvPr id="2242881" name="Picture 3" descr="Untitled-1 copy">
                <a:extLst>
                  <a:ext uri="{FF2B5EF4-FFF2-40B4-BE49-F238E27FC236}">
                    <a16:creationId xmlns:a16="http://schemas.microsoft.com/office/drawing/2014/main" id="{00000000-0008-0000-0000-00004139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a:extLst>
                  <a:ext uri="{FF2B5EF4-FFF2-40B4-BE49-F238E27FC236}">
                    <a16:creationId xmlns:a16="http://schemas.microsoft.com/office/drawing/2014/main" id="{00000000-0008-0000-0000-00004239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a:extLst>
                  <a:ext uri="{FF2B5EF4-FFF2-40B4-BE49-F238E27FC236}">
                    <a16:creationId xmlns:a16="http://schemas.microsoft.com/office/drawing/2014/main" id="{00000000-0008-0000-0000-000043392200}"/>
                  </a:ext>
                </a:extLst>
              </xdr:cNvPr>
              <xdr:cNvGrpSpPr>
                <a:grpSpLocks/>
              </xdr:cNvGrpSpPr>
            </xdr:nvGrpSpPr>
            <xdr:grpSpPr bwMode="auto">
              <a:xfrm>
                <a:off x="416" y="255"/>
                <a:ext cx="367" cy="413"/>
                <a:chOff x="416" y="255"/>
                <a:chExt cx="367" cy="413"/>
              </a:xfrm>
            </xdr:grpSpPr>
            <xdr:pic>
              <xdr:nvPicPr>
                <xdr:cNvPr id="2242888" name="Picture 48" descr="Untitled-4-2">
                  <a:extLst>
                    <a:ext uri="{FF2B5EF4-FFF2-40B4-BE49-F238E27FC236}">
                      <a16:creationId xmlns:a16="http://schemas.microsoft.com/office/drawing/2014/main" id="{00000000-0008-0000-0000-000048392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a:extLst>
                    <a:ext uri="{FF2B5EF4-FFF2-40B4-BE49-F238E27FC236}">
                      <a16:creationId xmlns:a16="http://schemas.microsoft.com/office/drawing/2014/main" id="{00000000-0008-0000-0000-000049392200}"/>
                    </a:ext>
                  </a:extLst>
                </xdr:cNvPr>
                <xdr:cNvGrpSpPr>
                  <a:grpSpLocks/>
                </xdr:cNvGrpSpPr>
              </xdr:nvGrpSpPr>
              <xdr:grpSpPr bwMode="auto">
                <a:xfrm>
                  <a:off x="432" y="264"/>
                  <a:ext cx="286" cy="128"/>
                  <a:chOff x="426" y="263"/>
                  <a:chExt cx="290" cy="130"/>
                </a:xfrm>
              </xdr:grpSpPr>
              <xdr:pic>
                <xdr:nvPicPr>
                  <xdr:cNvPr id="2242891" name="Picture 52" descr="Letter Head">
                    <a:extLst>
                      <a:ext uri="{FF2B5EF4-FFF2-40B4-BE49-F238E27FC236}">
                        <a16:creationId xmlns:a16="http://schemas.microsoft.com/office/drawing/2014/main" id="{00000000-0008-0000-0000-00004B3922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a:extLst>
                      <a:ext uri="{FF2B5EF4-FFF2-40B4-BE49-F238E27FC236}">
                        <a16:creationId xmlns:a16="http://schemas.microsoft.com/office/drawing/2014/main" id="{00000000-0008-0000-0000-00004C392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a:extLst>
                  <a:ext uri="{FF2B5EF4-FFF2-40B4-BE49-F238E27FC236}">
                    <a16:creationId xmlns:a16="http://schemas.microsoft.com/office/drawing/2014/main" id="{00000000-0008-0000-0000-000044392200}"/>
                  </a:ext>
                </a:extLst>
              </xdr:cNvPr>
              <xdr:cNvGrpSpPr>
                <a:grpSpLocks/>
              </xdr:cNvGrpSpPr>
            </xdr:nvGrpSpPr>
            <xdr:grpSpPr bwMode="auto">
              <a:xfrm>
                <a:off x="76" y="364"/>
                <a:ext cx="289" cy="256"/>
                <a:chOff x="76" y="364"/>
                <a:chExt cx="289" cy="256"/>
              </a:xfrm>
            </xdr:grpSpPr>
            <xdr:pic>
              <xdr:nvPicPr>
                <xdr:cNvPr id="2242885" name="Picture 12" descr="J1c">
                  <a:extLst>
                    <a:ext uri="{FF2B5EF4-FFF2-40B4-BE49-F238E27FC236}">
                      <a16:creationId xmlns:a16="http://schemas.microsoft.com/office/drawing/2014/main" id="{00000000-0008-0000-0000-000045392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a:extLst>
                    <a:ext uri="{FF2B5EF4-FFF2-40B4-BE49-F238E27FC236}">
                      <a16:creationId xmlns:a16="http://schemas.microsoft.com/office/drawing/2014/main" id="{00000000-0008-0000-0000-000046392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a:extLst>
                    <a:ext uri="{FF2B5EF4-FFF2-40B4-BE49-F238E27FC236}">
                      <a16:creationId xmlns:a16="http://schemas.microsoft.com/office/drawing/2014/main" id="{00000000-0008-0000-0000-000047392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a:extLst>
                <a:ext uri="{FF2B5EF4-FFF2-40B4-BE49-F238E27FC236}">
                  <a16:creationId xmlns:a16="http://schemas.microsoft.com/office/drawing/2014/main" id="{00000000-0008-0000-0000-000040392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a:extLst>
            <a:ext uri="{FF2B5EF4-FFF2-40B4-BE49-F238E27FC236}">
              <a16:creationId xmlns:a16="http://schemas.microsoft.com/office/drawing/2014/main" id="{00000000-0008-0000-0100-0000EB51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a:extLst>
            <a:ext uri="{FF2B5EF4-FFF2-40B4-BE49-F238E27FC236}">
              <a16:creationId xmlns:a16="http://schemas.microsoft.com/office/drawing/2014/main" id="{00000000-0008-0000-0100-0000EC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a:extLst>
                <a:ext uri="{FF2B5EF4-FFF2-40B4-BE49-F238E27FC236}">
                  <a16:creationId xmlns:a16="http://schemas.microsoft.com/office/drawing/2014/main" id="{00000000-0008-0000-0100-0000F8512200}"/>
                </a:ext>
              </a:extLst>
            </xdr:cNvPr>
            <xdr:cNvPicPr preferRelativeResize="0">
              <a:picLocks noChangeArrowheads="1" noChangeShapeType="1"/>
              <a:extLst>
                <a:ext uri="{84589F7E-364E-4C9E-8A38-B11213B215E9}">
                  <a14:cameraTool cellRange="FinYear" spid="_x0000_s228375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561975</xdr:colOff>
          <xdr:row>11</xdr:row>
          <xdr:rowOff>66675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85725</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47625</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19050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a:extLst>
            <a:ext uri="{FF2B5EF4-FFF2-40B4-BE49-F238E27FC236}">
              <a16:creationId xmlns:a16="http://schemas.microsoft.com/office/drawing/2014/main" id="{00000000-0008-0000-0100-0000FD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a:extLst>
            <a:ext uri="{FF2B5EF4-FFF2-40B4-BE49-F238E27FC236}">
              <a16:creationId xmlns:a16="http://schemas.microsoft.com/office/drawing/2014/main" id="{00000000-0008-0000-0400-0000DBF7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50</xdr:row>
      <xdr:rowOff>0</xdr:rowOff>
    </xdr:from>
    <xdr:to>
      <xdr:col>19</xdr:col>
      <xdr:colOff>613833</xdr:colOff>
      <xdr:row>74</xdr:row>
      <xdr:rowOff>130175</xdr:rowOff>
    </xdr:to>
    <xdr:graphicFrame macro="">
      <xdr:nvGraphicFramePr>
        <xdr:cNvPr id="2127050" name="Chart 2">
          <a:extLst>
            <a:ext uri="{FF2B5EF4-FFF2-40B4-BE49-F238E27FC236}">
              <a16:creationId xmlns:a16="http://schemas.microsoft.com/office/drawing/2014/main" id="{00000000-0008-0000-2200-0000CA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75</xdr:row>
      <xdr:rowOff>60325</xdr:rowOff>
    </xdr:from>
    <xdr:to>
      <xdr:col>20</xdr:col>
      <xdr:colOff>25400</xdr:colOff>
      <xdr:row>100</xdr:row>
      <xdr:rowOff>50800</xdr:rowOff>
    </xdr:to>
    <xdr:graphicFrame macro="">
      <xdr:nvGraphicFramePr>
        <xdr:cNvPr id="2127051" name="Chart 3">
          <a:extLst>
            <a:ext uri="{FF2B5EF4-FFF2-40B4-BE49-F238E27FC236}">
              <a16:creationId xmlns:a16="http://schemas.microsoft.com/office/drawing/2014/main" id="{00000000-0008-0000-2200-0000CB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a:extLst>
            <a:ext uri="{FF2B5EF4-FFF2-40B4-BE49-F238E27FC236}">
              <a16:creationId xmlns:a16="http://schemas.microsoft.com/office/drawing/2014/main" id="{00000000-0008-0000-2200-0000CD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a:extLst>
            <a:ext uri="{FF2B5EF4-FFF2-40B4-BE49-F238E27FC236}">
              <a16:creationId xmlns:a16="http://schemas.microsoft.com/office/drawing/2014/main" id="{00000000-0008-0000-2200-0000CE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topLeftCell="A4" zoomScaleNormal="100" workbookViewId="0"/>
  </sheetViews>
  <sheetFormatPr defaultRowHeight="12.75" x14ac:dyDescent="0.2"/>
  <sheetData>
    <row r="1" spans="1:1" x14ac:dyDescent="0.2">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topLeftCell="A30" zoomScaleNormal="100" workbookViewId="0">
      <selection activeCell="P24" sqref="P24"/>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572</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867</v>
      </c>
      <c r="X10" s="683">
        <v>10</v>
      </c>
    </row>
    <row r="11" spans="4:25" x14ac:dyDescent="0.2">
      <c r="W11" s="646" t="s">
        <v>868</v>
      </c>
      <c r="X11" s="701" t="str">
        <f>VLOOKUP(X10,W39:X55,2)</f>
        <v>M10 April</v>
      </c>
      <c r="Y11" s="903">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861</v>
      </c>
      <c r="W39" s="646">
        <v>1</v>
      </c>
      <c r="X39" s="646" t="s">
        <v>863</v>
      </c>
      <c r="Y39" s="902"/>
    </row>
    <row r="40" spans="22:25" x14ac:dyDescent="0.2">
      <c r="W40" s="646">
        <v>2</v>
      </c>
      <c r="X40" s="646" t="s">
        <v>864</v>
      </c>
      <c r="Y40" s="902"/>
    </row>
    <row r="41" spans="22:25" x14ac:dyDescent="0.2">
      <c r="W41" s="646">
        <v>3</v>
      </c>
      <c r="X41" s="646" t="s">
        <v>869</v>
      </c>
    </row>
    <row r="42" spans="22:25" x14ac:dyDescent="0.2">
      <c r="W42" s="646">
        <v>4</v>
      </c>
      <c r="X42" s="646" t="s">
        <v>870</v>
      </c>
    </row>
    <row r="43" spans="22:25" x14ac:dyDescent="0.2">
      <c r="W43" s="646">
        <v>5</v>
      </c>
      <c r="X43" s="646" t="s">
        <v>871</v>
      </c>
    </row>
    <row r="44" spans="22:25" x14ac:dyDescent="0.2">
      <c r="W44" s="646">
        <v>6</v>
      </c>
      <c r="X44" s="646" t="s">
        <v>872</v>
      </c>
    </row>
    <row r="45" spans="22:25" x14ac:dyDescent="0.2">
      <c r="W45" s="646">
        <v>7</v>
      </c>
      <c r="X45" s="646" t="s">
        <v>873</v>
      </c>
    </row>
    <row r="46" spans="22:25" x14ac:dyDescent="0.2">
      <c r="W46" s="646">
        <v>8</v>
      </c>
      <c r="X46" s="646" t="s">
        <v>874</v>
      </c>
    </row>
    <row r="47" spans="22:25" x14ac:dyDescent="0.2">
      <c r="W47" s="646">
        <v>9</v>
      </c>
      <c r="X47" s="646" t="s">
        <v>875</v>
      </c>
    </row>
    <row r="48" spans="22:25" x14ac:dyDescent="0.2">
      <c r="W48" s="646">
        <v>10</v>
      </c>
      <c r="X48" s="646" t="s">
        <v>876</v>
      </c>
    </row>
    <row r="49" spans="23:24" x14ac:dyDescent="0.2">
      <c r="W49" s="646">
        <v>11</v>
      </c>
      <c r="X49" s="646" t="s">
        <v>877</v>
      </c>
    </row>
    <row r="50" spans="23:24" x14ac:dyDescent="0.2">
      <c r="W50" s="646">
        <v>12</v>
      </c>
      <c r="X50" s="646" t="s">
        <v>878</v>
      </c>
    </row>
    <row r="51" spans="23:24" x14ac:dyDescent="0.2">
      <c r="W51" s="646">
        <v>13</v>
      </c>
      <c r="X51" s="646" t="s">
        <v>865</v>
      </c>
    </row>
    <row r="52" spans="23:24" x14ac:dyDescent="0.2">
      <c r="W52" s="646">
        <v>14</v>
      </c>
      <c r="X52" s="646" t="s">
        <v>866</v>
      </c>
    </row>
    <row r="53" spans="23:24" x14ac:dyDescent="0.2">
      <c r="W53" s="646">
        <v>15</v>
      </c>
      <c r="X53" s="646" t="s">
        <v>879</v>
      </c>
    </row>
    <row r="54" spans="23:24" x14ac:dyDescent="0.2">
      <c r="W54" s="646">
        <v>16</v>
      </c>
      <c r="X54" s="646" t="s">
        <v>880</v>
      </c>
    </row>
    <row r="55" spans="23:24" x14ac:dyDescent="0.2">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13" t="s">
        <v>644</v>
      </c>
      <c r="B1" s="1014"/>
      <c r="C1" s="1014"/>
      <c r="D1" s="1015"/>
    </row>
    <row r="2" spans="1:4" x14ac:dyDescent="0.2">
      <c r="A2" s="721" t="s">
        <v>905</v>
      </c>
      <c r="B2" s="722" t="str">
        <f>HLOOKUP(MTREF,Headings,2)</f>
        <v>2019/20</v>
      </c>
      <c r="C2" s="723" t="s">
        <v>42</v>
      </c>
      <c r="D2" s="724"/>
    </row>
    <row r="3" spans="1:4" x14ac:dyDescent="0.2">
      <c r="A3" s="725" t="s">
        <v>937</v>
      </c>
      <c r="B3" s="726" t="str">
        <f>HLOOKUP(MTREF,Headings,5)</f>
        <v>Budget Year 2020/21</v>
      </c>
      <c r="C3" s="726" t="s">
        <v>47</v>
      </c>
      <c r="D3" s="727"/>
    </row>
    <row r="4" spans="1:4" x14ac:dyDescent="0.2">
      <c r="A4" s="725" t="s">
        <v>686</v>
      </c>
      <c r="B4" s="726" t="str">
        <f>HLOOKUP(MTREF,Headings,4)</f>
        <v>2020/21</v>
      </c>
      <c r="C4" s="726" t="s">
        <v>48</v>
      </c>
      <c r="D4" s="727"/>
    </row>
    <row r="5" spans="1:4" x14ac:dyDescent="0.2">
      <c r="A5" s="725" t="s">
        <v>938</v>
      </c>
      <c r="B5" s="726" t="str">
        <f>HLOOKUP(MTREF,Headings,3)</f>
        <v>2020/21 Medium Term Revenue &amp; Expenditure Framework</v>
      </c>
      <c r="C5" s="726" t="s">
        <v>43</v>
      </c>
      <c r="D5" s="727"/>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725" t="s">
        <v>943</v>
      </c>
      <c r="B12" s="726" t="str">
        <f>HLOOKUP(MTREF,Headings,5)</f>
        <v>Budget Year 2020/21</v>
      </c>
      <c r="C12" s="726" t="s">
        <v>44</v>
      </c>
      <c r="D12" s="728" t="s">
        <v>700</v>
      </c>
    </row>
    <row r="13" spans="1:4" x14ac:dyDescent="0.2">
      <c r="A13" s="725" t="s">
        <v>944</v>
      </c>
      <c r="B13" s="726" t="str">
        <f>HLOOKUP(MTREF,Headings,6)</f>
        <v>Budget Year +1 2021/22</v>
      </c>
      <c r="C13" s="726" t="s">
        <v>45</v>
      </c>
      <c r="D13" s="728" t="s">
        <v>701</v>
      </c>
    </row>
    <row r="14" spans="1:4" x14ac:dyDescent="0.2">
      <c r="A14" s="725" t="s">
        <v>946</v>
      </c>
      <c r="B14" s="726" t="str">
        <f>HLOOKUP(MTREF,Headings,7)</f>
        <v>Budget Year +2 2022/23</v>
      </c>
      <c r="C14" s="726" t="s">
        <v>46</v>
      </c>
      <c r="D14" s="728"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590" t="str">
        <f>date</f>
        <v>M10 April</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729"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018" t="s">
        <v>753</v>
      </c>
      <c r="B72" s="1019"/>
      <c r="C72" s="1019"/>
      <c r="D72" s="1020"/>
    </row>
    <row r="73" spans="1:6" x14ac:dyDescent="0.2">
      <c r="A73" s="730" t="s">
        <v>659</v>
      </c>
      <c r="B73" s="731" t="str">
        <f>'Lookup and lists'!B27</f>
        <v>LIM354 Polokwane</v>
      </c>
      <c r="C73" s="731"/>
      <c r="D73" s="6"/>
    </row>
    <row r="74" spans="1:6" x14ac:dyDescent="0.2">
      <c r="A74" s="730" t="s">
        <v>82</v>
      </c>
      <c r="B74" s="732">
        <v>1</v>
      </c>
      <c r="C74" s="731" t="s">
        <v>152</v>
      </c>
      <c r="D74" s="6">
        <v>3</v>
      </c>
    </row>
    <row r="75" spans="1:6" x14ac:dyDescent="0.2">
      <c r="A75" s="647" t="str">
        <f>IF((MuniEntities=1)*(MuniType=2),"YES","NO")</f>
        <v>NO</v>
      </c>
      <c r="B75" s="372" t="s">
        <v>626</v>
      </c>
      <c r="C75" s="589"/>
      <c r="D75" s="6"/>
    </row>
    <row r="76" spans="1:6" x14ac:dyDescent="0.2">
      <c r="A76" s="1016" t="s">
        <v>796</v>
      </c>
      <c r="B76" s="1017"/>
      <c r="C76" s="369"/>
      <c r="D76" s="18"/>
    </row>
    <row r="77" spans="1:6"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1085</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1038</v>
      </c>
      <c r="B99" s="4" t="str">
        <f t="shared" si="1"/>
        <v>Supporting Table SC13d Monthly Budget Statement - depreciation by asset class</v>
      </c>
      <c r="C99" s="4"/>
      <c r="D99" s="14"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1323</v>
      </c>
      <c r="B100" s="4" t="str">
        <f>IF(Consolques="YES",E100,F100)</f>
        <v>Supporting Table SC13e Monthly Budget Statement - capital expenditure on upgrading of existing assets by asset class</v>
      </c>
      <c r="C100" s="4"/>
      <c r="D100" s="14"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1084</v>
      </c>
      <c r="B107" s="4" t="str">
        <f>D107&amp;" Monthly Budget Statement - Expenditure against approved rollovers"</f>
        <v>Supporting Table SC7(2) Monthly Budget Statement - Expenditure against approved rollovers</v>
      </c>
      <c r="C107" s="4"/>
      <c r="D107" s="14" t="s">
        <v>1086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25">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2.75" x14ac:dyDescent="0.2">
      <c r="B28" s="916" t="s">
        <v>183</v>
      </c>
      <c r="C28" s="1" t="s">
        <v>184</v>
      </c>
    </row>
    <row r="29" spans="1:3" ht="12.75" x14ac:dyDescent="0.2">
      <c r="B29" s="922" t="s">
        <v>1059</v>
      </c>
      <c r="C29" s="945" t="s">
        <v>1328</v>
      </c>
    </row>
    <row r="30" spans="1:3" ht="12.75" x14ac:dyDescent="0.2">
      <c r="B30" s="922" t="s">
        <v>1060</v>
      </c>
      <c r="C30" s="946" t="s">
        <v>1328</v>
      </c>
    </row>
    <row r="31" spans="1:3" ht="12.75" x14ac:dyDescent="0.2">
      <c r="B31" s="922" t="s">
        <v>1329</v>
      </c>
      <c r="C31" s="945" t="s">
        <v>1328</v>
      </c>
    </row>
    <row r="32" spans="1:3" ht="12.75" x14ac:dyDescent="0.2">
      <c r="B32" s="922" t="s">
        <v>219</v>
      </c>
      <c r="C32" s="945" t="s">
        <v>1328</v>
      </c>
    </row>
    <row r="33" spans="2:3" ht="12.75" x14ac:dyDescent="0.2">
      <c r="B33" s="922" t="s">
        <v>220</v>
      </c>
      <c r="C33" s="945" t="s">
        <v>1328</v>
      </c>
    </row>
    <row r="34" spans="2:3" ht="12.75" x14ac:dyDescent="0.2">
      <c r="B34" s="922" t="s">
        <v>221</v>
      </c>
      <c r="C34" s="945" t="s">
        <v>1328</v>
      </c>
    </row>
    <row r="35" spans="2:3" ht="12.75" x14ac:dyDescent="0.2">
      <c r="B35" s="922" t="s">
        <v>222</v>
      </c>
      <c r="C35" s="945" t="s">
        <v>1328</v>
      </c>
    </row>
    <row r="36" spans="2:3" ht="12.75" x14ac:dyDescent="0.2">
      <c r="B36" s="922" t="s">
        <v>223</v>
      </c>
      <c r="C36" s="946" t="s">
        <v>1328</v>
      </c>
    </row>
    <row r="37" spans="2:3" ht="12.75" x14ac:dyDescent="0.2">
      <c r="B37" s="922" t="s">
        <v>978</v>
      </c>
      <c r="C37" s="945" t="s">
        <v>1328</v>
      </c>
    </row>
    <row r="38" spans="2:3" ht="12.75" x14ac:dyDescent="0.2">
      <c r="B38" s="922" t="s">
        <v>1094</v>
      </c>
      <c r="C38" s="920" t="s">
        <v>1328</v>
      </c>
    </row>
    <row r="39" spans="2:3" ht="12.75" x14ac:dyDescent="0.2">
      <c r="B39" s="922" t="s">
        <v>224</v>
      </c>
      <c r="C39" s="920" t="s">
        <v>1328</v>
      </c>
    </row>
    <row r="40" spans="2:3" ht="12.75" x14ac:dyDescent="0.2">
      <c r="B40" s="922" t="s">
        <v>225</v>
      </c>
      <c r="C40" s="891" t="s">
        <v>1328</v>
      </c>
    </row>
    <row r="41" spans="2:3" ht="12.75" x14ac:dyDescent="0.2">
      <c r="B41" s="922" t="s">
        <v>226</v>
      </c>
      <c r="C41" s="891" t="s">
        <v>1328</v>
      </c>
    </row>
    <row r="42" spans="2:3" ht="12.75" x14ac:dyDescent="0.2">
      <c r="B42" s="922" t="s">
        <v>227</v>
      </c>
      <c r="C42" s="891" t="s">
        <v>1328</v>
      </c>
    </row>
    <row r="43" spans="2:3" ht="12.75" x14ac:dyDescent="0.2">
      <c r="B43" s="922" t="s">
        <v>228</v>
      </c>
      <c r="C43" s="891" t="s">
        <v>1328</v>
      </c>
    </row>
    <row r="44" spans="2:3" ht="12.75" x14ac:dyDescent="0.2">
      <c r="B44" s="947" t="s">
        <v>1098</v>
      </c>
      <c r="C44" s="891" t="s">
        <v>1328</v>
      </c>
    </row>
    <row r="45" spans="2:3" ht="12.75" x14ac:dyDescent="0.2">
      <c r="B45" s="922" t="s">
        <v>186</v>
      </c>
      <c r="C45" s="891" t="s">
        <v>1328</v>
      </c>
    </row>
    <row r="46" spans="2:3" ht="12.75" x14ac:dyDescent="0.2">
      <c r="B46" s="922" t="s">
        <v>229</v>
      </c>
      <c r="C46" s="891" t="s">
        <v>1328</v>
      </c>
    </row>
    <row r="47" spans="2:3" ht="12.75" x14ac:dyDescent="0.2">
      <c r="B47" s="922" t="s">
        <v>230</v>
      </c>
      <c r="C47" s="891" t="s">
        <v>1328</v>
      </c>
    </row>
    <row r="48" spans="2:3" ht="12.75" x14ac:dyDescent="0.2">
      <c r="B48" s="922" t="s">
        <v>231</v>
      </c>
      <c r="C48" s="891" t="s">
        <v>1328</v>
      </c>
    </row>
    <row r="49" spans="2:3" ht="12.75" x14ac:dyDescent="0.2">
      <c r="B49" s="922" t="s">
        <v>232</v>
      </c>
      <c r="C49" s="891" t="s">
        <v>1328</v>
      </c>
    </row>
    <row r="50" spans="2:3" ht="12.75" x14ac:dyDescent="0.2">
      <c r="B50" s="922" t="s">
        <v>233</v>
      </c>
      <c r="C50" s="920" t="s">
        <v>1328</v>
      </c>
    </row>
    <row r="51" spans="2:3" ht="12.75" x14ac:dyDescent="0.2">
      <c r="B51" s="947" t="s">
        <v>1099</v>
      </c>
      <c r="C51" s="920" t="s">
        <v>1328</v>
      </c>
    </row>
    <row r="52" spans="2:3" ht="12.75" x14ac:dyDescent="0.2">
      <c r="B52" s="922" t="s">
        <v>187</v>
      </c>
      <c r="C52" s="920" t="s">
        <v>1328</v>
      </c>
    </row>
    <row r="53" spans="2:3" ht="12.75" x14ac:dyDescent="0.2">
      <c r="B53" s="922" t="s">
        <v>234</v>
      </c>
      <c r="C53" s="920" t="s">
        <v>1328</v>
      </c>
    </row>
    <row r="54" spans="2:3" ht="12.75" x14ac:dyDescent="0.2">
      <c r="B54" s="922" t="s">
        <v>235</v>
      </c>
      <c r="C54" s="920" t="s">
        <v>1328</v>
      </c>
    </row>
    <row r="55" spans="2:3" ht="12.75" x14ac:dyDescent="0.2">
      <c r="B55" s="947" t="s">
        <v>1100</v>
      </c>
      <c r="C55" s="920" t="s">
        <v>1328</v>
      </c>
    </row>
    <row r="56" spans="2:3" ht="12.75" x14ac:dyDescent="0.2">
      <c r="B56" s="922" t="s">
        <v>976</v>
      </c>
      <c r="C56" s="920" t="s">
        <v>1328</v>
      </c>
    </row>
    <row r="57" spans="2:3" ht="12.75" x14ac:dyDescent="0.2">
      <c r="B57" s="922" t="s">
        <v>236</v>
      </c>
      <c r="C57" s="646" t="s">
        <v>1328</v>
      </c>
    </row>
    <row r="58" spans="2:3" ht="12.75" x14ac:dyDescent="0.2">
      <c r="B58" s="922" t="s">
        <v>237</v>
      </c>
      <c r="C58" s="646" t="s">
        <v>1328</v>
      </c>
    </row>
    <row r="59" spans="2:3" ht="12.75" x14ac:dyDescent="0.2">
      <c r="B59" s="922" t="s">
        <v>238</v>
      </c>
      <c r="C59" s="920" t="s">
        <v>1328</v>
      </c>
    </row>
    <row r="60" spans="2:3" ht="12.75" x14ac:dyDescent="0.2">
      <c r="B60" s="922" t="s">
        <v>239</v>
      </c>
      <c r="C60" s="920" t="s">
        <v>1328</v>
      </c>
    </row>
    <row r="61" spans="2:3" ht="12.75" x14ac:dyDescent="0.2">
      <c r="B61" s="922" t="s">
        <v>240</v>
      </c>
      <c r="C61" s="920" t="s">
        <v>1328</v>
      </c>
    </row>
    <row r="62" spans="2:3" ht="12.75" x14ac:dyDescent="0.2">
      <c r="B62" s="922" t="s">
        <v>188</v>
      </c>
      <c r="C62" s="920" t="s">
        <v>1328</v>
      </c>
    </row>
    <row r="63" spans="2:3" ht="12.75" x14ac:dyDescent="0.2">
      <c r="B63" s="922" t="s">
        <v>241</v>
      </c>
      <c r="C63" s="891" t="s">
        <v>1328</v>
      </c>
    </row>
    <row r="64" spans="2:3" ht="12.75" x14ac:dyDescent="0.2">
      <c r="B64" s="922" t="s">
        <v>242</v>
      </c>
      <c r="C64" s="920" t="s">
        <v>1328</v>
      </c>
    </row>
    <row r="65" spans="2:3" ht="12.75" x14ac:dyDescent="0.2">
      <c r="B65" s="922" t="s">
        <v>1054</v>
      </c>
      <c r="C65" s="920" t="s">
        <v>1328</v>
      </c>
    </row>
    <row r="66" spans="2:3" ht="12.75" x14ac:dyDescent="0.2">
      <c r="B66" s="922" t="s">
        <v>1055</v>
      </c>
      <c r="C66" s="920" t="s">
        <v>1328</v>
      </c>
    </row>
    <row r="67" spans="2:3" ht="12.75" x14ac:dyDescent="0.2">
      <c r="B67" s="922" t="s">
        <v>214</v>
      </c>
      <c r="C67" s="920" t="s">
        <v>1328</v>
      </c>
    </row>
    <row r="68" spans="2:3" ht="12.75" x14ac:dyDescent="0.2">
      <c r="B68" s="922" t="s">
        <v>1061</v>
      </c>
      <c r="C68" s="920" t="s">
        <v>1330</v>
      </c>
    </row>
    <row r="69" spans="2:3" ht="12.75" x14ac:dyDescent="0.2">
      <c r="B69" s="922" t="s">
        <v>243</v>
      </c>
      <c r="C69" s="920" t="s">
        <v>1330</v>
      </c>
    </row>
    <row r="70" spans="2:3" ht="12.75" x14ac:dyDescent="0.2">
      <c r="B70" s="922" t="s">
        <v>244</v>
      </c>
      <c r="C70" s="920" t="s">
        <v>1330</v>
      </c>
    </row>
    <row r="71" spans="2:3" ht="12.75" x14ac:dyDescent="0.2">
      <c r="B71" s="922" t="s">
        <v>245</v>
      </c>
      <c r="C71" s="920" t="s">
        <v>1330</v>
      </c>
    </row>
    <row r="72" spans="2:3" ht="12.75" x14ac:dyDescent="0.2">
      <c r="B72" s="922" t="s">
        <v>189</v>
      </c>
      <c r="C72" s="920" t="s">
        <v>1330</v>
      </c>
    </row>
    <row r="73" spans="2:3" ht="12.75" x14ac:dyDescent="0.2">
      <c r="B73" s="922" t="s">
        <v>246</v>
      </c>
      <c r="C73" s="920" t="s">
        <v>1330</v>
      </c>
    </row>
    <row r="74" spans="2:3" ht="12.75" x14ac:dyDescent="0.2">
      <c r="B74" s="922" t="s">
        <v>247</v>
      </c>
      <c r="C74" s="920" t="s">
        <v>1330</v>
      </c>
    </row>
    <row r="75" spans="2:3" ht="12.75" x14ac:dyDescent="0.2">
      <c r="B75" s="922" t="s">
        <v>248</v>
      </c>
      <c r="C75" s="920" t="s">
        <v>1330</v>
      </c>
    </row>
    <row r="76" spans="2:3" ht="12.75" x14ac:dyDescent="0.2">
      <c r="B76" s="922" t="s">
        <v>249</v>
      </c>
      <c r="C76" s="920" t="s">
        <v>1330</v>
      </c>
    </row>
    <row r="77" spans="2:3" ht="12.75" x14ac:dyDescent="0.2">
      <c r="B77" s="922" t="s">
        <v>250</v>
      </c>
      <c r="C77" s="920" t="s">
        <v>1330</v>
      </c>
    </row>
    <row r="78" spans="2:3" ht="12.75" x14ac:dyDescent="0.2">
      <c r="B78" s="922" t="s">
        <v>190</v>
      </c>
      <c r="C78" s="920" t="s">
        <v>1330</v>
      </c>
    </row>
    <row r="79" spans="2:3" ht="12.75" x14ac:dyDescent="0.2">
      <c r="B79" s="922" t="s">
        <v>251</v>
      </c>
      <c r="C79" s="920" t="s">
        <v>1330</v>
      </c>
    </row>
    <row r="80" spans="2:3" ht="12.75" x14ac:dyDescent="0.2">
      <c r="B80" s="922" t="s">
        <v>252</v>
      </c>
      <c r="C80" s="920" t="s">
        <v>1330</v>
      </c>
    </row>
    <row r="81" spans="2:3" ht="12.75" x14ac:dyDescent="0.2">
      <c r="B81" s="922" t="s">
        <v>253</v>
      </c>
      <c r="C81" s="920" t="s">
        <v>1330</v>
      </c>
    </row>
    <row r="82" spans="2:3" ht="12.75" x14ac:dyDescent="0.2">
      <c r="B82" s="922" t="s">
        <v>254</v>
      </c>
      <c r="C82" s="920" t="s">
        <v>1330</v>
      </c>
    </row>
    <row r="83" spans="2:3" ht="12.75" x14ac:dyDescent="0.2">
      <c r="B83" s="922" t="s">
        <v>255</v>
      </c>
      <c r="C83" s="920" t="s">
        <v>1330</v>
      </c>
    </row>
    <row r="84" spans="2:3" ht="12.75" x14ac:dyDescent="0.2">
      <c r="B84" s="922" t="s">
        <v>1056</v>
      </c>
      <c r="C84" s="920" t="s">
        <v>1330</v>
      </c>
    </row>
    <row r="85" spans="2:3" ht="12.75" x14ac:dyDescent="0.2">
      <c r="B85" s="922" t="s">
        <v>191</v>
      </c>
      <c r="C85" s="920" t="s">
        <v>1330</v>
      </c>
    </row>
    <row r="86" spans="2:3" ht="12.75" x14ac:dyDescent="0.2">
      <c r="B86" s="922" t="s">
        <v>256</v>
      </c>
      <c r="C86" s="920" t="s">
        <v>1330</v>
      </c>
    </row>
    <row r="87" spans="2:3" ht="12.75" x14ac:dyDescent="0.2">
      <c r="B87" s="922" t="s">
        <v>257</v>
      </c>
      <c r="C87" s="920" t="s">
        <v>1330</v>
      </c>
    </row>
    <row r="88" spans="2:3" ht="12.75" x14ac:dyDescent="0.2">
      <c r="B88" s="922" t="s">
        <v>258</v>
      </c>
      <c r="C88" s="920" t="s">
        <v>1330</v>
      </c>
    </row>
    <row r="89" spans="2:3" ht="12.75" x14ac:dyDescent="0.2">
      <c r="B89" s="922" t="s">
        <v>259</v>
      </c>
      <c r="C89" s="920" t="s">
        <v>1330</v>
      </c>
    </row>
    <row r="90" spans="2:3" ht="12.75" x14ac:dyDescent="0.2">
      <c r="B90" s="922" t="s">
        <v>192</v>
      </c>
      <c r="C90" s="920" t="s">
        <v>1330</v>
      </c>
    </row>
    <row r="91" spans="2:3" ht="12.75" x14ac:dyDescent="0.2">
      <c r="B91" s="922" t="s">
        <v>1331</v>
      </c>
      <c r="C91" s="920" t="s">
        <v>1332</v>
      </c>
    </row>
    <row r="92" spans="2:3" ht="12.75" x14ac:dyDescent="0.2">
      <c r="B92" s="922" t="s">
        <v>1062</v>
      </c>
      <c r="C92" s="920" t="s">
        <v>1332</v>
      </c>
    </row>
    <row r="93" spans="2:3" ht="12.75" x14ac:dyDescent="0.2">
      <c r="B93" s="922" t="s">
        <v>1063</v>
      </c>
      <c r="C93" s="920" t="s">
        <v>1332</v>
      </c>
    </row>
    <row r="94" spans="2:3" ht="12.75" x14ac:dyDescent="0.2">
      <c r="B94" s="922" t="s">
        <v>260</v>
      </c>
      <c r="C94" s="920" t="s">
        <v>1332</v>
      </c>
    </row>
    <row r="95" spans="2:3" ht="12.75" x14ac:dyDescent="0.2">
      <c r="B95" s="922" t="s">
        <v>261</v>
      </c>
      <c r="C95" s="920" t="s">
        <v>1332</v>
      </c>
    </row>
    <row r="96" spans="2:3" ht="12.75" x14ac:dyDescent="0.2">
      <c r="B96" s="922" t="s">
        <v>262</v>
      </c>
      <c r="C96" s="920" t="s">
        <v>1332</v>
      </c>
    </row>
    <row r="97" spans="2:3" ht="12.75" x14ac:dyDescent="0.2">
      <c r="B97" s="922" t="s">
        <v>213</v>
      </c>
      <c r="C97" s="920" t="s">
        <v>1332</v>
      </c>
    </row>
    <row r="98" spans="2:3" ht="12.75" x14ac:dyDescent="0.2">
      <c r="B98" s="922" t="s">
        <v>263</v>
      </c>
      <c r="C98" s="920" t="s">
        <v>1332</v>
      </c>
    </row>
    <row r="99" spans="2:3" ht="12.75" x14ac:dyDescent="0.2">
      <c r="B99" s="922" t="s">
        <v>979</v>
      </c>
      <c r="C99" s="920" t="s">
        <v>1332</v>
      </c>
    </row>
    <row r="100" spans="2:3" ht="12.75" x14ac:dyDescent="0.2">
      <c r="B100" s="947" t="s">
        <v>1333</v>
      </c>
      <c r="C100" s="920" t="s">
        <v>1332</v>
      </c>
    </row>
    <row r="101" spans="2:3" ht="12.75" x14ac:dyDescent="0.2">
      <c r="B101" s="922" t="s">
        <v>215</v>
      </c>
      <c r="C101" s="920" t="s">
        <v>1332</v>
      </c>
    </row>
    <row r="102" spans="2:3" ht="12.75" x14ac:dyDescent="0.2">
      <c r="B102" s="922" t="s">
        <v>1064</v>
      </c>
      <c r="C102" s="920" t="s">
        <v>1334</v>
      </c>
    </row>
    <row r="103" spans="2:3" ht="12.75" x14ac:dyDescent="0.2">
      <c r="B103" s="922" t="s">
        <v>264</v>
      </c>
      <c r="C103" s="920" t="s">
        <v>1334</v>
      </c>
    </row>
    <row r="104" spans="2:3" ht="12.75" x14ac:dyDescent="0.2">
      <c r="B104" s="922" t="s">
        <v>265</v>
      </c>
      <c r="C104" s="945" t="s">
        <v>1334</v>
      </c>
    </row>
    <row r="105" spans="2:3" ht="12.75" x14ac:dyDescent="0.2">
      <c r="B105" s="922" t="s">
        <v>266</v>
      </c>
      <c r="C105" s="945" t="s">
        <v>1334</v>
      </c>
    </row>
    <row r="106" spans="2:3" ht="12.75" x14ac:dyDescent="0.2">
      <c r="B106" s="922" t="s">
        <v>1106</v>
      </c>
      <c r="C106" s="945" t="s">
        <v>1334</v>
      </c>
    </row>
    <row r="107" spans="2:3" ht="12.75" x14ac:dyDescent="0.2">
      <c r="B107" s="922" t="s">
        <v>193</v>
      </c>
      <c r="C107" s="945" t="s">
        <v>1334</v>
      </c>
    </row>
    <row r="108" spans="2:3" ht="12.75" x14ac:dyDescent="0.2">
      <c r="B108" s="922" t="s">
        <v>267</v>
      </c>
      <c r="C108" s="945" t="s">
        <v>1334</v>
      </c>
    </row>
    <row r="109" spans="2:3" ht="12.75" x14ac:dyDescent="0.2">
      <c r="B109" s="922" t="s">
        <v>268</v>
      </c>
      <c r="C109" s="945" t="s">
        <v>1334</v>
      </c>
    </row>
    <row r="110" spans="2:3" ht="12.75" x14ac:dyDescent="0.2">
      <c r="B110" s="922" t="s">
        <v>269</v>
      </c>
      <c r="C110" s="945" t="s">
        <v>1334</v>
      </c>
    </row>
    <row r="111" spans="2:3" ht="12.75" x14ac:dyDescent="0.2">
      <c r="B111" s="922" t="s">
        <v>270</v>
      </c>
      <c r="C111" s="945" t="s">
        <v>1334</v>
      </c>
    </row>
    <row r="112" spans="2:3" ht="12.75" x14ac:dyDescent="0.2">
      <c r="B112" s="922" t="s">
        <v>271</v>
      </c>
      <c r="C112" s="945" t="s">
        <v>1334</v>
      </c>
    </row>
    <row r="113" spans="2:3" ht="12.75" x14ac:dyDescent="0.2">
      <c r="B113" s="922" t="s">
        <v>272</v>
      </c>
      <c r="C113" s="945" t="s">
        <v>1334</v>
      </c>
    </row>
    <row r="114" spans="2:3" ht="12.75" x14ac:dyDescent="0.2">
      <c r="B114" s="922" t="s">
        <v>273</v>
      </c>
      <c r="C114" s="945" t="s">
        <v>1334</v>
      </c>
    </row>
    <row r="115" spans="2:3" ht="12.75" x14ac:dyDescent="0.2">
      <c r="B115" s="922" t="s">
        <v>194</v>
      </c>
      <c r="C115" s="945" t="s">
        <v>1334</v>
      </c>
    </row>
    <row r="116" spans="2:3" ht="12.75" x14ac:dyDescent="0.2">
      <c r="B116" s="922" t="s">
        <v>274</v>
      </c>
      <c r="C116" s="945" t="s">
        <v>1334</v>
      </c>
    </row>
    <row r="117" spans="2:3" ht="12.75" x14ac:dyDescent="0.2">
      <c r="B117" s="947" t="s">
        <v>1101</v>
      </c>
      <c r="C117" s="945" t="s">
        <v>1334</v>
      </c>
    </row>
    <row r="118" spans="2:3" ht="12.75" x14ac:dyDescent="0.2">
      <c r="B118" s="947" t="s">
        <v>1102</v>
      </c>
      <c r="C118" s="945" t="s">
        <v>1334</v>
      </c>
    </row>
    <row r="119" spans="2:3" ht="12.75" x14ac:dyDescent="0.2">
      <c r="B119" s="922" t="s">
        <v>195</v>
      </c>
      <c r="C119" s="945" t="s">
        <v>1334</v>
      </c>
    </row>
    <row r="120" spans="2:3" ht="12.75" x14ac:dyDescent="0.2">
      <c r="B120" s="922" t="s">
        <v>275</v>
      </c>
      <c r="C120" s="945" t="s">
        <v>1334</v>
      </c>
    </row>
    <row r="121" spans="2:3" ht="12.75" x14ac:dyDescent="0.2">
      <c r="B121" s="922" t="s">
        <v>276</v>
      </c>
      <c r="C121" s="945" t="s">
        <v>1334</v>
      </c>
    </row>
    <row r="122" spans="2:3" ht="12.75" x14ac:dyDescent="0.2">
      <c r="B122" s="922" t="s">
        <v>277</v>
      </c>
      <c r="C122" s="945" t="s">
        <v>1334</v>
      </c>
    </row>
    <row r="123" spans="2:3" ht="12.75" x14ac:dyDescent="0.2">
      <c r="B123" s="922" t="s">
        <v>279</v>
      </c>
      <c r="C123" s="945" t="s">
        <v>1334</v>
      </c>
    </row>
    <row r="124" spans="2:3" ht="12.75" x14ac:dyDescent="0.2">
      <c r="B124" s="922" t="s">
        <v>196</v>
      </c>
      <c r="C124" s="920" t="s">
        <v>1334</v>
      </c>
    </row>
    <row r="125" spans="2:3" ht="12.75" x14ac:dyDescent="0.2">
      <c r="B125" s="922" t="s">
        <v>280</v>
      </c>
      <c r="C125" s="920" t="s">
        <v>1334</v>
      </c>
    </row>
    <row r="126" spans="2:3" ht="12.75" x14ac:dyDescent="0.2">
      <c r="B126" s="922" t="s">
        <v>1335</v>
      </c>
      <c r="C126" s="920" t="s">
        <v>1334</v>
      </c>
    </row>
    <row r="127" spans="2:3" ht="12.75" x14ac:dyDescent="0.2">
      <c r="B127" s="922" t="s">
        <v>281</v>
      </c>
      <c r="C127" s="920" t="s">
        <v>1334</v>
      </c>
    </row>
    <row r="128" spans="2:3" ht="12.75" x14ac:dyDescent="0.2">
      <c r="B128" s="922" t="s">
        <v>197</v>
      </c>
      <c r="C128" s="920" t="s">
        <v>1334</v>
      </c>
    </row>
    <row r="129" spans="2:3" ht="12.75" x14ac:dyDescent="0.2">
      <c r="B129" s="922" t="s">
        <v>282</v>
      </c>
      <c r="C129" s="920" t="s">
        <v>1334</v>
      </c>
    </row>
    <row r="130" spans="2:3" ht="12.75" x14ac:dyDescent="0.2">
      <c r="B130" s="922" t="s">
        <v>283</v>
      </c>
      <c r="C130" s="920" t="s">
        <v>1334</v>
      </c>
    </row>
    <row r="131" spans="2:3" ht="12.75" x14ac:dyDescent="0.2">
      <c r="B131" s="922" t="s">
        <v>284</v>
      </c>
      <c r="C131" s="920" t="s">
        <v>1334</v>
      </c>
    </row>
    <row r="132" spans="2:3" ht="12.75" x14ac:dyDescent="0.2">
      <c r="B132" s="922" t="s">
        <v>285</v>
      </c>
      <c r="C132" s="920" t="s">
        <v>1334</v>
      </c>
    </row>
    <row r="133" spans="2:3" ht="12.75" x14ac:dyDescent="0.2">
      <c r="B133" s="922" t="s">
        <v>286</v>
      </c>
      <c r="C133" s="920" t="s">
        <v>1334</v>
      </c>
    </row>
    <row r="134" spans="2:3" ht="12.75" x14ac:dyDescent="0.2">
      <c r="B134" s="922" t="s">
        <v>198</v>
      </c>
      <c r="C134" s="891" t="s">
        <v>1334</v>
      </c>
    </row>
    <row r="135" spans="2:3" ht="12.75" x14ac:dyDescent="0.2">
      <c r="B135" s="922" t="s">
        <v>287</v>
      </c>
      <c r="C135" s="891" t="s">
        <v>1334</v>
      </c>
    </row>
    <row r="136" spans="2:3" ht="12.75" x14ac:dyDescent="0.2">
      <c r="B136" s="922" t="s">
        <v>288</v>
      </c>
      <c r="C136" s="891" t="s">
        <v>1334</v>
      </c>
    </row>
    <row r="137" spans="2:3" ht="12.75" x14ac:dyDescent="0.2">
      <c r="B137" s="922" t="s">
        <v>289</v>
      </c>
      <c r="C137" s="891" t="s">
        <v>1334</v>
      </c>
    </row>
    <row r="138" spans="2:3" ht="12.75" x14ac:dyDescent="0.2">
      <c r="B138" s="947" t="s">
        <v>1336</v>
      </c>
      <c r="C138" s="891" t="s">
        <v>1334</v>
      </c>
    </row>
    <row r="139" spans="2:3" ht="12.75" x14ac:dyDescent="0.2">
      <c r="B139" s="922" t="s">
        <v>199</v>
      </c>
      <c r="C139" s="891" t="s">
        <v>1334</v>
      </c>
    </row>
    <row r="140" spans="2:3" ht="12.75" x14ac:dyDescent="0.2">
      <c r="B140" s="922" t="s">
        <v>980</v>
      </c>
      <c r="C140" s="891" t="s">
        <v>1334</v>
      </c>
    </row>
    <row r="141" spans="2:3" ht="12.75" x14ac:dyDescent="0.2">
      <c r="B141" s="922" t="s">
        <v>290</v>
      </c>
      <c r="C141" s="891" t="s">
        <v>1334</v>
      </c>
    </row>
    <row r="142" spans="2:3" ht="12.75" x14ac:dyDescent="0.2">
      <c r="B142" s="922" t="s">
        <v>981</v>
      </c>
      <c r="C142" s="891" t="s">
        <v>1334</v>
      </c>
    </row>
    <row r="143" spans="2:3" ht="12.75" x14ac:dyDescent="0.2">
      <c r="B143" s="922" t="s">
        <v>291</v>
      </c>
      <c r="C143" s="891" t="s">
        <v>1334</v>
      </c>
    </row>
    <row r="144" spans="2:3" ht="12.75" x14ac:dyDescent="0.2">
      <c r="B144" s="922" t="s">
        <v>292</v>
      </c>
      <c r="C144" s="891" t="s">
        <v>1334</v>
      </c>
    </row>
    <row r="145" spans="2:3" ht="12.75" x14ac:dyDescent="0.2">
      <c r="B145" s="922" t="s">
        <v>1103</v>
      </c>
      <c r="C145" s="891" t="s">
        <v>1334</v>
      </c>
    </row>
    <row r="146" spans="2:3" ht="12.75" x14ac:dyDescent="0.2">
      <c r="B146" s="922" t="s">
        <v>293</v>
      </c>
      <c r="C146" s="891" t="s">
        <v>1334</v>
      </c>
    </row>
    <row r="147" spans="2:3" ht="12.75" x14ac:dyDescent="0.2">
      <c r="B147" s="922" t="s">
        <v>294</v>
      </c>
      <c r="C147" s="891" t="s">
        <v>1334</v>
      </c>
    </row>
    <row r="148" spans="2:3" ht="12.75" x14ac:dyDescent="0.2">
      <c r="B148" s="922" t="s">
        <v>295</v>
      </c>
      <c r="C148" s="891" t="s">
        <v>1334</v>
      </c>
    </row>
    <row r="149" spans="2:3" ht="12.75" x14ac:dyDescent="0.2">
      <c r="B149" s="922" t="s">
        <v>296</v>
      </c>
      <c r="C149" s="891" t="s">
        <v>1334</v>
      </c>
    </row>
    <row r="150" spans="2:3" ht="12.75" x14ac:dyDescent="0.2">
      <c r="B150" s="922" t="s">
        <v>200</v>
      </c>
      <c r="C150" s="891" t="s">
        <v>1334</v>
      </c>
    </row>
    <row r="151" spans="2:3" ht="12.75" x14ac:dyDescent="0.2">
      <c r="B151" s="922" t="s">
        <v>297</v>
      </c>
      <c r="C151" s="891" t="s">
        <v>1334</v>
      </c>
    </row>
    <row r="152" spans="2:3" ht="12.75" x14ac:dyDescent="0.2">
      <c r="B152" s="922" t="s">
        <v>298</v>
      </c>
      <c r="C152" s="891" t="s">
        <v>1334</v>
      </c>
    </row>
    <row r="153" spans="2:3" ht="12.75" x14ac:dyDescent="0.2">
      <c r="B153" s="922" t="s">
        <v>299</v>
      </c>
      <c r="C153" s="891" t="s">
        <v>1334</v>
      </c>
    </row>
    <row r="154" spans="2:3" ht="12.75" x14ac:dyDescent="0.2">
      <c r="B154" s="947" t="s">
        <v>1104</v>
      </c>
      <c r="C154" s="891" t="s">
        <v>1334</v>
      </c>
    </row>
    <row r="155" spans="2:3" ht="12.75" x14ac:dyDescent="0.2">
      <c r="B155" s="922" t="s">
        <v>1095</v>
      </c>
      <c r="C155" s="891" t="s">
        <v>1334</v>
      </c>
    </row>
    <row r="156" spans="2:3" ht="12.75" x14ac:dyDescent="0.2">
      <c r="B156" s="922" t="s">
        <v>300</v>
      </c>
      <c r="C156" s="891" t="s">
        <v>1337</v>
      </c>
    </row>
    <row r="157" spans="2:3" ht="12.75" x14ac:dyDescent="0.2">
      <c r="B157" s="922" t="s">
        <v>301</v>
      </c>
      <c r="C157" s="891" t="s">
        <v>1337</v>
      </c>
    </row>
    <row r="158" spans="2:3" ht="12.75" x14ac:dyDescent="0.2">
      <c r="B158" s="922" t="s">
        <v>302</v>
      </c>
      <c r="C158" s="891" t="s">
        <v>1337</v>
      </c>
    </row>
    <row r="159" spans="2:3" ht="12.75" x14ac:dyDescent="0.2">
      <c r="B159" s="922" t="s">
        <v>303</v>
      </c>
      <c r="C159" s="891" t="s">
        <v>1337</v>
      </c>
    </row>
    <row r="160" spans="2:3" ht="12.75" x14ac:dyDescent="0.2">
      <c r="B160" s="922" t="s">
        <v>304</v>
      </c>
      <c r="C160" s="891" t="s">
        <v>1337</v>
      </c>
    </row>
    <row r="161" spans="2:3" ht="12.75" x14ac:dyDescent="0.2">
      <c r="B161" s="922" t="s">
        <v>205</v>
      </c>
      <c r="C161" s="891" t="s">
        <v>1337</v>
      </c>
    </row>
    <row r="162" spans="2:3" ht="12.75" x14ac:dyDescent="0.2">
      <c r="B162" s="922" t="s">
        <v>305</v>
      </c>
      <c r="C162" s="891" t="s">
        <v>1337</v>
      </c>
    </row>
    <row r="163" spans="2:3" ht="12.75" x14ac:dyDescent="0.2">
      <c r="B163" s="922" t="s">
        <v>306</v>
      </c>
      <c r="C163" s="891" t="s">
        <v>1337</v>
      </c>
    </row>
    <row r="164" spans="2:3" ht="12.75" x14ac:dyDescent="0.2">
      <c r="B164" s="922" t="s">
        <v>307</v>
      </c>
      <c r="C164" s="891" t="s">
        <v>1337</v>
      </c>
    </row>
    <row r="165" spans="2:3" ht="12.75" x14ac:dyDescent="0.2">
      <c r="B165" s="947" t="s">
        <v>1338</v>
      </c>
      <c r="C165" s="891" t="s">
        <v>1337</v>
      </c>
    </row>
    <row r="166" spans="2:3" ht="12.75" x14ac:dyDescent="0.2">
      <c r="B166" s="922" t="s">
        <v>206</v>
      </c>
      <c r="C166" s="891" t="s">
        <v>1337</v>
      </c>
    </row>
    <row r="167" spans="2:3" ht="12.75" x14ac:dyDescent="0.2">
      <c r="B167" s="922" t="s">
        <v>308</v>
      </c>
      <c r="C167" s="891" t="s">
        <v>1337</v>
      </c>
    </row>
    <row r="168" spans="2:3" ht="12.75" x14ac:dyDescent="0.2">
      <c r="B168" s="922" t="s">
        <v>309</v>
      </c>
      <c r="C168" s="891" t="s">
        <v>1337</v>
      </c>
    </row>
    <row r="169" spans="2:3" ht="12.75" x14ac:dyDescent="0.2">
      <c r="B169" s="922" t="s">
        <v>310</v>
      </c>
      <c r="C169" s="891" t="s">
        <v>1337</v>
      </c>
    </row>
    <row r="170" spans="2:3" ht="12.75" x14ac:dyDescent="0.2">
      <c r="B170" s="922" t="s">
        <v>311</v>
      </c>
      <c r="C170" s="891" t="s">
        <v>1337</v>
      </c>
    </row>
    <row r="171" spans="2:3" ht="12.75" x14ac:dyDescent="0.2">
      <c r="B171" s="922" t="s">
        <v>207</v>
      </c>
      <c r="C171" s="891" t="s">
        <v>1337</v>
      </c>
    </row>
    <row r="172" spans="2:3" ht="12.75" x14ac:dyDescent="0.2">
      <c r="B172" s="922" t="s">
        <v>312</v>
      </c>
      <c r="C172" s="891" t="s">
        <v>1337</v>
      </c>
    </row>
    <row r="173" spans="2:3" ht="12.75" x14ac:dyDescent="0.2">
      <c r="B173" s="922" t="s">
        <v>313</v>
      </c>
      <c r="C173" s="891" t="s">
        <v>1337</v>
      </c>
    </row>
    <row r="174" spans="2:3" ht="12.75" x14ac:dyDescent="0.2">
      <c r="B174" s="922" t="s">
        <v>314</v>
      </c>
      <c r="C174" s="891" t="s">
        <v>1337</v>
      </c>
    </row>
    <row r="175" spans="2:3" ht="12.75" x14ac:dyDescent="0.2">
      <c r="B175" s="922" t="s">
        <v>315</v>
      </c>
      <c r="C175" s="891" t="s">
        <v>1337</v>
      </c>
    </row>
    <row r="176" spans="2:3" ht="12.75" x14ac:dyDescent="0.2">
      <c r="B176" s="947" t="s">
        <v>1339</v>
      </c>
      <c r="C176" s="891" t="s">
        <v>1337</v>
      </c>
    </row>
    <row r="177" spans="2:3" ht="12.75" x14ac:dyDescent="0.2">
      <c r="B177" s="922" t="s">
        <v>208</v>
      </c>
      <c r="C177" s="891" t="s">
        <v>1337</v>
      </c>
    </row>
    <row r="178" spans="2:3" ht="12.75" x14ac:dyDescent="0.2">
      <c r="B178" s="922" t="s">
        <v>982</v>
      </c>
      <c r="C178" s="920" t="s">
        <v>1337</v>
      </c>
    </row>
    <row r="179" spans="2:3" ht="12.75" x14ac:dyDescent="0.2">
      <c r="B179" s="922" t="s">
        <v>316</v>
      </c>
      <c r="C179" s="920" t="s">
        <v>1337</v>
      </c>
    </row>
    <row r="180" spans="2:3" ht="12.75" x14ac:dyDescent="0.2">
      <c r="B180" s="922" t="s">
        <v>983</v>
      </c>
      <c r="C180" s="920" t="s">
        <v>1337</v>
      </c>
    </row>
    <row r="181" spans="2:3" ht="12.75" x14ac:dyDescent="0.2">
      <c r="B181" s="947" t="s">
        <v>1340</v>
      </c>
      <c r="C181" s="920" t="s">
        <v>1337</v>
      </c>
    </row>
    <row r="182" spans="2:3" ht="12.75" x14ac:dyDescent="0.2">
      <c r="B182" s="922" t="s">
        <v>1052</v>
      </c>
      <c r="C182" s="920" t="s">
        <v>1337</v>
      </c>
    </row>
    <row r="183" spans="2:3" ht="12.75" x14ac:dyDescent="0.2">
      <c r="B183" s="922" t="s">
        <v>317</v>
      </c>
      <c r="C183" s="920" t="s">
        <v>1341</v>
      </c>
    </row>
    <row r="184" spans="2:3" ht="12.75" x14ac:dyDescent="0.2">
      <c r="B184" s="922" t="s">
        <v>318</v>
      </c>
      <c r="C184" s="920" t="s">
        <v>1341</v>
      </c>
    </row>
    <row r="185" spans="2:3" ht="12.75" x14ac:dyDescent="0.2">
      <c r="B185" s="922" t="s">
        <v>319</v>
      </c>
      <c r="C185" s="920" t="s">
        <v>1341</v>
      </c>
    </row>
    <row r="186" spans="2:3" ht="12.75" x14ac:dyDescent="0.2">
      <c r="B186" s="922" t="s">
        <v>984</v>
      </c>
      <c r="C186" s="920" t="s">
        <v>1341</v>
      </c>
    </row>
    <row r="187" spans="2:3" ht="12.75" x14ac:dyDescent="0.2">
      <c r="B187" s="922" t="s">
        <v>320</v>
      </c>
      <c r="C187" s="920" t="s">
        <v>1341</v>
      </c>
    </row>
    <row r="188" spans="2:3" ht="12.75" x14ac:dyDescent="0.2">
      <c r="B188" s="922" t="s">
        <v>321</v>
      </c>
      <c r="C188" s="920" t="s">
        <v>1341</v>
      </c>
    </row>
    <row r="189" spans="2:3" ht="12.75" x14ac:dyDescent="0.2">
      <c r="B189" s="922" t="s">
        <v>322</v>
      </c>
      <c r="C189" s="920" t="s">
        <v>1341</v>
      </c>
    </row>
    <row r="190" spans="2:3" ht="12.75" x14ac:dyDescent="0.2">
      <c r="B190" s="922" t="s">
        <v>202</v>
      </c>
      <c r="C190" s="920" t="s">
        <v>1341</v>
      </c>
    </row>
    <row r="191" spans="2:3" ht="12.75" x14ac:dyDescent="0.2">
      <c r="B191" s="922" t="s">
        <v>985</v>
      </c>
      <c r="C191" s="920" t="s">
        <v>1341</v>
      </c>
    </row>
    <row r="192" spans="2:3" ht="12.75" x14ac:dyDescent="0.2">
      <c r="B192" s="922" t="s">
        <v>1057</v>
      </c>
      <c r="C192" s="920" t="s">
        <v>1341</v>
      </c>
    </row>
    <row r="193" spans="2:3" ht="12.75" x14ac:dyDescent="0.2">
      <c r="B193" s="922" t="s">
        <v>323</v>
      </c>
      <c r="C193" s="920" t="s">
        <v>1341</v>
      </c>
    </row>
    <row r="194" spans="2:3" ht="12.75" x14ac:dyDescent="0.2">
      <c r="B194" s="922" t="s">
        <v>324</v>
      </c>
      <c r="C194" s="920" t="s">
        <v>1341</v>
      </c>
    </row>
    <row r="195" spans="2:3" ht="12.75" x14ac:dyDescent="0.2">
      <c r="B195" s="922" t="s">
        <v>1058</v>
      </c>
      <c r="C195" s="920" t="s">
        <v>1341</v>
      </c>
    </row>
    <row r="196" spans="2:3" ht="12.75" x14ac:dyDescent="0.2">
      <c r="B196" s="922" t="s">
        <v>325</v>
      </c>
      <c r="C196" s="920" t="s">
        <v>1341</v>
      </c>
    </row>
    <row r="197" spans="2:3" ht="12.75" x14ac:dyDescent="0.2">
      <c r="B197" s="922" t="s">
        <v>203</v>
      </c>
      <c r="C197" s="920" t="s">
        <v>1341</v>
      </c>
    </row>
    <row r="198" spans="2:3" ht="12.75" x14ac:dyDescent="0.2">
      <c r="B198" s="922" t="s">
        <v>326</v>
      </c>
      <c r="C198" s="920" t="s">
        <v>1341</v>
      </c>
    </row>
    <row r="199" spans="2:3" ht="12.75" x14ac:dyDescent="0.2">
      <c r="B199" s="922" t="s">
        <v>327</v>
      </c>
      <c r="C199" s="920" t="s">
        <v>1341</v>
      </c>
    </row>
    <row r="200" spans="2:3" ht="12.75" x14ac:dyDescent="0.2">
      <c r="B200" s="922" t="s">
        <v>328</v>
      </c>
      <c r="C200" s="920" t="s">
        <v>1341</v>
      </c>
    </row>
    <row r="201" spans="2:3" ht="12.75" x14ac:dyDescent="0.2">
      <c r="B201" s="947" t="s">
        <v>1105</v>
      </c>
      <c r="C201" s="920" t="s">
        <v>1341</v>
      </c>
    </row>
    <row r="202" spans="2:3" ht="12.75" x14ac:dyDescent="0.2">
      <c r="B202" s="922" t="s">
        <v>204</v>
      </c>
      <c r="C202" s="920" t="s">
        <v>1341</v>
      </c>
    </row>
    <row r="203" spans="2:3" ht="12.75" x14ac:dyDescent="0.2">
      <c r="B203" s="922" t="s">
        <v>986</v>
      </c>
      <c r="C203" s="920" t="s">
        <v>1342</v>
      </c>
    </row>
    <row r="204" spans="2:3" ht="12.75" x14ac:dyDescent="0.2">
      <c r="B204" s="922" t="s">
        <v>385</v>
      </c>
      <c r="C204" s="920" t="s">
        <v>1342</v>
      </c>
    </row>
    <row r="205" spans="2:3" ht="12.75" x14ac:dyDescent="0.2">
      <c r="B205" s="922" t="s">
        <v>386</v>
      </c>
      <c r="C205" s="920" t="s">
        <v>1342</v>
      </c>
    </row>
    <row r="206" spans="2:3" ht="12.75" x14ac:dyDescent="0.2">
      <c r="B206" s="922" t="s">
        <v>977</v>
      </c>
      <c r="C206" s="920" t="s">
        <v>1342</v>
      </c>
    </row>
    <row r="207" spans="2:3" ht="12.75" x14ac:dyDescent="0.2">
      <c r="B207" s="922" t="s">
        <v>329</v>
      </c>
      <c r="C207" s="920" t="s">
        <v>1342</v>
      </c>
    </row>
    <row r="208" spans="2:3" ht="12.75" x14ac:dyDescent="0.2">
      <c r="B208" s="922" t="s">
        <v>330</v>
      </c>
      <c r="C208" s="920" t="s">
        <v>1342</v>
      </c>
    </row>
    <row r="209" spans="2:3" ht="12.75" x14ac:dyDescent="0.2">
      <c r="B209" s="922" t="s">
        <v>331</v>
      </c>
      <c r="C209" s="920" t="s">
        <v>1342</v>
      </c>
    </row>
    <row r="210" spans="2:3" ht="12.75" x14ac:dyDescent="0.2">
      <c r="B210" s="922" t="s">
        <v>332</v>
      </c>
      <c r="C210" s="920" t="s">
        <v>1342</v>
      </c>
    </row>
    <row r="211" spans="2:3" ht="12.75" x14ac:dyDescent="0.2">
      <c r="B211" s="922" t="s">
        <v>333</v>
      </c>
      <c r="C211" s="920" t="s">
        <v>1342</v>
      </c>
    </row>
    <row r="212" spans="2:3" ht="12.75" x14ac:dyDescent="0.2">
      <c r="B212" s="922" t="s">
        <v>334</v>
      </c>
      <c r="C212" s="920" t="s">
        <v>1342</v>
      </c>
    </row>
    <row r="213" spans="2:3" ht="12.75" x14ac:dyDescent="0.2">
      <c r="B213" s="922" t="s">
        <v>217</v>
      </c>
      <c r="C213" s="920" t="s">
        <v>1342</v>
      </c>
    </row>
    <row r="214" spans="2:3" ht="12.75" x14ac:dyDescent="0.2">
      <c r="B214" s="922" t="s">
        <v>335</v>
      </c>
      <c r="C214" s="920" t="s">
        <v>1342</v>
      </c>
    </row>
    <row r="215" spans="2:3" ht="12.75" x14ac:dyDescent="0.2">
      <c r="B215" s="922" t="s">
        <v>336</v>
      </c>
      <c r="C215" s="920" t="s">
        <v>1342</v>
      </c>
    </row>
    <row r="216" spans="2:3" ht="12.75" x14ac:dyDescent="0.2">
      <c r="B216" s="922" t="s">
        <v>337</v>
      </c>
      <c r="C216" s="920" t="s">
        <v>1342</v>
      </c>
    </row>
    <row r="217" spans="2:3" ht="12.75" x14ac:dyDescent="0.2">
      <c r="B217" s="922" t="s">
        <v>372</v>
      </c>
      <c r="C217" s="920" t="s">
        <v>1342</v>
      </c>
    </row>
    <row r="218" spans="2:3" ht="12.75" x14ac:dyDescent="0.2">
      <c r="B218" s="922" t="s">
        <v>373</v>
      </c>
      <c r="C218" s="920" t="s">
        <v>1342</v>
      </c>
    </row>
    <row r="219" spans="2:3" ht="12.75" x14ac:dyDescent="0.2">
      <c r="B219" s="922" t="s">
        <v>374</v>
      </c>
      <c r="C219" s="920" t="s">
        <v>1342</v>
      </c>
    </row>
    <row r="220" spans="2:3" ht="12.75" x14ac:dyDescent="0.2">
      <c r="B220" s="922" t="s">
        <v>375</v>
      </c>
      <c r="C220" s="920" t="s">
        <v>1342</v>
      </c>
    </row>
    <row r="221" spans="2:3" ht="12.75" x14ac:dyDescent="0.2">
      <c r="B221" s="922" t="s">
        <v>376</v>
      </c>
      <c r="C221" s="920" t="s">
        <v>1342</v>
      </c>
    </row>
    <row r="222" spans="2:3" ht="12.75" x14ac:dyDescent="0.2">
      <c r="B222" s="922" t="s">
        <v>1053</v>
      </c>
      <c r="C222" s="920" t="s">
        <v>1342</v>
      </c>
    </row>
    <row r="223" spans="2:3" ht="12.75" x14ac:dyDescent="0.2">
      <c r="B223" s="922" t="s">
        <v>377</v>
      </c>
      <c r="C223" s="920" t="s">
        <v>1342</v>
      </c>
    </row>
    <row r="224" spans="2:3" ht="12.75" x14ac:dyDescent="0.2">
      <c r="B224" s="922" t="s">
        <v>378</v>
      </c>
      <c r="C224" s="920" t="s">
        <v>1342</v>
      </c>
    </row>
    <row r="225" spans="2:3" ht="12.75" x14ac:dyDescent="0.2">
      <c r="B225" s="922" t="s">
        <v>379</v>
      </c>
      <c r="C225" s="920" t="s">
        <v>1342</v>
      </c>
    </row>
    <row r="226" spans="2:3" ht="12.75" x14ac:dyDescent="0.2">
      <c r="B226" s="922" t="s">
        <v>380</v>
      </c>
      <c r="C226" s="920" t="s">
        <v>1342</v>
      </c>
    </row>
    <row r="227" spans="2:3" ht="12.75" x14ac:dyDescent="0.2">
      <c r="B227" s="947" t="s">
        <v>1343</v>
      </c>
      <c r="C227" s="920" t="s">
        <v>1342</v>
      </c>
    </row>
    <row r="228" spans="2:3" ht="12.75" x14ac:dyDescent="0.2">
      <c r="B228" s="922" t="s">
        <v>1096</v>
      </c>
      <c r="C228" s="920" t="s">
        <v>1342</v>
      </c>
    </row>
    <row r="229" spans="2:3" ht="12.75" x14ac:dyDescent="0.2">
      <c r="B229" s="922" t="s">
        <v>381</v>
      </c>
      <c r="C229" s="920" t="s">
        <v>1342</v>
      </c>
    </row>
    <row r="230" spans="2:3" ht="12.75" x14ac:dyDescent="0.2">
      <c r="B230" s="922" t="s">
        <v>382</v>
      </c>
      <c r="C230" s="920" t="s">
        <v>1342</v>
      </c>
    </row>
    <row r="231" spans="2:3" ht="12.75" x14ac:dyDescent="0.2">
      <c r="B231" s="922" t="s">
        <v>383</v>
      </c>
      <c r="C231" s="920" t="s">
        <v>1342</v>
      </c>
    </row>
    <row r="232" spans="2:3" ht="12.75" x14ac:dyDescent="0.2">
      <c r="B232" s="922" t="s">
        <v>384</v>
      </c>
      <c r="C232" s="920" t="s">
        <v>1342</v>
      </c>
    </row>
    <row r="233" spans="2:3" ht="12.75" x14ac:dyDescent="0.2">
      <c r="B233" s="922" t="s">
        <v>218</v>
      </c>
      <c r="C233" s="920" t="s">
        <v>1342</v>
      </c>
    </row>
    <row r="234" spans="2:3" ht="12.75" x14ac:dyDescent="0.2">
      <c r="B234" s="922" t="s">
        <v>387</v>
      </c>
      <c r="C234" s="920" t="s">
        <v>1344</v>
      </c>
    </row>
    <row r="235" spans="2:3" ht="12.75" x14ac:dyDescent="0.2">
      <c r="B235" s="922" t="s">
        <v>388</v>
      </c>
      <c r="C235" s="920" t="s">
        <v>1344</v>
      </c>
    </row>
    <row r="236" spans="2:3" ht="12.75" x14ac:dyDescent="0.2">
      <c r="B236" s="922" t="s">
        <v>389</v>
      </c>
      <c r="C236" s="920" t="s">
        <v>1344</v>
      </c>
    </row>
    <row r="237" spans="2:3" ht="12.75" x14ac:dyDescent="0.2">
      <c r="B237" s="922" t="s">
        <v>390</v>
      </c>
      <c r="C237" s="920" t="s">
        <v>1344</v>
      </c>
    </row>
    <row r="238" spans="2:3" ht="12.75" x14ac:dyDescent="0.2">
      <c r="B238" s="922" t="s">
        <v>391</v>
      </c>
      <c r="C238" s="920" t="s">
        <v>1344</v>
      </c>
    </row>
    <row r="239" spans="2:3" ht="12.75" x14ac:dyDescent="0.2">
      <c r="B239" s="922" t="s">
        <v>209</v>
      </c>
      <c r="C239" s="920" t="s">
        <v>1344</v>
      </c>
    </row>
    <row r="240" spans="2:3" ht="12.75" x14ac:dyDescent="0.2">
      <c r="B240" s="922" t="s">
        <v>392</v>
      </c>
      <c r="C240" s="920" t="s">
        <v>1344</v>
      </c>
    </row>
    <row r="241" spans="2:3" ht="12.75" x14ac:dyDescent="0.2">
      <c r="B241" s="922" t="s">
        <v>393</v>
      </c>
      <c r="C241" s="920" t="s">
        <v>1344</v>
      </c>
    </row>
    <row r="242" spans="2:3" ht="12.75" x14ac:dyDescent="0.2">
      <c r="B242" s="922" t="s">
        <v>394</v>
      </c>
      <c r="C242" s="920" t="s">
        <v>1344</v>
      </c>
    </row>
    <row r="243" spans="2:3" ht="12.75" x14ac:dyDescent="0.2">
      <c r="B243" s="922" t="s">
        <v>395</v>
      </c>
      <c r="C243" s="920" t="s">
        <v>1344</v>
      </c>
    </row>
    <row r="244" spans="2:3" ht="12.75" x14ac:dyDescent="0.2">
      <c r="B244" s="922" t="s">
        <v>396</v>
      </c>
      <c r="C244" s="920" t="s">
        <v>1344</v>
      </c>
    </row>
    <row r="245" spans="2:3" ht="12.75" x14ac:dyDescent="0.2">
      <c r="B245" s="922" t="s">
        <v>210</v>
      </c>
      <c r="C245" s="920" t="s">
        <v>1344</v>
      </c>
    </row>
    <row r="246" spans="2:3" ht="12.75" x14ac:dyDescent="0.2">
      <c r="B246" s="922" t="s">
        <v>397</v>
      </c>
      <c r="C246" s="920" t="s">
        <v>1344</v>
      </c>
    </row>
    <row r="247" spans="2:3" ht="12.75" x14ac:dyDescent="0.2">
      <c r="B247" s="922" t="s">
        <v>398</v>
      </c>
      <c r="C247" s="920" t="s">
        <v>1344</v>
      </c>
    </row>
    <row r="248" spans="2:3" ht="12.75" x14ac:dyDescent="0.2">
      <c r="B248" s="922" t="s">
        <v>399</v>
      </c>
      <c r="C248" s="920" t="s">
        <v>1344</v>
      </c>
    </row>
    <row r="249" spans="2:3" ht="12.75" x14ac:dyDescent="0.2">
      <c r="B249" s="922" t="s">
        <v>400</v>
      </c>
      <c r="C249" s="920" t="s">
        <v>1344</v>
      </c>
    </row>
    <row r="250" spans="2:3" ht="12.75" x14ac:dyDescent="0.2">
      <c r="B250" s="922" t="s">
        <v>1097</v>
      </c>
      <c r="C250" s="920" t="s">
        <v>1344</v>
      </c>
    </row>
    <row r="251" spans="2:3" ht="12.75" x14ac:dyDescent="0.2">
      <c r="B251" s="922" t="s">
        <v>211</v>
      </c>
      <c r="C251" s="920" t="s">
        <v>1344</v>
      </c>
    </row>
    <row r="252" spans="2:3" ht="12.75" x14ac:dyDescent="0.2">
      <c r="B252" s="922" t="s">
        <v>401</v>
      </c>
      <c r="C252" s="920" t="s">
        <v>1344</v>
      </c>
    </row>
    <row r="253" spans="2:3" ht="12.75" x14ac:dyDescent="0.2">
      <c r="B253" s="922" t="s">
        <v>402</v>
      </c>
      <c r="C253" s="920" t="s">
        <v>1344</v>
      </c>
    </row>
    <row r="254" spans="2:3" ht="12.75" x14ac:dyDescent="0.2">
      <c r="B254" s="947" t="s">
        <v>1345</v>
      </c>
      <c r="C254" s="920" t="s">
        <v>1344</v>
      </c>
    </row>
    <row r="255" spans="2:3" ht="12.75" x14ac:dyDescent="0.2">
      <c r="B255" s="922" t="s">
        <v>212</v>
      </c>
      <c r="C255" s="920" t="s">
        <v>1344</v>
      </c>
    </row>
    <row r="256" spans="2:3" ht="12.75" x14ac:dyDescent="0.2">
      <c r="B256" s="922" t="s">
        <v>1065</v>
      </c>
      <c r="C256" s="920" t="s">
        <v>1346</v>
      </c>
    </row>
    <row r="257" spans="2:3" ht="12.75" x14ac:dyDescent="0.2">
      <c r="B257" s="922" t="s">
        <v>403</v>
      </c>
      <c r="C257" s="920" t="s">
        <v>1346</v>
      </c>
    </row>
    <row r="258" spans="2:3" ht="12.75" x14ac:dyDescent="0.2">
      <c r="B258" s="922" t="s">
        <v>404</v>
      </c>
      <c r="C258" s="920" t="s">
        <v>1346</v>
      </c>
    </row>
    <row r="259" spans="2:3" ht="12.75" x14ac:dyDescent="0.2">
      <c r="B259" s="922" t="s">
        <v>405</v>
      </c>
      <c r="C259" s="920" t="s">
        <v>1346</v>
      </c>
    </row>
    <row r="260" spans="2:3" ht="12.75" x14ac:dyDescent="0.2">
      <c r="B260" s="922" t="s">
        <v>406</v>
      </c>
      <c r="C260" s="920" t="s">
        <v>1346</v>
      </c>
    </row>
    <row r="261" spans="2:3" ht="12.75" x14ac:dyDescent="0.2">
      <c r="B261" s="922" t="s">
        <v>407</v>
      </c>
      <c r="C261" s="920" t="s">
        <v>1346</v>
      </c>
    </row>
    <row r="262" spans="2:3" ht="12.75" x14ac:dyDescent="0.2">
      <c r="B262" s="922" t="s">
        <v>185</v>
      </c>
      <c r="C262" s="920" t="s">
        <v>1346</v>
      </c>
    </row>
    <row r="263" spans="2:3" ht="12.75" x14ac:dyDescent="0.2">
      <c r="B263" s="922" t="s">
        <v>408</v>
      </c>
      <c r="C263" s="920" t="s">
        <v>1346</v>
      </c>
    </row>
    <row r="264" spans="2:3" ht="12.75" x14ac:dyDescent="0.2">
      <c r="B264" s="922" t="s">
        <v>409</v>
      </c>
      <c r="C264" s="920" t="s">
        <v>1346</v>
      </c>
    </row>
    <row r="265" spans="2:3" ht="12.75" x14ac:dyDescent="0.2">
      <c r="B265" s="922" t="s">
        <v>410</v>
      </c>
      <c r="C265" s="920" t="s">
        <v>1346</v>
      </c>
    </row>
    <row r="266" spans="2:3" ht="12.75" x14ac:dyDescent="0.2">
      <c r="B266" s="922" t="s">
        <v>411</v>
      </c>
      <c r="C266" s="920" t="s">
        <v>1346</v>
      </c>
    </row>
    <row r="267" spans="2:3" ht="12.75" x14ac:dyDescent="0.2">
      <c r="B267" s="922" t="s">
        <v>987</v>
      </c>
      <c r="C267" s="920" t="s">
        <v>1346</v>
      </c>
    </row>
    <row r="268" spans="2:3" ht="12.75" x14ac:dyDescent="0.2">
      <c r="B268" s="922" t="s">
        <v>1051</v>
      </c>
      <c r="C268" s="920" t="s">
        <v>1346</v>
      </c>
    </row>
    <row r="269" spans="2:3" ht="12.75" x14ac:dyDescent="0.2">
      <c r="B269" s="922" t="s">
        <v>412</v>
      </c>
      <c r="C269" s="920" t="s">
        <v>1346</v>
      </c>
    </row>
    <row r="270" spans="2:3" ht="12.75" x14ac:dyDescent="0.2">
      <c r="B270" s="922" t="s">
        <v>413</v>
      </c>
      <c r="C270" s="920" t="s">
        <v>1346</v>
      </c>
    </row>
    <row r="271" spans="2:3" ht="12.75" x14ac:dyDescent="0.2">
      <c r="B271" s="922" t="s">
        <v>414</v>
      </c>
      <c r="C271" s="920" t="s">
        <v>1346</v>
      </c>
    </row>
    <row r="272" spans="2:3" ht="12.75" x14ac:dyDescent="0.2">
      <c r="B272" s="922" t="s">
        <v>415</v>
      </c>
      <c r="C272" s="920" t="s">
        <v>1346</v>
      </c>
    </row>
    <row r="273" spans="2:3" ht="12.75" x14ac:dyDescent="0.2">
      <c r="B273" s="922" t="s">
        <v>201</v>
      </c>
      <c r="C273" s="920" t="s">
        <v>1346</v>
      </c>
    </row>
    <row r="274" spans="2:3" ht="12.75" x14ac:dyDescent="0.2">
      <c r="B274" s="922" t="s">
        <v>416</v>
      </c>
      <c r="C274" s="920" t="s">
        <v>1346</v>
      </c>
    </row>
    <row r="275" spans="2:3" ht="12.75" x14ac:dyDescent="0.2">
      <c r="B275" s="922" t="s">
        <v>417</v>
      </c>
      <c r="C275" s="920" t="s">
        <v>1346</v>
      </c>
    </row>
    <row r="276" spans="2:3" ht="12.75" x14ac:dyDescent="0.2">
      <c r="B276" s="922" t="s">
        <v>418</v>
      </c>
      <c r="C276" s="920" t="s">
        <v>1346</v>
      </c>
    </row>
    <row r="277" spans="2:3" ht="12.75" x14ac:dyDescent="0.2">
      <c r="B277" s="922" t="s">
        <v>419</v>
      </c>
      <c r="C277" s="920" t="s">
        <v>1346</v>
      </c>
    </row>
    <row r="278" spans="2:3" ht="12.75" x14ac:dyDescent="0.2">
      <c r="B278" s="922" t="s">
        <v>420</v>
      </c>
      <c r="C278" s="920" t="s">
        <v>1346</v>
      </c>
    </row>
    <row r="279" spans="2:3" ht="12.75" x14ac:dyDescent="0.2">
      <c r="B279" s="922" t="s">
        <v>421</v>
      </c>
      <c r="C279" s="920" t="s">
        <v>1346</v>
      </c>
    </row>
    <row r="280" spans="2:3" ht="12.75" x14ac:dyDescent="0.2">
      <c r="B280" s="922" t="s">
        <v>422</v>
      </c>
      <c r="C280" s="920" t="s">
        <v>1346</v>
      </c>
    </row>
    <row r="281" spans="2:3" ht="12.75" x14ac:dyDescent="0.2">
      <c r="B281" s="922" t="s">
        <v>1347</v>
      </c>
      <c r="C281" s="920" t="s">
        <v>1346</v>
      </c>
    </row>
    <row r="282" spans="2:3" ht="12.75" x14ac:dyDescent="0.2">
      <c r="B282" s="922" t="s">
        <v>423</v>
      </c>
      <c r="C282" s="920" t="s">
        <v>1346</v>
      </c>
    </row>
    <row r="283" spans="2:3" ht="12.75" x14ac:dyDescent="0.2">
      <c r="B283" s="922" t="s">
        <v>424</v>
      </c>
      <c r="C283" s="920" t="s">
        <v>1346</v>
      </c>
    </row>
    <row r="284" spans="2:3" ht="12.75" x14ac:dyDescent="0.2">
      <c r="B284" s="922" t="s">
        <v>425</v>
      </c>
      <c r="C284" s="920" t="s">
        <v>1346</v>
      </c>
    </row>
    <row r="285" spans="2:3" ht="12.75" x14ac:dyDescent="0.2">
      <c r="B285" s="922" t="s">
        <v>216</v>
      </c>
      <c r="C285" s="920" t="s">
        <v>1346</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6"/>
  <sheetViews>
    <sheetView showGridLines="0" zoomScaleNormal="100" workbookViewId="0">
      <selection activeCell="C91" sqref="C91"/>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1037</v>
      </c>
      <c r="B1" s="808"/>
      <c r="C1" s="807" t="s">
        <v>1036</v>
      </c>
      <c r="E1" s="806" t="s">
        <v>1035</v>
      </c>
    </row>
    <row r="2" spans="1:5" x14ac:dyDescent="0.2">
      <c r="A2" s="796" t="str">
        <f>B2&amp;" - "&amp;C2</f>
        <v>Vote 1 - CHIEF OPERATION OFFICE</v>
      </c>
      <c r="B2" s="804" t="s">
        <v>818</v>
      </c>
      <c r="C2" s="802" t="s">
        <v>1367</v>
      </c>
      <c r="E2" s="805"/>
    </row>
    <row r="3" spans="1:5" x14ac:dyDescent="0.2">
      <c r="A3" s="796" t="str">
        <f>B13&amp;" - "&amp; C13</f>
        <v>Vote 2 - MUNICIPAL MANAGER'S OFFICE</v>
      </c>
      <c r="B3" s="801">
        <v>1.1000000000000001</v>
      </c>
      <c r="C3" s="800" t="s">
        <v>1368</v>
      </c>
      <c r="D3" s="796" t="str">
        <f t="shared" ref="D3:D12" si="0">CONCATENATE(B3, " - ", C3)</f>
        <v>1.1 - CHIEF OPERATIONS OFFICE(ADMINISTRATION)</v>
      </c>
      <c r="E3" s="799" t="s">
        <v>1482</v>
      </c>
    </row>
    <row r="4" spans="1:5" x14ac:dyDescent="0.2">
      <c r="A4" s="796" t="str">
        <f>B24&amp;" - "&amp;C24</f>
        <v>Vote 3 - WATER AND SANITATION</v>
      </c>
      <c r="B4" s="801">
        <v>1.2</v>
      </c>
      <c r="C4" s="800" t="s">
        <v>1369</v>
      </c>
      <c r="D4" s="796" t="str">
        <f t="shared" si="0"/>
        <v>1.2 - LEGISLATIVE SUPPORT</v>
      </c>
      <c r="E4" s="799" t="s">
        <v>1483</v>
      </c>
    </row>
    <row r="5" spans="1:5" x14ac:dyDescent="0.2">
      <c r="A5" s="796" t="str">
        <f>B35&amp;" - "&amp;C35</f>
        <v>Vote 4 - ENERGY</v>
      </c>
      <c r="B5" s="801">
        <v>1.3</v>
      </c>
      <c r="C5" s="800" t="s">
        <v>1370</v>
      </c>
      <c r="D5" s="796" t="str">
        <f t="shared" si="0"/>
        <v>1.3 - LEGAL SERVICES</v>
      </c>
      <c r="E5" s="799" t="s">
        <v>1484</v>
      </c>
    </row>
    <row r="6" spans="1:5" x14ac:dyDescent="0.2">
      <c r="A6" s="796" t="str">
        <f>B46&amp;" - "&amp;C46</f>
        <v>Vote 5 - COMMUNITY SERVICES</v>
      </c>
      <c r="B6" s="801">
        <v>1.4</v>
      </c>
      <c r="C6" s="800" t="s">
        <v>1371</v>
      </c>
      <c r="D6" s="796" t="str">
        <f t="shared" si="0"/>
        <v xml:space="preserve">1.4 - INTERGRATED DEVELOPMENT PLAN </v>
      </c>
      <c r="E6" s="799" t="s">
        <v>1485</v>
      </c>
    </row>
    <row r="7" spans="1:5" x14ac:dyDescent="0.2">
      <c r="A7" s="796" t="str">
        <f>B63&amp;" - "&amp;C63</f>
        <v>Vote 6 - PUBLIC SAFETY</v>
      </c>
      <c r="B7" s="801">
        <v>1.5</v>
      </c>
      <c r="C7" s="800" t="s">
        <v>1372</v>
      </c>
      <c r="D7" s="796" t="str">
        <f t="shared" si="0"/>
        <v>1.5 - COMMUNICATIONS AND MARKETING</v>
      </c>
      <c r="E7" s="799" t="s">
        <v>1486</v>
      </c>
    </row>
    <row r="8" spans="1:5" x14ac:dyDescent="0.2">
      <c r="A8" s="796" t="str">
        <f>B79&amp;" - "&amp;C79</f>
        <v>Vote 7 - CORPORATE AND SHARED SERVICES</v>
      </c>
      <c r="B8" s="801">
        <v>1.6</v>
      </c>
      <c r="C8" s="800" t="s">
        <v>1373</v>
      </c>
      <c r="D8" s="796" t="str">
        <f t="shared" si="0"/>
        <v>1.6 - PROJECT MANAGEMENT UNIT</v>
      </c>
      <c r="E8" s="799" t="s">
        <v>1487</v>
      </c>
    </row>
    <row r="9" spans="1:5" x14ac:dyDescent="0.2">
      <c r="A9" s="796" t="str">
        <f>B99&amp;" - "&amp;C99</f>
        <v>Vote 8 - PLANNING AND ECONOMIC DEVELOPMENT</v>
      </c>
      <c r="B9" s="801">
        <v>1.7</v>
      </c>
      <c r="C9" s="800" t="s">
        <v>1374</v>
      </c>
      <c r="D9" s="796" t="str">
        <f t="shared" si="0"/>
        <v>1.7 - PERFORMANCE MANAGEMENT</v>
      </c>
      <c r="E9" s="799" t="s">
        <v>1488</v>
      </c>
    </row>
    <row r="10" spans="1:5" x14ac:dyDescent="0.2">
      <c r="A10" s="796" t="str">
        <f>B110&amp;" - "&amp;C110</f>
        <v xml:space="preserve">Vote 9 - BUDGET AND TREASURY OFFICE </v>
      </c>
      <c r="B10" s="801">
        <v>1.8</v>
      </c>
      <c r="C10" s="800" t="s">
        <v>1375</v>
      </c>
      <c r="D10" s="796" t="str">
        <f t="shared" si="0"/>
        <v>1.8 - CLUSTER</v>
      </c>
      <c r="E10" s="799" t="s">
        <v>1489</v>
      </c>
    </row>
    <row r="11" spans="1:5" x14ac:dyDescent="0.2">
      <c r="A11" s="796" t="str">
        <f>B121&amp;" - "&amp;C121</f>
        <v>Vote 10 - TRANSPORT SERVICES</v>
      </c>
      <c r="B11" s="801">
        <v>1.9</v>
      </c>
      <c r="C11" s="800" t="s">
        <v>1376</v>
      </c>
      <c r="D11" s="796" t="str">
        <f t="shared" si="0"/>
        <v>1.9 - EXECUTIVE SUPPORT</v>
      </c>
      <c r="E11" s="799" t="s">
        <v>1490</v>
      </c>
    </row>
    <row r="12" spans="1:5" x14ac:dyDescent="0.2">
      <c r="A12" s="796" t="str">
        <f>B132&amp;" - "&amp;C132</f>
        <v>Vote 11 - HUMAN SETTLEMENT</v>
      </c>
      <c r="B12" s="801" t="s">
        <v>1034</v>
      </c>
      <c r="C12" s="800" t="s">
        <v>1011</v>
      </c>
      <c r="D12" s="796" t="str">
        <f t="shared" si="0"/>
        <v>1.10 - [Name of sub-vote]</v>
      </c>
      <c r="E12" s="799"/>
    </row>
    <row r="13" spans="1:5" x14ac:dyDescent="0.2">
      <c r="A13" s="796" t="str">
        <f>B143&amp;" - "&amp;C143</f>
        <v>Vote 12 - [NAME OF VOTE 12]</v>
      </c>
      <c r="B13" s="804" t="s">
        <v>817</v>
      </c>
      <c r="C13" s="802" t="s">
        <v>1377</v>
      </c>
      <c r="E13" s="805"/>
    </row>
    <row r="14" spans="1:5" x14ac:dyDescent="0.2">
      <c r="A14" s="796" t="str">
        <f>B154&amp;" - "&amp;C154</f>
        <v>Vote 13 - [NAME OF VOTE 13]</v>
      </c>
      <c r="B14" s="801">
        <v>2.1</v>
      </c>
      <c r="C14" s="800" t="s">
        <v>1378</v>
      </c>
      <c r="D14" s="796" t="str">
        <f t="shared" ref="D14:D23" si="1">CONCATENATE(B14, " - ", C14)</f>
        <v>2.1 - COUNCILLORS</v>
      </c>
      <c r="E14" s="799" t="s">
        <v>1491</v>
      </c>
    </row>
    <row r="15" spans="1:5" x14ac:dyDescent="0.2">
      <c r="A15" s="796" t="str">
        <f>B165&amp;" - "&amp;C165</f>
        <v>Vote 14 - [NAME OF VOTE 14]</v>
      </c>
      <c r="B15" s="801">
        <v>2.2000000000000002</v>
      </c>
      <c r="C15" s="800" t="s">
        <v>1379</v>
      </c>
      <c r="D15" s="796" t="str">
        <f t="shared" si="1"/>
        <v>2.2 - MUNICIPAL MANAGER</v>
      </c>
      <c r="E15" s="799" t="s">
        <v>1492</v>
      </c>
    </row>
    <row r="16" spans="1:5" x14ac:dyDescent="0.2">
      <c r="A16" s="796" t="str">
        <f>B176&amp;" - "&amp;C176</f>
        <v>Vote 15 - [NAME OF VOTE 15]</v>
      </c>
      <c r="B16" s="801">
        <v>2.2999999999999998</v>
      </c>
      <c r="C16" s="800" t="s">
        <v>1380</v>
      </c>
      <c r="D16" s="796" t="str">
        <f t="shared" si="1"/>
        <v>2.3 - RISK MANAGEMENT</v>
      </c>
      <c r="E16" s="799" t="s">
        <v>1493</v>
      </c>
    </row>
    <row r="17" spans="1:5" x14ac:dyDescent="0.2">
      <c r="B17" s="801">
        <v>2.4</v>
      </c>
      <c r="C17" s="800" t="s">
        <v>1381</v>
      </c>
      <c r="D17" s="796" t="str">
        <f t="shared" si="1"/>
        <v xml:space="preserve">2.4 - INTERNAL AUDIT </v>
      </c>
      <c r="E17" s="799" t="s">
        <v>1494</v>
      </c>
    </row>
    <row r="18" spans="1:5" x14ac:dyDescent="0.2">
      <c r="B18" s="801">
        <v>2.5</v>
      </c>
      <c r="C18" s="800" t="s">
        <v>1011</v>
      </c>
      <c r="D18" s="796" t="str">
        <f t="shared" si="1"/>
        <v>2.5 - [Name of sub-vote]</v>
      </c>
      <c r="E18" s="799"/>
    </row>
    <row r="19" spans="1:5" x14ac:dyDescent="0.2">
      <c r="B19" s="801">
        <v>2.6</v>
      </c>
      <c r="C19" s="800" t="s">
        <v>1011</v>
      </c>
      <c r="D19" s="796" t="str">
        <f t="shared" si="1"/>
        <v>2.6 - [Name of sub-vote]</v>
      </c>
      <c r="E19" s="799"/>
    </row>
    <row r="20" spans="1:5" x14ac:dyDescent="0.2">
      <c r="B20" s="801">
        <v>2.7</v>
      </c>
      <c r="C20" s="800" t="s">
        <v>1011</v>
      </c>
      <c r="D20" s="796" t="str">
        <f t="shared" si="1"/>
        <v>2.7 - [Name of sub-vote]</v>
      </c>
      <c r="E20" s="799"/>
    </row>
    <row r="21" spans="1:5" x14ac:dyDescent="0.2">
      <c r="A21" s="805"/>
      <c r="B21" s="801">
        <v>2.8</v>
      </c>
      <c r="C21" s="800" t="s">
        <v>1011</v>
      </c>
      <c r="D21" s="796" t="str">
        <f t="shared" si="1"/>
        <v>2.8 - [Name of sub-vote]</v>
      </c>
      <c r="E21" s="799"/>
    </row>
    <row r="22" spans="1:5" x14ac:dyDescent="0.2">
      <c r="B22" s="801">
        <v>2.9</v>
      </c>
      <c r="C22" s="800" t="s">
        <v>1011</v>
      </c>
      <c r="D22" s="796" t="str">
        <f t="shared" si="1"/>
        <v>2.9 - [Name of sub-vote]</v>
      </c>
      <c r="E22" s="799"/>
    </row>
    <row r="23" spans="1:5" x14ac:dyDescent="0.2">
      <c r="B23" s="801" t="s">
        <v>1033</v>
      </c>
      <c r="C23" s="800" t="s">
        <v>1011</v>
      </c>
      <c r="D23" s="796" t="str">
        <f t="shared" si="1"/>
        <v>2.10 - [Name of sub-vote]</v>
      </c>
      <c r="E23" s="799"/>
    </row>
    <row r="24" spans="1:5" x14ac:dyDescent="0.2">
      <c r="B24" s="804" t="s">
        <v>816</v>
      </c>
      <c r="C24" s="802" t="s">
        <v>1382</v>
      </c>
      <c r="E24" s="799"/>
    </row>
    <row r="25" spans="1:5" x14ac:dyDescent="0.2">
      <c r="B25" s="801">
        <v>3.1</v>
      </c>
      <c r="C25" s="800" t="s">
        <v>1383</v>
      </c>
      <c r="D25" s="796" t="str">
        <f t="shared" ref="D25:D34" si="2">CONCATENATE(B25, " - ", C25)</f>
        <v>3.1 - WATER AND SANITATION ADMIN</v>
      </c>
      <c r="E25" s="799" t="s">
        <v>1495</v>
      </c>
    </row>
    <row r="26" spans="1:5" x14ac:dyDescent="0.2">
      <c r="B26" s="801">
        <v>3.2</v>
      </c>
      <c r="C26" s="800" t="s">
        <v>1384</v>
      </c>
      <c r="D26" s="796" t="str">
        <f t="shared" si="2"/>
        <v>3.2 - RETICULATION, DISTRIBUTIION AND MAITENANCE, WATER DEMAND AND COSERVATION</v>
      </c>
      <c r="E26" s="799" t="s">
        <v>1496</v>
      </c>
    </row>
    <row r="27" spans="1:5" x14ac:dyDescent="0.2">
      <c r="B27" s="801">
        <v>3.3</v>
      </c>
      <c r="C27" s="800" t="s">
        <v>1385</v>
      </c>
      <c r="D27" s="796" t="str">
        <f t="shared" si="2"/>
        <v>3.3 - OPERATIONS, WATER AND WASTE WATER, QUALITY MANAGEMENT AND LABORATORY SERVICES</v>
      </c>
      <c r="E27" s="799" t="s">
        <v>1497</v>
      </c>
    </row>
    <row r="28" spans="1:5" x14ac:dyDescent="0.2">
      <c r="B28" s="801">
        <v>3.4</v>
      </c>
      <c r="C28" s="800" t="s">
        <v>1386</v>
      </c>
      <c r="D28" s="796" t="str">
        <f t="shared" si="2"/>
        <v>3.4 - QUALITY MONITORING SERVICES</v>
      </c>
      <c r="E28" s="799" t="s">
        <v>1498</v>
      </c>
    </row>
    <row r="29" spans="1:5" x14ac:dyDescent="0.2">
      <c r="B29" s="801">
        <v>3.5</v>
      </c>
      <c r="C29" s="800" t="s">
        <v>1384</v>
      </c>
      <c r="D29" s="796" t="str">
        <f t="shared" si="2"/>
        <v>3.5 - RETICULATION, DISTRIBUTIION AND MAITENANCE, WATER DEMAND AND COSERVATION</v>
      </c>
      <c r="E29" s="799" t="s">
        <v>1499</v>
      </c>
    </row>
    <row r="30" spans="1:5" x14ac:dyDescent="0.2">
      <c r="B30" s="801">
        <v>3.6</v>
      </c>
      <c r="C30" s="800" t="s">
        <v>1384</v>
      </c>
      <c r="D30" s="796" t="str">
        <f t="shared" si="2"/>
        <v>3.6 - RETICULATION, DISTRIBUTIION AND MAITENANCE, WATER DEMAND AND COSERVATION</v>
      </c>
      <c r="E30" s="799" t="s">
        <v>1500</v>
      </c>
    </row>
    <row r="31" spans="1:5" x14ac:dyDescent="0.2">
      <c r="B31" s="801">
        <v>3.7</v>
      </c>
      <c r="C31" s="800" t="s">
        <v>1387</v>
      </c>
      <c r="D31" s="796" t="str">
        <f t="shared" si="2"/>
        <v>3.7 - INFRASTRUCTURE DEVELOPMENT, PLANNING AND RETICULATION DESIGN</v>
      </c>
      <c r="E31" s="799" t="s">
        <v>1501</v>
      </c>
    </row>
    <row r="32" spans="1:5" x14ac:dyDescent="0.2">
      <c r="B32" s="801">
        <v>3.8</v>
      </c>
      <c r="C32" s="800" t="s">
        <v>1011</v>
      </c>
      <c r="D32" s="796" t="str">
        <f t="shared" si="2"/>
        <v>3.8 - [Name of sub-vote]</v>
      </c>
      <c r="E32" s="799"/>
    </row>
    <row r="33" spans="2:5" x14ac:dyDescent="0.2">
      <c r="B33" s="801">
        <v>3.9</v>
      </c>
      <c r="C33" s="800" t="s">
        <v>1011</v>
      </c>
      <c r="D33" s="796" t="str">
        <f t="shared" si="2"/>
        <v>3.9 - [Name of sub-vote]</v>
      </c>
      <c r="E33" s="799"/>
    </row>
    <row r="34" spans="2:5" x14ac:dyDescent="0.2">
      <c r="B34" s="801" t="s">
        <v>1032</v>
      </c>
      <c r="C34" s="800" t="s">
        <v>1011</v>
      </c>
      <c r="D34" s="796" t="str">
        <f t="shared" si="2"/>
        <v>3.10 - [Name of sub-vote]</v>
      </c>
      <c r="E34" s="799"/>
    </row>
    <row r="35" spans="2:5" x14ac:dyDescent="0.2">
      <c r="B35" s="804" t="s">
        <v>815</v>
      </c>
      <c r="C35" s="802" t="s">
        <v>1388</v>
      </c>
      <c r="E35" s="799"/>
    </row>
    <row r="36" spans="2:5" x14ac:dyDescent="0.2">
      <c r="B36" s="801">
        <v>4.0999999999999996</v>
      </c>
      <c r="C36" s="800" t="s">
        <v>1389</v>
      </c>
      <c r="D36" s="796" t="str">
        <f t="shared" ref="D36:D45" si="3">CONCATENATE(B36, " - ", C36)</f>
        <v>4.1 - ENERGY SERVICES ADMIN</v>
      </c>
      <c r="E36" s="799" t="s">
        <v>1502</v>
      </c>
    </row>
    <row r="37" spans="2:5" x14ac:dyDescent="0.2">
      <c r="B37" s="801">
        <v>4.2</v>
      </c>
      <c r="C37" s="800" t="s">
        <v>1390</v>
      </c>
      <c r="D37" s="796" t="str">
        <f t="shared" si="3"/>
        <v>4.2 - ENERGY OPERATIONS AND MAITENANCE ADMINISTRATION</v>
      </c>
      <c r="E37" s="799" t="s">
        <v>1503</v>
      </c>
    </row>
    <row r="38" spans="2:5" x14ac:dyDescent="0.2">
      <c r="B38" s="801">
        <v>4.3</v>
      </c>
      <c r="C38" s="800" t="s">
        <v>1391</v>
      </c>
      <c r="D38" s="796" t="str">
        <f t="shared" si="3"/>
        <v>4.3 - ENERGY SERVICES: 66KV OPERATIONS, MAITENANCE. SCADA AND PROTECTION</v>
      </c>
      <c r="E38" s="799" t="s">
        <v>1504</v>
      </c>
    </row>
    <row r="39" spans="2:5" x14ac:dyDescent="0.2">
      <c r="B39" s="801">
        <v>4.4000000000000004</v>
      </c>
      <c r="C39" s="800" t="s">
        <v>1392</v>
      </c>
      <c r="D39" s="796" t="str">
        <f t="shared" si="3"/>
        <v>4.4 - ENERGY SERVICES: 11KV OPERATIONS, MAITENANCE. AND CONSTRUCTION</v>
      </c>
      <c r="E39" s="799" t="s">
        <v>1505</v>
      </c>
    </row>
    <row r="40" spans="2:5" x14ac:dyDescent="0.2">
      <c r="B40" s="801">
        <v>4.5</v>
      </c>
      <c r="C40" s="800" t="s">
        <v>1393</v>
      </c>
      <c r="D40" s="796" t="str">
        <f t="shared" si="3"/>
        <v>4.5 - ENERGY SERVICES : PLANNING AND DEVELOPMENT</v>
      </c>
      <c r="E40" s="799" t="s">
        <v>1506</v>
      </c>
    </row>
    <row r="41" spans="2:5" x14ac:dyDescent="0.2">
      <c r="B41" s="801">
        <v>4.5999999999999996</v>
      </c>
      <c r="C41" s="800" t="s">
        <v>1011</v>
      </c>
      <c r="D41" s="796" t="str">
        <f t="shared" si="3"/>
        <v>4.6 - [Name of sub-vote]</v>
      </c>
      <c r="E41" s="799"/>
    </row>
    <row r="42" spans="2:5" x14ac:dyDescent="0.2">
      <c r="B42" s="801">
        <v>4.7</v>
      </c>
      <c r="C42" s="800" t="s">
        <v>1011</v>
      </c>
      <c r="D42" s="796" t="str">
        <f t="shared" si="3"/>
        <v>4.7 - [Name of sub-vote]</v>
      </c>
      <c r="E42" s="799"/>
    </row>
    <row r="43" spans="2:5" x14ac:dyDescent="0.2">
      <c r="B43" s="801">
        <v>4.8</v>
      </c>
      <c r="C43" s="800" t="s">
        <v>1011</v>
      </c>
      <c r="D43" s="796" t="str">
        <f t="shared" si="3"/>
        <v>4.8 - [Name of sub-vote]</v>
      </c>
      <c r="E43" s="799"/>
    </row>
    <row r="44" spans="2:5" x14ac:dyDescent="0.2">
      <c r="B44" s="801">
        <v>4.9000000000000004</v>
      </c>
      <c r="C44" s="800" t="s">
        <v>1011</v>
      </c>
      <c r="D44" s="796" t="str">
        <f t="shared" si="3"/>
        <v>4.9 - [Name of sub-vote]</v>
      </c>
      <c r="E44" s="799"/>
    </row>
    <row r="45" spans="2:5" x14ac:dyDescent="0.2">
      <c r="B45" s="801" t="s">
        <v>1031</v>
      </c>
      <c r="C45" s="800" t="s">
        <v>1011</v>
      </c>
      <c r="D45" s="796" t="str">
        <f t="shared" si="3"/>
        <v>4.10 - [Name of sub-vote]</v>
      </c>
      <c r="E45" s="799"/>
    </row>
    <row r="46" spans="2:5" x14ac:dyDescent="0.2">
      <c r="B46" s="804" t="s">
        <v>814</v>
      </c>
      <c r="C46" s="802" t="s">
        <v>1394</v>
      </c>
      <c r="E46" s="799"/>
    </row>
    <row r="47" spans="2:5" x14ac:dyDescent="0.2">
      <c r="B47" s="801">
        <v>5.0999999999999996</v>
      </c>
      <c r="C47" s="800" t="s">
        <v>1401</v>
      </c>
      <c r="D47" s="796" t="str">
        <f>CONCATENATE(B47, " - ", C47)</f>
        <v>5.1 - DIRECTORATE COMMUNITY SERVICES</v>
      </c>
      <c r="E47" s="799" t="s">
        <v>1507</v>
      </c>
    </row>
    <row r="48" spans="2:5" x14ac:dyDescent="0.2">
      <c r="B48" s="801">
        <v>5.2</v>
      </c>
      <c r="C48" s="800" t="s">
        <v>1402</v>
      </c>
      <c r="D48" s="796" t="str">
        <f>CONCATENATE(B48, " - ", C48)</f>
        <v>5.2 - SPORT AND RECREATION (ADMINISTRATION)</v>
      </c>
      <c r="E48" s="799" t="s">
        <v>1508</v>
      </c>
    </row>
    <row r="49" spans="2:5" x14ac:dyDescent="0.2">
      <c r="B49" s="801">
        <v>5.3</v>
      </c>
      <c r="C49" s="800" t="s">
        <v>1403</v>
      </c>
      <c r="D49" s="796" t="str">
        <f>CONCATENATE(B49, " - ", C49)</f>
        <v>5.3 - SPORTS FACILITIES MAINTENANCE(NEW)</v>
      </c>
      <c r="E49" s="799" t="s">
        <v>1509</v>
      </c>
    </row>
    <row r="50" spans="2:5" x14ac:dyDescent="0.2">
      <c r="B50" s="801">
        <v>5.4</v>
      </c>
      <c r="C50" s="800" t="s">
        <v>1404</v>
      </c>
      <c r="D50" s="796" t="str">
        <f>CONCATENATE(B50, " - ", C50)</f>
        <v>5.4 - RECREATION SERVICES (SWIMMING POOLS)</v>
      </c>
      <c r="E50" s="799" t="s">
        <v>1510</v>
      </c>
    </row>
    <row r="51" spans="2:5" x14ac:dyDescent="0.2">
      <c r="B51" s="801">
        <v>5.5</v>
      </c>
      <c r="C51" s="800" t="s">
        <v>1405</v>
      </c>
      <c r="D51" s="796" t="str">
        <f>CONCATENATE(B51, " - ", C51)</f>
        <v>5.5 - SPORTS FACILITIES MAINTENANCE(HORTICULTURAL SERVICES)</v>
      </c>
      <c r="E51" s="799" t="s">
        <v>1511</v>
      </c>
    </row>
    <row r="52" spans="2:5" x14ac:dyDescent="0.2">
      <c r="B52" s="801">
        <v>5.6</v>
      </c>
      <c r="C52" s="800" t="s">
        <v>1406</v>
      </c>
      <c r="E52" s="799"/>
    </row>
    <row r="53" spans="2:5" x14ac:dyDescent="0.2">
      <c r="B53" s="801">
        <v>5.7</v>
      </c>
      <c r="C53" s="800" t="s">
        <v>1407</v>
      </c>
      <c r="E53" s="799"/>
    </row>
    <row r="54" spans="2:5" x14ac:dyDescent="0.2">
      <c r="B54" s="801">
        <v>5.8</v>
      </c>
      <c r="C54" s="800" t="s">
        <v>1408</v>
      </c>
      <c r="E54" s="799"/>
    </row>
    <row r="55" spans="2:5" x14ac:dyDescent="0.2">
      <c r="B55" s="801">
        <v>5.9</v>
      </c>
      <c r="C55" s="800" t="s">
        <v>1409</v>
      </c>
      <c r="E55" s="799"/>
    </row>
    <row r="56" spans="2:5" x14ac:dyDescent="0.2">
      <c r="B56" s="801" t="s">
        <v>1030</v>
      </c>
      <c r="C56" s="800" t="s">
        <v>1410</v>
      </c>
      <c r="E56" s="799"/>
    </row>
    <row r="57" spans="2:5" x14ac:dyDescent="0.2">
      <c r="B57" s="801" t="s">
        <v>1395</v>
      </c>
      <c r="C57" s="800" t="s">
        <v>1411</v>
      </c>
      <c r="D57" s="796" t="str">
        <f>CONCATENATE(B57, " - ", C57)</f>
        <v>5.11 - ENVIRONMENTAL MANAGEMENT (ADMINISTRATION)</v>
      </c>
      <c r="E57" s="799" t="s">
        <v>1575</v>
      </c>
    </row>
    <row r="58" spans="2:5" x14ac:dyDescent="0.2">
      <c r="B58" s="801" t="s">
        <v>1396</v>
      </c>
      <c r="C58" s="800" t="s">
        <v>1412</v>
      </c>
      <c r="E58" s="799"/>
    </row>
    <row r="59" spans="2:5" x14ac:dyDescent="0.2">
      <c r="B59" s="801" t="s">
        <v>1397</v>
      </c>
      <c r="C59" s="800" t="s">
        <v>1413</v>
      </c>
      <c r="E59" s="799"/>
    </row>
    <row r="60" spans="2:5" x14ac:dyDescent="0.2">
      <c r="B60" s="801" t="s">
        <v>1398</v>
      </c>
      <c r="C60" s="800" t="s">
        <v>1414</v>
      </c>
      <c r="E60" s="799"/>
    </row>
    <row r="61" spans="2:5" x14ac:dyDescent="0.2">
      <c r="B61" s="801" t="s">
        <v>1399</v>
      </c>
      <c r="C61" s="800" t="s">
        <v>1415</v>
      </c>
      <c r="E61" s="799"/>
    </row>
    <row r="62" spans="2:5" x14ac:dyDescent="0.2">
      <c r="B62" s="801" t="s">
        <v>1400</v>
      </c>
      <c r="C62" s="800" t="s">
        <v>1416</v>
      </c>
      <c r="D62" s="796" t="str">
        <f>CONCATENATE(B62, " - ", C62)</f>
        <v>5.16 - WASTE MANAGEMENT (EDUCATION AND AWARENESS)</v>
      </c>
      <c r="E62" s="799" t="s">
        <v>1580</v>
      </c>
    </row>
    <row r="63" spans="2:5" x14ac:dyDescent="0.2">
      <c r="B63" s="804" t="s">
        <v>813</v>
      </c>
      <c r="C63" s="802" t="s">
        <v>1417</v>
      </c>
      <c r="E63" s="799"/>
    </row>
    <row r="64" spans="2:5" x14ac:dyDescent="0.2">
      <c r="B64" s="801">
        <v>6.1</v>
      </c>
      <c r="C64" s="800" t="s">
        <v>1421</v>
      </c>
      <c r="D64" s="796" t="str">
        <f t="shared" ref="D64:D78" si="4">CONCATENATE(B64, " - ", C64)</f>
        <v>6.1 - PUBLIC SAFETY(ADMINISTRATION)</v>
      </c>
      <c r="E64" s="799" t="s">
        <v>1523</v>
      </c>
    </row>
    <row r="65" spans="2:5" x14ac:dyDescent="0.2">
      <c r="B65" s="801">
        <v>6.2</v>
      </c>
      <c r="C65" s="800" t="s">
        <v>1422</v>
      </c>
      <c r="D65" s="796" t="str">
        <f t="shared" si="4"/>
        <v>6.2 - TRAFFIC AND LICENSING (ADMINISTRATION)</v>
      </c>
      <c r="E65" s="799" t="s">
        <v>1524</v>
      </c>
    </row>
    <row r="66" spans="2:5" x14ac:dyDescent="0.2">
      <c r="B66" s="801">
        <v>6.3</v>
      </c>
      <c r="C66" s="800" t="s">
        <v>1423</v>
      </c>
      <c r="D66" s="796" t="str">
        <f t="shared" si="4"/>
        <v>6.3 - TRAFFIC AND LICENCES (LICENSING)</v>
      </c>
      <c r="E66" s="799" t="s">
        <v>1525</v>
      </c>
    </row>
    <row r="67" spans="2:5" x14ac:dyDescent="0.2">
      <c r="B67" s="801">
        <v>6.4</v>
      </c>
      <c r="C67" s="800" t="s">
        <v>1424</v>
      </c>
      <c r="D67" s="796" t="str">
        <f t="shared" si="4"/>
        <v>6.4 - TRAFFIC AND LICENSING(VEHICLE TESTING AND DRIVERS LICENSE TESTING)</v>
      </c>
      <c r="E67" s="799" t="s">
        <v>1526</v>
      </c>
    </row>
    <row r="68" spans="2:5" x14ac:dyDescent="0.2">
      <c r="B68" s="801">
        <v>6.5</v>
      </c>
      <c r="C68" s="800" t="s">
        <v>1425</v>
      </c>
      <c r="D68" s="796" t="str">
        <f t="shared" si="4"/>
        <v>6.5 - TRAFFIC AND LICENSING (TRAFFIC SERVICES)</v>
      </c>
      <c r="E68" s="799" t="s">
        <v>1527</v>
      </c>
    </row>
    <row r="69" spans="2:5" x14ac:dyDescent="0.2">
      <c r="B69" s="801">
        <v>6.6</v>
      </c>
      <c r="C69" s="800" t="s">
        <v>1426</v>
      </c>
      <c r="E69" s="799"/>
    </row>
    <row r="70" spans="2:5" x14ac:dyDescent="0.2">
      <c r="B70" s="801">
        <v>6.7</v>
      </c>
      <c r="C70" s="800" t="s">
        <v>1427</v>
      </c>
      <c r="E70" s="799"/>
    </row>
    <row r="71" spans="2:5" x14ac:dyDescent="0.2">
      <c r="B71" s="801">
        <v>6.8</v>
      </c>
      <c r="C71" s="800" t="s">
        <v>1428</v>
      </c>
      <c r="E71" s="799"/>
    </row>
    <row r="72" spans="2:5" x14ac:dyDescent="0.2">
      <c r="B72" s="801">
        <v>6.9</v>
      </c>
      <c r="C72" s="800" t="s">
        <v>1429</v>
      </c>
      <c r="E72" s="799"/>
    </row>
    <row r="73" spans="2:5" x14ac:dyDescent="0.2">
      <c r="B73" s="801" t="s">
        <v>1029</v>
      </c>
      <c r="C73" s="800" t="s">
        <v>1430</v>
      </c>
      <c r="E73" s="799"/>
    </row>
    <row r="74" spans="2:5" x14ac:dyDescent="0.2">
      <c r="B74" s="801" t="s">
        <v>1418</v>
      </c>
      <c r="C74" s="800" t="s">
        <v>1431</v>
      </c>
      <c r="D74" s="796" t="str">
        <f t="shared" si="4"/>
        <v>6.11 - ENVIRONMENTAL HEALTH SERVICES (ADMINISTRATION)</v>
      </c>
      <c r="E74" s="799" t="s">
        <v>1576</v>
      </c>
    </row>
    <row r="75" spans="2:5" x14ac:dyDescent="0.2">
      <c r="B75" s="801" t="s">
        <v>1419</v>
      </c>
      <c r="C75" s="800" t="s">
        <v>1432</v>
      </c>
      <c r="D75" s="796" t="str">
        <f t="shared" si="4"/>
        <v>6.12 - ENVIRONMENTAL HEALTH SERVICES (AIR POLUTION CONTROL)</v>
      </c>
      <c r="E75" s="799" t="s">
        <v>1577</v>
      </c>
    </row>
    <row r="76" spans="2:5" x14ac:dyDescent="0.2">
      <c r="B76" s="801" t="s">
        <v>1420</v>
      </c>
      <c r="C76" s="800" t="s">
        <v>1433</v>
      </c>
      <c r="D76" s="796" t="str">
        <f t="shared" si="4"/>
        <v>6.13 - ENVIRONMENTAL HEALTH SERVICES (HEALTH INSPECTION)</v>
      </c>
      <c r="E76" s="799" t="s">
        <v>1578</v>
      </c>
    </row>
    <row r="77" spans="2:5" x14ac:dyDescent="0.2">
      <c r="B77" s="801"/>
      <c r="C77" s="800" t="s">
        <v>1011</v>
      </c>
      <c r="D77" s="796" t="str">
        <f t="shared" si="4"/>
        <v xml:space="preserve"> - [Name of sub-vote]</v>
      </c>
      <c r="E77" s="799"/>
    </row>
    <row r="78" spans="2:5" x14ac:dyDescent="0.2">
      <c r="B78" s="801"/>
      <c r="C78" s="800" t="s">
        <v>1011</v>
      </c>
      <c r="D78" s="796" t="str">
        <f t="shared" si="4"/>
        <v xml:space="preserve"> - [Name of sub-vote]</v>
      </c>
      <c r="E78" s="799"/>
    </row>
    <row r="79" spans="2:5" x14ac:dyDescent="0.2">
      <c r="B79" s="803" t="s">
        <v>812</v>
      </c>
      <c r="C79" s="802" t="s">
        <v>1434</v>
      </c>
      <c r="E79" s="799"/>
    </row>
    <row r="80" spans="2:5" x14ac:dyDescent="0.2">
      <c r="B80" s="801">
        <v>7.1</v>
      </c>
      <c r="C80" s="800" t="s">
        <v>1434</v>
      </c>
      <c r="D80" s="796" t="str">
        <f t="shared" ref="D80:D98" si="5">CONCATENATE(B80, " - ", C80)</f>
        <v>7.1 - CORPORATE AND SHARED SERVICES</v>
      </c>
      <c r="E80" s="799" t="s">
        <v>1533</v>
      </c>
    </row>
    <row r="81" spans="2:5" x14ac:dyDescent="0.2">
      <c r="B81" s="801">
        <v>7.2</v>
      </c>
      <c r="C81" s="800" t="s">
        <v>1440</v>
      </c>
      <c r="D81" s="796" t="str">
        <f t="shared" si="5"/>
        <v>7.2 - CORPORATE SERVICES - INFORMATION COMMUNICATION TECHNOLOGY</v>
      </c>
      <c r="E81" s="799" t="s">
        <v>1534</v>
      </c>
    </row>
    <row r="82" spans="2:5" x14ac:dyDescent="0.2">
      <c r="B82" s="801">
        <v>7.3</v>
      </c>
      <c r="C82" s="800" t="s">
        <v>1441</v>
      </c>
      <c r="D82" s="796" t="str">
        <f t="shared" si="5"/>
        <v>7.3 - HUMAN RESOURCE DEVELOPMENT (ADMINISTRATION)</v>
      </c>
      <c r="E82" s="799" t="s">
        <v>1535</v>
      </c>
    </row>
    <row r="83" spans="2:5" x14ac:dyDescent="0.2">
      <c r="B83" s="801">
        <v>7.4</v>
      </c>
      <c r="C83" s="800" t="s">
        <v>1442</v>
      </c>
      <c r="D83" s="796" t="str">
        <f t="shared" si="5"/>
        <v>7.4 - HUMAN RESOURCES DEVELOPMENT (ORGANISATION DEVELOPMENT)</v>
      </c>
      <c r="E83" s="799" t="s">
        <v>1536</v>
      </c>
    </row>
    <row r="84" spans="2:5" x14ac:dyDescent="0.2">
      <c r="B84" s="801">
        <v>7.5</v>
      </c>
      <c r="C84" s="800" t="s">
        <v>1443</v>
      </c>
      <c r="D84" s="796" t="str">
        <f t="shared" si="5"/>
        <v>7.5 - HUMAN RESOURCES DEVELOPMENT (LEARNING AND DEVELOPMENT)</v>
      </c>
      <c r="E84" s="799" t="s">
        <v>1537</v>
      </c>
    </row>
    <row r="85" spans="2:5" x14ac:dyDescent="0.2">
      <c r="B85" s="801">
        <v>7.6</v>
      </c>
      <c r="C85" s="800" t="s">
        <v>1444</v>
      </c>
      <c r="E85" s="799"/>
    </row>
    <row r="86" spans="2:5" x14ac:dyDescent="0.2">
      <c r="B86" s="801">
        <v>7.7</v>
      </c>
      <c r="C86" s="800" t="s">
        <v>1445</v>
      </c>
      <c r="E86" s="799"/>
    </row>
    <row r="87" spans="2:5" x14ac:dyDescent="0.2">
      <c r="B87" s="801">
        <v>7.8</v>
      </c>
      <c r="C87" s="800" t="s">
        <v>1446</v>
      </c>
      <c r="E87" s="799"/>
    </row>
    <row r="88" spans="2:5" x14ac:dyDescent="0.2">
      <c r="B88" s="801">
        <v>7.9</v>
      </c>
      <c r="C88" s="800" t="s">
        <v>1447</v>
      </c>
      <c r="E88" s="799"/>
    </row>
    <row r="89" spans="2:5" x14ac:dyDescent="0.2">
      <c r="B89" s="801" t="s">
        <v>1028</v>
      </c>
      <c r="C89" s="800" t="s">
        <v>1446</v>
      </c>
      <c r="E89" s="799"/>
    </row>
    <row r="90" spans="2:5" x14ac:dyDescent="0.2">
      <c r="B90" s="801" t="s">
        <v>1435</v>
      </c>
      <c r="C90" s="800" t="s">
        <v>1448</v>
      </c>
      <c r="E90" s="799"/>
    </row>
    <row r="91" spans="2:5" x14ac:dyDescent="0.2">
      <c r="B91" s="801" t="s">
        <v>1436</v>
      </c>
      <c r="C91" s="800" t="s">
        <v>1449</v>
      </c>
      <c r="E91" s="799"/>
    </row>
    <row r="92" spans="2:5" x14ac:dyDescent="0.2">
      <c r="B92" s="801" t="s">
        <v>1437</v>
      </c>
      <c r="C92" s="800" t="s">
        <v>1450</v>
      </c>
      <c r="E92" s="799"/>
    </row>
    <row r="93" spans="2:5" x14ac:dyDescent="0.2">
      <c r="B93" s="801" t="s">
        <v>1438</v>
      </c>
      <c r="C93" s="800" t="s">
        <v>1451</v>
      </c>
      <c r="E93" s="799"/>
    </row>
    <row r="94" spans="2:5" x14ac:dyDescent="0.2">
      <c r="B94" s="801" t="s">
        <v>1439</v>
      </c>
      <c r="C94" s="800" t="s">
        <v>1452</v>
      </c>
      <c r="D94" s="796" t="str">
        <f t="shared" si="5"/>
        <v>7.15 - FLEET MANAGEMENT SERVICES</v>
      </c>
      <c r="E94" s="799" t="s">
        <v>1579</v>
      </c>
    </row>
    <row r="95" spans="2:5" x14ac:dyDescent="0.2">
      <c r="B95" s="801"/>
      <c r="C95" s="800" t="s">
        <v>1011</v>
      </c>
      <c r="D95" s="796" t="str">
        <f t="shared" si="5"/>
        <v xml:space="preserve"> - [Name of sub-vote]</v>
      </c>
      <c r="E95" s="799"/>
    </row>
    <row r="96" spans="2:5" x14ac:dyDescent="0.2">
      <c r="B96" s="801"/>
      <c r="C96" s="800" t="s">
        <v>1011</v>
      </c>
      <c r="D96" s="796" t="str">
        <f t="shared" si="5"/>
        <v xml:space="preserve"> - [Name of sub-vote]</v>
      </c>
      <c r="E96" s="799"/>
    </row>
    <row r="97" spans="2:5" hidden="1" x14ac:dyDescent="0.2">
      <c r="B97" s="801"/>
      <c r="C97" s="800" t="s">
        <v>1011</v>
      </c>
      <c r="D97" s="796" t="str">
        <f t="shared" si="5"/>
        <v xml:space="preserve"> - [Name of sub-vote]</v>
      </c>
      <c r="E97" s="799"/>
    </row>
    <row r="98" spans="2:5" hidden="1" x14ac:dyDescent="0.2">
      <c r="B98" s="801"/>
      <c r="C98" s="800" t="s">
        <v>1011</v>
      </c>
      <c r="D98" s="796" t="str">
        <f t="shared" si="5"/>
        <v xml:space="preserve"> - [Name of sub-vote]</v>
      </c>
      <c r="E98" s="799"/>
    </row>
    <row r="99" spans="2:5" x14ac:dyDescent="0.2">
      <c r="B99" s="803" t="s">
        <v>811</v>
      </c>
      <c r="C99" s="802" t="s">
        <v>1453</v>
      </c>
      <c r="E99" s="799"/>
    </row>
    <row r="100" spans="2:5" x14ac:dyDescent="0.2">
      <c r="B100" s="801">
        <v>8.1</v>
      </c>
      <c r="C100" s="800" t="s">
        <v>1454</v>
      </c>
      <c r="D100" s="796" t="str">
        <f t="shared" ref="D100:D109" si="6">CONCATENATE(B100, " - ", C100)</f>
        <v>8.1 - DIRECTORATE PLANNING AND DEVELOPMENT</v>
      </c>
      <c r="E100" s="799" t="s">
        <v>1547</v>
      </c>
    </row>
    <row r="101" spans="2:5" x14ac:dyDescent="0.2">
      <c r="B101" s="801">
        <v>8.1999999999999993</v>
      </c>
      <c r="C101" s="800" t="s">
        <v>1455</v>
      </c>
      <c r="D101" s="796" t="str">
        <f t="shared" si="6"/>
        <v>8.2 - PROPERTY MANAGEMENT</v>
      </c>
      <c r="E101" s="799" t="s">
        <v>1548</v>
      </c>
    </row>
    <row r="102" spans="2:5" x14ac:dyDescent="0.2">
      <c r="B102" s="801">
        <v>8.3000000000000007</v>
      </c>
      <c r="C102" s="800" t="s">
        <v>1456</v>
      </c>
      <c r="D102" s="796" t="str">
        <f t="shared" si="6"/>
        <v xml:space="preserve">8.3 - CITY AND REGIONAL PLANNING </v>
      </c>
      <c r="E102" s="799" t="s">
        <v>1549</v>
      </c>
    </row>
    <row r="103" spans="2:5" x14ac:dyDescent="0.2">
      <c r="B103" s="801">
        <v>8.4</v>
      </c>
      <c r="C103" s="800" t="s">
        <v>1457</v>
      </c>
      <c r="D103" s="796" t="str">
        <f t="shared" si="6"/>
        <v>8.4 - CORPORATE GEO-INFORMATICS</v>
      </c>
      <c r="E103" s="799" t="s">
        <v>1550</v>
      </c>
    </row>
    <row r="104" spans="2:5" x14ac:dyDescent="0.2">
      <c r="B104" s="801">
        <v>8.5</v>
      </c>
      <c r="C104" s="800" t="s">
        <v>1458</v>
      </c>
      <c r="D104" s="796" t="str">
        <f t="shared" si="6"/>
        <v>8.5 - BUILDING INSPECTIONS (ADMINISTRATION)</v>
      </c>
      <c r="E104" s="799" t="s">
        <v>1551</v>
      </c>
    </row>
    <row r="105" spans="2:5" x14ac:dyDescent="0.2">
      <c r="B105" s="801">
        <v>8.6</v>
      </c>
      <c r="C105" s="800" t="s">
        <v>1459</v>
      </c>
      <c r="D105" s="796" t="str">
        <f t="shared" si="6"/>
        <v>8.6 - ECONOMIC DEVELOPMENT AND TOURISM</v>
      </c>
      <c r="E105" s="799" t="s">
        <v>1552</v>
      </c>
    </row>
    <row r="106" spans="2:5" x14ac:dyDescent="0.2">
      <c r="B106" s="801">
        <v>8.6999999999999993</v>
      </c>
      <c r="C106" s="800" t="s">
        <v>1460</v>
      </c>
      <c r="D106" s="796" t="str">
        <f t="shared" si="6"/>
        <v>8.7 - LOCAL ECONOMIC DEVELOPMENT</v>
      </c>
      <c r="E106" s="799" t="s">
        <v>1553</v>
      </c>
    </row>
    <row r="107" spans="2:5" x14ac:dyDescent="0.2">
      <c r="B107" s="801">
        <v>8.8000000000000007</v>
      </c>
      <c r="C107" s="800" t="s">
        <v>1461</v>
      </c>
      <c r="D107" s="796" t="str">
        <f t="shared" si="6"/>
        <v>8.8 - INVESTMENT PROMOTION</v>
      </c>
      <c r="E107" s="799" t="s">
        <v>1554</v>
      </c>
    </row>
    <row r="108" spans="2:5" x14ac:dyDescent="0.2">
      <c r="B108" s="801">
        <v>8.9</v>
      </c>
      <c r="C108" s="800" t="s">
        <v>1462</v>
      </c>
      <c r="D108" s="796" t="str">
        <f t="shared" si="6"/>
        <v>8.9 - LED (ECONOMIC PLANNING)</v>
      </c>
      <c r="E108" s="799" t="s">
        <v>1555</v>
      </c>
    </row>
    <row r="109" spans="2:5" x14ac:dyDescent="0.2">
      <c r="B109" s="801" t="s">
        <v>1027</v>
      </c>
      <c r="C109" s="800" t="s">
        <v>1460</v>
      </c>
      <c r="D109" s="796" t="str">
        <f t="shared" si="6"/>
        <v>8.10 - LOCAL ECONOMIC DEVELOPMENT</v>
      </c>
      <c r="E109" s="799" t="s">
        <v>1556</v>
      </c>
    </row>
    <row r="110" spans="2:5" x14ac:dyDescent="0.2">
      <c r="B110" s="803" t="s">
        <v>810</v>
      </c>
      <c r="C110" s="802" t="s">
        <v>1463</v>
      </c>
      <c r="E110" s="799"/>
    </row>
    <row r="111" spans="2:5" x14ac:dyDescent="0.2">
      <c r="B111" s="801">
        <v>9.1</v>
      </c>
      <c r="C111" s="800" t="s">
        <v>1464</v>
      </c>
      <c r="D111" s="796" t="str">
        <f t="shared" ref="D111:D120" si="7">CONCATENATE(B111, " - ", C111)</f>
        <v>9.1 - BUDGET AND TREASURY OFFICE (ADMINISTRATION)</v>
      </c>
      <c r="E111" s="799" t="s">
        <v>1557</v>
      </c>
    </row>
    <row r="112" spans="2:5" x14ac:dyDescent="0.2">
      <c r="B112" s="801">
        <v>9.1999999999999993</v>
      </c>
      <c r="C112" s="800" t="s">
        <v>1465</v>
      </c>
      <c r="D112" s="796" t="str">
        <f t="shared" si="7"/>
        <v>9.2 - EXPENDITURE MANAGEMENT</v>
      </c>
      <c r="E112" s="799" t="s">
        <v>1558</v>
      </c>
    </row>
    <row r="113" spans="2:5" x14ac:dyDescent="0.2">
      <c r="B113" s="801">
        <v>9.3000000000000007</v>
      </c>
      <c r="C113" s="800" t="s">
        <v>1466</v>
      </c>
      <c r="D113" s="796" t="str">
        <f t="shared" si="7"/>
        <v>9.3 - REVENUE MANAGEMENTAND CUSTOMER CARE</v>
      </c>
      <c r="E113" s="799" t="s">
        <v>1559</v>
      </c>
    </row>
    <row r="114" spans="2:5" x14ac:dyDescent="0.2">
      <c r="B114" s="801">
        <v>9.4</v>
      </c>
      <c r="C114" s="800" t="s">
        <v>1467</v>
      </c>
      <c r="D114" s="796" t="str">
        <f t="shared" si="7"/>
        <v>9.4 - SUPPLY CHAIN MANAGEMENT</v>
      </c>
      <c r="E114" s="799" t="s">
        <v>1560</v>
      </c>
    </row>
    <row r="115" spans="2:5" x14ac:dyDescent="0.2">
      <c r="B115" s="801">
        <v>9.5</v>
      </c>
      <c r="C115" s="800" t="s">
        <v>1468</v>
      </c>
      <c r="D115" s="796" t="str">
        <f t="shared" si="7"/>
        <v>9.5 - ASSETS MANAGEMENT</v>
      </c>
      <c r="E115" s="799" t="s">
        <v>1561</v>
      </c>
    </row>
    <row r="116" spans="2:5" x14ac:dyDescent="0.2">
      <c r="B116" s="801">
        <v>9.6</v>
      </c>
      <c r="C116" s="800" t="s">
        <v>1469</v>
      </c>
      <c r="D116" s="796" t="str">
        <f t="shared" si="7"/>
        <v>9.6 - BUDGET AND FINANCIAL REPORTING</v>
      </c>
      <c r="E116" s="799" t="s">
        <v>1562</v>
      </c>
    </row>
    <row r="117" spans="2:5" x14ac:dyDescent="0.2">
      <c r="B117" s="801">
        <v>9.6999999999999993</v>
      </c>
      <c r="C117" s="800" t="s">
        <v>1470</v>
      </c>
      <c r="D117" s="796" t="str">
        <f t="shared" si="7"/>
        <v>9.7 - BUSINESS AND FINANCIAL PLANNING</v>
      </c>
      <c r="E117" s="799" t="s">
        <v>1563</v>
      </c>
    </row>
    <row r="118" spans="2:5" x14ac:dyDescent="0.2">
      <c r="B118" s="801">
        <v>9.8000000000000007</v>
      </c>
      <c r="C118" s="800" t="s">
        <v>1011</v>
      </c>
      <c r="D118" s="796" t="str">
        <f t="shared" si="7"/>
        <v>9.8 - [Name of sub-vote]</v>
      </c>
      <c r="E118" s="799"/>
    </row>
    <row r="119" spans="2:5" x14ac:dyDescent="0.2">
      <c r="B119" s="801">
        <v>9.9</v>
      </c>
      <c r="C119" s="800" t="s">
        <v>1011</v>
      </c>
      <c r="D119" s="796" t="str">
        <f t="shared" si="7"/>
        <v>9.9 - [Name of sub-vote]</v>
      </c>
      <c r="E119" s="799"/>
    </row>
    <row r="120" spans="2:5" x14ac:dyDescent="0.2">
      <c r="B120" s="801" t="s">
        <v>1026</v>
      </c>
      <c r="C120" s="800" t="s">
        <v>1011</v>
      </c>
      <c r="D120" s="796" t="str">
        <f t="shared" si="7"/>
        <v>9.10 - [Name of sub-vote]</v>
      </c>
      <c r="E120" s="799"/>
    </row>
    <row r="121" spans="2:5" x14ac:dyDescent="0.2">
      <c r="B121" s="803" t="s">
        <v>809</v>
      </c>
      <c r="C121" s="802" t="s">
        <v>1471</v>
      </c>
      <c r="E121" s="799"/>
    </row>
    <row r="122" spans="2:5" x14ac:dyDescent="0.2">
      <c r="B122" s="801">
        <v>10.1</v>
      </c>
      <c r="C122" s="800" t="s">
        <v>1471</v>
      </c>
      <c r="D122" s="796" t="str">
        <f t="shared" ref="D122:D131" si="8">CONCATENATE(B122, " - ", C122)</f>
        <v>10.1 - TRANSPORT SERVICES</v>
      </c>
      <c r="E122" s="799" t="s">
        <v>1564</v>
      </c>
    </row>
    <row r="123" spans="2:5" x14ac:dyDescent="0.2">
      <c r="B123" s="801">
        <v>10.199999999999999</v>
      </c>
      <c r="C123" s="800" t="s">
        <v>1472</v>
      </c>
      <c r="D123" s="796" t="str">
        <f t="shared" si="8"/>
        <v>10.2 - TRANSPORT SERVICES (PLANNING AND OPERATIONS)</v>
      </c>
      <c r="E123" s="799" t="s">
        <v>1565</v>
      </c>
    </row>
    <row r="124" spans="2:5" x14ac:dyDescent="0.2">
      <c r="B124" s="801">
        <v>10.3</v>
      </c>
      <c r="C124" s="800" t="s">
        <v>1473</v>
      </c>
      <c r="D124" s="796" t="str">
        <f t="shared" si="8"/>
        <v xml:space="preserve">10.3 - TRANSPORT SERVICES(INTELLIGENT TRANSPORT SYSTEM MODELLING) </v>
      </c>
      <c r="E124" s="799" t="s">
        <v>1566</v>
      </c>
    </row>
    <row r="125" spans="2:5" x14ac:dyDescent="0.2">
      <c r="B125" s="801">
        <v>10.4</v>
      </c>
      <c r="C125" s="800" t="s">
        <v>1474</v>
      </c>
      <c r="D125" s="796" t="str">
        <f t="shared" si="8"/>
        <v>10.4 - TRANSPORT SERVICES (PUBLIC TRANSPORT REGULATION AND MONITIRING)</v>
      </c>
      <c r="E125" s="799" t="s">
        <v>1567</v>
      </c>
    </row>
    <row r="126" spans="2:5" x14ac:dyDescent="0.2">
      <c r="B126" s="801">
        <v>10.5</v>
      </c>
      <c r="C126" s="800" t="s">
        <v>1475</v>
      </c>
      <c r="D126" s="796" t="str">
        <f t="shared" si="8"/>
        <v>10.5 - ROADS AND STORMWATER (ADMINISTRATION)</v>
      </c>
      <c r="E126" s="799" t="s">
        <v>1568</v>
      </c>
    </row>
    <row r="127" spans="2:5" x14ac:dyDescent="0.2">
      <c r="B127" s="801">
        <v>10.6</v>
      </c>
      <c r="C127" s="800" t="s">
        <v>1476</v>
      </c>
      <c r="D127" s="796" t="str">
        <f t="shared" si="8"/>
        <v xml:space="preserve">10.6 - STORM WATER MANAGEMENT AND TRAFFIC ENGINEERING  </v>
      </c>
      <c r="E127" s="799" t="s">
        <v>1569</v>
      </c>
    </row>
    <row r="128" spans="2:5" x14ac:dyDescent="0.2">
      <c r="B128" s="801">
        <v>10.7</v>
      </c>
      <c r="C128" s="800" t="s">
        <v>1477</v>
      </c>
      <c r="D128" s="796" t="str">
        <f t="shared" si="8"/>
        <v>10.7 - ROADS AND STORMWATER (ROADS AND STREETS)</v>
      </c>
      <c r="E128" s="799" t="s">
        <v>1570</v>
      </c>
    </row>
    <row r="129" spans="2:5" x14ac:dyDescent="0.2">
      <c r="B129" s="801">
        <v>10.8</v>
      </c>
      <c r="C129" s="800" t="s">
        <v>1478</v>
      </c>
      <c r="D129" s="796" t="str">
        <f t="shared" si="8"/>
        <v>10.8 - ROADS AND STORMWATER (STORMWATER)</v>
      </c>
      <c r="E129" s="799" t="s">
        <v>1571</v>
      </c>
    </row>
    <row r="130" spans="2:5" x14ac:dyDescent="0.2">
      <c r="B130" s="801">
        <v>10.9</v>
      </c>
      <c r="C130" s="800" t="s">
        <v>1011</v>
      </c>
      <c r="D130" s="796" t="str">
        <f t="shared" si="8"/>
        <v>10.9 - [Name of sub-vote]</v>
      </c>
      <c r="E130" s="799"/>
    </row>
    <row r="131" spans="2:5" x14ac:dyDescent="0.2">
      <c r="B131" s="801" t="s">
        <v>1025</v>
      </c>
      <c r="C131" s="800" t="s">
        <v>1011</v>
      </c>
      <c r="D131" s="796" t="str">
        <f t="shared" si="8"/>
        <v>10.10 - [Name of sub-vote]</v>
      </c>
      <c r="E131" s="799"/>
    </row>
    <row r="132" spans="2:5" x14ac:dyDescent="0.2">
      <c r="B132" s="803" t="s">
        <v>808</v>
      </c>
      <c r="C132" s="802" t="s">
        <v>1479</v>
      </c>
      <c r="E132" s="799"/>
    </row>
    <row r="133" spans="2:5" x14ac:dyDescent="0.2">
      <c r="B133" s="801">
        <v>11.1</v>
      </c>
      <c r="C133" s="800" t="s">
        <v>1479</v>
      </c>
      <c r="D133" s="796" t="str">
        <f t="shared" ref="D133:D142" si="9">CONCATENATE(B133, " - ", C133)</f>
        <v>11.1 - HUMAN SETTLEMENT</v>
      </c>
      <c r="E133" s="799" t="s">
        <v>1572</v>
      </c>
    </row>
    <row r="134" spans="2:5" x14ac:dyDescent="0.2">
      <c r="B134" s="801">
        <v>11.2</v>
      </c>
      <c r="C134" s="800" t="s">
        <v>1480</v>
      </c>
      <c r="D134" s="796" t="str">
        <f t="shared" si="9"/>
        <v>11.2 - HUMAN SETTLEMENT - HOUSING ADMINISTRATION</v>
      </c>
      <c r="E134" s="799" t="s">
        <v>1573</v>
      </c>
    </row>
    <row r="135" spans="2:5" x14ac:dyDescent="0.2">
      <c r="B135" s="801">
        <v>11.3</v>
      </c>
      <c r="C135" s="800" t="s">
        <v>1481</v>
      </c>
      <c r="D135" s="796" t="str">
        <f t="shared" si="9"/>
        <v>11.3 - HUMAN SETTLEMENT RENTAL HOUSING AND PROGRAMME IMPLEMANTATION</v>
      </c>
      <c r="E135" s="799" t="s">
        <v>1574</v>
      </c>
    </row>
    <row r="136" spans="2:5" x14ac:dyDescent="0.2">
      <c r="B136" s="801">
        <v>11.4</v>
      </c>
      <c r="C136" s="800" t="s">
        <v>1011</v>
      </c>
      <c r="D136" s="796" t="str">
        <f t="shared" si="9"/>
        <v>11.4 - [Name of sub-vote]</v>
      </c>
      <c r="E136" s="799"/>
    </row>
    <row r="137" spans="2:5" x14ac:dyDescent="0.2">
      <c r="B137" s="801">
        <v>11.5</v>
      </c>
      <c r="C137" s="800" t="s">
        <v>1011</v>
      </c>
      <c r="D137" s="796" t="str">
        <f t="shared" si="9"/>
        <v>11.5 - [Name of sub-vote]</v>
      </c>
      <c r="E137" s="799"/>
    </row>
    <row r="138" spans="2:5" x14ac:dyDescent="0.2">
      <c r="B138" s="801">
        <v>11.6</v>
      </c>
      <c r="C138" s="800" t="s">
        <v>1011</v>
      </c>
      <c r="D138" s="796" t="str">
        <f t="shared" si="9"/>
        <v>11.6 - [Name of sub-vote]</v>
      </c>
      <c r="E138" s="799"/>
    </row>
    <row r="139" spans="2:5" x14ac:dyDescent="0.2">
      <c r="B139" s="801">
        <v>11.7</v>
      </c>
      <c r="C139" s="800" t="s">
        <v>1011</v>
      </c>
      <c r="D139" s="796" t="str">
        <f t="shared" si="9"/>
        <v>11.7 - [Name of sub-vote]</v>
      </c>
      <c r="E139" s="799"/>
    </row>
    <row r="140" spans="2:5" x14ac:dyDescent="0.2">
      <c r="B140" s="801">
        <v>11.8</v>
      </c>
      <c r="C140" s="800" t="s">
        <v>1011</v>
      </c>
      <c r="D140" s="796" t="str">
        <f t="shared" si="9"/>
        <v>11.8 - [Name of sub-vote]</v>
      </c>
      <c r="E140" s="799"/>
    </row>
    <row r="141" spans="2:5" x14ac:dyDescent="0.2">
      <c r="B141" s="801">
        <v>11.9</v>
      </c>
      <c r="C141" s="800" t="s">
        <v>1011</v>
      </c>
      <c r="D141" s="796" t="str">
        <f t="shared" si="9"/>
        <v>11.9 - [Name of sub-vote]</v>
      </c>
      <c r="E141" s="799"/>
    </row>
    <row r="142" spans="2:5" x14ac:dyDescent="0.2">
      <c r="B142" s="801" t="s">
        <v>1024</v>
      </c>
      <c r="C142" s="800" t="s">
        <v>1011</v>
      </c>
      <c r="D142" s="796" t="str">
        <f t="shared" si="9"/>
        <v>11.10 - [Name of sub-vote]</v>
      </c>
      <c r="E142" s="799"/>
    </row>
    <row r="143" spans="2:5" x14ac:dyDescent="0.2">
      <c r="B143" s="803" t="s">
        <v>807</v>
      </c>
      <c r="C143" s="802" t="s">
        <v>1023</v>
      </c>
      <c r="E143" s="799"/>
    </row>
    <row r="144" spans="2:5" x14ac:dyDescent="0.2">
      <c r="B144" s="801">
        <v>12.1</v>
      </c>
      <c r="C144" s="800" t="s">
        <v>1011</v>
      </c>
      <c r="D144" s="796" t="str">
        <f t="shared" ref="D144:D153" si="10">CONCATENATE(B144, " - ", C144)</f>
        <v>12.1 - [Name of sub-vote]</v>
      </c>
      <c r="E144" s="799" t="s">
        <v>1022</v>
      </c>
    </row>
    <row r="145" spans="2:5" x14ac:dyDescent="0.2">
      <c r="B145" s="801">
        <v>12.2</v>
      </c>
      <c r="C145" s="800" t="s">
        <v>1011</v>
      </c>
      <c r="D145" s="796" t="str">
        <f t="shared" si="10"/>
        <v>12.2 - [Name of sub-vote]</v>
      </c>
      <c r="E145" s="799"/>
    </row>
    <row r="146" spans="2:5" x14ac:dyDescent="0.2">
      <c r="B146" s="801">
        <v>12.3</v>
      </c>
      <c r="C146" s="800" t="s">
        <v>1011</v>
      </c>
      <c r="D146" s="796" t="str">
        <f t="shared" si="10"/>
        <v>12.3 - [Name of sub-vote]</v>
      </c>
      <c r="E146" s="799"/>
    </row>
    <row r="147" spans="2:5" x14ac:dyDescent="0.2">
      <c r="B147" s="801">
        <v>12.4</v>
      </c>
      <c r="C147" s="800" t="s">
        <v>1011</v>
      </c>
      <c r="D147" s="796" t="str">
        <f t="shared" si="10"/>
        <v>12.4 - [Name of sub-vote]</v>
      </c>
      <c r="E147" s="799"/>
    </row>
    <row r="148" spans="2:5" x14ac:dyDescent="0.2">
      <c r="B148" s="801">
        <v>12.5</v>
      </c>
      <c r="C148" s="800" t="s">
        <v>1011</v>
      </c>
      <c r="D148" s="796" t="str">
        <f t="shared" si="10"/>
        <v>12.5 - [Name of sub-vote]</v>
      </c>
      <c r="E148" s="799"/>
    </row>
    <row r="149" spans="2:5" x14ac:dyDescent="0.2">
      <c r="B149" s="801">
        <v>12.6</v>
      </c>
      <c r="C149" s="800" t="s">
        <v>1011</v>
      </c>
      <c r="D149" s="796" t="str">
        <f t="shared" si="10"/>
        <v>12.6 - [Name of sub-vote]</v>
      </c>
      <c r="E149" s="799"/>
    </row>
    <row r="150" spans="2:5" x14ac:dyDescent="0.2">
      <c r="B150" s="801">
        <v>12.7</v>
      </c>
      <c r="C150" s="800" t="s">
        <v>1011</v>
      </c>
      <c r="D150" s="796" t="str">
        <f t="shared" si="10"/>
        <v>12.7 - [Name of sub-vote]</v>
      </c>
      <c r="E150" s="799"/>
    </row>
    <row r="151" spans="2:5" x14ac:dyDescent="0.2">
      <c r="B151" s="801">
        <v>12.8</v>
      </c>
      <c r="C151" s="800" t="s">
        <v>1011</v>
      </c>
      <c r="D151" s="796" t="str">
        <f t="shared" si="10"/>
        <v>12.8 - [Name of sub-vote]</v>
      </c>
      <c r="E151" s="799"/>
    </row>
    <row r="152" spans="2:5" x14ac:dyDescent="0.2">
      <c r="B152" s="801">
        <v>12.9</v>
      </c>
      <c r="C152" s="800" t="s">
        <v>1011</v>
      </c>
      <c r="D152" s="796" t="str">
        <f t="shared" si="10"/>
        <v>12.9 - [Name of sub-vote]</v>
      </c>
      <c r="E152" s="799"/>
    </row>
    <row r="153" spans="2:5" x14ac:dyDescent="0.2">
      <c r="B153" s="801" t="s">
        <v>1021</v>
      </c>
      <c r="C153" s="800" t="s">
        <v>1011</v>
      </c>
      <c r="D153" s="796" t="str">
        <f t="shared" si="10"/>
        <v>12.10 - [Name of sub-vote]</v>
      </c>
      <c r="E153" s="799"/>
    </row>
    <row r="154" spans="2:5" x14ac:dyDescent="0.2">
      <c r="B154" s="803" t="s">
        <v>806</v>
      </c>
      <c r="C154" s="802" t="s">
        <v>1020</v>
      </c>
      <c r="E154" s="799"/>
    </row>
    <row r="155" spans="2:5" x14ac:dyDescent="0.2">
      <c r="B155" s="801">
        <v>13.1</v>
      </c>
      <c r="C155" s="800" t="s">
        <v>1011</v>
      </c>
      <c r="D155" s="796" t="str">
        <f t="shared" ref="D155:D164" si="11">CONCATENATE(B155, " - ", C155)</f>
        <v>13.1 - [Name of sub-vote]</v>
      </c>
      <c r="E155" s="799" t="s">
        <v>1019</v>
      </c>
    </row>
    <row r="156" spans="2:5" x14ac:dyDescent="0.2">
      <c r="B156" s="801">
        <v>13.2</v>
      </c>
      <c r="C156" s="800" t="s">
        <v>1011</v>
      </c>
      <c r="D156" s="796" t="str">
        <f t="shared" si="11"/>
        <v>13.2 - [Name of sub-vote]</v>
      </c>
      <c r="E156" s="799"/>
    </row>
    <row r="157" spans="2:5" x14ac:dyDescent="0.2">
      <c r="B157" s="801">
        <v>13.3</v>
      </c>
      <c r="C157" s="800" t="s">
        <v>1011</v>
      </c>
      <c r="D157" s="796" t="str">
        <f t="shared" si="11"/>
        <v>13.3 - [Name of sub-vote]</v>
      </c>
      <c r="E157" s="799"/>
    </row>
    <row r="158" spans="2:5" x14ac:dyDescent="0.2">
      <c r="B158" s="801">
        <v>13.4</v>
      </c>
      <c r="C158" s="800" t="s">
        <v>1011</v>
      </c>
      <c r="D158" s="796" t="str">
        <f t="shared" si="11"/>
        <v>13.4 - [Name of sub-vote]</v>
      </c>
      <c r="E158" s="799"/>
    </row>
    <row r="159" spans="2:5" x14ac:dyDescent="0.2">
      <c r="B159" s="801">
        <v>13.5</v>
      </c>
      <c r="C159" s="800" t="s">
        <v>1011</v>
      </c>
      <c r="D159" s="796" t="str">
        <f t="shared" si="11"/>
        <v>13.5 - [Name of sub-vote]</v>
      </c>
      <c r="E159" s="799"/>
    </row>
    <row r="160" spans="2:5" x14ac:dyDescent="0.2">
      <c r="B160" s="801">
        <v>13.6</v>
      </c>
      <c r="C160" s="800" t="s">
        <v>1011</v>
      </c>
      <c r="D160" s="796" t="str">
        <f t="shared" si="11"/>
        <v>13.6 - [Name of sub-vote]</v>
      </c>
      <c r="E160" s="799"/>
    </row>
    <row r="161" spans="2:5" x14ac:dyDescent="0.2">
      <c r="B161" s="801">
        <v>13.7</v>
      </c>
      <c r="C161" s="800" t="s">
        <v>1011</v>
      </c>
      <c r="D161" s="796" t="str">
        <f t="shared" si="11"/>
        <v>13.7 - [Name of sub-vote]</v>
      </c>
      <c r="E161" s="799"/>
    </row>
    <row r="162" spans="2:5" x14ac:dyDescent="0.2">
      <c r="B162" s="801">
        <v>13.8</v>
      </c>
      <c r="C162" s="800" t="s">
        <v>1011</v>
      </c>
      <c r="D162" s="796" t="str">
        <f t="shared" si="11"/>
        <v>13.8 - [Name of sub-vote]</v>
      </c>
      <c r="E162" s="799"/>
    </row>
    <row r="163" spans="2:5" x14ac:dyDescent="0.2">
      <c r="B163" s="801">
        <v>13.9</v>
      </c>
      <c r="C163" s="800" t="s">
        <v>1011</v>
      </c>
      <c r="D163" s="796" t="str">
        <f t="shared" si="11"/>
        <v>13.9 - [Name of sub-vote]</v>
      </c>
      <c r="E163" s="799"/>
    </row>
    <row r="164" spans="2:5" x14ac:dyDescent="0.2">
      <c r="B164" s="801" t="s">
        <v>1018</v>
      </c>
      <c r="C164" s="800" t="s">
        <v>1011</v>
      </c>
      <c r="D164" s="796" t="str">
        <f t="shared" si="11"/>
        <v>13.10 - [Name of sub-vote]</v>
      </c>
      <c r="E164" s="799"/>
    </row>
    <row r="165" spans="2:5" x14ac:dyDescent="0.2">
      <c r="B165" s="803" t="s">
        <v>805</v>
      </c>
      <c r="C165" s="802" t="s">
        <v>1017</v>
      </c>
      <c r="E165" s="799"/>
    </row>
    <row r="166" spans="2:5" x14ac:dyDescent="0.2">
      <c r="B166" s="801">
        <v>14.1</v>
      </c>
      <c r="C166" s="800" t="s">
        <v>1011</v>
      </c>
      <c r="D166" s="796" t="str">
        <f t="shared" ref="D166:D175" si="12">CONCATENATE(B166, " - ", C166)</f>
        <v>14.1 - [Name of sub-vote]</v>
      </c>
      <c r="E166" s="799" t="s">
        <v>1016</v>
      </c>
    </row>
    <row r="167" spans="2:5" x14ac:dyDescent="0.2">
      <c r="B167" s="801">
        <v>14.2</v>
      </c>
      <c r="C167" s="800" t="s">
        <v>1011</v>
      </c>
      <c r="D167" s="796" t="str">
        <f t="shared" si="12"/>
        <v>14.2 - [Name of sub-vote]</v>
      </c>
      <c r="E167" s="799"/>
    </row>
    <row r="168" spans="2:5" x14ac:dyDescent="0.2">
      <c r="B168" s="801">
        <v>14.3</v>
      </c>
      <c r="C168" s="800" t="s">
        <v>1011</v>
      </c>
      <c r="D168" s="796" t="str">
        <f t="shared" si="12"/>
        <v>14.3 - [Name of sub-vote]</v>
      </c>
      <c r="E168" s="799"/>
    </row>
    <row r="169" spans="2:5" x14ac:dyDescent="0.2">
      <c r="B169" s="801">
        <v>14.4</v>
      </c>
      <c r="C169" s="800" t="s">
        <v>1011</v>
      </c>
      <c r="D169" s="796" t="str">
        <f t="shared" si="12"/>
        <v>14.4 - [Name of sub-vote]</v>
      </c>
      <c r="E169" s="799"/>
    </row>
    <row r="170" spans="2:5" x14ac:dyDescent="0.2">
      <c r="B170" s="801">
        <v>14.5</v>
      </c>
      <c r="C170" s="800" t="s">
        <v>1011</v>
      </c>
      <c r="D170" s="796" t="str">
        <f t="shared" si="12"/>
        <v>14.5 - [Name of sub-vote]</v>
      </c>
      <c r="E170" s="799"/>
    </row>
    <row r="171" spans="2:5" x14ac:dyDescent="0.2">
      <c r="B171" s="801">
        <v>14.6</v>
      </c>
      <c r="C171" s="800" t="s">
        <v>1011</v>
      </c>
      <c r="D171" s="796" t="str">
        <f t="shared" si="12"/>
        <v>14.6 - [Name of sub-vote]</v>
      </c>
      <c r="E171" s="799"/>
    </row>
    <row r="172" spans="2:5" x14ac:dyDescent="0.2">
      <c r="B172" s="801">
        <v>14.7</v>
      </c>
      <c r="C172" s="800" t="s">
        <v>1011</v>
      </c>
      <c r="D172" s="796" t="str">
        <f t="shared" si="12"/>
        <v>14.7 - [Name of sub-vote]</v>
      </c>
      <c r="E172" s="799"/>
    </row>
    <row r="173" spans="2:5" x14ac:dyDescent="0.2">
      <c r="B173" s="801">
        <v>14.8</v>
      </c>
      <c r="C173" s="800" t="s">
        <v>1011</v>
      </c>
      <c r="D173" s="796" t="str">
        <f t="shared" si="12"/>
        <v>14.8 - [Name of sub-vote]</v>
      </c>
      <c r="E173" s="799"/>
    </row>
    <row r="174" spans="2:5" x14ac:dyDescent="0.2">
      <c r="B174" s="801">
        <v>14.9</v>
      </c>
      <c r="C174" s="800" t="s">
        <v>1011</v>
      </c>
      <c r="D174" s="796" t="str">
        <f t="shared" si="12"/>
        <v>14.9 - [Name of sub-vote]</v>
      </c>
      <c r="E174" s="799"/>
    </row>
    <row r="175" spans="2:5" x14ac:dyDescent="0.2">
      <c r="B175" s="801" t="s">
        <v>1015</v>
      </c>
      <c r="C175" s="800" t="s">
        <v>1011</v>
      </c>
      <c r="D175" s="796" t="str">
        <f t="shared" si="12"/>
        <v>14.10 - [Name of sub-vote]</v>
      </c>
      <c r="E175" s="799"/>
    </row>
    <row r="176" spans="2:5" x14ac:dyDescent="0.2">
      <c r="B176" s="803" t="s">
        <v>804</v>
      </c>
      <c r="C176" s="802" t="s">
        <v>1014</v>
      </c>
      <c r="E176" s="799"/>
    </row>
    <row r="177" spans="2:5" x14ac:dyDescent="0.2">
      <c r="B177" s="801">
        <v>15.1</v>
      </c>
      <c r="C177" s="800" t="s">
        <v>1011</v>
      </c>
      <c r="D177" s="796" t="str">
        <f t="shared" ref="D177:D186" si="13">CONCATENATE(B177, " - ", C177)</f>
        <v>15.1 - [Name of sub-vote]</v>
      </c>
      <c r="E177" s="799" t="s">
        <v>1013</v>
      </c>
    </row>
    <row r="178" spans="2:5" x14ac:dyDescent="0.2">
      <c r="B178" s="801">
        <v>15.2</v>
      </c>
      <c r="C178" s="800" t="s">
        <v>1011</v>
      </c>
      <c r="D178" s="796" t="str">
        <f t="shared" si="13"/>
        <v>15.2 - [Name of sub-vote]</v>
      </c>
      <c r="E178" s="799"/>
    </row>
    <row r="179" spans="2:5" x14ac:dyDescent="0.2">
      <c r="B179" s="801">
        <v>15.3</v>
      </c>
      <c r="C179" s="800" t="s">
        <v>1011</v>
      </c>
      <c r="D179" s="796" t="str">
        <f t="shared" si="13"/>
        <v>15.3 - [Name of sub-vote]</v>
      </c>
      <c r="E179" s="799"/>
    </row>
    <row r="180" spans="2:5" x14ac:dyDescent="0.2">
      <c r="B180" s="801">
        <v>15.4</v>
      </c>
      <c r="C180" s="800" t="s">
        <v>1011</v>
      </c>
      <c r="D180" s="796" t="str">
        <f t="shared" si="13"/>
        <v>15.4 - [Name of sub-vote]</v>
      </c>
      <c r="E180" s="799"/>
    </row>
    <row r="181" spans="2:5" x14ac:dyDescent="0.2">
      <c r="B181" s="801">
        <v>15.5</v>
      </c>
      <c r="C181" s="800" t="s">
        <v>1011</v>
      </c>
      <c r="D181" s="796" t="str">
        <f t="shared" si="13"/>
        <v>15.5 - [Name of sub-vote]</v>
      </c>
      <c r="E181" s="799"/>
    </row>
    <row r="182" spans="2:5" x14ac:dyDescent="0.2">
      <c r="B182" s="801">
        <v>15.6</v>
      </c>
      <c r="C182" s="800" t="s">
        <v>1011</v>
      </c>
      <c r="D182" s="796" t="str">
        <f t="shared" si="13"/>
        <v>15.6 - [Name of sub-vote]</v>
      </c>
      <c r="E182" s="799"/>
    </row>
    <row r="183" spans="2:5" x14ac:dyDescent="0.2">
      <c r="B183" s="801">
        <v>15.7</v>
      </c>
      <c r="C183" s="800" t="s">
        <v>1011</v>
      </c>
      <c r="D183" s="796" t="str">
        <f t="shared" si="13"/>
        <v>15.7 - [Name of sub-vote]</v>
      </c>
      <c r="E183" s="799"/>
    </row>
    <row r="184" spans="2:5" x14ac:dyDescent="0.2">
      <c r="B184" s="801">
        <v>15.8</v>
      </c>
      <c r="C184" s="800" t="s">
        <v>1011</v>
      </c>
      <c r="D184" s="796" t="str">
        <f t="shared" si="13"/>
        <v>15.8 - [Name of sub-vote]</v>
      </c>
      <c r="E184" s="799"/>
    </row>
    <row r="185" spans="2:5" x14ac:dyDescent="0.2">
      <c r="B185" s="801">
        <v>15.9</v>
      </c>
      <c r="C185" s="800" t="s">
        <v>1011</v>
      </c>
      <c r="D185" s="796" t="str">
        <f t="shared" si="13"/>
        <v>15.9 - [Name of sub-vote]</v>
      </c>
      <c r="E185" s="799"/>
    </row>
    <row r="186" spans="2:5" x14ac:dyDescent="0.2">
      <c r="B186" s="801" t="s">
        <v>1012</v>
      </c>
      <c r="C186" s="800" t="s">
        <v>1011</v>
      </c>
      <c r="D186" s="796" t="str">
        <f t="shared" si="13"/>
        <v>15.10 - [Name of sub-vote]</v>
      </c>
      <c r="E186" s="799"/>
    </row>
  </sheetData>
  <dataValidations count="15">
    <dataValidation type="list" allowBlank="1" showInputMessage="1" showErrorMessage="1" sqref="E177:E186" xr:uid="{00000000-0002-0000-0400-000000000000}">
      <formula1>Vote15</formula1>
    </dataValidation>
    <dataValidation type="list" allowBlank="1" showInputMessage="1" showErrorMessage="1" sqref="E166:E175" xr:uid="{00000000-0002-0000-0400-000001000000}">
      <formula1>Vote14</formula1>
    </dataValidation>
    <dataValidation type="list" allowBlank="1" showInputMessage="1" showErrorMessage="1" sqref="E155:E164" xr:uid="{00000000-0002-0000-0400-000002000000}">
      <formula1>Vote13</formula1>
    </dataValidation>
    <dataValidation type="list" allowBlank="1" showInputMessage="1" showErrorMessage="1" sqref="E144:E153" xr:uid="{00000000-0002-0000-0400-000003000000}">
      <formula1>Vote12</formula1>
    </dataValidation>
    <dataValidation type="list" allowBlank="1" showInputMessage="1" showErrorMessage="1" sqref="E133:E142" xr:uid="{00000000-0002-0000-0400-000004000000}">
      <formula1>Vote11</formula1>
    </dataValidation>
    <dataValidation type="list" allowBlank="1" showInputMessage="1" showErrorMessage="1" sqref="E122:E131" xr:uid="{00000000-0002-0000-0400-000005000000}">
      <formula1>Vote10</formula1>
    </dataValidation>
    <dataValidation type="list" allowBlank="1" showInputMessage="1" showErrorMessage="1" sqref="E111:E120" xr:uid="{00000000-0002-0000-0400-000006000000}">
      <formula1>Vote9</formula1>
    </dataValidation>
    <dataValidation type="list" allowBlank="1" showInputMessage="1" showErrorMessage="1" sqref="E100:E109" xr:uid="{00000000-0002-0000-0400-000007000000}">
      <formula1>Vote8</formula1>
    </dataValidation>
    <dataValidation type="list" allowBlank="1" showInputMessage="1" showErrorMessage="1" sqref="E80:E98" xr:uid="{00000000-0002-0000-0400-000008000000}">
      <formula1>Vote7</formula1>
    </dataValidation>
    <dataValidation type="list" allowBlank="1" showInputMessage="1" showErrorMessage="1" sqref="E64:E78" xr:uid="{00000000-0002-0000-0400-000009000000}">
      <formula1>Vote6</formula1>
    </dataValidation>
    <dataValidation type="list" allowBlank="1" showInputMessage="1" showErrorMessage="1" sqref="E47:E62"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workbookViewId="0">
      <selection activeCell="C13" sqref="C13:D13"/>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LIM354 Polokwane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LIM354 Polokwane</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t="s">
        <v>539</v>
      </c>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LIM LIMPOPO</v>
      </c>
      <c r="C8" s="1025"/>
      <c r="D8" s="1025"/>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t="s">
        <v>1591</v>
      </c>
      <c r="C10" s="845"/>
      <c r="D10" s="846"/>
      <c r="F10" s="823"/>
      <c r="G10" s="822"/>
      <c r="H10" s="823"/>
      <c r="I10" s="823"/>
      <c r="J10" s="822"/>
      <c r="K10" s="824"/>
      <c r="L10" s="824"/>
      <c r="M10" s="824"/>
      <c r="N10" s="824"/>
      <c r="O10" s="824"/>
      <c r="P10" s="825"/>
      <c r="Q10" s="826"/>
    </row>
    <row r="11" spans="1:17" ht="13.5" customHeight="1" x14ac:dyDescent="0.2">
      <c r="A11" s="847"/>
      <c r="B11" s="848"/>
      <c r="C11" s="1026"/>
      <c r="D11" s="1027"/>
      <c r="F11" s="823"/>
      <c r="G11" s="822"/>
      <c r="H11" s="823"/>
      <c r="I11" s="823"/>
      <c r="J11" s="822"/>
      <c r="K11" s="824"/>
      <c r="L11" s="824"/>
      <c r="M11" s="824"/>
      <c r="N11" s="824"/>
      <c r="O11" s="824"/>
      <c r="P11" s="825"/>
      <c r="Q11" s="829"/>
    </row>
    <row r="12" spans="1:17" ht="13.5" customHeight="1" x14ac:dyDescent="0.2">
      <c r="A12" s="843" t="s">
        <v>344</v>
      </c>
      <c r="B12" s="849"/>
      <c r="C12" s="850"/>
      <c r="D12" s="850"/>
      <c r="F12" s="823"/>
      <c r="G12" s="823"/>
      <c r="H12" s="823"/>
      <c r="I12" s="823"/>
      <c r="J12" s="822"/>
      <c r="K12" s="824"/>
      <c r="L12" s="824"/>
      <c r="M12" s="824"/>
      <c r="N12" s="824"/>
      <c r="O12" s="824"/>
      <c r="P12" s="825"/>
      <c r="Q12" s="826"/>
    </row>
    <row r="13" spans="1:17" ht="13.5" customHeight="1" x14ac:dyDescent="0.2">
      <c r="A13" s="851"/>
      <c r="B13" s="852"/>
      <c r="C13" s="1028"/>
      <c r="D13" s="1028"/>
      <c r="F13" s="823"/>
      <c r="G13" s="823"/>
      <c r="H13" s="823"/>
      <c r="I13" s="853"/>
      <c r="J13" s="823"/>
      <c r="K13" s="824"/>
      <c r="L13" s="824"/>
      <c r="M13" s="824"/>
      <c r="N13" s="824"/>
      <c r="O13" s="824"/>
      <c r="P13" s="825"/>
    </row>
    <row r="14" spans="1:17" ht="13.5" customHeight="1" thickBot="1" x14ac:dyDescent="0.25">
      <c r="A14" s="1029" t="s">
        <v>345</v>
      </c>
      <c r="B14" s="1030"/>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v>111</v>
      </c>
      <c r="C16" s="812"/>
      <c r="D16" s="812"/>
      <c r="E16" s="834"/>
      <c r="F16" s="854"/>
      <c r="G16" s="853"/>
      <c r="H16" s="854"/>
      <c r="I16" s="854"/>
      <c r="J16" s="823"/>
      <c r="K16" s="824"/>
      <c r="L16" s="824"/>
      <c r="M16" s="824"/>
      <c r="N16" s="824"/>
      <c r="O16" s="824"/>
      <c r="P16" s="825"/>
      <c r="Q16" s="813"/>
    </row>
    <row r="17" spans="1:17" ht="13.5" customHeight="1" x14ac:dyDescent="0.2">
      <c r="A17" s="857" t="s">
        <v>348</v>
      </c>
      <c r="B17" s="858" t="s">
        <v>1590</v>
      </c>
      <c r="F17" s="854"/>
      <c r="G17" s="854"/>
      <c r="H17" s="854"/>
      <c r="I17" s="854"/>
      <c r="J17" s="853"/>
      <c r="K17" s="824"/>
      <c r="L17" s="824"/>
      <c r="M17" s="824"/>
      <c r="N17" s="824"/>
      <c r="O17" s="824"/>
      <c r="P17" s="825"/>
    </row>
    <row r="18" spans="1:17" ht="13.5" customHeight="1" x14ac:dyDescent="0.2">
      <c r="A18" s="859" t="s">
        <v>349</v>
      </c>
      <c r="B18" s="860">
        <v>700</v>
      </c>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t="s">
        <v>1592</v>
      </c>
      <c r="F21" s="854"/>
      <c r="G21" s="854"/>
      <c r="H21" s="854"/>
      <c r="I21" s="854"/>
      <c r="J21" s="854"/>
      <c r="K21" s="824"/>
      <c r="L21" s="824"/>
      <c r="M21" s="824"/>
      <c r="N21" s="824"/>
      <c r="O21" s="824"/>
      <c r="P21" s="825"/>
    </row>
    <row r="22" spans="1:17" ht="13.5" customHeight="1" x14ac:dyDescent="0.2">
      <c r="A22" s="857" t="s">
        <v>352</v>
      </c>
      <c r="B22" s="858" t="s">
        <v>1593</v>
      </c>
      <c r="F22" s="854"/>
      <c r="G22" s="854"/>
      <c r="H22" s="854"/>
      <c r="I22" s="854"/>
      <c r="J22" s="854"/>
      <c r="K22" s="824"/>
      <c r="L22" s="824"/>
      <c r="M22" s="824"/>
      <c r="N22" s="824"/>
      <c r="O22" s="824"/>
      <c r="P22" s="825"/>
    </row>
    <row r="23" spans="1:17" ht="13.5" customHeight="1" x14ac:dyDescent="0.2">
      <c r="A23" s="857" t="s">
        <v>348</v>
      </c>
      <c r="B23" s="858" t="s">
        <v>1590</v>
      </c>
      <c r="F23" s="854"/>
      <c r="G23" s="854"/>
      <c r="H23" s="854"/>
      <c r="I23" s="854"/>
      <c r="J23" s="854"/>
      <c r="K23" s="824"/>
      <c r="L23" s="824"/>
      <c r="M23" s="824"/>
      <c r="N23" s="824"/>
      <c r="O23" s="824"/>
      <c r="P23" s="825"/>
    </row>
    <row r="24" spans="1:17" ht="13.5" customHeight="1" x14ac:dyDescent="0.2">
      <c r="A24" s="859" t="s">
        <v>349</v>
      </c>
      <c r="B24" s="860">
        <v>700</v>
      </c>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c r="F27" s="854"/>
      <c r="G27" s="854"/>
      <c r="H27" s="854"/>
      <c r="I27" s="854"/>
      <c r="J27" s="854"/>
      <c r="K27" s="824"/>
      <c r="L27" s="824"/>
      <c r="M27" s="824"/>
      <c r="N27" s="824"/>
      <c r="O27" s="824"/>
      <c r="P27" s="825"/>
    </row>
    <row r="28" spans="1:17" ht="13.5" customHeight="1" x14ac:dyDescent="0.2">
      <c r="A28" s="859" t="s">
        <v>355</v>
      </c>
      <c r="B28" s="867"/>
      <c r="J28" s="854"/>
      <c r="K28" s="854"/>
      <c r="L28" s="854"/>
      <c r="M28" s="854"/>
      <c r="N28" s="854"/>
      <c r="O28" s="854"/>
      <c r="P28" s="825"/>
    </row>
    <row r="29" spans="1:17" ht="13.5" customHeight="1" x14ac:dyDescent="0.2">
      <c r="A29" s="861"/>
      <c r="B29" s="868"/>
      <c r="P29" s="825"/>
    </row>
    <row r="30" spans="1:17" ht="13.5" customHeight="1" thickBot="1" x14ac:dyDescent="0.25">
      <c r="A30" s="1031" t="s">
        <v>356</v>
      </c>
      <c r="B30" s="1032"/>
      <c r="C30" s="1033"/>
      <c r="D30" s="1034"/>
      <c r="P30" s="825"/>
    </row>
    <row r="31" spans="1:17" ht="13.5" customHeight="1" thickTop="1" x14ac:dyDescent="0.2">
      <c r="A31" s="863" t="s">
        <v>357</v>
      </c>
      <c r="B31" s="864"/>
      <c r="C31" s="1035" t="s">
        <v>358</v>
      </c>
      <c r="D31" s="1039"/>
      <c r="P31" s="825"/>
    </row>
    <row r="32" spans="1:17" s="922" customFormat="1" ht="13.5" customHeight="1" x14ac:dyDescent="0.2">
      <c r="A32" s="917" t="s">
        <v>1107</v>
      </c>
      <c r="B32" s="918" t="s">
        <v>1594</v>
      </c>
      <c r="C32" s="917" t="s">
        <v>1107</v>
      </c>
      <c r="D32" s="918" t="s">
        <v>1601</v>
      </c>
      <c r="E32" s="919"/>
      <c r="F32" s="920"/>
      <c r="G32" s="920"/>
      <c r="H32" s="920"/>
      <c r="I32" s="646"/>
      <c r="J32" s="646"/>
      <c r="K32" s="646"/>
      <c r="L32" s="646"/>
      <c r="M32" s="646"/>
      <c r="N32" s="646"/>
      <c r="O32" s="646"/>
      <c r="P32" s="921"/>
      <c r="Q32" s="646"/>
    </row>
    <row r="33" spans="1:17" s="922" customFormat="1" ht="13.5" customHeight="1" x14ac:dyDescent="0.2">
      <c r="A33" s="917" t="s">
        <v>1108</v>
      </c>
      <c r="B33" s="918" t="s">
        <v>1595</v>
      </c>
      <c r="C33" s="917" t="s">
        <v>1108</v>
      </c>
      <c r="D33" s="918" t="s">
        <v>1595</v>
      </c>
      <c r="E33" s="919"/>
      <c r="F33" s="920"/>
      <c r="G33" s="920"/>
      <c r="H33" s="920"/>
      <c r="I33" s="646"/>
      <c r="J33" s="646"/>
      <c r="K33" s="646"/>
      <c r="L33" s="646"/>
      <c r="M33" s="646"/>
      <c r="N33" s="646"/>
      <c r="O33" s="646"/>
      <c r="P33" s="921"/>
      <c r="Q33" s="646"/>
    </row>
    <row r="34" spans="1:17" ht="13.5" customHeight="1" x14ac:dyDescent="0.2">
      <c r="A34" s="857" t="s">
        <v>359</v>
      </c>
      <c r="B34" s="869" t="s">
        <v>1596</v>
      </c>
      <c r="C34" s="857" t="s">
        <v>359</v>
      </c>
      <c r="D34" s="869" t="s">
        <v>1602</v>
      </c>
      <c r="P34" s="825"/>
    </row>
    <row r="35" spans="1:17" ht="13.5" customHeight="1" x14ac:dyDescent="0.2">
      <c r="A35" s="857" t="s">
        <v>354</v>
      </c>
      <c r="B35" s="869" t="s">
        <v>1597</v>
      </c>
      <c r="C35" s="857" t="s">
        <v>354</v>
      </c>
      <c r="D35" s="869" t="s">
        <v>1603</v>
      </c>
      <c r="F35" s="822"/>
      <c r="G35" s="824"/>
      <c r="P35" s="825"/>
    </row>
    <row r="36" spans="1:17" ht="13.5" customHeight="1" x14ac:dyDescent="0.2">
      <c r="A36" s="857" t="s">
        <v>360</v>
      </c>
      <c r="B36" s="869" t="s">
        <v>1598</v>
      </c>
      <c r="C36" s="857" t="s">
        <v>360</v>
      </c>
      <c r="D36" s="869" t="s">
        <v>1604</v>
      </c>
      <c r="F36" s="822"/>
      <c r="G36" s="824"/>
      <c r="P36" s="825"/>
    </row>
    <row r="37" spans="1:17" ht="13.5" customHeight="1" x14ac:dyDescent="0.2">
      <c r="A37" s="857" t="s">
        <v>355</v>
      </c>
      <c r="B37" s="869" t="s">
        <v>1599</v>
      </c>
      <c r="C37" s="857" t="s">
        <v>355</v>
      </c>
      <c r="D37" s="869" t="s">
        <v>1605</v>
      </c>
      <c r="F37" s="823"/>
      <c r="G37" s="824"/>
      <c r="P37" s="825"/>
    </row>
    <row r="38" spans="1:17" ht="13.5" customHeight="1" x14ac:dyDescent="0.2">
      <c r="A38" s="857" t="s">
        <v>361</v>
      </c>
      <c r="B38" s="869" t="s">
        <v>1600</v>
      </c>
      <c r="C38" s="857" t="s">
        <v>361</v>
      </c>
      <c r="D38" s="869" t="s">
        <v>1606</v>
      </c>
      <c r="F38" s="823"/>
      <c r="G38" s="824"/>
      <c r="P38" s="825"/>
    </row>
    <row r="39" spans="1:17" ht="13.5" customHeight="1" x14ac:dyDescent="0.2">
      <c r="A39" s="857"/>
      <c r="B39" s="869"/>
      <c r="C39" s="857"/>
      <c r="D39" s="869"/>
      <c r="F39" s="823"/>
      <c r="G39" s="824"/>
      <c r="P39" s="825"/>
    </row>
    <row r="40" spans="1:17" ht="13.5" customHeight="1" x14ac:dyDescent="0.2">
      <c r="A40" s="1037" t="s">
        <v>362</v>
      </c>
      <c r="B40" s="1040"/>
      <c r="C40" s="1037" t="s">
        <v>363</v>
      </c>
      <c r="D40" s="1040"/>
      <c r="F40" s="823"/>
      <c r="G40" s="824"/>
      <c r="P40" s="825"/>
    </row>
    <row r="41" spans="1:17" s="922" customFormat="1" ht="13.5" customHeight="1" x14ac:dyDescent="0.2">
      <c r="A41" s="917" t="s">
        <v>1107</v>
      </c>
      <c r="B41" s="918" t="s">
        <v>1607</v>
      </c>
      <c r="C41" s="917" t="s">
        <v>1107</v>
      </c>
      <c r="D41" s="918" t="s">
        <v>1613</v>
      </c>
      <c r="E41" s="919"/>
      <c r="F41" s="920"/>
      <c r="G41" s="920"/>
      <c r="H41" s="920"/>
      <c r="I41" s="646"/>
      <c r="J41" s="646"/>
      <c r="K41" s="646"/>
      <c r="L41" s="646"/>
      <c r="M41" s="646"/>
      <c r="N41" s="646"/>
      <c r="O41" s="646"/>
      <c r="P41" s="921"/>
      <c r="Q41" s="646"/>
    </row>
    <row r="42" spans="1:17" s="922" customFormat="1" ht="13.5" customHeight="1" x14ac:dyDescent="0.2">
      <c r="A42" s="917" t="s">
        <v>1108</v>
      </c>
      <c r="B42" s="918" t="s">
        <v>1608</v>
      </c>
      <c r="C42" s="917" t="s">
        <v>1108</v>
      </c>
      <c r="D42" s="918" t="s">
        <v>1608</v>
      </c>
      <c r="E42" s="919"/>
      <c r="F42" s="920"/>
      <c r="G42" s="920"/>
      <c r="H42" s="920"/>
      <c r="I42" s="646"/>
      <c r="J42" s="646"/>
      <c r="K42" s="646"/>
      <c r="L42" s="646"/>
      <c r="M42" s="646"/>
      <c r="N42" s="646"/>
      <c r="O42" s="646"/>
      <c r="P42" s="921"/>
      <c r="Q42" s="646"/>
    </row>
    <row r="43" spans="1:17" ht="13.5" customHeight="1" x14ac:dyDescent="0.2">
      <c r="A43" s="857" t="s">
        <v>359</v>
      </c>
      <c r="B43" s="858" t="s">
        <v>1609</v>
      </c>
      <c r="C43" s="857" t="s">
        <v>359</v>
      </c>
      <c r="D43" s="858" t="s">
        <v>1614</v>
      </c>
      <c r="F43" s="823"/>
      <c r="G43" s="824"/>
      <c r="P43" s="825"/>
    </row>
    <row r="44" spans="1:17" ht="13.5" customHeight="1" x14ac:dyDescent="0.2">
      <c r="A44" s="857" t="s">
        <v>354</v>
      </c>
      <c r="B44" s="858" t="s">
        <v>1610</v>
      </c>
      <c r="C44" s="857" t="s">
        <v>354</v>
      </c>
      <c r="D44" s="858" t="s">
        <v>1615</v>
      </c>
      <c r="F44" s="853"/>
      <c r="G44" s="824"/>
      <c r="P44" s="825"/>
    </row>
    <row r="45" spans="1:17" ht="13.5" customHeight="1" x14ac:dyDescent="0.2">
      <c r="A45" s="857" t="s">
        <v>360</v>
      </c>
      <c r="B45" s="858" t="s">
        <v>1611</v>
      </c>
      <c r="C45" s="857" t="s">
        <v>360</v>
      </c>
      <c r="D45" s="858" t="s">
        <v>1616</v>
      </c>
      <c r="F45" s="854"/>
      <c r="G45" s="824"/>
      <c r="P45" s="825"/>
    </row>
    <row r="46" spans="1:17" ht="13.5" customHeight="1" x14ac:dyDescent="0.2">
      <c r="A46" s="857" t="s">
        <v>355</v>
      </c>
      <c r="B46" s="858" t="s">
        <v>1599</v>
      </c>
      <c r="C46" s="857" t="s">
        <v>355</v>
      </c>
      <c r="D46" s="858" t="s">
        <v>1599</v>
      </c>
      <c r="F46" s="854"/>
      <c r="G46" s="824"/>
      <c r="P46" s="825"/>
    </row>
    <row r="47" spans="1:17" ht="13.5" customHeight="1" x14ac:dyDescent="0.2">
      <c r="A47" s="870" t="s">
        <v>361</v>
      </c>
      <c r="B47" s="871" t="s">
        <v>1612</v>
      </c>
      <c r="C47" s="870" t="s">
        <v>361</v>
      </c>
      <c r="D47" s="871" t="s">
        <v>1617</v>
      </c>
      <c r="F47" s="854"/>
      <c r="G47" s="824"/>
      <c r="P47" s="825"/>
    </row>
    <row r="48" spans="1:17" ht="13.5" customHeight="1" x14ac:dyDescent="0.2">
      <c r="A48" s="861"/>
      <c r="B48" s="868"/>
      <c r="C48" s="861"/>
      <c r="D48" s="868"/>
      <c r="F48" s="854"/>
      <c r="G48" s="824"/>
      <c r="P48" s="825"/>
    </row>
    <row r="49" spans="1:17" ht="13.5" customHeight="1" x14ac:dyDescent="0.2">
      <c r="A49" s="1037" t="s">
        <v>364</v>
      </c>
      <c r="B49" s="1040"/>
      <c r="C49" s="1037" t="s">
        <v>365</v>
      </c>
      <c r="D49" s="1040"/>
      <c r="F49" s="854"/>
      <c r="G49" s="824"/>
      <c r="P49" s="825"/>
    </row>
    <row r="50" spans="1:17" s="922" customFormat="1" ht="13.5" customHeight="1" x14ac:dyDescent="0.2">
      <c r="A50" s="917" t="s">
        <v>1107</v>
      </c>
      <c r="B50" s="918"/>
      <c r="C50" s="917" t="s">
        <v>1107</v>
      </c>
      <c r="D50" s="918"/>
      <c r="E50" s="919"/>
      <c r="F50" s="920"/>
      <c r="G50" s="920"/>
      <c r="H50" s="920"/>
      <c r="I50" s="646"/>
      <c r="J50" s="646"/>
      <c r="K50" s="646"/>
      <c r="L50" s="646"/>
      <c r="M50" s="646"/>
      <c r="N50" s="646"/>
      <c r="O50" s="646"/>
      <c r="P50" s="921"/>
      <c r="Q50" s="646"/>
    </row>
    <row r="51" spans="1:17" s="922" customFormat="1" ht="13.5" customHeight="1" x14ac:dyDescent="0.2">
      <c r="A51" s="917" t="s">
        <v>1108</v>
      </c>
      <c r="B51" s="918"/>
      <c r="C51" s="917" t="s">
        <v>1108</v>
      </c>
      <c r="D51" s="918"/>
      <c r="E51" s="919"/>
      <c r="F51" s="920"/>
      <c r="G51" s="920"/>
      <c r="H51" s="920"/>
      <c r="I51" s="646"/>
      <c r="J51" s="646"/>
      <c r="K51" s="646"/>
      <c r="L51" s="646"/>
      <c r="M51" s="646"/>
      <c r="N51" s="646"/>
      <c r="O51" s="646"/>
      <c r="P51" s="921"/>
      <c r="Q51" s="646"/>
    </row>
    <row r="52" spans="1:17" ht="13.5" customHeight="1" x14ac:dyDescent="0.2">
      <c r="A52" s="857" t="s">
        <v>359</v>
      </c>
      <c r="B52" s="858"/>
      <c r="C52" s="857" t="s">
        <v>359</v>
      </c>
      <c r="D52" s="858"/>
      <c r="F52" s="854"/>
      <c r="G52" s="824"/>
      <c r="P52" s="825"/>
    </row>
    <row r="53" spans="1:17" ht="13.5" customHeight="1" x14ac:dyDescent="0.2">
      <c r="A53" s="857" t="s">
        <v>354</v>
      </c>
      <c r="B53" s="858"/>
      <c r="C53" s="857" t="s">
        <v>354</v>
      </c>
      <c r="D53" s="858"/>
      <c r="F53" s="854"/>
      <c r="G53" s="824"/>
      <c r="P53" s="825"/>
    </row>
    <row r="54" spans="1:17" ht="13.5" customHeight="1" x14ac:dyDescent="0.2">
      <c r="A54" s="857" t="s">
        <v>360</v>
      </c>
      <c r="B54" s="858"/>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41" t="s">
        <v>366</v>
      </c>
      <c r="B58" s="1042"/>
      <c r="C58" s="1033"/>
      <c r="D58" s="1043"/>
      <c r="E58" s="812"/>
      <c r="F58" s="854"/>
      <c r="G58" s="824"/>
      <c r="P58" s="825"/>
    </row>
    <row r="59" spans="1:17" s="874" customFormat="1" ht="13.5" customHeight="1" thickTop="1" x14ac:dyDescent="0.2">
      <c r="A59" s="863" t="s">
        <v>367</v>
      </c>
      <c r="B59" s="864"/>
      <c r="C59" s="1035" t="s">
        <v>368</v>
      </c>
      <c r="D59" s="1036"/>
      <c r="E59" s="814"/>
      <c r="F59" s="872"/>
      <c r="G59" s="873"/>
      <c r="P59" s="825"/>
      <c r="Q59" s="813"/>
    </row>
    <row r="60" spans="1:17" s="922" customFormat="1" ht="13.5" customHeight="1" x14ac:dyDescent="0.2">
      <c r="A60" s="917" t="s">
        <v>1107</v>
      </c>
      <c r="B60" s="918" t="s">
        <v>1618</v>
      </c>
      <c r="C60" s="917" t="s">
        <v>1107</v>
      </c>
      <c r="D60" s="918" t="s">
        <v>1622</v>
      </c>
      <c r="E60" s="919"/>
      <c r="F60" s="920"/>
      <c r="G60" s="920"/>
      <c r="H60" s="920"/>
      <c r="I60" s="646"/>
      <c r="J60" s="646"/>
      <c r="K60" s="646"/>
      <c r="L60" s="646"/>
      <c r="M60" s="646"/>
      <c r="N60" s="646"/>
      <c r="O60" s="646"/>
      <c r="P60" s="921"/>
      <c r="Q60" s="646"/>
    </row>
    <row r="61" spans="1:17" s="922" customFormat="1" ht="13.5" customHeight="1" x14ac:dyDescent="0.2">
      <c r="A61" s="917" t="s">
        <v>1108</v>
      </c>
      <c r="B61" s="918" t="s">
        <v>1595</v>
      </c>
      <c r="C61" s="917" t="s">
        <v>1108</v>
      </c>
      <c r="D61" s="918" t="s">
        <v>1623</v>
      </c>
      <c r="E61" s="919"/>
      <c r="F61" s="920"/>
      <c r="G61" s="920"/>
      <c r="H61" s="920"/>
      <c r="I61" s="646"/>
      <c r="J61" s="646"/>
      <c r="K61" s="646"/>
      <c r="L61" s="646"/>
      <c r="M61" s="646"/>
      <c r="N61" s="646"/>
      <c r="O61" s="646"/>
      <c r="P61" s="921"/>
      <c r="Q61" s="646"/>
    </row>
    <row r="62" spans="1:17" s="874" customFormat="1" ht="13.5" customHeight="1" x14ac:dyDescent="0.2">
      <c r="A62" s="857" t="s">
        <v>359</v>
      </c>
      <c r="B62" s="858" t="s">
        <v>1619</v>
      </c>
      <c r="C62" s="857" t="s">
        <v>359</v>
      </c>
      <c r="D62" s="858" t="s">
        <v>1624</v>
      </c>
      <c r="E62" s="814"/>
      <c r="F62" s="872"/>
      <c r="G62" s="873"/>
      <c r="P62" s="825"/>
      <c r="Q62" s="813"/>
    </row>
    <row r="63" spans="1:17" s="813" customFormat="1" ht="13.5" customHeight="1" x14ac:dyDescent="0.2">
      <c r="A63" s="857" t="s">
        <v>354</v>
      </c>
      <c r="B63" s="858" t="s">
        <v>1610</v>
      </c>
      <c r="C63" s="857" t="s">
        <v>354</v>
      </c>
      <c r="D63" s="858" t="s">
        <v>1610</v>
      </c>
      <c r="E63" s="812"/>
      <c r="F63" s="854"/>
      <c r="G63" s="824"/>
      <c r="P63" s="825"/>
    </row>
    <row r="64" spans="1:17" s="813" customFormat="1" ht="13.5" customHeight="1" x14ac:dyDescent="0.2">
      <c r="A64" s="857" t="s">
        <v>360</v>
      </c>
      <c r="B64" s="858" t="s">
        <v>1620</v>
      </c>
      <c r="C64" s="857" t="s">
        <v>360</v>
      </c>
      <c r="D64" s="858" t="s">
        <v>1625</v>
      </c>
      <c r="E64" s="812"/>
      <c r="F64" s="854"/>
      <c r="G64" s="824"/>
      <c r="P64" s="825"/>
    </row>
    <row r="65" spans="1:17" s="813" customFormat="1" ht="13.5" customHeight="1" x14ac:dyDescent="0.2">
      <c r="A65" s="857" t="s">
        <v>355</v>
      </c>
      <c r="B65" s="858" t="s">
        <v>1599</v>
      </c>
      <c r="C65" s="857" t="s">
        <v>355</v>
      </c>
      <c r="D65" s="858" t="s">
        <v>1599</v>
      </c>
      <c r="E65" s="812"/>
      <c r="F65" s="854"/>
      <c r="G65" s="824"/>
      <c r="P65" s="825"/>
    </row>
    <row r="66" spans="1:17" ht="13.5" customHeight="1" x14ac:dyDescent="0.2">
      <c r="A66" s="859" t="s">
        <v>361</v>
      </c>
      <c r="B66" s="867" t="s">
        <v>1621</v>
      </c>
      <c r="C66" s="859" t="s">
        <v>361</v>
      </c>
      <c r="D66" s="867" t="s">
        <v>1626</v>
      </c>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37" t="s">
        <v>370</v>
      </c>
      <c r="D68" s="1038"/>
      <c r="F68" s="854"/>
      <c r="G68" s="824"/>
      <c r="P68" s="825"/>
    </row>
    <row r="69" spans="1:17" s="922" customFormat="1" ht="13.5" customHeight="1" x14ac:dyDescent="0.2">
      <c r="A69" s="917" t="s">
        <v>1107</v>
      </c>
      <c r="B69" s="918" t="s">
        <v>1627</v>
      </c>
      <c r="C69" s="917" t="s">
        <v>1107</v>
      </c>
      <c r="D69" s="918" t="s">
        <v>1632</v>
      </c>
      <c r="E69" s="919"/>
      <c r="F69" s="920"/>
      <c r="G69" s="920"/>
      <c r="H69" s="920"/>
      <c r="I69" s="646"/>
      <c r="J69" s="646"/>
      <c r="K69" s="646"/>
      <c r="L69" s="646"/>
      <c r="M69" s="646"/>
      <c r="N69" s="646"/>
      <c r="O69" s="646"/>
      <c r="P69" s="921"/>
      <c r="Q69" s="646"/>
    </row>
    <row r="70" spans="1:17" s="922" customFormat="1" ht="13.5" customHeight="1" x14ac:dyDescent="0.2">
      <c r="A70" s="917" t="s">
        <v>1108</v>
      </c>
      <c r="B70" s="918" t="s">
        <v>1595</v>
      </c>
      <c r="C70" s="917" t="s">
        <v>1108</v>
      </c>
      <c r="D70" s="918" t="s">
        <v>1623</v>
      </c>
      <c r="E70" s="919"/>
      <c r="F70" s="920"/>
      <c r="G70" s="920"/>
      <c r="H70" s="920"/>
      <c r="I70" s="646"/>
      <c r="J70" s="646"/>
      <c r="K70" s="646"/>
      <c r="L70" s="646"/>
      <c r="M70" s="646"/>
      <c r="N70" s="646"/>
      <c r="O70" s="646"/>
      <c r="P70" s="921"/>
      <c r="Q70" s="646"/>
    </row>
    <row r="71" spans="1:17" s="876" customFormat="1" ht="13.5" customHeight="1" x14ac:dyDescent="0.2">
      <c r="A71" s="857" t="s">
        <v>359</v>
      </c>
      <c r="B71" s="858" t="s">
        <v>1628</v>
      </c>
      <c r="C71" s="857" t="s">
        <v>359</v>
      </c>
      <c r="D71" s="858" t="s">
        <v>1633</v>
      </c>
      <c r="E71" s="814"/>
      <c r="F71" s="872"/>
      <c r="G71" s="873"/>
      <c r="H71" s="874"/>
      <c r="I71" s="874"/>
      <c r="J71" s="874"/>
      <c r="K71" s="874"/>
      <c r="L71" s="874"/>
      <c r="M71" s="874"/>
      <c r="N71" s="874"/>
      <c r="O71" s="874"/>
      <c r="P71" s="825"/>
      <c r="Q71" s="813"/>
    </row>
    <row r="72" spans="1:17" ht="13.5" customHeight="1" x14ac:dyDescent="0.2">
      <c r="A72" s="857" t="s">
        <v>354</v>
      </c>
      <c r="B72" s="858" t="s">
        <v>1629</v>
      </c>
      <c r="C72" s="857" t="s">
        <v>354</v>
      </c>
      <c r="D72" s="858" t="s">
        <v>1629</v>
      </c>
      <c r="F72" s="854"/>
      <c r="G72" s="824"/>
      <c r="P72" s="825"/>
    </row>
    <row r="73" spans="1:17" ht="13.5" customHeight="1" x14ac:dyDescent="0.2">
      <c r="A73" s="857" t="s">
        <v>360</v>
      </c>
      <c r="B73" s="858" t="s">
        <v>1630</v>
      </c>
      <c r="C73" s="857" t="s">
        <v>360</v>
      </c>
      <c r="D73" s="858" t="s">
        <v>1634</v>
      </c>
      <c r="F73" s="854"/>
      <c r="G73" s="824"/>
      <c r="P73" s="825"/>
    </row>
    <row r="74" spans="1:17" ht="13.5" customHeight="1" x14ac:dyDescent="0.2">
      <c r="A74" s="857" t="s">
        <v>355</v>
      </c>
      <c r="B74" s="858" t="s">
        <v>1605</v>
      </c>
      <c r="C74" s="857" t="s">
        <v>355</v>
      </c>
      <c r="D74" s="858" t="s">
        <v>1605</v>
      </c>
      <c r="F74" s="854"/>
      <c r="G74" s="824"/>
      <c r="P74" s="825"/>
    </row>
    <row r="75" spans="1:17" ht="13.5" customHeight="1" x14ac:dyDescent="0.2">
      <c r="A75" s="859" t="s">
        <v>361</v>
      </c>
      <c r="B75" s="867" t="s">
        <v>1631</v>
      </c>
      <c r="C75" s="859" t="s">
        <v>361</v>
      </c>
      <c r="D75" s="867" t="s">
        <v>1635</v>
      </c>
      <c r="F75" s="854"/>
      <c r="G75" s="824"/>
      <c r="P75" s="825"/>
    </row>
    <row r="76" spans="1:17" ht="13.5" customHeight="1" x14ac:dyDescent="0.2">
      <c r="A76" s="861"/>
      <c r="B76" s="868"/>
      <c r="C76" s="861"/>
      <c r="D76" s="868"/>
      <c r="F76" s="854"/>
      <c r="G76" s="824"/>
      <c r="P76" s="825"/>
    </row>
    <row r="77" spans="1:17" s="922" customFormat="1" ht="13.5" customHeight="1" x14ac:dyDescent="0.2">
      <c r="A77" s="1021" t="s">
        <v>371</v>
      </c>
      <c r="B77" s="1022"/>
      <c r="C77" s="1021" t="s">
        <v>371</v>
      </c>
      <c r="D77" s="1022"/>
      <c r="E77" s="919"/>
      <c r="F77" s="923"/>
      <c r="G77" s="924"/>
      <c r="H77" s="920"/>
      <c r="I77" s="646"/>
      <c r="J77" s="646"/>
      <c r="K77" s="646"/>
      <c r="L77" s="646"/>
      <c r="M77" s="646"/>
      <c r="N77" s="646"/>
      <c r="O77" s="646"/>
      <c r="P77" s="921"/>
      <c r="Q77" s="920"/>
    </row>
    <row r="78" spans="1:17" s="922" customFormat="1" ht="13.5" customHeight="1" x14ac:dyDescent="0.2">
      <c r="A78" s="917" t="s">
        <v>1107</v>
      </c>
      <c r="B78" s="918" t="s">
        <v>1636</v>
      </c>
      <c r="C78" s="917" t="s">
        <v>1107</v>
      </c>
      <c r="D78" s="918" t="s">
        <v>1641</v>
      </c>
      <c r="E78" s="919"/>
      <c r="F78" s="920"/>
      <c r="G78" s="920"/>
      <c r="H78" s="920"/>
      <c r="I78" s="646"/>
      <c r="J78" s="646"/>
      <c r="K78" s="646"/>
      <c r="L78" s="646"/>
      <c r="M78" s="646"/>
      <c r="N78" s="646"/>
      <c r="O78" s="646"/>
      <c r="P78" s="921"/>
      <c r="Q78" s="646"/>
    </row>
    <row r="79" spans="1:17" s="922" customFormat="1" ht="13.5" customHeight="1" x14ac:dyDescent="0.2">
      <c r="A79" s="917" t="s">
        <v>1108</v>
      </c>
      <c r="B79" s="918" t="s">
        <v>1608</v>
      </c>
      <c r="C79" s="917" t="s">
        <v>1108</v>
      </c>
      <c r="D79" s="918" t="s">
        <v>1595</v>
      </c>
      <c r="E79" s="919"/>
      <c r="F79" s="920"/>
      <c r="G79" s="920"/>
      <c r="H79" s="920"/>
      <c r="I79" s="646"/>
      <c r="J79" s="646"/>
      <c r="K79" s="646"/>
      <c r="L79" s="646"/>
      <c r="M79" s="646"/>
      <c r="N79" s="646"/>
      <c r="O79" s="646"/>
      <c r="P79" s="921"/>
      <c r="Q79" s="646"/>
    </row>
    <row r="80" spans="1:17" s="930" customFormat="1" ht="13.5" customHeight="1" x14ac:dyDescent="0.2">
      <c r="A80" s="917" t="s">
        <v>359</v>
      </c>
      <c r="B80" s="918" t="s">
        <v>1637</v>
      </c>
      <c r="C80" s="917" t="s">
        <v>359</v>
      </c>
      <c r="D80" s="918" t="s">
        <v>1642</v>
      </c>
      <c r="E80" s="925"/>
      <c r="F80" s="926"/>
      <c r="G80" s="927"/>
      <c r="H80" s="928"/>
      <c r="I80" s="929"/>
      <c r="J80" s="929"/>
      <c r="K80" s="929"/>
      <c r="L80" s="929"/>
      <c r="M80" s="929"/>
      <c r="N80" s="929"/>
      <c r="O80" s="929"/>
      <c r="P80" s="921"/>
      <c r="Q80" s="920"/>
    </row>
    <row r="81" spans="1:17" s="922" customFormat="1" ht="13.5" customHeight="1" x14ac:dyDescent="0.2">
      <c r="A81" s="917" t="s">
        <v>354</v>
      </c>
      <c r="B81" s="918" t="s">
        <v>1638</v>
      </c>
      <c r="C81" s="917" t="s">
        <v>354</v>
      </c>
      <c r="D81" s="918" t="s">
        <v>1643</v>
      </c>
      <c r="E81" s="919"/>
      <c r="F81" s="923"/>
      <c r="G81" s="924"/>
      <c r="H81" s="920"/>
      <c r="I81" s="646"/>
      <c r="J81" s="646"/>
      <c r="K81" s="646"/>
      <c r="L81" s="646"/>
      <c r="M81" s="646"/>
      <c r="N81" s="646"/>
      <c r="O81" s="646"/>
      <c r="P81" s="921"/>
      <c r="Q81" s="920"/>
    </row>
    <row r="82" spans="1:17" s="922" customFormat="1" ht="13.5" customHeight="1" x14ac:dyDescent="0.2">
      <c r="A82" s="917" t="s">
        <v>360</v>
      </c>
      <c r="B82" s="918" t="s">
        <v>1639</v>
      </c>
      <c r="C82" s="917" t="s">
        <v>360</v>
      </c>
      <c r="D82" s="918" t="s">
        <v>1644</v>
      </c>
      <c r="E82" s="919"/>
      <c r="F82" s="923"/>
      <c r="G82" s="924"/>
      <c r="H82" s="920"/>
      <c r="I82" s="646"/>
      <c r="J82" s="646"/>
      <c r="K82" s="646"/>
      <c r="L82" s="646"/>
      <c r="M82" s="646"/>
      <c r="N82" s="646"/>
      <c r="O82" s="646"/>
      <c r="P82" s="921"/>
      <c r="Q82" s="920"/>
    </row>
    <row r="83" spans="1:17" s="922" customFormat="1" ht="13.5" customHeight="1" x14ac:dyDescent="0.2">
      <c r="A83" s="917" t="s">
        <v>355</v>
      </c>
      <c r="B83" s="918" t="s">
        <v>1605</v>
      </c>
      <c r="C83" s="917" t="s">
        <v>355</v>
      </c>
      <c r="D83" s="918" t="s">
        <v>1605</v>
      </c>
      <c r="E83" s="919"/>
      <c r="F83" s="923"/>
      <c r="G83" s="924"/>
      <c r="H83" s="920"/>
      <c r="I83" s="646"/>
      <c r="J83" s="646"/>
      <c r="K83" s="646"/>
      <c r="L83" s="646"/>
      <c r="M83" s="646"/>
      <c r="N83" s="646"/>
      <c r="O83" s="646"/>
      <c r="P83" s="921"/>
      <c r="Q83" s="920"/>
    </row>
    <row r="84" spans="1:17" s="922" customFormat="1" ht="13.5" customHeight="1" x14ac:dyDescent="0.2">
      <c r="A84" s="917" t="s">
        <v>361</v>
      </c>
      <c r="B84" s="918" t="s">
        <v>1640</v>
      </c>
      <c r="C84" s="917" t="s">
        <v>361</v>
      </c>
      <c r="D84" s="918" t="s">
        <v>1645</v>
      </c>
      <c r="E84" s="919"/>
      <c r="F84" s="923"/>
      <c r="G84" s="924"/>
      <c r="H84" s="920"/>
      <c r="I84" s="646"/>
      <c r="J84" s="646"/>
      <c r="K84" s="646"/>
      <c r="L84" s="646"/>
      <c r="M84" s="646"/>
      <c r="N84" s="646"/>
      <c r="O84" s="646"/>
      <c r="P84" s="921"/>
      <c r="Q84" s="920"/>
    </row>
    <row r="85" spans="1:17" s="922" customFormat="1" ht="13.5" customHeight="1" x14ac:dyDescent="0.2">
      <c r="A85" s="1021" t="s">
        <v>371</v>
      </c>
      <c r="B85" s="1022"/>
      <c r="C85" s="1021" t="s">
        <v>371</v>
      </c>
      <c r="D85" s="1022"/>
      <c r="E85" s="919"/>
      <c r="F85" s="923"/>
      <c r="G85" s="924"/>
      <c r="H85" s="920"/>
      <c r="I85" s="646"/>
      <c r="J85" s="646"/>
      <c r="K85" s="646"/>
      <c r="L85" s="646"/>
      <c r="M85" s="646"/>
      <c r="N85" s="646"/>
      <c r="O85" s="646"/>
      <c r="P85" s="921"/>
      <c r="Q85" s="920"/>
    </row>
    <row r="86" spans="1:17" s="922" customFormat="1" ht="13.5" customHeight="1" x14ac:dyDescent="0.2">
      <c r="A86" s="917" t="s">
        <v>1107</v>
      </c>
      <c r="B86" s="918" t="s">
        <v>1646</v>
      </c>
      <c r="C86" s="917" t="s">
        <v>1107</v>
      </c>
      <c r="D86" s="918" t="s">
        <v>1650</v>
      </c>
      <c r="E86" s="919"/>
      <c r="F86" s="920"/>
      <c r="G86" s="920"/>
      <c r="H86" s="920"/>
      <c r="I86" s="646"/>
      <c r="J86" s="646"/>
      <c r="K86" s="646"/>
      <c r="L86" s="646"/>
      <c r="M86" s="646"/>
      <c r="N86" s="646"/>
      <c r="O86" s="646"/>
      <c r="P86" s="921"/>
      <c r="Q86" s="646"/>
    </row>
    <row r="87" spans="1:17" s="922" customFormat="1" ht="13.5" customHeight="1" x14ac:dyDescent="0.2">
      <c r="A87" s="917" t="s">
        <v>1108</v>
      </c>
      <c r="B87" s="918" t="s">
        <v>1608</v>
      </c>
      <c r="C87" s="917" t="s">
        <v>1108</v>
      </c>
      <c r="D87" s="918" t="s">
        <v>1623</v>
      </c>
      <c r="E87" s="919"/>
      <c r="F87" s="920"/>
      <c r="G87" s="920"/>
      <c r="H87" s="920"/>
      <c r="I87" s="646"/>
      <c r="J87" s="646"/>
      <c r="K87" s="646"/>
      <c r="L87" s="646"/>
      <c r="M87" s="646"/>
      <c r="N87" s="646"/>
      <c r="O87" s="646"/>
      <c r="P87" s="921"/>
      <c r="Q87" s="646"/>
    </row>
    <row r="88" spans="1:17" s="922" customFormat="1" ht="13.5" customHeight="1" x14ac:dyDescent="0.2">
      <c r="A88" s="917" t="s">
        <v>359</v>
      </c>
      <c r="B88" s="918" t="s">
        <v>1647</v>
      </c>
      <c r="C88" s="917" t="s">
        <v>359</v>
      </c>
      <c r="D88" s="918" t="s">
        <v>1651</v>
      </c>
      <c r="E88" s="919"/>
      <c r="F88" s="923"/>
      <c r="G88" s="924"/>
      <c r="H88" s="920"/>
      <c r="I88" s="646"/>
      <c r="J88" s="646"/>
      <c r="K88" s="646"/>
      <c r="L88" s="646"/>
      <c r="M88" s="646"/>
      <c r="N88" s="646"/>
      <c r="O88" s="646"/>
      <c r="P88" s="921"/>
      <c r="Q88" s="920"/>
    </row>
    <row r="89" spans="1:17" s="922" customFormat="1" ht="13.5" customHeight="1" x14ac:dyDescent="0.2">
      <c r="A89" s="917" t="s">
        <v>354</v>
      </c>
      <c r="B89" s="918" t="s">
        <v>1638</v>
      </c>
      <c r="C89" s="917" t="s">
        <v>354</v>
      </c>
      <c r="D89" s="918" t="s">
        <v>1652</v>
      </c>
      <c r="E89" s="919"/>
      <c r="F89" s="923"/>
      <c r="G89" s="924"/>
      <c r="H89" s="920"/>
      <c r="I89" s="646"/>
      <c r="J89" s="646"/>
      <c r="K89" s="646"/>
      <c r="L89" s="646"/>
      <c r="M89" s="646"/>
      <c r="N89" s="646"/>
      <c r="O89" s="646"/>
      <c r="P89" s="921"/>
      <c r="Q89" s="920"/>
    </row>
    <row r="90" spans="1:17" s="920" customFormat="1" ht="13.5" customHeight="1" x14ac:dyDescent="0.2">
      <c r="A90" s="917" t="s">
        <v>360</v>
      </c>
      <c r="B90" s="918" t="s">
        <v>1648</v>
      </c>
      <c r="C90" s="917" t="s">
        <v>360</v>
      </c>
      <c r="D90" s="918" t="s">
        <v>1653</v>
      </c>
      <c r="E90" s="919"/>
      <c r="F90" s="923"/>
      <c r="G90" s="924"/>
      <c r="I90" s="646"/>
      <c r="J90" s="646"/>
      <c r="K90" s="646"/>
      <c r="L90" s="646"/>
      <c r="M90" s="646"/>
      <c r="N90" s="646"/>
      <c r="O90" s="646"/>
      <c r="P90" s="921"/>
    </row>
    <row r="91" spans="1:17" s="920" customFormat="1" ht="13.5" customHeight="1" x14ac:dyDescent="0.2">
      <c r="A91" s="917" t="s">
        <v>355</v>
      </c>
      <c r="B91" s="918" t="s">
        <v>1605</v>
      </c>
      <c r="C91" s="917" t="s">
        <v>355</v>
      </c>
      <c r="D91" s="918" t="s">
        <v>1654</v>
      </c>
      <c r="E91" s="919"/>
      <c r="F91" s="923"/>
      <c r="G91" s="924"/>
      <c r="I91" s="646"/>
      <c r="J91" s="646"/>
      <c r="K91" s="646"/>
      <c r="L91" s="646"/>
      <c r="M91" s="646"/>
      <c r="N91" s="646"/>
      <c r="O91" s="646"/>
      <c r="P91" s="921"/>
    </row>
    <row r="92" spans="1:17" s="920" customFormat="1" ht="13.5" customHeight="1" x14ac:dyDescent="0.2">
      <c r="A92" s="917" t="s">
        <v>361</v>
      </c>
      <c r="B92" s="918" t="s">
        <v>1649</v>
      </c>
      <c r="C92" s="917" t="s">
        <v>361</v>
      </c>
      <c r="D92" s="918" t="s">
        <v>1655</v>
      </c>
      <c r="E92" s="919"/>
      <c r="F92" s="923"/>
      <c r="G92" s="924"/>
      <c r="I92" s="646"/>
      <c r="J92" s="646"/>
      <c r="K92" s="646"/>
      <c r="L92" s="646"/>
      <c r="M92" s="646"/>
      <c r="N92" s="646"/>
      <c r="O92" s="646"/>
      <c r="P92" s="921"/>
    </row>
    <row r="93" spans="1:17" s="920" customFormat="1" ht="13.5" customHeight="1" x14ac:dyDescent="0.2">
      <c r="A93" s="1021" t="s">
        <v>371</v>
      </c>
      <c r="B93" s="1022"/>
      <c r="C93" s="1021" t="s">
        <v>371</v>
      </c>
      <c r="D93" s="1022"/>
      <c r="E93" s="919"/>
      <c r="F93" s="923"/>
      <c r="G93" s="924"/>
      <c r="I93" s="646"/>
      <c r="J93" s="646"/>
      <c r="K93" s="646"/>
      <c r="L93" s="646"/>
      <c r="M93" s="646"/>
      <c r="N93" s="646"/>
      <c r="O93" s="646"/>
      <c r="P93" s="921"/>
    </row>
    <row r="94" spans="1:17" s="922" customFormat="1" ht="13.5" customHeight="1" x14ac:dyDescent="0.2">
      <c r="A94" s="917" t="s">
        <v>1107</v>
      </c>
      <c r="B94" s="918"/>
      <c r="C94" s="917" t="s">
        <v>1107</v>
      </c>
      <c r="D94" s="918"/>
      <c r="E94" s="919"/>
      <c r="F94" s="920"/>
      <c r="G94" s="920"/>
      <c r="H94" s="920"/>
      <c r="I94" s="646"/>
      <c r="J94" s="646"/>
      <c r="K94" s="646"/>
      <c r="L94" s="646"/>
      <c r="M94" s="646"/>
      <c r="N94" s="646"/>
      <c r="O94" s="646"/>
      <c r="P94" s="921"/>
      <c r="Q94" s="646"/>
    </row>
    <row r="95" spans="1:17" s="922" customFormat="1" ht="13.5" customHeight="1" x14ac:dyDescent="0.2">
      <c r="A95" s="917" t="s">
        <v>1108</v>
      </c>
      <c r="B95" s="918"/>
      <c r="C95" s="917" t="s">
        <v>1108</v>
      </c>
      <c r="D95" s="918"/>
      <c r="E95" s="919"/>
      <c r="F95" s="920"/>
      <c r="G95" s="920"/>
      <c r="H95" s="920"/>
      <c r="I95" s="646"/>
      <c r="J95" s="646"/>
      <c r="K95" s="646"/>
      <c r="L95" s="646"/>
      <c r="M95" s="646"/>
      <c r="N95" s="646"/>
      <c r="O95" s="646"/>
      <c r="P95" s="921"/>
      <c r="Q95" s="646"/>
    </row>
    <row r="96" spans="1:17" s="920" customFormat="1" ht="13.5" customHeight="1" x14ac:dyDescent="0.2">
      <c r="A96" s="917" t="s">
        <v>359</v>
      </c>
      <c r="B96" s="918"/>
      <c r="C96" s="917" t="s">
        <v>359</v>
      </c>
      <c r="D96" s="918"/>
      <c r="E96" s="919"/>
      <c r="F96" s="923"/>
      <c r="G96" s="924"/>
      <c r="I96" s="646"/>
      <c r="J96" s="646"/>
      <c r="K96" s="646"/>
      <c r="L96" s="646"/>
      <c r="M96" s="646"/>
      <c r="N96" s="646"/>
      <c r="O96" s="646"/>
      <c r="P96" s="921"/>
    </row>
    <row r="97" spans="1:17" s="920" customFormat="1" ht="13.5" customHeight="1" x14ac:dyDescent="0.2">
      <c r="A97" s="917" t="s">
        <v>354</v>
      </c>
      <c r="B97" s="918"/>
      <c r="C97" s="917" t="s">
        <v>354</v>
      </c>
      <c r="D97" s="918"/>
      <c r="E97" s="919"/>
      <c r="F97" s="923"/>
      <c r="G97" s="924"/>
      <c r="I97" s="646"/>
      <c r="J97" s="646"/>
      <c r="K97" s="646"/>
      <c r="L97" s="646"/>
      <c r="M97" s="646"/>
      <c r="N97" s="646"/>
      <c r="O97" s="646"/>
      <c r="P97" s="921"/>
    </row>
    <row r="98" spans="1:17" s="920" customFormat="1" ht="13.5" customHeight="1" x14ac:dyDescent="0.2">
      <c r="A98" s="917" t="s">
        <v>360</v>
      </c>
      <c r="B98" s="918"/>
      <c r="C98" s="917" t="s">
        <v>360</v>
      </c>
      <c r="D98" s="918"/>
      <c r="E98" s="919"/>
      <c r="F98" s="923"/>
      <c r="G98" s="924"/>
      <c r="I98" s="646"/>
      <c r="J98" s="646"/>
      <c r="K98" s="646"/>
      <c r="L98" s="646"/>
      <c r="M98" s="646"/>
      <c r="N98" s="646"/>
      <c r="O98" s="646"/>
      <c r="P98" s="921"/>
    </row>
    <row r="99" spans="1:17" s="920" customFormat="1" ht="13.5" customHeight="1" x14ac:dyDescent="0.2">
      <c r="A99" s="917" t="s">
        <v>355</v>
      </c>
      <c r="B99" s="918"/>
      <c r="C99" s="917" t="s">
        <v>355</v>
      </c>
      <c r="D99" s="918"/>
      <c r="E99" s="919"/>
      <c r="F99" s="923"/>
      <c r="G99" s="924"/>
      <c r="I99" s="646"/>
      <c r="J99" s="646"/>
      <c r="K99" s="646"/>
      <c r="L99" s="646"/>
      <c r="M99" s="646"/>
      <c r="N99" s="646"/>
      <c r="O99" s="646"/>
      <c r="P99" s="921"/>
    </row>
    <row r="100" spans="1:17" s="920" customFormat="1" ht="13.5" customHeight="1" x14ac:dyDescent="0.2">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2">
      <c r="A101" s="1021" t="s">
        <v>371</v>
      </c>
      <c r="B101" s="1022"/>
      <c r="C101" s="1021" t="s">
        <v>371</v>
      </c>
      <c r="D101" s="1022"/>
      <c r="E101" s="919"/>
      <c r="F101" s="923"/>
      <c r="G101" s="924"/>
      <c r="I101" s="646"/>
      <c r="J101" s="646"/>
      <c r="K101" s="646"/>
      <c r="L101" s="646"/>
      <c r="M101" s="646"/>
      <c r="N101" s="646"/>
      <c r="O101" s="646"/>
      <c r="P101" s="921"/>
    </row>
    <row r="102" spans="1:17" s="922" customFormat="1" ht="13.5" customHeight="1" x14ac:dyDescent="0.2">
      <c r="A102" s="917" t="s">
        <v>1107</v>
      </c>
      <c r="B102" s="918"/>
      <c r="C102" s="917" t="s">
        <v>1107</v>
      </c>
      <c r="D102" s="918"/>
      <c r="E102" s="919"/>
      <c r="F102" s="920"/>
      <c r="G102" s="920"/>
      <c r="H102" s="920"/>
      <c r="I102" s="646"/>
      <c r="J102" s="646"/>
      <c r="K102" s="646"/>
      <c r="L102" s="646"/>
      <c r="M102" s="646"/>
      <c r="N102" s="646"/>
      <c r="O102" s="646"/>
      <c r="P102" s="921"/>
      <c r="Q102" s="646"/>
    </row>
    <row r="103" spans="1:17" s="920" customFormat="1" ht="12.75" customHeight="1" x14ac:dyDescent="0.2">
      <c r="A103" s="917" t="s">
        <v>1108</v>
      </c>
      <c r="B103" s="918"/>
      <c r="C103" s="917" t="s">
        <v>1108</v>
      </c>
      <c r="D103" s="918"/>
      <c r="E103" s="919"/>
      <c r="F103" s="923"/>
      <c r="G103" s="924"/>
      <c r="I103" s="646"/>
      <c r="J103" s="646"/>
      <c r="K103" s="646"/>
      <c r="L103" s="646"/>
      <c r="M103" s="646"/>
      <c r="N103" s="646"/>
      <c r="O103" s="646"/>
      <c r="P103" s="921"/>
    </row>
    <row r="104" spans="1:17" s="920" customFormat="1" ht="12.75" customHeight="1" x14ac:dyDescent="0.2">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2">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2">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2">
      <c r="A107" s="917" t="s">
        <v>355</v>
      </c>
      <c r="B107" s="918"/>
      <c r="C107" s="917" t="s">
        <v>355</v>
      </c>
      <c r="D107" s="918"/>
      <c r="E107" s="933"/>
      <c r="F107" s="923"/>
      <c r="G107" s="924"/>
      <c r="P107" s="921"/>
      <c r="Q107" s="920"/>
    </row>
    <row r="108" spans="1:17" s="646" customFormat="1" ht="12.75" customHeight="1" x14ac:dyDescent="0.2">
      <c r="A108" s="917" t="s">
        <v>361</v>
      </c>
      <c r="B108" s="918"/>
      <c r="C108" s="917" t="s">
        <v>361</v>
      </c>
      <c r="D108" s="918"/>
      <c r="E108" s="933"/>
      <c r="F108" s="923"/>
      <c r="G108" s="924"/>
      <c r="P108" s="921"/>
      <c r="Q108" s="920"/>
    </row>
    <row r="109" spans="1:17" s="920" customFormat="1" ht="12.75" customHeight="1" x14ac:dyDescent="0.2">
      <c r="A109" s="1021" t="s">
        <v>371</v>
      </c>
      <c r="B109" s="1022"/>
      <c r="C109" s="1021" t="s">
        <v>371</v>
      </c>
      <c r="D109" s="1022"/>
      <c r="E109" s="919"/>
      <c r="I109" s="646"/>
      <c r="J109" s="646"/>
      <c r="K109" s="646"/>
      <c r="L109" s="646"/>
      <c r="M109" s="646"/>
      <c r="N109" s="646"/>
      <c r="O109" s="646"/>
      <c r="P109" s="921"/>
    </row>
    <row r="110" spans="1:17" s="922" customFormat="1" ht="13.5" customHeight="1" x14ac:dyDescent="0.2">
      <c r="A110" s="917" t="s">
        <v>1107</v>
      </c>
      <c r="B110" s="918"/>
      <c r="C110" s="917" t="s">
        <v>1107</v>
      </c>
      <c r="D110" s="918"/>
      <c r="E110" s="919"/>
      <c r="F110" s="920"/>
      <c r="G110" s="920"/>
      <c r="H110" s="920"/>
      <c r="I110" s="646"/>
      <c r="J110" s="646"/>
      <c r="K110" s="646"/>
      <c r="L110" s="646"/>
      <c r="M110" s="646"/>
      <c r="N110" s="646"/>
      <c r="O110" s="646"/>
      <c r="P110" s="921"/>
      <c r="Q110" s="646"/>
    </row>
    <row r="111" spans="1:17" s="920" customFormat="1" ht="12.75" customHeight="1" x14ac:dyDescent="0.2">
      <c r="A111" s="917" t="s">
        <v>1108</v>
      </c>
      <c r="B111" s="918"/>
      <c r="C111" s="917" t="s">
        <v>1108</v>
      </c>
      <c r="D111" s="918"/>
      <c r="E111" s="919"/>
      <c r="I111" s="646"/>
      <c r="J111" s="646"/>
      <c r="K111" s="646"/>
      <c r="L111" s="646"/>
      <c r="M111" s="646"/>
      <c r="N111" s="646"/>
      <c r="O111" s="646"/>
      <c r="P111" s="921"/>
    </row>
    <row r="112" spans="1:17" s="920" customFormat="1" ht="12.75" customHeight="1" x14ac:dyDescent="0.2">
      <c r="A112" s="917" t="s">
        <v>359</v>
      </c>
      <c r="B112" s="918"/>
      <c r="C112" s="917" t="s">
        <v>359</v>
      </c>
      <c r="D112" s="918"/>
      <c r="E112" s="919"/>
      <c r="I112" s="646"/>
      <c r="J112" s="646"/>
      <c r="K112" s="646"/>
      <c r="L112" s="646"/>
      <c r="M112" s="646"/>
      <c r="N112" s="646"/>
      <c r="O112" s="646"/>
      <c r="P112" s="921"/>
    </row>
    <row r="113" spans="1:25" s="920" customFormat="1" ht="12.75" customHeight="1" x14ac:dyDescent="0.2">
      <c r="A113" s="917" t="s">
        <v>354</v>
      </c>
      <c r="B113" s="918"/>
      <c r="C113" s="917" t="s">
        <v>354</v>
      </c>
      <c r="D113" s="918"/>
      <c r="E113" s="919"/>
      <c r="I113" s="646"/>
      <c r="J113" s="646"/>
      <c r="K113" s="646"/>
      <c r="L113" s="646"/>
      <c r="M113" s="646"/>
      <c r="N113" s="646"/>
      <c r="O113" s="646"/>
      <c r="P113" s="921"/>
    </row>
    <row r="114" spans="1:25" s="922" customFormat="1" ht="12.75" customHeight="1" x14ac:dyDescent="0.2">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2">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2">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2">
      <c r="A117" s="1021" t="s">
        <v>371</v>
      </c>
      <c r="B117" s="1022"/>
      <c r="C117" s="1021" t="s">
        <v>371</v>
      </c>
      <c r="D117" s="1022"/>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2">
      <c r="A118" s="917" t="s">
        <v>1107</v>
      </c>
      <c r="B118" s="918"/>
      <c r="C118" s="917" t="s">
        <v>1107</v>
      </c>
      <c r="D118" s="918"/>
      <c r="E118" s="919"/>
      <c r="F118" s="920"/>
      <c r="G118" s="920"/>
      <c r="H118" s="920"/>
      <c r="I118" s="646"/>
      <c r="J118" s="646"/>
      <c r="K118" s="646"/>
      <c r="L118" s="646"/>
      <c r="M118" s="646"/>
      <c r="N118" s="646"/>
      <c r="O118" s="646"/>
      <c r="P118" s="921"/>
      <c r="Q118" s="646"/>
    </row>
    <row r="119" spans="1:25" s="922" customFormat="1" ht="12.75" customHeight="1" x14ac:dyDescent="0.2">
      <c r="A119" s="917" t="s">
        <v>1108</v>
      </c>
      <c r="B119" s="918"/>
      <c r="C119" s="917" t="s">
        <v>1108</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2">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2">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2">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2">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2">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2">
      <c r="A125" s="1021" t="s">
        <v>371</v>
      </c>
      <c r="B125" s="1022"/>
      <c r="C125" s="1021" t="s">
        <v>371</v>
      </c>
      <c r="D125" s="1022"/>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2">
      <c r="A126" s="917" t="s">
        <v>1107</v>
      </c>
      <c r="B126" s="918"/>
      <c r="C126" s="917" t="s">
        <v>1107</v>
      </c>
      <c r="D126" s="918"/>
      <c r="E126" s="919"/>
      <c r="F126" s="920"/>
      <c r="G126" s="920"/>
      <c r="H126" s="920"/>
      <c r="I126" s="646"/>
      <c r="J126" s="646"/>
      <c r="K126" s="646"/>
      <c r="L126" s="646"/>
      <c r="M126" s="646"/>
      <c r="N126" s="646"/>
      <c r="O126" s="646"/>
      <c r="P126" s="921"/>
      <c r="Q126" s="646"/>
    </row>
    <row r="127" spans="1:25" s="922" customFormat="1" ht="12.75" customHeight="1" x14ac:dyDescent="0.2">
      <c r="A127" s="917" t="s">
        <v>1108</v>
      </c>
      <c r="B127" s="918"/>
      <c r="C127" s="917" t="s">
        <v>1108</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2">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2">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2">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2">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2">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2">
      <c r="A133" s="1021" t="s">
        <v>371</v>
      </c>
      <c r="B133" s="1022"/>
      <c r="C133" s="1023"/>
      <c r="D133" s="1024"/>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2">
      <c r="A134" s="917" t="s">
        <v>1107</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2">
      <c r="A135" s="917" t="s">
        <v>1108</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2">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2">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2">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2">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2">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12" activePane="bottomRight" state="frozen"/>
      <selection pane="topRight"/>
      <selection pane="bottomLeft"/>
      <selection pane="bottomRight" activeCell="K21" sqref="K21"/>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LIM354 Polokwane - Table C1 Monthly Budget Statement Summary - M10 April</v>
      </c>
      <c r="B1" s="346"/>
      <c r="C1" s="346"/>
      <c r="D1" s="346"/>
      <c r="E1" s="346"/>
      <c r="F1" s="346"/>
      <c r="G1" s="346"/>
      <c r="H1" s="346"/>
      <c r="I1" s="346"/>
      <c r="J1" s="346"/>
    </row>
    <row r="2" spans="1:10" x14ac:dyDescent="0.25">
      <c r="A2" s="1045" t="str">
        <f>desc</f>
        <v>Description</v>
      </c>
      <c r="B2" s="158" t="str">
        <f>Head1</f>
        <v>2019/20</v>
      </c>
      <c r="C2" s="1047" t="str">
        <f>Head2</f>
        <v>Budget Year 2020/21</v>
      </c>
      <c r="D2" s="1048"/>
      <c r="E2" s="1048"/>
      <c r="F2" s="1048"/>
      <c r="G2" s="1048"/>
      <c r="H2" s="1048"/>
      <c r="I2" s="1048"/>
      <c r="J2" s="1049"/>
    </row>
    <row r="3" spans="1:10" ht="25.5" x14ac:dyDescent="0.25">
      <c r="A3" s="104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669</v>
      </c>
      <c r="B4" s="19"/>
      <c r="C4" s="222"/>
      <c r="D4" s="82"/>
      <c r="E4" s="82"/>
      <c r="F4" s="82"/>
      <c r="G4" s="82"/>
      <c r="H4" s="82"/>
      <c r="I4" s="242" t="s">
        <v>577</v>
      </c>
      <c r="J4" s="223"/>
    </row>
    <row r="5" spans="1:10" ht="12.75" customHeight="1" x14ac:dyDescent="0.25">
      <c r="A5" s="155" t="s">
        <v>750</v>
      </c>
      <c r="B5" s="172"/>
      <c r="C5" s="191"/>
      <c r="D5" s="192"/>
      <c r="E5" s="192"/>
      <c r="F5" s="192"/>
      <c r="G5" s="192"/>
      <c r="H5" s="192"/>
      <c r="I5" s="200"/>
      <c r="J5" s="193"/>
    </row>
    <row r="6" spans="1:10" ht="12.75" customHeight="1" x14ac:dyDescent="0.25">
      <c r="A6" s="152" t="s">
        <v>933</v>
      </c>
      <c r="B6" s="648">
        <f>SUM('C4-FinPerf RE'!C6:C6)</f>
        <v>503869307</v>
      </c>
      <c r="C6" s="649">
        <f>SUM('C4-FinPerf RE'!D6:D6)</f>
        <v>526156799</v>
      </c>
      <c r="D6" s="408">
        <f>SUM('C4-FinPerf RE'!E6:E6)</f>
        <v>526156799</v>
      </c>
      <c r="E6" s="408">
        <f>SUM('C4-FinPerf RE'!F6:F6)</f>
        <v>42244821</v>
      </c>
      <c r="F6" s="408">
        <f>SUM('C4-FinPerf RE'!G6:G6)</f>
        <v>390950450</v>
      </c>
      <c r="G6" s="650">
        <f>SUM('C4-FinPerf RE'!H6:H6)</f>
        <v>438463999.16666663</v>
      </c>
      <c r="H6" s="408">
        <f>F6-G6</f>
        <v>-47513549.166666627</v>
      </c>
      <c r="I6" s="591">
        <f>IF(H6=0,"",H6/G6)</f>
        <v>-0.10836362679027162</v>
      </c>
      <c r="J6" s="642">
        <f>SUM('C4-FinPerf RE'!K6:K6)</f>
        <v>526156799</v>
      </c>
    </row>
    <row r="7" spans="1:10" ht="12.75" customHeight="1" x14ac:dyDescent="0.25">
      <c r="A7" s="152" t="s">
        <v>964</v>
      </c>
      <c r="B7" s="648">
        <f>SUM('C4-FinPerf RE'!C7:C10)</f>
        <v>1526203848</v>
      </c>
      <c r="C7" s="649">
        <f>SUM('C4-FinPerf RE'!D7:D10)</f>
        <v>1780034500</v>
      </c>
      <c r="D7" s="408">
        <f>SUM('C4-FinPerf RE'!E7:E10)</f>
        <v>1737034500</v>
      </c>
      <c r="E7" s="408">
        <f>SUM('C4-FinPerf RE'!F7:F10)</f>
        <v>155318503</v>
      </c>
      <c r="F7" s="408">
        <f>SUM('C4-FinPerf RE'!G7:G10)</f>
        <v>1241321038</v>
      </c>
      <c r="G7" s="650">
        <f>SUM('C4-FinPerf RE'!H7:H10)</f>
        <v>1447528750</v>
      </c>
      <c r="H7" s="408">
        <f>F7-G7</f>
        <v>-206207712</v>
      </c>
      <c r="I7" s="207">
        <f>IF(H7=0,"",H7/G7)</f>
        <v>-0.14245500270720013</v>
      </c>
      <c r="J7" s="642">
        <f>SUM('C4-FinPerf RE'!K7:K10)</f>
        <v>1737034500</v>
      </c>
    </row>
    <row r="8" spans="1:10" ht="12.75" customHeight="1" x14ac:dyDescent="0.25">
      <c r="A8" s="152" t="s">
        <v>496</v>
      </c>
      <c r="B8" s="648">
        <f>'C4-FinPerf RE'!C13</f>
        <v>19871721</v>
      </c>
      <c r="C8" s="649">
        <f>'C4-FinPerf RE'!D13</f>
        <v>13069489</v>
      </c>
      <c r="D8" s="408">
        <f>'C4-FinPerf RE'!E13</f>
        <v>13069489</v>
      </c>
      <c r="E8" s="408">
        <f>'C4-FinPerf RE'!F13</f>
        <v>246367</v>
      </c>
      <c r="F8" s="408">
        <f>'C4-FinPerf RE'!G13</f>
        <v>3136158</v>
      </c>
      <c r="G8" s="650">
        <f>'C4-FinPerf RE'!H13</f>
        <v>10891240.833333332</v>
      </c>
      <c r="H8" s="408">
        <f>F8-G8</f>
        <v>-7755082.8333333321</v>
      </c>
      <c r="I8" s="207">
        <f>IF(H8=0,"",H8/G8)</f>
        <v>-0.71204768602659219</v>
      </c>
      <c r="J8" s="642">
        <f>'C4-FinPerf RE'!K13</f>
        <v>13069489</v>
      </c>
    </row>
    <row r="9" spans="1:10" ht="12.75" customHeight="1" x14ac:dyDescent="0.25">
      <c r="A9" s="152" t="s">
        <v>1110</v>
      </c>
      <c r="B9" s="648">
        <f>'C4-FinPerf RE'!C19</f>
        <v>1027440133</v>
      </c>
      <c r="C9" s="649">
        <f>'C4-FinPerf RE'!D19</f>
        <v>1187428150</v>
      </c>
      <c r="D9" s="408">
        <f>'C4-FinPerf RE'!E19</f>
        <v>1379700191</v>
      </c>
      <c r="E9" s="408">
        <f>'C4-FinPerf RE'!F19</f>
        <v>27558441.622000001</v>
      </c>
      <c r="F9" s="408">
        <f>'C4-FinPerf RE'!G19</f>
        <v>1274334760.7579997</v>
      </c>
      <c r="G9" s="650">
        <f>'C4-FinPerf RE'!H19</f>
        <v>1149750159.1666667</v>
      </c>
      <c r="H9" s="408">
        <f>F9-G9</f>
        <v>124584601.59133291</v>
      </c>
      <c r="I9" s="207">
        <f>IF(H9=0,"",H9/G9)</f>
        <v>0.10835797725101531</v>
      </c>
      <c r="J9" s="642">
        <f>'C4-FinPerf RE'!K19</f>
        <v>1379700191</v>
      </c>
    </row>
    <row r="10" spans="1:10" ht="12.75" customHeight="1" x14ac:dyDescent="0.25">
      <c r="A10" s="232" t="s">
        <v>494</v>
      </c>
      <c r="B10" s="651">
        <f>'C4-FinPerf RE'!C12+'C4-FinPerf RE'!C14+'C4-FinPerf RE'!C15+'C4-FinPerf RE'!C16+'C4-FinPerf RE'!C17+'C4-FinPerf RE'!C18+'C4-FinPerf RE'!C20+'C4-FinPerf RE'!C21</f>
        <v>566677430</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289548139</v>
      </c>
      <c r="E10" s="409">
        <f>'C4-FinPerf RE'!F12+'C4-FinPerf RE'!F14+'C4-FinPerf RE'!F15+'C4-FinPerf RE'!F16+'C4-FinPerf RE'!F17+'C4-FinPerf RE'!F18+'C4-FinPerf RE'!F20+'C4-FinPerf RE'!F21</f>
        <v>23092582</v>
      </c>
      <c r="F10" s="409">
        <f>'C4-FinPerf RE'!G12+'C4-FinPerf RE'!G14+'C4-FinPerf RE'!G15+'C4-FinPerf RE'!G16+'C4-FinPerf RE'!G17+'C4-FinPerf RE'!G18+'C4-FinPerf RE'!G20+'C4-FinPerf RE'!G21</f>
        <v>208274894</v>
      </c>
      <c r="G10" s="653">
        <f>'C4-FinPerf RE'!H12+'C4-FinPerf RE'!H14+'C4-FinPerf RE'!H15+'C4-FinPerf RE'!H16+'C4-FinPerf RE'!H17+'C4-FinPerf RE'!H18+'C4-FinPerf RE'!H20+'C4-FinPerf RE'!H21</f>
        <v>241290115.83333337</v>
      </c>
      <c r="H10" s="409">
        <f>F10-G10</f>
        <v>-33015221.833333373</v>
      </c>
      <c r="I10" s="208">
        <f>IF(H10=0,"",H10/G10)</f>
        <v>-0.13682790826018759</v>
      </c>
      <c r="J10" s="654">
        <f>'C4-FinPerf RE'!K12+'C4-FinPerf RE'!K14+'C4-FinPerf RE'!K15+'C4-FinPerf RE'!K16+'C4-FinPerf RE'!K17+'C4-FinPerf RE'!K18+'C4-FinPerf RE'!K20+'C4-FinPerf RE'!K21</f>
        <v>289548139</v>
      </c>
    </row>
    <row r="11" spans="1:10" ht="23.25" customHeight="1" x14ac:dyDescent="0.25">
      <c r="A11" s="582" t="s">
        <v>134</v>
      </c>
      <c r="B11" s="655">
        <f t="shared" ref="B11:J11" si="0">SUM(B6:B10)</f>
        <v>3644062439</v>
      </c>
      <c r="C11" s="656">
        <f t="shared" si="0"/>
        <v>3807023077</v>
      </c>
      <c r="D11" s="657">
        <f t="shared" si="0"/>
        <v>3945509118</v>
      </c>
      <c r="E11" s="657">
        <f t="shared" si="0"/>
        <v>248460714.62200001</v>
      </c>
      <c r="F11" s="657">
        <f t="shared" si="0"/>
        <v>3118017300.7579994</v>
      </c>
      <c r="G11" s="658">
        <f t="shared" si="0"/>
        <v>3287924265</v>
      </c>
      <c r="H11" s="657">
        <f t="shared" ref="H11:H25" si="1">F11-G11</f>
        <v>-169906964.24200058</v>
      </c>
      <c r="I11" s="593">
        <f t="shared" ref="I11:I25" si="2">IF(H11=0,"",H11/G11)</f>
        <v>-5.1676057764061846E-2</v>
      </c>
      <c r="J11" s="659">
        <f t="shared" si="0"/>
        <v>3945509118</v>
      </c>
    </row>
    <row r="12" spans="1:10" ht="12.75" customHeight="1" x14ac:dyDescent="0.25">
      <c r="A12" s="152" t="s">
        <v>475</v>
      </c>
      <c r="B12" s="648">
        <f>'C4-FinPerf RE'!C25</f>
        <v>922982023</v>
      </c>
      <c r="C12" s="649">
        <f>'C4-FinPerf RE'!D25</f>
        <v>990053017</v>
      </c>
      <c r="D12" s="408">
        <f>'C4-FinPerf RE'!E25</f>
        <v>1008031267</v>
      </c>
      <c r="E12" s="408">
        <f>'C4-FinPerf RE'!F25</f>
        <v>79662253</v>
      </c>
      <c r="F12" s="408">
        <f>'C4-FinPerf RE'!G25</f>
        <v>793096114</v>
      </c>
      <c r="G12" s="650">
        <f>'C4-FinPerf RE'!H25</f>
        <v>840026055.83333325</v>
      </c>
      <c r="H12" s="408">
        <f t="shared" si="1"/>
        <v>-46929941.833333254</v>
      </c>
      <c r="I12" s="207">
        <f t="shared" si="2"/>
        <v>-5.5867245435354047E-2</v>
      </c>
      <c r="J12" s="642">
        <f>'C4-FinPerf RE'!K25</f>
        <v>1008031267</v>
      </c>
    </row>
    <row r="13" spans="1:10" ht="12.75" customHeight="1" x14ac:dyDescent="0.25">
      <c r="A13" s="152" t="s">
        <v>844</v>
      </c>
      <c r="B13" s="648">
        <f>'C4-FinPerf RE'!C26</f>
        <v>38521740</v>
      </c>
      <c r="C13" s="649">
        <f>'C4-FinPerf RE'!D26</f>
        <v>42510996</v>
      </c>
      <c r="D13" s="408">
        <f>'C4-FinPerf RE'!E26</f>
        <v>42510996</v>
      </c>
      <c r="E13" s="408">
        <f>'C4-FinPerf RE'!F26</f>
        <v>3191427</v>
      </c>
      <c r="F13" s="408">
        <f>'C4-FinPerf RE'!G26</f>
        <v>32260922</v>
      </c>
      <c r="G13" s="650">
        <f>'C4-FinPerf RE'!H26</f>
        <v>35425830</v>
      </c>
      <c r="H13" s="408">
        <f t="shared" si="1"/>
        <v>-3164908</v>
      </c>
      <c r="I13" s="207">
        <f t="shared" si="2"/>
        <v>-8.933899361002974E-2</v>
      </c>
      <c r="J13" s="642">
        <f>'C4-FinPerf RE'!K26</f>
        <v>42510996</v>
      </c>
    </row>
    <row r="14" spans="1:10" ht="12.75" customHeight="1" x14ac:dyDescent="0.25">
      <c r="A14" s="581" t="s">
        <v>666</v>
      </c>
      <c r="B14" s="648">
        <f>'C4-FinPerf RE'!C28</f>
        <v>734200046</v>
      </c>
      <c r="C14" s="649">
        <f>'C4-FinPerf RE'!D28</f>
        <v>255000000</v>
      </c>
      <c r="D14" s="408">
        <f>'C4-FinPerf RE'!E28</f>
        <v>255000000</v>
      </c>
      <c r="E14" s="408">
        <f>'C4-FinPerf RE'!F28</f>
        <v>21250000</v>
      </c>
      <c r="F14" s="408">
        <f>'C4-FinPerf RE'!G28</f>
        <v>212500000</v>
      </c>
      <c r="G14" s="650">
        <f>'C4-FinPerf RE'!H28</f>
        <v>212500000</v>
      </c>
      <c r="H14" s="408">
        <f t="shared" si="1"/>
        <v>0</v>
      </c>
      <c r="I14" s="207" t="str">
        <f t="shared" si="2"/>
        <v/>
      </c>
      <c r="J14" s="642">
        <f>'C4-FinPerf RE'!K28</f>
        <v>255000000</v>
      </c>
    </row>
    <row r="15" spans="1:10" ht="12.75" customHeight="1" x14ac:dyDescent="0.25">
      <c r="A15" s="152" t="s">
        <v>452</v>
      </c>
      <c r="B15" s="648">
        <f>'C4-FinPerf RE'!C29</f>
        <v>69673253</v>
      </c>
      <c r="C15" s="649">
        <f>'C4-FinPerf RE'!D29</f>
        <v>97987467</v>
      </c>
      <c r="D15" s="408">
        <f>'C4-FinPerf RE'!E29</f>
        <v>82987467</v>
      </c>
      <c r="E15" s="408">
        <f>'C4-FinPerf RE'!F29</f>
        <v>0</v>
      </c>
      <c r="F15" s="408">
        <f>'C4-FinPerf RE'!G29</f>
        <v>27646572</v>
      </c>
      <c r="G15" s="650">
        <f>'C4-FinPerf RE'!H29</f>
        <v>69156222.5</v>
      </c>
      <c r="H15" s="408">
        <f t="shared" si="1"/>
        <v>-41509650.5</v>
      </c>
      <c r="I15" s="207">
        <f t="shared" si="2"/>
        <v>-0.60023016005537322</v>
      </c>
      <c r="J15" s="642">
        <f>'C4-FinPerf RE'!K29</f>
        <v>82987467</v>
      </c>
    </row>
    <row r="16" spans="1:10" ht="12.75" customHeight="1" x14ac:dyDescent="0.25">
      <c r="A16" s="152" t="s">
        <v>495</v>
      </c>
      <c r="B16" s="648">
        <f>SUM('C4-FinPerf RE'!C30:C31)</f>
        <v>967977330</v>
      </c>
      <c r="C16" s="649">
        <f>SUM('C4-FinPerf RE'!D30:D31)</f>
        <v>1141408523</v>
      </c>
      <c r="D16" s="408">
        <f>SUM('C4-FinPerf RE'!E30:E31)</f>
        <v>1073755180</v>
      </c>
      <c r="E16" s="408">
        <f>SUM('C4-FinPerf RE'!F30:F31)</f>
        <v>105513160</v>
      </c>
      <c r="F16" s="408">
        <f>SUM('C4-FinPerf RE'!G30:G31)</f>
        <v>829119305</v>
      </c>
      <c r="G16" s="650">
        <f>SUM('C4-FinPerf RE'!H30:H31)</f>
        <v>894795983.33333337</v>
      </c>
      <c r="H16" s="408">
        <f t="shared" si="1"/>
        <v>-65676678.333333373</v>
      </c>
      <c r="I16" s="591">
        <f t="shared" si="2"/>
        <v>-7.3398494804001818E-2</v>
      </c>
      <c r="J16" s="642">
        <f>SUM('C4-FinPerf RE'!K30:K31)</f>
        <v>1073755180</v>
      </c>
    </row>
    <row r="17" spans="1:11" ht="12.75" customHeight="1" x14ac:dyDescent="0.25">
      <c r="A17" s="152" t="s">
        <v>1110</v>
      </c>
      <c r="B17" s="648">
        <f>'C4-FinPerf RE'!C33</f>
        <v>179850619</v>
      </c>
      <c r="C17" s="649">
        <f>'C4-FinPerf RE'!D33</f>
        <v>11500008</v>
      </c>
      <c r="D17" s="408">
        <f>'C4-FinPerf RE'!E33</f>
        <v>39500008</v>
      </c>
      <c r="E17" s="408">
        <f>'C4-FinPerf RE'!F33</f>
        <v>4955464</v>
      </c>
      <c r="F17" s="408">
        <f>'C4-FinPerf RE'!G33</f>
        <v>15239354</v>
      </c>
      <c r="G17" s="650">
        <f>'C4-FinPerf RE'!H33</f>
        <v>32916673.333333336</v>
      </c>
      <c r="H17" s="408">
        <f t="shared" si="1"/>
        <v>-17677319.333333336</v>
      </c>
      <c r="I17" s="207">
        <f t="shared" si="2"/>
        <v>-0.53703237730989828</v>
      </c>
      <c r="J17" s="642">
        <f>'C4-FinPerf RE'!K33</f>
        <v>39500008</v>
      </c>
    </row>
    <row r="18" spans="1:11" ht="12.75" customHeight="1" x14ac:dyDescent="0.25">
      <c r="A18" s="152" t="s">
        <v>434</v>
      </c>
      <c r="B18" s="648">
        <f>'C4-FinPerf RE'!C36-SUM('C1-Sum'!B12:B17)</f>
        <v>1122917651</v>
      </c>
      <c r="C18" s="649">
        <f>'C4-FinPerf RE'!D36-SUM('C1-Sum'!C12:C17)</f>
        <v>1141007125</v>
      </c>
      <c r="D18" s="408">
        <f>'C4-FinPerf RE'!E36-SUM('C1-Sum'!D12:D17)</f>
        <v>1314948063</v>
      </c>
      <c r="E18" s="408">
        <f>'C4-FinPerf RE'!F36-SUM('C1-Sum'!E12:E17)</f>
        <v>128295650.33333331</v>
      </c>
      <c r="F18" s="408">
        <f>'C4-FinPerf RE'!G36-SUM('C1-Sum'!F12:F17)</f>
        <v>1035356873.333333</v>
      </c>
      <c r="G18" s="650">
        <f>'C4-FinPerf RE'!H36-SUM('C1-Sum'!G12:G17)</f>
        <v>1095790052.5000002</v>
      </c>
      <c r="H18" s="408">
        <f t="shared" si="1"/>
        <v>-60433179.166667223</v>
      </c>
      <c r="I18" s="207">
        <f t="shared" si="2"/>
        <v>-5.5150326496203717E-2</v>
      </c>
      <c r="J18" s="642">
        <f>'C4-FinPerf RE'!K36-SUM('C1-Sum'!J12:J17)</f>
        <v>1314948063</v>
      </c>
    </row>
    <row r="19" spans="1:11" ht="12.75" customHeight="1" x14ac:dyDescent="0.25">
      <c r="A19" s="583" t="s">
        <v>488</v>
      </c>
      <c r="B19" s="660">
        <f t="shared" ref="B19:G19" si="3">SUM(B12:B18)</f>
        <v>4036122662</v>
      </c>
      <c r="C19" s="661">
        <f t="shared" si="3"/>
        <v>3679467136</v>
      </c>
      <c r="D19" s="662">
        <f t="shared" si="3"/>
        <v>3816732981</v>
      </c>
      <c r="E19" s="662">
        <f t="shared" si="3"/>
        <v>342867954.33333331</v>
      </c>
      <c r="F19" s="662">
        <f t="shared" si="3"/>
        <v>2945219140.333333</v>
      </c>
      <c r="G19" s="663">
        <f t="shared" si="3"/>
        <v>3180610817.5</v>
      </c>
      <c r="H19" s="662">
        <f t="shared" si="1"/>
        <v>-235391677.16666698</v>
      </c>
      <c r="I19" s="382">
        <f t="shared" si="2"/>
        <v>-7.4008324398420991E-2</v>
      </c>
      <c r="J19" s="664">
        <f>SUM(J12:J18)</f>
        <v>3816732981</v>
      </c>
    </row>
    <row r="20" spans="1:11" ht="12.75" customHeight="1" x14ac:dyDescent="0.25">
      <c r="A20" s="153" t="s">
        <v>489</v>
      </c>
      <c r="B20" s="665">
        <f t="shared" ref="B20:G20" si="4">B11-B19</f>
        <v>-392060223</v>
      </c>
      <c r="C20" s="666">
        <f t="shared" si="4"/>
        <v>127555941</v>
      </c>
      <c r="D20" s="637">
        <f t="shared" si="4"/>
        <v>128776137</v>
      </c>
      <c r="E20" s="637">
        <f t="shared" si="4"/>
        <v>-94407239.711333305</v>
      </c>
      <c r="F20" s="637">
        <f t="shared" si="4"/>
        <v>172798160.4246664</v>
      </c>
      <c r="G20" s="667">
        <f t="shared" si="4"/>
        <v>107313447.5</v>
      </c>
      <c r="H20" s="637">
        <f t="shared" si="1"/>
        <v>65484712.924666405</v>
      </c>
      <c r="I20" s="206">
        <f t="shared" si="2"/>
        <v>0.61021907738698267</v>
      </c>
      <c r="J20" s="641">
        <f>J11-J19</f>
        <v>128776137</v>
      </c>
    </row>
    <row r="21" spans="1:11" s="988" customFormat="1" ht="23.45" customHeight="1" x14ac:dyDescent="0.2">
      <c r="A21" s="990" t="str">
        <f>'C4-FinPerf RE'!A39</f>
        <v>Transfers and subsidies - capital (monetary allocations) (National / Provincial and District)</v>
      </c>
      <c r="B21" s="982">
        <f>'C4-FinPerf RE'!C39</f>
        <v>1291007356</v>
      </c>
      <c r="C21" s="983">
        <f>'C4-FinPerf RE'!D39</f>
        <v>874054850</v>
      </c>
      <c r="D21" s="984">
        <f>'C4-FinPerf RE'!E39</f>
        <v>847589342</v>
      </c>
      <c r="E21" s="984">
        <f>'C4-FinPerf RE'!F39</f>
        <v>56498148.071499996</v>
      </c>
      <c r="F21" s="984">
        <f>'C4-FinPerf RE'!G39</f>
        <v>497984573.8838501</v>
      </c>
      <c r="G21" s="985">
        <f>'C4-FinPerf RE'!H39</f>
        <v>706324451.66666675</v>
      </c>
      <c r="H21" s="984">
        <f t="shared" si="1"/>
        <v>-208339877.78281665</v>
      </c>
      <c r="I21" s="986">
        <f t="shared" si="2"/>
        <v>-0.29496342267524639</v>
      </c>
      <c r="J21" s="987">
        <f>'C4-FinPerf RE'!K39</f>
        <v>847589342</v>
      </c>
    </row>
    <row r="22" spans="1:11" ht="61.15" customHeight="1" x14ac:dyDescent="0.25">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1500000</v>
      </c>
      <c r="E22" s="409">
        <f>SUM('C4-FinPerf RE'!F40:F41)</f>
        <v>0</v>
      </c>
      <c r="F22" s="409">
        <f>SUM('C4-FinPerf RE'!G40:G41)</f>
        <v>0</v>
      </c>
      <c r="G22" s="653">
        <f>SUM('C4-FinPerf RE'!H40:H41)</f>
        <v>1250000</v>
      </c>
      <c r="H22" s="409">
        <f t="shared" si="1"/>
        <v>-1250000</v>
      </c>
      <c r="I22" s="208">
        <f t="shared" si="2"/>
        <v>-1</v>
      </c>
      <c r="J22" s="654">
        <f>SUM('C4-FinPerf RE'!K40:K41)</f>
        <v>1500000</v>
      </c>
    </row>
    <row r="23" spans="1:11" ht="25.5" x14ac:dyDescent="0.25">
      <c r="A23" s="347" t="s">
        <v>754</v>
      </c>
      <c r="B23" s="655">
        <f t="shared" ref="B23:G23" si="5">B20+B21+B22</f>
        <v>898947133</v>
      </c>
      <c r="C23" s="656">
        <f t="shared" si="5"/>
        <v>1003110791</v>
      </c>
      <c r="D23" s="657">
        <f t="shared" si="5"/>
        <v>977865479</v>
      </c>
      <c r="E23" s="657">
        <f t="shared" si="5"/>
        <v>-37909091.639833309</v>
      </c>
      <c r="F23" s="657">
        <f t="shared" si="5"/>
        <v>670782734.3085165</v>
      </c>
      <c r="G23" s="658">
        <f t="shared" si="5"/>
        <v>814887899.16666675</v>
      </c>
      <c r="H23" s="657">
        <f t="shared" si="1"/>
        <v>-144105164.85815024</v>
      </c>
      <c r="I23" s="592">
        <f t="shared" si="2"/>
        <v>-0.17684047708343356</v>
      </c>
      <c r="J23" s="659">
        <f>J20+J21+J22</f>
        <v>977865479</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895</v>
      </c>
      <c r="B25" s="665">
        <f t="shared" ref="B25:G25" si="6">B23+B24</f>
        <v>898947133</v>
      </c>
      <c r="C25" s="666">
        <f t="shared" si="6"/>
        <v>1003110791</v>
      </c>
      <c r="D25" s="637">
        <f t="shared" si="6"/>
        <v>977865479</v>
      </c>
      <c r="E25" s="637">
        <f t="shared" si="6"/>
        <v>-37909091.639833309</v>
      </c>
      <c r="F25" s="637">
        <f t="shared" si="6"/>
        <v>670782734.3085165</v>
      </c>
      <c r="G25" s="667">
        <f t="shared" si="6"/>
        <v>814887899.16666675</v>
      </c>
      <c r="H25" s="637">
        <f t="shared" si="1"/>
        <v>-144105164.85815024</v>
      </c>
      <c r="I25" s="206">
        <f t="shared" si="2"/>
        <v>-0.17684047708343356</v>
      </c>
      <c r="J25" s="641">
        <f>J23+J24</f>
        <v>977865479</v>
      </c>
    </row>
    <row r="26" spans="1:11" ht="5.0999999999999996" customHeight="1" x14ac:dyDescent="0.25">
      <c r="A26" s="154"/>
      <c r="B26" s="209"/>
      <c r="C26" s="210"/>
      <c r="D26" s="32"/>
      <c r="E26" s="32"/>
      <c r="F26" s="32"/>
      <c r="G26" s="32"/>
      <c r="H26" s="32"/>
      <c r="I26" s="211"/>
      <c r="J26" s="212"/>
    </row>
    <row r="27" spans="1:11" ht="12.75" customHeight="1" x14ac:dyDescent="0.25">
      <c r="A27" s="151" t="s">
        <v>929</v>
      </c>
      <c r="B27" s="213"/>
      <c r="C27" s="214"/>
      <c r="D27" s="30"/>
      <c r="E27" s="30"/>
      <c r="F27" s="30"/>
      <c r="G27" s="30"/>
      <c r="H27" s="30"/>
      <c r="I27" s="215"/>
      <c r="J27" s="216"/>
    </row>
    <row r="28" spans="1:11" ht="12.75" customHeight="1" x14ac:dyDescent="0.25">
      <c r="A28" s="153" t="s">
        <v>583</v>
      </c>
      <c r="B28" s="660">
        <f>'C5-Capex'!C40</f>
        <v>1193444879.635</v>
      </c>
      <c r="C28" s="661">
        <f>'C5-Capex'!D40</f>
        <v>1201498682</v>
      </c>
      <c r="D28" s="662">
        <f>'C5-Capex'!E40</f>
        <v>1039881041.4196346</v>
      </c>
      <c r="E28" s="662">
        <f>'C5-Capex'!F40</f>
        <v>111884524.52599999</v>
      </c>
      <c r="F28" s="662">
        <f>'C5-Capex'!G40</f>
        <v>603015633.11534989</v>
      </c>
      <c r="G28" s="663">
        <f>'C5-Capex'!H40</f>
        <v>866567534.51636219</v>
      </c>
      <c r="H28" s="662">
        <f t="shared" ref="H28:H33" si="7">F28-G28</f>
        <v>-263551901.4010123</v>
      </c>
      <c r="I28" s="382">
        <f t="shared" ref="I28:I33" si="8">IF(H28=0,"",H28/G28)</f>
        <v>-0.30413313550697763</v>
      </c>
      <c r="J28" s="664">
        <f>'C5-Capex'!K40</f>
        <v>1039881041.4196346</v>
      </c>
    </row>
    <row r="29" spans="1:11" ht="12.75" customHeight="1" x14ac:dyDescent="0.25">
      <c r="A29" s="152" t="s">
        <v>499</v>
      </c>
      <c r="B29" s="648">
        <f>'C5-Capex'!C70</f>
        <v>1027911100.455</v>
      </c>
      <c r="C29" s="649">
        <f>'C5-Capex'!D70</f>
        <v>875554850</v>
      </c>
      <c r="D29" s="408">
        <f>'C5-Capex'!E70</f>
        <v>849089340</v>
      </c>
      <c r="E29" s="408">
        <f>'C5-Capex'!F70</f>
        <v>56498148.071499996</v>
      </c>
      <c r="F29" s="408">
        <f>'C5-Capex'!G70</f>
        <v>501336082.58235013</v>
      </c>
      <c r="G29" s="650">
        <f>'C5-Capex'!H70</f>
        <v>707574450</v>
      </c>
      <c r="H29" s="408">
        <f t="shared" si="7"/>
        <v>-206238367.41764987</v>
      </c>
      <c r="I29" s="591">
        <f t="shared" si="8"/>
        <v>-0.29147232127679268</v>
      </c>
      <c r="J29" s="642">
        <f>'C5-Capex'!K70</f>
        <v>849089340</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781</v>
      </c>
      <c r="B31" s="648">
        <f>'C5-Capex'!C72</f>
        <v>68562080.180000007</v>
      </c>
      <c r="C31" s="649">
        <f>'C5-Capex'!D72</f>
        <v>234922529</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96971699</v>
      </c>
      <c r="C32" s="661">
        <f>'C5-Capex'!D73</f>
        <v>91021303</v>
      </c>
      <c r="D32" s="662">
        <f>'C5-Capex'!E73</f>
        <v>190791702</v>
      </c>
      <c r="E32" s="662">
        <f>'C5-Capex'!F73</f>
        <v>55386376.164499998</v>
      </c>
      <c r="F32" s="662">
        <f>'C5-Capex'!G73</f>
        <v>101679550.52899998</v>
      </c>
      <c r="G32" s="663">
        <f>'C5-Capex'!H73</f>
        <v>158993085</v>
      </c>
      <c r="H32" s="662">
        <f t="shared" si="7"/>
        <v>-57313534.471000016</v>
      </c>
      <c r="I32" s="382">
        <f t="shared" si="8"/>
        <v>-0.36047815834883645</v>
      </c>
      <c r="J32" s="664">
        <f>'C5-Capex'!K73</f>
        <v>190791702</v>
      </c>
      <c r="K32" s="156"/>
    </row>
    <row r="33" spans="1:10" ht="12.75" customHeight="1" x14ac:dyDescent="0.25">
      <c r="A33" s="583" t="s">
        <v>137</v>
      </c>
      <c r="B33" s="668">
        <f t="shared" ref="B33:G33" si="9">+B29+B31+B32</f>
        <v>1193444879.635</v>
      </c>
      <c r="C33" s="613">
        <f t="shared" si="9"/>
        <v>1201498682</v>
      </c>
      <c r="D33" s="611">
        <f t="shared" si="9"/>
        <v>1039881042</v>
      </c>
      <c r="E33" s="611">
        <f t="shared" si="9"/>
        <v>111884524.236</v>
      </c>
      <c r="F33" s="611">
        <f t="shared" si="9"/>
        <v>603015633.11135006</v>
      </c>
      <c r="G33" s="612">
        <f t="shared" si="9"/>
        <v>866567535</v>
      </c>
      <c r="H33" s="611">
        <f t="shared" si="7"/>
        <v>-263551901.88864994</v>
      </c>
      <c r="I33" s="594">
        <f t="shared" si="8"/>
        <v>-0.30413313589996183</v>
      </c>
      <c r="J33" s="614">
        <f>+J29+J31+J32</f>
        <v>1039881042</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634</v>
      </c>
      <c r="B36" s="648">
        <f>'C6-FinPos'!C13</f>
        <v>1306618144</v>
      </c>
      <c r="C36" s="649">
        <f>'C6-FinPos'!D13</f>
        <v>839130974.06865144</v>
      </c>
      <c r="D36" s="408">
        <f>'C6-FinPos'!E13</f>
        <v>919783533.46999896</v>
      </c>
      <c r="E36" s="408"/>
      <c r="F36" s="408">
        <f>'C6-FinPos'!F13</f>
        <v>2304174142.2499995</v>
      </c>
      <c r="G36" s="217"/>
      <c r="H36" s="217"/>
      <c r="I36" s="219"/>
      <c r="J36" s="642">
        <f>'C6-FinPos'!G13</f>
        <v>926532288.76999998</v>
      </c>
    </row>
    <row r="37" spans="1:10" ht="12.75" customHeight="1" x14ac:dyDescent="0.25">
      <c r="A37" s="152" t="s">
        <v>633</v>
      </c>
      <c r="B37" s="648">
        <f>'C6-FinPos'!C25</f>
        <v>16742379618.41</v>
      </c>
      <c r="C37" s="649">
        <f>'C6-FinPos'!D25</f>
        <v>17297809914</v>
      </c>
      <c r="D37" s="408">
        <f>'C6-FinPos'!E25</f>
        <v>17136192278</v>
      </c>
      <c r="E37" s="408"/>
      <c r="F37" s="408">
        <f>'C6-FinPos'!F25</f>
        <v>17171403238.67</v>
      </c>
      <c r="G37" s="217"/>
      <c r="H37" s="217"/>
      <c r="I37" s="219"/>
      <c r="J37" s="642">
        <f>'C6-FinPos'!G25</f>
        <v>17327452914</v>
      </c>
    </row>
    <row r="38" spans="1:10" ht="12.75" customHeight="1" x14ac:dyDescent="0.25">
      <c r="A38" s="152" t="s">
        <v>459</v>
      </c>
      <c r="B38" s="648">
        <f>'C6-FinPos'!C35</f>
        <v>1395464069</v>
      </c>
      <c r="C38" s="649">
        <f>'C6-FinPos'!D35</f>
        <v>672490173</v>
      </c>
      <c r="D38" s="408">
        <f>'C6-FinPos'!E35</f>
        <v>672490173</v>
      </c>
      <c r="E38" s="408"/>
      <c r="F38" s="408">
        <f>'C6-FinPos'!F35</f>
        <v>1074606436.24</v>
      </c>
      <c r="G38" s="217"/>
      <c r="H38" s="217"/>
      <c r="I38" s="219"/>
      <c r="J38" s="642">
        <f>'C6-FinPos'!G35</f>
        <v>672490173</v>
      </c>
    </row>
    <row r="39" spans="1:10" ht="12.75" customHeight="1" x14ac:dyDescent="0.25">
      <c r="A39" s="152" t="s">
        <v>458</v>
      </c>
      <c r="B39" s="648">
        <f>'C6-FinPos'!C40</f>
        <v>807576838</v>
      </c>
      <c r="C39" s="649">
        <f>'C6-FinPos'!D40</f>
        <v>1102862653</v>
      </c>
      <c r="D39" s="408">
        <f>'C6-FinPos'!E40</f>
        <v>867940124</v>
      </c>
      <c r="E39" s="408"/>
      <c r="F39" s="408">
        <f>'C6-FinPos'!F40</f>
        <v>807576838</v>
      </c>
      <c r="G39" s="217"/>
      <c r="H39" s="217"/>
      <c r="I39" s="219"/>
      <c r="J39" s="642">
        <f>'C6-FinPos'!G40</f>
        <v>1102862653</v>
      </c>
    </row>
    <row r="40" spans="1:10" ht="12.75" customHeight="1" x14ac:dyDescent="0.25">
      <c r="A40" s="152" t="s">
        <v>136</v>
      </c>
      <c r="B40" s="665">
        <f>'C6-FinPos'!C48</f>
        <v>15845956855.41</v>
      </c>
      <c r="C40" s="666">
        <f>'C6-FinPos'!D48</f>
        <v>16361588062.068653</v>
      </c>
      <c r="D40" s="637">
        <f>'C6-FinPos'!E48</f>
        <v>16515545514.469997</v>
      </c>
      <c r="E40" s="408"/>
      <c r="F40" s="637">
        <f>'C6-FinPos'!F48</f>
        <v>17593394106.679996</v>
      </c>
      <c r="G40" s="595"/>
      <c r="H40" s="595"/>
      <c r="I40" s="596"/>
      <c r="J40" s="641">
        <f>'C6-FinPos'!G48</f>
        <v>16478632376.77</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650</v>
      </c>
      <c r="B43" s="648">
        <f>'C7-CFlow'!C18</f>
        <v>1346398075</v>
      </c>
      <c r="C43" s="649">
        <f>'C7-CFlow'!D18</f>
        <v>1084018651</v>
      </c>
      <c r="D43" s="408">
        <f>'C7-CFlow'!E18</f>
        <v>934382196</v>
      </c>
      <c r="E43" s="408">
        <f>'C7-CFlow'!F18</f>
        <v>-51022812.439999998</v>
      </c>
      <c r="F43" s="408">
        <f>'C7-CFlow'!G18</f>
        <v>814166952.68134975</v>
      </c>
      <c r="G43" s="650">
        <f>'C7-CFlow'!H18</f>
        <v>778651829.99999952</v>
      </c>
      <c r="H43" s="408">
        <f>G43-F43</f>
        <v>-35515122.681350231</v>
      </c>
      <c r="I43" s="207">
        <f>IF(H43=0,"",H43/G43)</f>
        <v>-4.5611043746407495E-2</v>
      </c>
      <c r="J43" s="642">
        <f>'C7-CFlow'!K18</f>
        <v>934382196</v>
      </c>
    </row>
    <row r="44" spans="1:10" ht="12.75" customHeight="1" x14ac:dyDescent="0.25">
      <c r="A44" s="152" t="s">
        <v>651</v>
      </c>
      <c r="B44" s="648">
        <f>'C7-CFlow'!C28</f>
        <v>-989251478.33000004</v>
      </c>
      <c r="C44" s="649">
        <f>'C7-CFlow'!D28</f>
        <v>-1165453720</v>
      </c>
      <c r="D44" s="408">
        <f>'C7-CFlow'!E28</f>
        <v>-1008770125</v>
      </c>
      <c r="E44" s="408">
        <f>'C7-CFlow'!F28</f>
        <v>-111884524.236</v>
      </c>
      <c r="F44" s="408">
        <f>'C7-CFlow'!G28</f>
        <v>-603015633.11135006</v>
      </c>
      <c r="G44" s="650">
        <f>'C7-CFlow'!H28</f>
        <v>-840641770.83333325</v>
      </c>
      <c r="H44" s="408">
        <f>G44-F44</f>
        <v>-237626137.72198319</v>
      </c>
      <c r="I44" s="207">
        <f>IF(H44=0,"",H44/G44)</f>
        <v>0.2826722939147111</v>
      </c>
      <c r="J44" s="642">
        <f>'C7-CFlow'!K28</f>
        <v>-1008770125</v>
      </c>
    </row>
    <row r="45" spans="1:10" ht="12.75" customHeight="1" x14ac:dyDescent="0.25">
      <c r="A45" s="152" t="s">
        <v>649</v>
      </c>
      <c r="B45" s="648">
        <f>'C7-CFlow'!C37</f>
        <v>-68112477</v>
      </c>
      <c r="C45" s="649">
        <f>'C7-CFlow'!D37</f>
        <v>170717537</v>
      </c>
      <c r="D45" s="408">
        <f>'C7-CFlow'!E37</f>
        <v>-63705000</v>
      </c>
      <c r="E45" s="408">
        <f>'C7-CFlow'!F37</f>
        <v>0</v>
      </c>
      <c r="F45" s="408">
        <f>'C7-CFlow'!G37</f>
        <v>-20813208.59</v>
      </c>
      <c r="G45" s="650">
        <f>'C7-CFlow'!H37</f>
        <v>-53087500.000000007</v>
      </c>
      <c r="H45" s="408">
        <f>G45-F45</f>
        <v>-32274291.410000008</v>
      </c>
      <c r="I45" s="207">
        <f>IF(H45=0,"",H45/G45)</f>
        <v>0.60794521139627977</v>
      </c>
      <c r="J45" s="642">
        <f>'C7-CFlow'!K37</f>
        <v>-63705000</v>
      </c>
    </row>
    <row r="46" spans="1:10" ht="12.75" customHeight="1" x14ac:dyDescent="0.25">
      <c r="A46" s="153" t="s">
        <v>54</v>
      </c>
      <c r="B46" s="665">
        <f>'C7-CFlow'!C41</f>
        <v>420294251.66999996</v>
      </c>
      <c r="C46" s="666">
        <f>'C7-CFlow'!D41</f>
        <v>195851553</v>
      </c>
      <c r="D46" s="637">
        <f>'C7-CFlow'!E41</f>
        <v>276504153.76999998</v>
      </c>
      <c r="E46" s="637">
        <f>'C7-CFlow'!F41</f>
        <v>0</v>
      </c>
      <c r="F46" s="637">
        <f>'C7-CFlow'!G41</f>
        <v>604935157.24999964</v>
      </c>
      <c r="G46" s="667">
        <f>'C7-CFlow'!H41</f>
        <v>299519641.93666625</v>
      </c>
      <c r="H46" s="637">
        <f>G46-F46</f>
        <v>-305415515.31333339</v>
      </c>
      <c r="I46" s="206">
        <f>IF(H46=0,"",H46/G46)</f>
        <v>-1.0196844298375392</v>
      </c>
      <c r="J46" s="641">
        <f>'C7-CFlow'!K41</f>
        <v>276504117.26999998</v>
      </c>
    </row>
    <row r="47" spans="1:10" ht="5.0999999999999996" customHeight="1" x14ac:dyDescent="0.25">
      <c r="A47" s="177"/>
      <c r="B47" s="209"/>
      <c r="C47" s="210"/>
      <c r="D47" s="32"/>
      <c r="E47" s="32"/>
      <c r="F47" s="32"/>
      <c r="G47" s="32"/>
      <c r="H47" s="32"/>
      <c r="I47" s="211"/>
      <c r="J47" s="212"/>
    </row>
    <row r="48" spans="1:10" ht="25.5" customHeight="1" x14ac:dyDescent="0.25">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150513412</v>
      </c>
      <c r="C50" s="649">
        <f>'SC3'!D14</f>
        <v>65031828</v>
      </c>
      <c r="D50" s="408">
        <f>'SC3'!E14</f>
        <v>45087022</v>
      </c>
      <c r="E50" s="408">
        <f>'SC3'!F14</f>
        <v>41798329</v>
      </c>
      <c r="F50" s="408">
        <f>'SC3'!G14</f>
        <v>37595272</v>
      </c>
      <c r="G50" s="650">
        <f>'SC3'!H14</f>
        <v>40381341</v>
      </c>
      <c r="H50" s="408">
        <f>'SC3'!I14</f>
        <v>166492701</v>
      </c>
      <c r="I50" s="650">
        <f>'SC3'!J14</f>
        <v>1105146081</v>
      </c>
      <c r="J50" s="642">
        <f>'SC3'!K14</f>
        <v>1652045986</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104454801.90000001</v>
      </c>
      <c r="C52" s="649">
        <f>'SC4'!D15</f>
        <v>0</v>
      </c>
      <c r="D52" s="408">
        <f>'SC4'!E15</f>
        <v>0</v>
      </c>
      <c r="E52" s="408">
        <f>'SC4'!F15</f>
        <v>0</v>
      </c>
      <c r="F52" s="408">
        <f>'SC4'!G15</f>
        <v>0</v>
      </c>
      <c r="G52" s="650">
        <f>'SC4'!H15</f>
        <v>0</v>
      </c>
      <c r="H52" s="408">
        <f>'SC4'!I15</f>
        <v>0</v>
      </c>
      <c r="I52" s="650">
        <f>'SC4'!J15</f>
        <v>0</v>
      </c>
      <c r="J52" s="642">
        <f>'SC4'!K15</f>
        <v>104454801.90000001</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4"/>
      <c r="B55" s="1044"/>
      <c r="C55" s="1044"/>
      <c r="D55" s="1044"/>
      <c r="E55" s="1044"/>
      <c r="F55" s="1044"/>
      <c r="G55" s="1044"/>
      <c r="H55" s="1044"/>
      <c r="I55" s="1044"/>
      <c r="J55" s="104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35" activePane="bottomRight" state="frozen"/>
      <selection pane="topRight"/>
      <selection pane="bottomLeft"/>
      <selection pane="bottomRight" activeCell="F26" sqref="F26:G26"/>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54" t="str">
        <f>muni&amp; " - "&amp;S71A&amp; " - "&amp;date</f>
        <v>LIM354 Polokwane - Table C2 Monthly Budget Statement - Financial Performance (functional classification) - M10 April</v>
      </c>
      <c r="B1" s="1054"/>
      <c r="C1" s="1054"/>
      <c r="D1" s="1054"/>
      <c r="E1" s="1054"/>
      <c r="F1" s="1054"/>
      <c r="G1" s="1054"/>
      <c r="H1" s="1054"/>
      <c r="I1" s="1054"/>
      <c r="J1" s="1054"/>
      <c r="K1" s="1054"/>
    </row>
    <row r="2" spans="1:18" x14ac:dyDescent="0.25">
      <c r="A2" s="1052" t="str">
        <f>desc</f>
        <v>Description</v>
      </c>
      <c r="B2" s="1050" t="str">
        <f>head27</f>
        <v>Ref</v>
      </c>
      <c r="C2" s="24" t="str">
        <f>Head1</f>
        <v>2019/20</v>
      </c>
      <c r="D2" s="231" t="str">
        <f>Head2</f>
        <v>Budget Year 2020/21</v>
      </c>
      <c r="E2" s="229"/>
      <c r="F2" s="229"/>
      <c r="G2" s="229"/>
      <c r="H2" s="229"/>
      <c r="I2" s="229"/>
      <c r="J2" s="229"/>
      <c r="K2" s="230"/>
    </row>
    <row r="3" spans="1:18" ht="25.5"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669</v>
      </c>
      <c r="B4" s="425">
        <v>1</v>
      </c>
      <c r="C4" s="423"/>
      <c r="D4" s="240"/>
      <c r="E4" s="241"/>
      <c r="F4" s="82"/>
      <c r="G4" s="82"/>
      <c r="H4" s="82"/>
      <c r="I4" s="82"/>
      <c r="J4" s="242" t="s">
        <v>577</v>
      </c>
      <c r="K4" s="223"/>
    </row>
    <row r="5" spans="1:18" ht="12.75" customHeight="1" x14ac:dyDescent="0.25">
      <c r="A5" s="35" t="s">
        <v>1128</v>
      </c>
      <c r="B5" s="426"/>
      <c r="C5" s="226"/>
      <c r="D5" s="432"/>
      <c r="E5" s="238"/>
      <c r="F5" s="238"/>
      <c r="G5" s="238"/>
      <c r="H5" s="238"/>
      <c r="I5" s="238"/>
      <c r="J5" s="238"/>
      <c r="K5" s="239"/>
      <c r="L5" s="100"/>
    </row>
    <row r="6" spans="1:18" ht="12.75" customHeight="1" x14ac:dyDescent="0.25">
      <c r="A6" s="414" t="s">
        <v>138</v>
      </c>
      <c r="B6" s="415"/>
      <c r="C6" s="641">
        <f t="shared" ref="C6:H6" si="0">SUM(C7:C9)</f>
        <v>3271959105.1399994</v>
      </c>
      <c r="D6" s="669">
        <f t="shared" si="0"/>
        <v>2742972440</v>
      </c>
      <c r="E6" s="637">
        <f t="shared" si="0"/>
        <v>2908778973</v>
      </c>
      <c r="F6" s="637">
        <f t="shared" si="0"/>
        <v>165957471.88349998</v>
      </c>
      <c r="G6" s="637">
        <f t="shared" si="0"/>
        <v>2380162532.9218493</v>
      </c>
      <c r="H6" s="637">
        <f t="shared" si="0"/>
        <v>2423982477.5</v>
      </c>
      <c r="I6" s="47">
        <f t="shared" ref="I6:I13" si="1">G6-H6</f>
        <v>-43819944.578150749</v>
      </c>
      <c r="J6" s="200">
        <f>IF(I6=0,"",I6/H6)</f>
        <v>-1.8077665570975957E-2</v>
      </c>
      <c r="K6" s="641">
        <f>SUM(K7:K9)</f>
        <v>2908778973</v>
      </c>
      <c r="L6" s="100"/>
      <c r="Q6" s="69"/>
      <c r="R6" s="70"/>
    </row>
    <row r="7" spans="1:18" ht="12.75" customHeight="1" x14ac:dyDescent="0.25">
      <c r="A7" s="416" t="s">
        <v>108</v>
      </c>
      <c r="B7" s="415"/>
      <c r="C7" s="642">
        <f>'C2C'!C7</f>
        <v>-22802.48</v>
      </c>
      <c r="D7" s="670">
        <f>'C2C'!D7</f>
        <v>1504180</v>
      </c>
      <c r="E7" s="408">
        <f>'C2C'!E7</f>
        <v>1504180</v>
      </c>
      <c r="F7" s="408">
        <f>'C2C'!F7</f>
        <v>0</v>
      </c>
      <c r="G7" s="408">
        <f>'C2C'!G7</f>
        <v>0</v>
      </c>
      <c r="H7" s="408">
        <f>'C2C'!H7</f>
        <v>1253483.3333333333</v>
      </c>
      <c r="I7" s="47">
        <f t="shared" si="1"/>
        <v>-1253483.3333333333</v>
      </c>
      <c r="J7" s="200">
        <f t="shared" ref="J7:J26" si="2">IF(I7=0,"",I7/H7)</f>
        <v>-1</v>
      </c>
      <c r="K7" s="642">
        <f>'C2C'!K7</f>
        <v>1504180</v>
      </c>
      <c r="L7" s="100"/>
      <c r="Q7" s="69"/>
      <c r="R7" s="70"/>
    </row>
    <row r="8" spans="1:18" ht="12.75" customHeight="1" x14ac:dyDescent="0.25">
      <c r="A8" s="416" t="s">
        <v>1115</v>
      </c>
      <c r="B8" s="415"/>
      <c r="C8" s="643">
        <f>'C2C'!C10</f>
        <v>3271981907.6199994</v>
      </c>
      <c r="D8" s="671">
        <f>'C2C'!D10</f>
        <v>2741467215</v>
      </c>
      <c r="E8" s="672">
        <f>'C2C'!E10</f>
        <v>2907273748</v>
      </c>
      <c r="F8" s="672">
        <f>'C2C'!F10</f>
        <v>165957471.88349998</v>
      </c>
      <c r="G8" s="672">
        <f>'C2C'!G10</f>
        <v>2380162532.9218493</v>
      </c>
      <c r="H8" s="672">
        <f>'C2C'!H10</f>
        <v>2422728123.333333</v>
      </c>
      <c r="I8" s="47">
        <f t="shared" si="1"/>
        <v>-42565590.411483765</v>
      </c>
      <c r="J8" s="200">
        <f t="shared" si="2"/>
        <v>-1.7569280680541033E-2</v>
      </c>
      <c r="K8" s="673">
        <f>'C2C'!K10</f>
        <v>2907273748</v>
      </c>
      <c r="L8" s="100"/>
      <c r="Q8" s="69"/>
      <c r="R8" s="70"/>
    </row>
    <row r="9" spans="1:18" ht="12.75" customHeight="1" x14ac:dyDescent="0.25">
      <c r="A9" s="416" t="s">
        <v>1126</v>
      </c>
      <c r="B9" s="415"/>
      <c r="C9" s="642">
        <f>'C2C'!C24</f>
        <v>0</v>
      </c>
      <c r="D9" s="670">
        <f>'C2C'!D24</f>
        <v>1045</v>
      </c>
      <c r="E9" s="408">
        <f>'C2C'!E24</f>
        <v>1045</v>
      </c>
      <c r="F9" s="408">
        <f>'C2C'!F24</f>
        <v>0</v>
      </c>
      <c r="G9" s="408">
        <f>'C2C'!G24</f>
        <v>0</v>
      </c>
      <c r="H9" s="408">
        <f>'C2C'!H24</f>
        <v>870.83333333333326</v>
      </c>
      <c r="I9" s="47">
        <f t="shared" si="1"/>
        <v>-870.83333333333326</v>
      </c>
      <c r="J9" s="200">
        <f t="shared" si="2"/>
        <v>-1</v>
      </c>
      <c r="K9" s="642">
        <f>'C2C'!K24</f>
        <v>1045</v>
      </c>
      <c r="L9" s="100"/>
      <c r="Q9" s="69"/>
      <c r="R9" s="70"/>
    </row>
    <row r="10" spans="1:18" ht="12.75" customHeight="1" x14ac:dyDescent="0.25">
      <c r="A10" s="414" t="s">
        <v>109</v>
      </c>
      <c r="B10" s="415"/>
      <c r="C10" s="641">
        <f t="shared" ref="C10:H10" si="3">SUM(C11:C15)</f>
        <v>7210786.7200000007</v>
      </c>
      <c r="D10" s="669">
        <f t="shared" si="3"/>
        <v>16214345</v>
      </c>
      <c r="E10" s="637">
        <f t="shared" si="3"/>
        <v>12714345</v>
      </c>
      <c r="F10" s="637">
        <f t="shared" si="3"/>
        <v>572512.80000000005</v>
      </c>
      <c r="G10" s="637">
        <f t="shared" si="3"/>
        <v>6890994.4800000004</v>
      </c>
      <c r="H10" s="637">
        <f t="shared" si="3"/>
        <v>10595287.500000002</v>
      </c>
      <c r="I10" s="47">
        <f t="shared" si="1"/>
        <v>-3704293.0200000014</v>
      </c>
      <c r="J10" s="200">
        <f t="shared" si="2"/>
        <v>-0.34961703681943512</v>
      </c>
      <c r="K10" s="641">
        <f>SUM(K11:K15)</f>
        <v>12714345</v>
      </c>
      <c r="L10" s="100"/>
      <c r="Q10" s="69"/>
      <c r="R10" s="70"/>
    </row>
    <row r="11" spans="1:18" ht="12.75" customHeight="1" x14ac:dyDescent="0.25">
      <c r="A11" s="416" t="s">
        <v>110</v>
      </c>
      <c r="B11" s="415"/>
      <c r="C11" s="642">
        <f>'C2C'!C27</f>
        <v>1851206.5100000002</v>
      </c>
      <c r="D11" s="670">
        <f>'C2C'!D27</f>
        <v>4201298</v>
      </c>
      <c r="E11" s="408">
        <f>'C2C'!E27</f>
        <v>4201298</v>
      </c>
      <c r="F11" s="408">
        <f>'C2C'!F27</f>
        <v>107137</v>
      </c>
      <c r="G11" s="408">
        <f>'C2C'!G27</f>
        <v>1456669</v>
      </c>
      <c r="H11" s="408">
        <f>'C2C'!H27</f>
        <v>3501081.666666667</v>
      </c>
      <c r="I11" s="47">
        <f t="shared" si="1"/>
        <v>-2044412.666666667</v>
      </c>
      <c r="J11" s="200">
        <f t="shared" si="2"/>
        <v>-0.58393744028631156</v>
      </c>
      <c r="K11" s="642">
        <f>'C2C'!K27</f>
        <v>4201298</v>
      </c>
      <c r="L11" s="100"/>
      <c r="Q11" s="69"/>
      <c r="R11" s="70"/>
    </row>
    <row r="12" spans="1:18" ht="12.75" customHeight="1" x14ac:dyDescent="0.25">
      <c r="A12" s="416" t="s">
        <v>111</v>
      </c>
      <c r="B12" s="415"/>
      <c r="C12" s="642">
        <f>'C2C'!C49</f>
        <v>3524917.7600000002</v>
      </c>
      <c r="D12" s="670">
        <f>'C2C'!D49</f>
        <v>11149486</v>
      </c>
      <c r="E12" s="408">
        <f>'C2C'!E49</f>
        <v>7649486</v>
      </c>
      <c r="F12" s="408">
        <f>'C2C'!F49</f>
        <v>239791</v>
      </c>
      <c r="G12" s="408">
        <f>'C2C'!G49</f>
        <v>3613143</v>
      </c>
      <c r="H12" s="408">
        <f>'C2C'!H49</f>
        <v>6374571.6666666679</v>
      </c>
      <c r="I12" s="47">
        <f t="shared" si="1"/>
        <v>-2761428.6666666679</v>
      </c>
      <c r="J12" s="200">
        <f t="shared" si="2"/>
        <v>-0.43319438717843273</v>
      </c>
      <c r="K12" s="642">
        <f>'C2C'!K49</f>
        <v>7649486</v>
      </c>
      <c r="L12" s="100"/>
      <c r="Q12" s="69"/>
      <c r="R12" s="70"/>
    </row>
    <row r="13" spans="1:18" ht="12.75" customHeight="1" x14ac:dyDescent="0.25">
      <c r="A13" s="416" t="s">
        <v>112</v>
      </c>
      <c r="B13" s="415"/>
      <c r="C13" s="642">
        <f>'C2C'!C55</f>
        <v>853836.51</v>
      </c>
      <c r="D13" s="670">
        <f>'C2C'!D55</f>
        <v>340511</v>
      </c>
      <c r="E13" s="408">
        <f>'C2C'!E55</f>
        <v>340511</v>
      </c>
      <c r="F13" s="408">
        <f>'C2C'!F55</f>
        <v>128935</v>
      </c>
      <c r="G13" s="408">
        <f>'C2C'!G55</f>
        <v>963324</v>
      </c>
      <c r="H13" s="408">
        <f>'C2C'!H55</f>
        <v>283759.16666666669</v>
      </c>
      <c r="I13" s="47">
        <f t="shared" si="1"/>
        <v>679564.83333333326</v>
      </c>
      <c r="J13" s="200">
        <f t="shared" si="2"/>
        <v>2.3948647767619837</v>
      </c>
      <c r="K13" s="642">
        <f>'C2C'!K55</f>
        <v>340511</v>
      </c>
      <c r="L13" s="100"/>
      <c r="Q13" s="69"/>
      <c r="R13" s="70"/>
    </row>
    <row r="14" spans="1:18" ht="12.75" customHeight="1" x14ac:dyDescent="0.25">
      <c r="A14" s="416" t="s">
        <v>713</v>
      </c>
      <c r="B14" s="415"/>
      <c r="C14" s="642">
        <f>'C2C'!C64</f>
        <v>980551.94</v>
      </c>
      <c r="D14" s="670">
        <f>'C2C'!D64</f>
        <v>519915</v>
      </c>
      <c r="E14" s="408">
        <f>'C2C'!E64</f>
        <v>519915</v>
      </c>
      <c r="F14" s="408">
        <f>'C2C'!F64</f>
        <v>96649.8</v>
      </c>
      <c r="G14" s="408">
        <f>'C2C'!G64</f>
        <v>857858.48</v>
      </c>
      <c r="H14" s="408">
        <f>'C2C'!H64</f>
        <v>433262.5</v>
      </c>
      <c r="I14" s="47">
        <f t="shared" ref="I14:I19" si="4">G14-H14</f>
        <v>424595.98</v>
      </c>
      <c r="J14" s="200">
        <f t="shared" ref="J14:J19" si="5">IF(I14=0,"",I14/H14)</f>
        <v>0.97999706875162285</v>
      </c>
      <c r="K14" s="642">
        <f>'C2C'!K64</f>
        <v>519915</v>
      </c>
      <c r="L14" s="100"/>
      <c r="Q14" s="69"/>
      <c r="R14" s="70"/>
    </row>
    <row r="15" spans="1:18" ht="12.75" customHeight="1" x14ac:dyDescent="0.25">
      <c r="A15" s="416" t="s">
        <v>612</v>
      </c>
      <c r="B15" s="415"/>
      <c r="C15" s="643">
        <f>'C2C'!C67</f>
        <v>274</v>
      </c>
      <c r="D15" s="671">
        <f>'C2C'!D67</f>
        <v>3135</v>
      </c>
      <c r="E15" s="672">
        <f>'C2C'!E67</f>
        <v>3135</v>
      </c>
      <c r="F15" s="672">
        <f>'C2C'!F67</f>
        <v>0</v>
      </c>
      <c r="G15" s="672">
        <f>'C2C'!G67</f>
        <v>0</v>
      </c>
      <c r="H15" s="672">
        <f>'C2C'!H67</f>
        <v>2612.5</v>
      </c>
      <c r="I15" s="47">
        <f t="shared" si="4"/>
        <v>-2612.5</v>
      </c>
      <c r="J15" s="200">
        <f t="shared" si="5"/>
        <v>-1</v>
      </c>
      <c r="K15" s="673">
        <f>'C2C'!K67</f>
        <v>3135</v>
      </c>
      <c r="L15" s="100"/>
      <c r="Q15" s="69"/>
      <c r="R15" s="70"/>
    </row>
    <row r="16" spans="1:18" ht="12.75" customHeight="1" x14ac:dyDescent="0.25">
      <c r="A16" s="414" t="s">
        <v>113</v>
      </c>
      <c r="B16" s="417"/>
      <c r="C16" s="641">
        <f t="shared" ref="C16:H16" si="6">SUM(C17:C19)</f>
        <v>164512870.41999999</v>
      </c>
      <c r="D16" s="669">
        <f t="shared" si="6"/>
        <v>143188134</v>
      </c>
      <c r="E16" s="637">
        <f t="shared" si="6"/>
        <v>135902134</v>
      </c>
      <c r="F16" s="637">
        <f t="shared" si="6"/>
        <v>14116746.279999999</v>
      </c>
      <c r="G16" s="637">
        <f t="shared" si="6"/>
        <v>102361418.5</v>
      </c>
      <c r="H16" s="637">
        <f t="shared" si="6"/>
        <v>113251778.33333333</v>
      </c>
      <c r="I16" s="47">
        <f t="shared" si="4"/>
        <v>-10890359.833333328</v>
      </c>
      <c r="J16" s="200">
        <f t="shared" si="5"/>
        <v>-9.6160607750280028E-2</v>
      </c>
      <c r="K16" s="641">
        <f>SUM(K17:K19)</f>
        <v>135902134</v>
      </c>
      <c r="L16" s="100"/>
      <c r="Q16" s="69"/>
      <c r="R16" s="70"/>
    </row>
    <row r="17" spans="1:18" ht="12.75" customHeight="1" x14ac:dyDescent="0.25">
      <c r="A17" s="416" t="s">
        <v>114</v>
      </c>
      <c r="B17" s="415"/>
      <c r="C17" s="642">
        <f>'C2C'!C76</f>
        <v>13049359.6</v>
      </c>
      <c r="D17" s="670">
        <f>'C2C'!D76</f>
        <v>53905406</v>
      </c>
      <c r="E17" s="408">
        <f>'C2C'!E76</f>
        <v>50405406</v>
      </c>
      <c r="F17" s="408">
        <f>'C2C'!F76</f>
        <v>2158353.86</v>
      </c>
      <c r="G17" s="408">
        <f>'C2C'!G76</f>
        <v>12523216.119999999</v>
      </c>
      <c r="H17" s="408">
        <f>'C2C'!H76</f>
        <v>42004505</v>
      </c>
      <c r="I17" s="47">
        <f t="shared" si="4"/>
        <v>-29481288.880000003</v>
      </c>
      <c r="J17" s="200">
        <f t="shared" si="5"/>
        <v>-0.70186016666545659</v>
      </c>
      <c r="K17" s="642">
        <f>'C2C'!K76</f>
        <v>50405406</v>
      </c>
      <c r="L17" s="100"/>
      <c r="Q17" s="69"/>
      <c r="R17" s="70"/>
    </row>
    <row r="18" spans="1:18" ht="12.75" customHeight="1" x14ac:dyDescent="0.25">
      <c r="A18" s="416" t="s">
        <v>115</v>
      </c>
      <c r="B18" s="415"/>
      <c r="C18" s="642">
        <f>'C2C'!C87</f>
        <v>151463510.81999999</v>
      </c>
      <c r="D18" s="670">
        <f>'C2C'!D87</f>
        <v>87293975</v>
      </c>
      <c r="E18" s="408">
        <f>'C2C'!E87</f>
        <v>83507975</v>
      </c>
      <c r="F18" s="408">
        <f>'C2C'!F87</f>
        <v>11958392.42</v>
      </c>
      <c r="G18" s="408">
        <f>'C2C'!G87</f>
        <v>89838202.379999995</v>
      </c>
      <c r="H18" s="408">
        <f>'C2C'!H87</f>
        <v>69589979.166666657</v>
      </c>
      <c r="I18" s="47">
        <f t="shared" si="4"/>
        <v>20248223.213333338</v>
      </c>
      <c r="J18" s="200">
        <f t="shared" si="5"/>
        <v>0.29096463967662978</v>
      </c>
      <c r="K18" s="642">
        <f>'C2C'!K87</f>
        <v>83507975</v>
      </c>
      <c r="L18" s="100"/>
      <c r="Q18" s="69"/>
      <c r="R18" s="70"/>
    </row>
    <row r="19" spans="1:18" ht="12.75" customHeight="1" x14ac:dyDescent="0.25">
      <c r="A19" s="416" t="s">
        <v>116</v>
      </c>
      <c r="B19" s="415"/>
      <c r="C19" s="642">
        <f>'C2C'!C92</f>
        <v>0</v>
      </c>
      <c r="D19" s="670">
        <f>'C2C'!D92</f>
        <v>1988753</v>
      </c>
      <c r="E19" s="408">
        <f>'C2C'!E92</f>
        <v>1988753</v>
      </c>
      <c r="F19" s="408">
        <f>'C2C'!F92</f>
        <v>0</v>
      </c>
      <c r="G19" s="408">
        <f>'C2C'!G92</f>
        <v>0</v>
      </c>
      <c r="H19" s="408">
        <f>'C2C'!H92</f>
        <v>1657294.1666666665</v>
      </c>
      <c r="I19" s="47">
        <f t="shared" si="4"/>
        <v>-1657294.1666666665</v>
      </c>
      <c r="J19" s="200">
        <f t="shared" si="5"/>
        <v>-1</v>
      </c>
      <c r="K19" s="642">
        <f>'C2C'!K92</f>
        <v>1988753</v>
      </c>
      <c r="L19" s="100"/>
      <c r="Q19" s="69"/>
      <c r="R19" s="70"/>
    </row>
    <row r="20" spans="1:18" ht="12.75" customHeight="1" x14ac:dyDescent="0.25">
      <c r="A20" s="414" t="s">
        <v>117</v>
      </c>
      <c r="B20" s="417"/>
      <c r="C20" s="641">
        <f>SUM(C21:C24)</f>
        <v>1491387032.72</v>
      </c>
      <c r="D20" s="669">
        <f t="shared" ref="D20:I20" si="7">SUM(D21:D24)</f>
        <v>1780203008</v>
      </c>
      <c r="E20" s="637">
        <f t="shared" si="7"/>
        <v>1737203008</v>
      </c>
      <c r="F20" s="637">
        <f t="shared" si="7"/>
        <v>124312131.73</v>
      </c>
      <c r="G20" s="637">
        <f t="shared" si="7"/>
        <v>1126586928.74</v>
      </c>
      <c r="H20" s="637">
        <f t="shared" si="7"/>
        <v>1447669173.3333335</v>
      </c>
      <c r="I20" s="47">
        <f t="shared" si="7"/>
        <v>-321082244.59333336</v>
      </c>
      <c r="J20" s="200">
        <f t="shared" si="2"/>
        <v>-0.22179255489292821</v>
      </c>
      <c r="K20" s="641">
        <f>SUM(K21:K24)</f>
        <v>1737203008</v>
      </c>
      <c r="L20" s="100"/>
      <c r="Q20" s="69"/>
      <c r="R20" s="70"/>
    </row>
    <row r="21" spans="1:18" ht="12.75" customHeight="1" x14ac:dyDescent="0.25">
      <c r="A21" s="416" t="s">
        <v>1183</v>
      </c>
      <c r="B21" s="415"/>
      <c r="C21" s="642">
        <f>'C2C'!C100</f>
        <v>1017318005.3600001</v>
      </c>
      <c r="D21" s="670">
        <f>'C2C'!D100</f>
        <v>1234593773</v>
      </c>
      <c r="E21" s="408">
        <f>'C2C'!E100</f>
        <v>1234593773</v>
      </c>
      <c r="F21" s="408">
        <f>'C2C'!F100</f>
        <v>89178477.730000004</v>
      </c>
      <c r="G21" s="408">
        <f>'C2C'!G100</f>
        <v>755956448.74000001</v>
      </c>
      <c r="H21" s="408">
        <f>'C2C'!H100</f>
        <v>1028828144.1666667</v>
      </c>
      <c r="I21" s="47">
        <f>G21-H21</f>
        <v>-272871695.42666674</v>
      </c>
      <c r="J21" s="200">
        <f t="shared" si="2"/>
        <v>-0.26522572984984599</v>
      </c>
      <c r="K21" s="642">
        <f>'C2C'!K100</f>
        <v>1234593773</v>
      </c>
      <c r="L21" s="100"/>
      <c r="Q21" s="69"/>
      <c r="R21" s="70"/>
    </row>
    <row r="22" spans="1:18" ht="12.75" customHeight="1" x14ac:dyDescent="0.25">
      <c r="A22" s="416" t="s">
        <v>1187</v>
      </c>
      <c r="B22" s="415"/>
      <c r="C22" s="642">
        <f>'C2C'!C104</f>
        <v>245579704.28999999</v>
      </c>
      <c r="D22" s="670">
        <f>'C2C'!D104</f>
        <v>296691354</v>
      </c>
      <c r="E22" s="408">
        <f>'C2C'!E104</f>
        <v>253691354</v>
      </c>
      <c r="F22" s="408">
        <f>'C2C'!F104</f>
        <v>14110805</v>
      </c>
      <c r="G22" s="408">
        <f>'C2C'!G104</f>
        <v>172331206</v>
      </c>
      <c r="H22" s="408">
        <f>'C2C'!H104</f>
        <v>211409461.66666666</v>
      </c>
      <c r="I22" s="47">
        <f>G22-H22</f>
        <v>-39078255.666666657</v>
      </c>
      <c r="J22" s="200">
        <f t="shared" si="2"/>
        <v>-0.1848462947617836</v>
      </c>
      <c r="K22" s="642">
        <f>'C2C'!K104</f>
        <v>253691354</v>
      </c>
      <c r="L22" s="100"/>
      <c r="Q22" s="69"/>
      <c r="R22" s="70"/>
    </row>
    <row r="23" spans="1:18" ht="12.75" customHeight="1" x14ac:dyDescent="0.25">
      <c r="A23" s="416" t="s">
        <v>118</v>
      </c>
      <c r="B23" s="415"/>
      <c r="C23" s="643">
        <f>'C2C'!C108</f>
        <v>113092925.72999999</v>
      </c>
      <c r="D23" s="671">
        <f>'C2C'!D108</f>
        <v>126898124</v>
      </c>
      <c r="E23" s="672">
        <f>'C2C'!E108</f>
        <v>126898124</v>
      </c>
      <c r="F23" s="672">
        <f>'C2C'!F108</f>
        <v>10719880</v>
      </c>
      <c r="G23" s="672">
        <f>'C2C'!G108</f>
        <v>94192104</v>
      </c>
      <c r="H23" s="672">
        <f>'C2C'!H108</f>
        <v>105748436.66666666</v>
      </c>
      <c r="I23" s="47">
        <f>G23-H23</f>
        <v>-11556332.666666657</v>
      </c>
      <c r="J23" s="200">
        <f t="shared" si="2"/>
        <v>-0.10928135706718556</v>
      </c>
      <c r="K23" s="673">
        <f>'C2C'!K108</f>
        <v>126898124</v>
      </c>
      <c r="L23" s="100"/>
      <c r="Q23" s="69"/>
      <c r="R23" s="70"/>
    </row>
    <row r="24" spans="1:18" ht="12.75" customHeight="1" x14ac:dyDescent="0.25">
      <c r="A24" s="416" t="s">
        <v>119</v>
      </c>
      <c r="B24" s="415"/>
      <c r="C24" s="642">
        <f>'C2C'!C113</f>
        <v>115396397.33999999</v>
      </c>
      <c r="D24" s="670">
        <f>'C2C'!D113</f>
        <v>122019757</v>
      </c>
      <c r="E24" s="408">
        <f>'C2C'!E113</f>
        <v>122019757</v>
      </c>
      <c r="F24" s="408">
        <f>'C2C'!F113</f>
        <v>10302969</v>
      </c>
      <c r="G24" s="408">
        <f>'C2C'!G113</f>
        <v>104107170</v>
      </c>
      <c r="H24" s="408">
        <f>'C2C'!H113</f>
        <v>101683130.83333334</v>
      </c>
      <c r="I24" s="47">
        <f>G24-H24</f>
        <v>2424039.1666666567</v>
      </c>
      <c r="J24" s="200">
        <f t="shared" si="2"/>
        <v>2.3839147622626292E-2</v>
      </c>
      <c r="K24" s="642">
        <f>'C2C'!K113</f>
        <v>122019757</v>
      </c>
      <c r="L24" s="100"/>
      <c r="Q24" s="69"/>
      <c r="R24" s="70"/>
    </row>
    <row r="25" spans="1:18" ht="12.75" customHeight="1" x14ac:dyDescent="0.25">
      <c r="A25" s="414" t="s">
        <v>720</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5">
      <c r="A26" s="92" t="s">
        <v>1200</v>
      </c>
      <c r="B26" s="585">
        <v>2</v>
      </c>
      <c r="C26" s="644">
        <f>C6+C10+C16+C20+C25</f>
        <v>4935069794.999999</v>
      </c>
      <c r="D26" s="598">
        <f t="shared" ref="D26:I26" si="8">D6+D10+D16+D20+D25</f>
        <v>4682577927</v>
      </c>
      <c r="E26" s="545">
        <f t="shared" si="8"/>
        <v>4794598460</v>
      </c>
      <c r="F26" s="545">
        <f t="shared" si="8"/>
        <v>304958862.69349998</v>
      </c>
      <c r="G26" s="545">
        <f t="shared" si="8"/>
        <v>3616001874.6418495</v>
      </c>
      <c r="H26" s="545">
        <f t="shared" si="8"/>
        <v>3995498716.666667</v>
      </c>
      <c r="I26" s="545">
        <f t="shared" si="8"/>
        <v>-379496842.02481747</v>
      </c>
      <c r="J26" s="599">
        <f t="shared" si="2"/>
        <v>-9.4981094710855293E-2</v>
      </c>
      <c r="K26" s="597">
        <f>K6+K10+K16+K20+K25</f>
        <v>4794598460</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1196</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1960378839.3599999</v>
      </c>
      <c r="D29" s="669">
        <f t="shared" si="9"/>
        <v>1205471628</v>
      </c>
      <c r="E29" s="637">
        <f t="shared" si="9"/>
        <v>1275556175</v>
      </c>
      <c r="F29" s="637">
        <f t="shared" si="9"/>
        <v>125147290.33333331</v>
      </c>
      <c r="G29" s="637">
        <f t="shared" si="9"/>
        <v>1136494595.333333</v>
      </c>
      <c r="H29" s="637">
        <f t="shared" si="9"/>
        <v>1062963479.1666667</v>
      </c>
      <c r="I29" s="47">
        <f t="shared" ref="I29:I48" si="10">G29-H29</f>
        <v>73531116.166666269</v>
      </c>
      <c r="J29" s="200">
        <f>IF(I29=0,"",I29/H29)</f>
        <v>6.9175580918652613E-2</v>
      </c>
      <c r="K29" s="641">
        <f>SUM(K30:K32)</f>
        <v>1275556175</v>
      </c>
      <c r="L29" s="100"/>
      <c r="Q29" s="69"/>
    </row>
    <row r="30" spans="1:18" ht="12.75" customHeight="1" x14ac:dyDescent="0.25">
      <c r="A30" s="416" t="s">
        <v>108</v>
      </c>
      <c r="B30" s="428"/>
      <c r="C30" s="642">
        <f>'C2C'!C129</f>
        <v>163442225.88999999</v>
      </c>
      <c r="D30" s="670">
        <f>'C2C'!D129</f>
        <v>383191111</v>
      </c>
      <c r="E30" s="408">
        <f>'C2C'!E129</f>
        <v>403428111</v>
      </c>
      <c r="F30" s="408">
        <f>'C2C'!F129</f>
        <v>23221488</v>
      </c>
      <c r="G30" s="408">
        <f>'C2C'!G129</f>
        <v>109746163</v>
      </c>
      <c r="H30" s="408">
        <f>'C2C'!H129</f>
        <v>336190092.5</v>
      </c>
      <c r="I30" s="47">
        <f t="shared" si="10"/>
        <v>-226443929.5</v>
      </c>
      <c r="J30" s="200">
        <f t="shared" ref="J30:J49" si="11">IF(I30=0,"",I30/H30)</f>
        <v>-0.67355919924975183</v>
      </c>
      <c r="K30" s="642">
        <f>'C2C'!K129</f>
        <v>403428111</v>
      </c>
      <c r="L30" s="100"/>
      <c r="Q30" s="69"/>
    </row>
    <row r="31" spans="1:18" ht="12.75" customHeight="1" x14ac:dyDescent="0.25">
      <c r="A31" s="416" t="s">
        <v>1115</v>
      </c>
      <c r="B31" s="428"/>
      <c r="C31" s="643">
        <f>'C2C'!C132</f>
        <v>1786070938.6500001</v>
      </c>
      <c r="D31" s="671">
        <f>'C2C'!D132</f>
        <v>810532650</v>
      </c>
      <c r="E31" s="672">
        <f>'C2C'!E132</f>
        <v>860480201</v>
      </c>
      <c r="F31" s="672">
        <f>'C2C'!F132</f>
        <v>101130165.33333331</v>
      </c>
      <c r="G31" s="672">
        <f>'C2C'!G132</f>
        <v>1018041020.333333</v>
      </c>
      <c r="H31" s="672">
        <f>'C2C'!H132</f>
        <v>717066834.16666675</v>
      </c>
      <c r="I31" s="47">
        <f t="shared" si="10"/>
        <v>300974186.16666627</v>
      </c>
      <c r="J31" s="200">
        <f t="shared" si="11"/>
        <v>0.41972961490603722</v>
      </c>
      <c r="K31" s="673">
        <f>'C2C'!K132</f>
        <v>860480201</v>
      </c>
      <c r="L31" s="100"/>
      <c r="Q31" s="69"/>
    </row>
    <row r="32" spans="1:18" ht="12.75" customHeight="1" x14ac:dyDescent="0.25">
      <c r="A32" s="416" t="s">
        <v>1126</v>
      </c>
      <c r="B32" s="428"/>
      <c r="C32" s="642">
        <f>'C2C'!C146</f>
        <v>10865674.82</v>
      </c>
      <c r="D32" s="670">
        <f>'C2C'!D146</f>
        <v>11747867</v>
      </c>
      <c r="E32" s="408">
        <f>'C2C'!E146</f>
        <v>11647863</v>
      </c>
      <c r="F32" s="408">
        <f>'C2C'!F146</f>
        <v>795637</v>
      </c>
      <c r="G32" s="408">
        <f>'C2C'!G146</f>
        <v>8707412</v>
      </c>
      <c r="H32" s="408">
        <f>'C2C'!H146</f>
        <v>9706552.5</v>
      </c>
      <c r="I32" s="47">
        <f t="shared" si="10"/>
        <v>-999140.5</v>
      </c>
      <c r="J32" s="200">
        <f t="shared" si="11"/>
        <v>-0.10293464131575036</v>
      </c>
      <c r="K32" s="642">
        <f>'C2C'!K146</f>
        <v>11647863</v>
      </c>
      <c r="L32" s="100"/>
      <c r="Q32" s="69"/>
    </row>
    <row r="33" spans="1:17" ht="12.75" customHeight="1" x14ac:dyDescent="0.25">
      <c r="A33" s="414" t="s">
        <v>109</v>
      </c>
      <c r="B33" s="428"/>
      <c r="C33" s="641">
        <f t="shared" ref="C33:H33" si="12">SUM(C34:C38)</f>
        <v>201706839.08999997</v>
      </c>
      <c r="D33" s="669">
        <f t="shared" si="12"/>
        <v>290602015</v>
      </c>
      <c r="E33" s="637">
        <f t="shared" si="12"/>
        <v>290204518</v>
      </c>
      <c r="F33" s="637">
        <f t="shared" si="12"/>
        <v>20963192</v>
      </c>
      <c r="G33" s="637">
        <f t="shared" si="12"/>
        <v>187194431</v>
      </c>
      <c r="H33" s="637">
        <f t="shared" si="12"/>
        <v>241837098.33333334</v>
      </c>
      <c r="I33" s="47">
        <f t="shared" si="10"/>
        <v>-54642667.333333343</v>
      </c>
      <c r="J33" s="200">
        <f t="shared" si="11"/>
        <v>-0.22594824247360618</v>
      </c>
      <c r="K33" s="641">
        <f>SUM(K34:K38)</f>
        <v>290204518</v>
      </c>
      <c r="L33" s="100"/>
      <c r="Q33" s="69"/>
    </row>
    <row r="34" spans="1:17" ht="12.75" customHeight="1" x14ac:dyDescent="0.25">
      <c r="A34" s="416" t="s">
        <v>110</v>
      </c>
      <c r="B34" s="428"/>
      <c r="C34" s="642">
        <f>'C2C'!C149</f>
        <v>62863355.659999996</v>
      </c>
      <c r="D34" s="670">
        <f>'C2C'!D149</f>
        <v>77523564</v>
      </c>
      <c r="E34" s="408">
        <f>'C2C'!E149</f>
        <v>77697367</v>
      </c>
      <c r="F34" s="408">
        <f>'C2C'!F149</f>
        <v>6988453</v>
      </c>
      <c r="G34" s="408">
        <f>'C2C'!G149</f>
        <v>50313110</v>
      </c>
      <c r="H34" s="408">
        <f>'C2C'!H149</f>
        <v>64747805.833333328</v>
      </c>
      <c r="I34" s="47">
        <f t="shared" si="10"/>
        <v>-14434695.833333328</v>
      </c>
      <c r="J34" s="200">
        <f t="shared" si="11"/>
        <v>-0.22293721999614216</v>
      </c>
      <c r="K34" s="642">
        <f>'C2C'!K149</f>
        <v>77697367</v>
      </c>
      <c r="L34" s="100"/>
      <c r="Q34" s="69"/>
    </row>
    <row r="35" spans="1:17" ht="12.75" customHeight="1" x14ac:dyDescent="0.25">
      <c r="A35" s="416" t="s">
        <v>111</v>
      </c>
      <c r="B35" s="428"/>
      <c r="C35" s="642">
        <f>'C2C'!C171</f>
        <v>70382757.530000001</v>
      </c>
      <c r="D35" s="670">
        <f>'C2C'!D171</f>
        <v>139720177</v>
      </c>
      <c r="E35" s="408">
        <f>'C2C'!E171</f>
        <v>139503877</v>
      </c>
      <c r="F35" s="408">
        <f>'C2C'!F171</f>
        <v>8009984</v>
      </c>
      <c r="G35" s="408">
        <f>'C2C'!G171</f>
        <v>77062355</v>
      </c>
      <c r="H35" s="408">
        <f>'C2C'!H171</f>
        <v>116253230.83333333</v>
      </c>
      <c r="I35" s="47">
        <f t="shared" si="10"/>
        <v>-39190875.833333328</v>
      </c>
      <c r="J35" s="200">
        <f t="shared" si="11"/>
        <v>-0.33711644444118205</v>
      </c>
      <c r="K35" s="642">
        <f>'C2C'!K171</f>
        <v>139503877</v>
      </c>
      <c r="L35" s="100"/>
      <c r="Q35" s="69"/>
    </row>
    <row r="36" spans="1:17" ht="12.75" customHeight="1" x14ac:dyDescent="0.25">
      <c r="A36" s="416" t="s">
        <v>112</v>
      </c>
      <c r="B36" s="426"/>
      <c r="C36" s="642">
        <f>'C2C'!C177</f>
        <v>54005183.709999993</v>
      </c>
      <c r="D36" s="670">
        <f>'C2C'!D177</f>
        <v>54804168</v>
      </c>
      <c r="E36" s="408">
        <f>'C2C'!E177</f>
        <v>54322168</v>
      </c>
      <c r="F36" s="408">
        <f>'C2C'!F177</f>
        <v>4716005</v>
      </c>
      <c r="G36" s="408">
        <f>'C2C'!G177</f>
        <v>47473698</v>
      </c>
      <c r="H36" s="408">
        <f>'C2C'!H177</f>
        <v>45268473.333333328</v>
      </c>
      <c r="I36" s="47">
        <f t="shared" si="10"/>
        <v>2205224.6666666716</v>
      </c>
      <c r="J36" s="200">
        <f t="shared" si="11"/>
        <v>4.8714359117625908E-2</v>
      </c>
      <c r="K36" s="642">
        <f>'C2C'!K177</f>
        <v>54322168</v>
      </c>
      <c r="L36" s="100"/>
      <c r="Q36" s="70"/>
    </row>
    <row r="37" spans="1:17" ht="12.75" customHeight="1" x14ac:dyDescent="0.25">
      <c r="A37" s="416" t="s">
        <v>713</v>
      </c>
      <c r="B37" s="426"/>
      <c r="C37" s="642">
        <f>'C2C'!C186</f>
        <v>10061144.130000003</v>
      </c>
      <c r="D37" s="670">
        <f>'C2C'!D186</f>
        <v>11549248</v>
      </c>
      <c r="E37" s="408">
        <f>'C2C'!E186</f>
        <v>11656248</v>
      </c>
      <c r="F37" s="408">
        <f>'C2C'!F186</f>
        <v>805105</v>
      </c>
      <c r="G37" s="408">
        <f>'C2C'!G186</f>
        <v>8203783</v>
      </c>
      <c r="H37" s="408">
        <f>'C2C'!H186</f>
        <v>9713540</v>
      </c>
      <c r="I37" s="47">
        <f t="shared" si="10"/>
        <v>-1509757</v>
      </c>
      <c r="J37" s="200">
        <f t="shared" si="11"/>
        <v>-0.15542809315656289</v>
      </c>
      <c r="K37" s="642">
        <f>'C2C'!K186</f>
        <v>11656248</v>
      </c>
      <c r="L37" s="100"/>
      <c r="Q37" s="70"/>
    </row>
    <row r="38" spans="1:17" ht="12.75" customHeight="1" x14ac:dyDescent="0.25">
      <c r="A38" s="416" t="s">
        <v>612</v>
      </c>
      <c r="B38" s="426"/>
      <c r="C38" s="643">
        <f>'C2C'!C189</f>
        <v>4394398.0599999996</v>
      </c>
      <c r="D38" s="671">
        <f>'C2C'!D189</f>
        <v>7004858</v>
      </c>
      <c r="E38" s="672">
        <f>'C2C'!E189</f>
        <v>7024858</v>
      </c>
      <c r="F38" s="672">
        <f>'C2C'!F189</f>
        <v>443645</v>
      </c>
      <c r="G38" s="672">
        <f>'C2C'!G189</f>
        <v>4141485</v>
      </c>
      <c r="H38" s="672">
        <f>'C2C'!H189</f>
        <v>5854048.333333334</v>
      </c>
      <c r="I38" s="47">
        <f t="shared" si="10"/>
        <v>-1712563.333333334</v>
      </c>
      <c r="J38" s="200">
        <f t="shared" si="11"/>
        <v>-0.29254342223002949</v>
      </c>
      <c r="K38" s="673">
        <f>'C2C'!K189</f>
        <v>7024858</v>
      </c>
      <c r="L38" s="100"/>
      <c r="Q38" s="70"/>
    </row>
    <row r="39" spans="1:17" ht="12.75" customHeight="1" x14ac:dyDescent="0.25">
      <c r="A39" s="414" t="s">
        <v>113</v>
      </c>
      <c r="B39" s="426"/>
      <c r="C39" s="641">
        <f t="shared" ref="C39:H39" si="13">SUM(C40:C42)</f>
        <v>366330570.81</v>
      </c>
      <c r="D39" s="669">
        <f t="shared" si="13"/>
        <v>509516640</v>
      </c>
      <c r="E39" s="637">
        <f t="shared" si="13"/>
        <v>560390620</v>
      </c>
      <c r="F39" s="637">
        <f t="shared" si="13"/>
        <v>42086638</v>
      </c>
      <c r="G39" s="637">
        <f t="shared" si="13"/>
        <v>311436866</v>
      </c>
      <c r="H39" s="637">
        <f t="shared" si="13"/>
        <v>466992183.33333337</v>
      </c>
      <c r="I39" s="47">
        <f t="shared" si="10"/>
        <v>-155555317.33333337</v>
      </c>
      <c r="J39" s="200">
        <f t="shared" si="11"/>
        <v>-0.33310047338051452</v>
      </c>
      <c r="K39" s="641">
        <f>SUM(K40:K42)</f>
        <v>560390620</v>
      </c>
      <c r="L39" s="100"/>
      <c r="Q39" s="70"/>
    </row>
    <row r="40" spans="1:17" ht="12.75" customHeight="1" x14ac:dyDescent="0.25">
      <c r="A40" s="416" t="s">
        <v>114</v>
      </c>
      <c r="B40" s="426"/>
      <c r="C40" s="642">
        <f>'C2C'!C198</f>
        <v>96734245.449999988</v>
      </c>
      <c r="D40" s="670">
        <f>'C2C'!D198</f>
        <v>115117318</v>
      </c>
      <c r="E40" s="408">
        <f>'C2C'!E198</f>
        <v>107789427</v>
      </c>
      <c r="F40" s="408">
        <f>'C2C'!F198</f>
        <v>6541754</v>
      </c>
      <c r="G40" s="408">
        <f>'C2C'!G198</f>
        <v>75048208</v>
      </c>
      <c r="H40" s="408">
        <f>'C2C'!H198</f>
        <v>89824522.5</v>
      </c>
      <c r="I40" s="47">
        <f t="shared" si="10"/>
        <v>-14776314.5</v>
      </c>
      <c r="J40" s="200">
        <f t="shared" si="11"/>
        <v>-0.16450201001625142</v>
      </c>
      <c r="K40" s="642">
        <f>'C2C'!K198</f>
        <v>107789427</v>
      </c>
      <c r="L40" s="100"/>
      <c r="Q40" s="70"/>
    </row>
    <row r="41" spans="1:17" ht="12.75" customHeight="1" x14ac:dyDescent="0.25">
      <c r="A41" s="416" t="s">
        <v>115</v>
      </c>
      <c r="B41" s="426"/>
      <c r="C41" s="642">
        <f>'C2C'!C209</f>
        <v>258144618.18999997</v>
      </c>
      <c r="D41" s="670">
        <f>'C2C'!D209</f>
        <v>371330938</v>
      </c>
      <c r="E41" s="408">
        <f>'C2C'!E209</f>
        <v>429522809</v>
      </c>
      <c r="F41" s="408">
        <f>'C2C'!F209</f>
        <v>32768836</v>
      </c>
      <c r="G41" s="408">
        <f>'C2C'!G209</f>
        <v>218591026</v>
      </c>
      <c r="H41" s="408">
        <f>'C2C'!H209</f>
        <v>357935674.16666669</v>
      </c>
      <c r="I41" s="47">
        <f t="shared" si="10"/>
        <v>-139344648.16666669</v>
      </c>
      <c r="J41" s="200">
        <f t="shared" si="11"/>
        <v>-0.38930081079815254</v>
      </c>
      <c r="K41" s="642">
        <f>'C2C'!K209</f>
        <v>429522809</v>
      </c>
      <c r="L41" s="100"/>
      <c r="Q41" s="70"/>
    </row>
    <row r="42" spans="1:17" ht="12.75" customHeight="1" x14ac:dyDescent="0.25">
      <c r="A42" s="416" t="s">
        <v>116</v>
      </c>
      <c r="B42" s="426"/>
      <c r="C42" s="642">
        <f>'C2C'!C214</f>
        <v>11451707.17</v>
      </c>
      <c r="D42" s="670">
        <f>'C2C'!D214</f>
        <v>23068384</v>
      </c>
      <c r="E42" s="408">
        <f>'C2C'!E214</f>
        <v>23078384</v>
      </c>
      <c r="F42" s="408">
        <f>'C2C'!F214</f>
        <v>2776048</v>
      </c>
      <c r="G42" s="408">
        <f>'C2C'!G214</f>
        <v>17797632</v>
      </c>
      <c r="H42" s="408">
        <f>'C2C'!H214</f>
        <v>19231986.666666668</v>
      </c>
      <c r="I42" s="47">
        <f t="shared" si="10"/>
        <v>-1434354.6666666679</v>
      </c>
      <c r="J42" s="200">
        <f t="shared" si="11"/>
        <v>-7.4581721146506672E-2</v>
      </c>
      <c r="K42" s="642">
        <f>'C2C'!K214</f>
        <v>23078384</v>
      </c>
      <c r="L42" s="100"/>
      <c r="Q42" s="70"/>
    </row>
    <row r="43" spans="1:17" ht="12.75" customHeight="1" x14ac:dyDescent="0.25">
      <c r="A43" s="414" t="s">
        <v>117</v>
      </c>
      <c r="B43" s="426"/>
      <c r="C43" s="641">
        <f>SUM(C44:C47)</f>
        <v>1507706412.7399998</v>
      </c>
      <c r="D43" s="669">
        <f t="shared" ref="D43:I43" si="14">SUM(D44:D47)</f>
        <v>1673876853</v>
      </c>
      <c r="E43" s="637">
        <f t="shared" si="14"/>
        <v>1690581668</v>
      </c>
      <c r="F43" s="637">
        <f t="shared" si="14"/>
        <v>154670834</v>
      </c>
      <c r="G43" s="637">
        <f t="shared" si="14"/>
        <v>1310093248</v>
      </c>
      <c r="H43" s="637">
        <f t="shared" si="14"/>
        <v>1408818056.6666667</v>
      </c>
      <c r="I43" s="47">
        <f t="shared" si="14"/>
        <v>-98724808.666666731</v>
      </c>
      <c r="J43" s="200">
        <f t="shared" si="11"/>
        <v>-7.0076336826811067E-2</v>
      </c>
      <c r="K43" s="641">
        <f>SUM(K44:K47)</f>
        <v>1690581668</v>
      </c>
      <c r="L43" s="100"/>
      <c r="Q43" s="70"/>
    </row>
    <row r="44" spans="1:17" ht="12.75" customHeight="1" x14ac:dyDescent="0.25">
      <c r="A44" s="416" t="s">
        <v>1183</v>
      </c>
      <c r="B44" s="426"/>
      <c r="C44" s="642">
        <f>'C2C'!C222</f>
        <v>876730241.11999989</v>
      </c>
      <c r="D44" s="670">
        <f>'C2C'!D222</f>
        <v>1020858225</v>
      </c>
      <c r="E44" s="408">
        <f>'C2C'!E222</f>
        <v>963332114</v>
      </c>
      <c r="F44" s="408">
        <f>'C2C'!F222</f>
        <v>74090268</v>
      </c>
      <c r="G44" s="408">
        <f>'C2C'!G222</f>
        <v>751470460</v>
      </c>
      <c r="H44" s="408">
        <f>'C2C'!H222</f>
        <v>802776761.66666675</v>
      </c>
      <c r="I44" s="47">
        <f t="shared" si="10"/>
        <v>-51306301.666666746</v>
      </c>
      <c r="J44" s="200">
        <f t="shared" si="11"/>
        <v>-6.3911044908859016E-2</v>
      </c>
      <c r="K44" s="642">
        <f>'C2C'!K222</f>
        <v>963332114</v>
      </c>
      <c r="L44" s="100"/>
      <c r="Q44" s="70"/>
    </row>
    <row r="45" spans="1:17" ht="12.75" customHeight="1" x14ac:dyDescent="0.25">
      <c r="A45" s="416" t="s">
        <v>1187</v>
      </c>
      <c r="B45" s="426"/>
      <c r="C45" s="642">
        <f>'C2C'!C226</f>
        <v>417568013.56</v>
      </c>
      <c r="D45" s="670">
        <f>'C2C'!D226</f>
        <v>488595720</v>
      </c>
      <c r="E45" s="408">
        <f>'C2C'!E226</f>
        <v>540010452</v>
      </c>
      <c r="F45" s="408">
        <f>'C2C'!F226</f>
        <v>66279804</v>
      </c>
      <c r="G45" s="408">
        <f>'C2C'!G226</f>
        <v>408607937</v>
      </c>
      <c r="H45" s="408">
        <f>'C2C'!H226</f>
        <v>450008710</v>
      </c>
      <c r="I45" s="47">
        <f t="shared" si="10"/>
        <v>-41400773</v>
      </c>
      <c r="J45" s="200">
        <f t="shared" si="11"/>
        <v>-9.1999937067884757E-2</v>
      </c>
      <c r="K45" s="642">
        <f>'C2C'!K226</f>
        <v>540010452</v>
      </c>
      <c r="L45" s="100"/>
      <c r="Q45" s="70"/>
    </row>
    <row r="46" spans="1:17" ht="12.75" customHeight="1" x14ac:dyDescent="0.25">
      <c r="A46" s="416" t="s">
        <v>118</v>
      </c>
      <c r="B46" s="426"/>
      <c r="C46" s="643">
        <f>'C2C'!C230</f>
        <v>89635599.11999999</v>
      </c>
      <c r="D46" s="671">
        <f>'C2C'!D230</f>
        <v>50741273</v>
      </c>
      <c r="E46" s="672">
        <f>'C2C'!E230</f>
        <v>56041267</v>
      </c>
      <c r="F46" s="672">
        <f>'C2C'!F230</f>
        <v>4474479</v>
      </c>
      <c r="G46" s="672">
        <f>'C2C'!G230</f>
        <v>43032673</v>
      </c>
      <c r="H46" s="672">
        <f>'C2C'!H230</f>
        <v>46701055.833333328</v>
      </c>
      <c r="I46" s="47">
        <f t="shared" si="10"/>
        <v>-3668382.8333333284</v>
      </c>
      <c r="J46" s="200">
        <f t="shared" si="11"/>
        <v>-7.8550318999747001E-2</v>
      </c>
      <c r="K46" s="673">
        <f>'C2C'!K230</f>
        <v>56041267</v>
      </c>
      <c r="L46" s="100"/>
      <c r="Q46" s="70"/>
    </row>
    <row r="47" spans="1:17" ht="12.75" customHeight="1" x14ac:dyDescent="0.25">
      <c r="A47" s="416" t="s">
        <v>119</v>
      </c>
      <c r="B47" s="426"/>
      <c r="C47" s="642">
        <f>'C2C'!C235</f>
        <v>123772558.94000001</v>
      </c>
      <c r="D47" s="670">
        <f>'C2C'!D235</f>
        <v>113681635</v>
      </c>
      <c r="E47" s="408">
        <f>'C2C'!E235</f>
        <v>131197835</v>
      </c>
      <c r="F47" s="408">
        <f>'C2C'!F235</f>
        <v>9826283</v>
      </c>
      <c r="G47" s="408">
        <f>'C2C'!G235</f>
        <v>106982178</v>
      </c>
      <c r="H47" s="408">
        <f>'C2C'!H235</f>
        <v>109331529.16666666</v>
      </c>
      <c r="I47" s="47">
        <f t="shared" si="10"/>
        <v>-2349351.1666666567</v>
      </c>
      <c r="J47" s="200">
        <f t="shared" si="11"/>
        <v>-2.1488322577883915E-2</v>
      </c>
      <c r="K47" s="642">
        <f>'C2C'!K235</f>
        <v>131197835</v>
      </c>
      <c r="L47" s="100"/>
      <c r="Q47" s="70"/>
    </row>
    <row r="48" spans="1:17" ht="12.75" customHeight="1" x14ac:dyDescent="0.25">
      <c r="A48" s="414" t="s">
        <v>720</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5">
      <c r="A49" s="92" t="s">
        <v>1201</v>
      </c>
      <c r="B49" s="422">
        <v>3</v>
      </c>
      <c r="C49" s="600">
        <f>C29+C33+C39+C43+C48</f>
        <v>4036122661.9999995</v>
      </c>
      <c r="D49" s="598">
        <f t="shared" ref="D49:I49" si="15">D29+D33+D39+D43+D48</f>
        <v>3679467136</v>
      </c>
      <c r="E49" s="545">
        <f t="shared" si="15"/>
        <v>3816732981</v>
      </c>
      <c r="F49" s="545">
        <f t="shared" si="15"/>
        <v>342867954.33333331</v>
      </c>
      <c r="G49" s="545">
        <f t="shared" si="15"/>
        <v>2945219140.333333</v>
      </c>
      <c r="H49" s="545">
        <f t="shared" si="15"/>
        <v>3180610817.5</v>
      </c>
      <c r="I49" s="545">
        <f t="shared" si="15"/>
        <v>-235391677.16666716</v>
      </c>
      <c r="J49" s="599">
        <f t="shared" si="11"/>
        <v>-7.4008324398421046E-2</v>
      </c>
      <c r="K49" s="720">
        <f>K29+K33+K39+K43+K48</f>
        <v>3816732981</v>
      </c>
      <c r="L49" s="100"/>
      <c r="Q49" s="75"/>
    </row>
    <row r="50" spans="1:17" ht="12.75" customHeight="1" x14ac:dyDescent="0.25">
      <c r="A50" s="94" t="s">
        <v>895</v>
      </c>
      <c r="B50" s="429"/>
      <c r="C50" s="540">
        <f t="shared" ref="C50:H50" si="16">C26-C49</f>
        <v>898947132.99999952</v>
      </c>
      <c r="D50" s="640">
        <f t="shared" si="16"/>
        <v>1003110791</v>
      </c>
      <c r="E50" s="634">
        <f t="shared" si="16"/>
        <v>977865479</v>
      </c>
      <c r="F50" s="634">
        <f t="shared" si="16"/>
        <v>-37909091.639833331</v>
      </c>
      <c r="G50" s="634">
        <f t="shared" si="16"/>
        <v>670782734.3085165</v>
      </c>
      <c r="H50" s="634">
        <f t="shared" si="16"/>
        <v>814887899.16666698</v>
      </c>
      <c r="I50" s="634">
        <f>I26-I49</f>
        <v>-144105164.8581503</v>
      </c>
      <c r="J50" s="638">
        <f>IF(I50=0,"",I50/H50)</f>
        <v>-0.17684047708343359</v>
      </c>
      <c r="K50" s="639">
        <f>K26-K49</f>
        <v>977865479</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1202</v>
      </c>
      <c r="B53" s="64"/>
      <c r="C53" s="79"/>
      <c r="D53" s="79"/>
      <c r="E53" s="79"/>
      <c r="F53" s="79"/>
      <c r="G53" s="79"/>
      <c r="H53" s="79"/>
      <c r="I53" s="79"/>
      <c r="J53" s="79"/>
      <c r="K53" s="79"/>
    </row>
    <row r="54" spans="1:17" ht="11.25" customHeight="1" x14ac:dyDescent="0.25">
      <c r="A54" s="80" t="s">
        <v>1203</v>
      </c>
      <c r="B54" s="64"/>
      <c r="C54" s="79"/>
      <c r="D54" s="79"/>
      <c r="E54" s="79"/>
      <c r="F54" s="79"/>
      <c r="G54" s="79"/>
      <c r="H54" s="79"/>
      <c r="I54" s="79"/>
      <c r="J54" s="79"/>
      <c r="K54" s="79"/>
    </row>
    <row r="55" spans="1:17" ht="27.75" customHeight="1" x14ac:dyDescent="0.25">
      <c r="A55" s="1055" t="s">
        <v>1204</v>
      </c>
      <c r="B55" s="1055"/>
      <c r="C55" s="1055"/>
      <c r="D55" s="1055"/>
      <c r="E55" s="1055"/>
      <c r="F55" s="1055"/>
      <c r="G55" s="1055"/>
      <c r="H55" s="1055"/>
      <c r="I55" s="1055"/>
      <c r="J55" s="1055"/>
      <c r="K55" s="105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243" activePane="bottomRight" state="frozen"/>
      <selection pane="topRight"/>
      <selection pane="bottomLeft"/>
      <selection pane="bottomRight" activeCell="K246" sqref="K246"/>
    </sheetView>
  </sheetViews>
  <sheetFormatPr defaultColWidth="9.140625" defaultRowHeight="13.5" x14ac:dyDescent="0.25"/>
  <cols>
    <col min="1" max="1" width="38.85546875" style="25" customWidth="1"/>
    <col min="2" max="2" width="3" style="68" customWidth="1"/>
    <col min="3" max="7" width="9.28515625" style="25" customWidth="1"/>
    <col min="8" max="8" width="11.42578125" style="25" customWidth="1"/>
    <col min="9" max="10" width="9.28515625" style="100" customWidth="1"/>
    <col min="11" max="11" width="9.28515625" style="25" customWidth="1"/>
    <col min="12" max="12" width="9.5703125" style="25" customWidth="1"/>
    <col min="13" max="16384" width="9.140625" style="686"/>
  </cols>
  <sheetData>
    <row r="1" spans="1:12" x14ac:dyDescent="0.25">
      <c r="A1" s="1054" t="str">
        <f>muni&amp; " - "&amp;S71A&amp; " - "&amp;date</f>
        <v>LIM354 Polokwane - Table C2 Monthly Budget Statement - Financial Performance (functional classification) - M10 April</v>
      </c>
      <c r="B1" s="1054"/>
      <c r="C1" s="1054"/>
      <c r="D1" s="1054"/>
      <c r="E1" s="1054"/>
      <c r="F1" s="1054"/>
      <c r="G1" s="1054"/>
      <c r="H1" s="1054"/>
      <c r="I1" s="1054"/>
      <c r="J1" s="1054"/>
      <c r="K1" s="1054"/>
    </row>
    <row r="2" spans="1:12" ht="13.5" customHeight="1" x14ac:dyDescent="0.25">
      <c r="A2" s="1052" t="str">
        <f>desc</f>
        <v>Description</v>
      </c>
      <c r="B2" s="1050" t="str">
        <f>head27</f>
        <v>Ref</v>
      </c>
      <c r="C2" s="24" t="str">
        <f>Head1</f>
        <v>2019/20</v>
      </c>
      <c r="D2" s="231" t="str">
        <f>Head2</f>
        <v>Budget Year 2020/21</v>
      </c>
      <c r="E2" s="229"/>
      <c r="F2" s="229"/>
      <c r="G2" s="229"/>
      <c r="H2" s="229"/>
      <c r="I2" s="229"/>
      <c r="J2" s="229"/>
      <c r="K2" s="230"/>
    </row>
    <row r="3" spans="1:12" ht="25.5"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1128</v>
      </c>
      <c r="B5" s="604"/>
      <c r="C5" s="36"/>
      <c r="D5" s="36"/>
      <c r="E5" s="36"/>
      <c r="F5" s="36"/>
      <c r="G5" s="36"/>
      <c r="H5" s="36"/>
      <c r="I5" s="631"/>
      <c r="J5" s="631"/>
      <c r="K5" s="226"/>
      <c r="L5" s="100"/>
    </row>
    <row r="6" spans="1:12" x14ac:dyDescent="0.25">
      <c r="A6" s="414" t="s">
        <v>159</v>
      </c>
      <c r="B6" s="415"/>
      <c r="C6" s="605">
        <f t="shared" ref="C6:H6" si="0">C7+C10+C24</f>
        <v>3271959105.1399994</v>
      </c>
      <c r="D6" s="605">
        <f t="shared" si="0"/>
        <v>2742972440</v>
      </c>
      <c r="E6" s="605">
        <f t="shared" si="0"/>
        <v>2908778973</v>
      </c>
      <c r="F6" s="605">
        <f t="shared" si="0"/>
        <v>165957471.88349998</v>
      </c>
      <c r="G6" s="605">
        <f t="shared" si="0"/>
        <v>2380162532.9218493</v>
      </c>
      <c r="H6" s="605">
        <f t="shared" si="0"/>
        <v>2423982477.5</v>
      </c>
      <c r="I6" s="632">
        <f>G6-H6</f>
        <v>-43819944.578150749</v>
      </c>
      <c r="J6" s="633">
        <f>IF(I6=0,"",I6/H6)</f>
        <v>-1.8077665570975957E-2</v>
      </c>
      <c r="K6" s="606">
        <f>K7+K10+K24</f>
        <v>2908778973</v>
      </c>
      <c r="L6" s="100"/>
    </row>
    <row r="7" spans="1:12" x14ac:dyDescent="0.25">
      <c r="A7" s="607" t="s">
        <v>108</v>
      </c>
      <c r="B7" s="415"/>
      <c r="C7" s="608">
        <f>SUM(C8:C9)</f>
        <v>-22802.48</v>
      </c>
      <c r="D7" s="608">
        <f t="shared" ref="D7:K7" si="1">SUM(D8:D9)</f>
        <v>1504180</v>
      </c>
      <c r="E7" s="608">
        <f t="shared" si="1"/>
        <v>1504180</v>
      </c>
      <c r="F7" s="608">
        <f t="shared" si="1"/>
        <v>0</v>
      </c>
      <c r="G7" s="608">
        <f t="shared" si="1"/>
        <v>0</v>
      </c>
      <c r="H7" s="608">
        <f t="shared" si="1"/>
        <v>1253483.3333333333</v>
      </c>
      <c r="I7" s="608">
        <f t="shared" ref="I7:I123" si="2">G7-H7</f>
        <v>-1253483.3333333333</v>
      </c>
      <c r="J7" s="608">
        <f t="shared" ref="J7:J123" si="3">IF(I7=0,"",I7/H7)</f>
        <v>-1</v>
      </c>
      <c r="K7" s="610">
        <f t="shared" si="1"/>
        <v>1504180</v>
      </c>
      <c r="L7" s="100"/>
    </row>
    <row r="8" spans="1:12" x14ac:dyDescent="0.25">
      <c r="A8" s="695" t="s">
        <v>160</v>
      </c>
      <c r="B8" s="415"/>
      <c r="C8" s="733">
        <v>-22802.48</v>
      </c>
      <c r="D8" s="733">
        <v>1503135</v>
      </c>
      <c r="E8" s="733">
        <v>1503135</v>
      </c>
      <c r="F8" s="733">
        <v>0</v>
      </c>
      <c r="G8" s="733">
        <v>0</v>
      </c>
      <c r="H8" s="733">
        <f>E8/12*10</f>
        <v>1252612.5</v>
      </c>
      <c r="I8" s="408">
        <f t="shared" si="2"/>
        <v>-1252612.5</v>
      </c>
      <c r="J8" s="408">
        <f t="shared" si="3"/>
        <v>-1</v>
      </c>
      <c r="K8" s="735">
        <f>E8</f>
        <v>1503135</v>
      </c>
      <c r="L8" s="100"/>
    </row>
    <row r="9" spans="1:12" ht="22.5" x14ac:dyDescent="0.25">
      <c r="A9" s="695" t="s">
        <v>1114</v>
      </c>
      <c r="B9" s="415"/>
      <c r="C9" s="733">
        <v>0</v>
      </c>
      <c r="D9" s="733">
        <v>1045</v>
      </c>
      <c r="E9" s="733">
        <v>1045</v>
      </c>
      <c r="F9" s="733">
        <v>0</v>
      </c>
      <c r="G9" s="733">
        <v>0</v>
      </c>
      <c r="H9" s="733">
        <f>E9/12*10</f>
        <v>870.83333333333326</v>
      </c>
      <c r="I9" s="408">
        <f t="shared" si="2"/>
        <v>-870.83333333333326</v>
      </c>
      <c r="J9" s="408">
        <f t="shared" si="3"/>
        <v>-1</v>
      </c>
      <c r="K9" s="735">
        <f>E9</f>
        <v>1045</v>
      </c>
      <c r="L9" s="100"/>
    </row>
    <row r="10" spans="1:12" x14ac:dyDescent="0.25">
      <c r="A10" s="607" t="s">
        <v>1115</v>
      </c>
      <c r="B10" s="415"/>
      <c r="C10" s="608">
        <f t="shared" ref="C10:H10" si="4">SUM(C11:C23)</f>
        <v>3271981907.6199994</v>
      </c>
      <c r="D10" s="608">
        <f t="shared" si="4"/>
        <v>2741467215</v>
      </c>
      <c r="E10" s="608">
        <f t="shared" si="4"/>
        <v>2907273748</v>
      </c>
      <c r="F10" s="608">
        <f t="shared" si="4"/>
        <v>165957471.88349998</v>
      </c>
      <c r="G10" s="608">
        <f t="shared" si="4"/>
        <v>2380162532.9218493</v>
      </c>
      <c r="H10" s="608">
        <f t="shared" si="4"/>
        <v>2422728123.333333</v>
      </c>
      <c r="I10" s="608">
        <f t="shared" ref="I10:I15" si="5">G10-H10</f>
        <v>-42565590.411483765</v>
      </c>
      <c r="J10" s="608">
        <f t="shared" ref="J10:J15" si="6">IF(I10=0,"",I10/H10)</f>
        <v>-1.7569280680541033E-2</v>
      </c>
      <c r="K10" s="608">
        <f>SUM(K11:K23)</f>
        <v>2907273748</v>
      </c>
      <c r="L10" s="100"/>
    </row>
    <row r="11" spans="1:12" x14ac:dyDescent="0.25">
      <c r="A11" s="695" t="s">
        <v>1116</v>
      </c>
      <c r="B11" s="415"/>
      <c r="C11" s="733">
        <v>0</v>
      </c>
      <c r="D11" s="733">
        <v>6282</v>
      </c>
      <c r="E11" s="733">
        <v>6282</v>
      </c>
      <c r="F11" s="733">
        <v>0</v>
      </c>
      <c r="G11" s="733">
        <v>109</v>
      </c>
      <c r="H11" s="733">
        <f>E11/12*10</f>
        <v>5235</v>
      </c>
      <c r="I11" s="408">
        <f t="shared" si="5"/>
        <v>-5126</v>
      </c>
      <c r="J11" s="408">
        <f t="shared" si="6"/>
        <v>-0.97917860553963709</v>
      </c>
      <c r="K11" s="735">
        <f t="shared" ref="K11:K23" si="7">E11</f>
        <v>6282</v>
      </c>
      <c r="L11" s="100"/>
    </row>
    <row r="12" spans="1:12" x14ac:dyDescent="0.25">
      <c r="A12" s="695" t="s">
        <v>1117</v>
      </c>
      <c r="B12" s="415"/>
      <c r="C12" s="733">
        <v>0</v>
      </c>
      <c r="D12" s="733">
        <v>1045</v>
      </c>
      <c r="E12" s="733">
        <v>1045</v>
      </c>
      <c r="F12" s="733">
        <v>0</v>
      </c>
      <c r="G12" s="733">
        <v>0</v>
      </c>
      <c r="H12" s="733">
        <f t="shared" ref="H12:H23" si="8">E12/12*10</f>
        <v>870.83333333333326</v>
      </c>
      <c r="I12" s="408">
        <f t="shared" si="5"/>
        <v>-870.83333333333326</v>
      </c>
      <c r="J12" s="408">
        <f t="shared" si="6"/>
        <v>-1</v>
      </c>
      <c r="K12" s="735">
        <f t="shared" si="7"/>
        <v>1045</v>
      </c>
      <c r="L12" s="100"/>
    </row>
    <row r="13" spans="1:12" x14ac:dyDescent="0.25">
      <c r="A13" s="695" t="s">
        <v>1118</v>
      </c>
      <c r="B13" s="415"/>
      <c r="C13" s="733">
        <v>2095434404.4489999</v>
      </c>
      <c r="D13" s="733">
        <v>2363468581</v>
      </c>
      <c r="E13" s="733">
        <v>2529275114</v>
      </c>
      <c r="F13" s="733">
        <v>143285713.88349998</v>
      </c>
      <c r="G13" s="733">
        <v>2156002210.9218493</v>
      </c>
      <c r="H13" s="733">
        <f t="shared" si="8"/>
        <v>2107729261.6666665</v>
      </c>
      <c r="I13" s="408">
        <f t="shared" si="5"/>
        <v>48272949.255182743</v>
      </c>
      <c r="J13" s="408">
        <f t="shared" si="6"/>
        <v>2.290282254610413E-2</v>
      </c>
      <c r="K13" s="735">
        <f t="shared" si="7"/>
        <v>2529275114</v>
      </c>
      <c r="L13" s="100"/>
    </row>
    <row r="14" spans="1:12" x14ac:dyDescent="0.25">
      <c r="A14" s="695" t="s">
        <v>1119</v>
      </c>
      <c r="B14" s="415"/>
      <c r="C14" s="733">
        <v>927185764.31099999</v>
      </c>
      <c r="D14" s="733">
        <v>2090</v>
      </c>
      <c r="E14" s="733">
        <v>2090</v>
      </c>
      <c r="F14" s="733">
        <v>0</v>
      </c>
      <c r="G14" s="733">
        <v>0</v>
      </c>
      <c r="H14" s="733">
        <f t="shared" si="8"/>
        <v>1741.6666666666665</v>
      </c>
      <c r="I14" s="408">
        <f t="shared" si="5"/>
        <v>-1741.6666666666665</v>
      </c>
      <c r="J14" s="408">
        <f t="shared" si="6"/>
        <v>-1</v>
      </c>
      <c r="K14" s="735">
        <f t="shared" si="7"/>
        <v>2090</v>
      </c>
      <c r="L14" s="100"/>
    </row>
    <row r="15" spans="1:12" x14ac:dyDescent="0.25">
      <c r="A15" s="695" t="s">
        <v>161</v>
      </c>
      <c r="B15" s="415"/>
      <c r="C15" s="733">
        <v>5448.97</v>
      </c>
      <c r="D15" s="733">
        <v>4107405</v>
      </c>
      <c r="E15" s="733">
        <v>4107405</v>
      </c>
      <c r="F15" s="733">
        <v>0</v>
      </c>
      <c r="G15" s="733">
        <v>0</v>
      </c>
      <c r="H15" s="733">
        <f t="shared" si="8"/>
        <v>3422837.5</v>
      </c>
      <c r="I15" s="408">
        <f t="shared" si="5"/>
        <v>-3422837.5</v>
      </c>
      <c r="J15" s="408">
        <f t="shared" si="6"/>
        <v>-1</v>
      </c>
      <c r="K15" s="735">
        <f t="shared" si="7"/>
        <v>4107405</v>
      </c>
      <c r="L15" s="100"/>
    </row>
    <row r="16" spans="1:12" x14ac:dyDescent="0.25">
      <c r="A16" s="695" t="s">
        <v>162</v>
      </c>
      <c r="B16" s="415"/>
      <c r="C16" s="733">
        <v>0</v>
      </c>
      <c r="D16" s="733">
        <v>13633</v>
      </c>
      <c r="E16" s="733">
        <v>13633</v>
      </c>
      <c r="F16" s="733">
        <v>56</v>
      </c>
      <c r="G16" s="733">
        <v>56</v>
      </c>
      <c r="H16" s="733">
        <f t="shared" si="8"/>
        <v>11360.833333333332</v>
      </c>
      <c r="I16" s="408">
        <f t="shared" ref="I16:I23" si="9">G16-H16</f>
        <v>-11304.833333333332</v>
      </c>
      <c r="J16" s="408">
        <f t="shared" ref="J16:J23" si="10">IF(I16=0,"",I16/H16)</f>
        <v>-0.99507078412675132</v>
      </c>
      <c r="K16" s="735">
        <f t="shared" si="7"/>
        <v>13633</v>
      </c>
      <c r="L16" s="100"/>
    </row>
    <row r="17" spans="1:12" x14ac:dyDescent="0.25">
      <c r="A17" s="695" t="s">
        <v>1120</v>
      </c>
      <c r="B17" s="415"/>
      <c r="C17" s="733">
        <v>0</v>
      </c>
      <c r="D17" s="733">
        <v>1045</v>
      </c>
      <c r="E17" s="733">
        <v>1045</v>
      </c>
      <c r="F17" s="733">
        <v>0</v>
      </c>
      <c r="G17" s="733">
        <v>0</v>
      </c>
      <c r="H17" s="733">
        <f t="shared" si="8"/>
        <v>870.83333333333326</v>
      </c>
      <c r="I17" s="408">
        <f t="shared" si="9"/>
        <v>-870.83333333333326</v>
      </c>
      <c r="J17" s="408">
        <f t="shared" si="10"/>
        <v>-1</v>
      </c>
      <c r="K17" s="735">
        <f t="shared" si="7"/>
        <v>1045</v>
      </c>
      <c r="L17" s="100"/>
    </row>
    <row r="18" spans="1:12" ht="22.5" x14ac:dyDescent="0.25">
      <c r="A18" s="695" t="s">
        <v>1121</v>
      </c>
      <c r="B18" s="415"/>
      <c r="C18" s="733">
        <v>3351358.33</v>
      </c>
      <c r="D18" s="733">
        <v>1045</v>
      </c>
      <c r="E18" s="733">
        <v>1045</v>
      </c>
      <c r="F18" s="733">
        <v>0</v>
      </c>
      <c r="G18" s="733">
        <v>0</v>
      </c>
      <c r="H18" s="733">
        <f t="shared" si="8"/>
        <v>870.83333333333326</v>
      </c>
      <c r="I18" s="408">
        <f t="shared" si="9"/>
        <v>-870.83333333333326</v>
      </c>
      <c r="J18" s="408">
        <f t="shared" si="10"/>
        <v>-1</v>
      </c>
      <c r="K18" s="735">
        <f t="shared" si="7"/>
        <v>1045</v>
      </c>
      <c r="L18" s="100"/>
    </row>
    <row r="19" spans="1:12" x14ac:dyDescent="0.25">
      <c r="A19" s="695" t="s">
        <v>163</v>
      </c>
      <c r="B19" s="415"/>
      <c r="C19" s="733">
        <v>0</v>
      </c>
      <c r="D19" s="733">
        <v>2090</v>
      </c>
      <c r="E19" s="733">
        <v>2090</v>
      </c>
      <c r="F19" s="733">
        <v>90683</v>
      </c>
      <c r="G19" s="733">
        <v>460481</v>
      </c>
      <c r="H19" s="733">
        <f t="shared" si="8"/>
        <v>1741.6666666666665</v>
      </c>
      <c r="I19" s="408">
        <f t="shared" si="9"/>
        <v>458739.33333333331</v>
      </c>
      <c r="J19" s="408">
        <f t="shared" si="10"/>
        <v>263.39100478468902</v>
      </c>
      <c r="K19" s="735">
        <f t="shared" si="7"/>
        <v>2090</v>
      </c>
      <c r="L19" s="100"/>
    </row>
    <row r="20" spans="1:12" x14ac:dyDescent="0.25">
      <c r="A20" s="695" t="s">
        <v>1122</v>
      </c>
      <c r="B20" s="415"/>
      <c r="C20" s="733">
        <v>0</v>
      </c>
      <c r="D20" s="733">
        <v>1045</v>
      </c>
      <c r="E20" s="733">
        <v>1045</v>
      </c>
      <c r="F20" s="733">
        <v>0</v>
      </c>
      <c r="G20" s="733">
        <v>0</v>
      </c>
      <c r="H20" s="733">
        <f t="shared" si="8"/>
        <v>870.83333333333326</v>
      </c>
      <c r="I20" s="408">
        <f t="shared" si="9"/>
        <v>-870.83333333333326</v>
      </c>
      <c r="J20" s="408">
        <f t="shared" si="10"/>
        <v>-1</v>
      </c>
      <c r="K20" s="735">
        <f t="shared" si="7"/>
        <v>1045</v>
      </c>
      <c r="L20" s="100"/>
    </row>
    <row r="21" spans="1:12" x14ac:dyDescent="0.25">
      <c r="A21" s="695" t="s">
        <v>1123</v>
      </c>
      <c r="B21" s="415"/>
      <c r="C21" s="733">
        <v>388726.9</v>
      </c>
      <c r="D21" s="733">
        <v>350895</v>
      </c>
      <c r="E21" s="733">
        <v>350895</v>
      </c>
      <c r="F21" s="733">
        <v>66670</v>
      </c>
      <c r="G21" s="733">
        <v>170152</v>
      </c>
      <c r="H21" s="733">
        <f t="shared" si="8"/>
        <v>292412.5</v>
      </c>
      <c r="I21" s="408">
        <f t="shared" si="9"/>
        <v>-122260.5</v>
      </c>
      <c r="J21" s="408">
        <f t="shared" si="10"/>
        <v>-0.41810969093318512</v>
      </c>
      <c r="K21" s="735">
        <f t="shared" si="7"/>
        <v>350895</v>
      </c>
      <c r="L21" s="100"/>
    </row>
    <row r="22" spans="1:12" x14ac:dyDescent="0.25">
      <c r="A22" s="695" t="s">
        <v>1124</v>
      </c>
      <c r="B22" s="415"/>
      <c r="C22" s="733">
        <v>29682.12</v>
      </c>
      <c r="D22" s="733">
        <v>7073399</v>
      </c>
      <c r="E22" s="733">
        <v>7073399</v>
      </c>
      <c r="F22" s="733">
        <v>0</v>
      </c>
      <c r="G22" s="733">
        <v>127</v>
      </c>
      <c r="H22" s="733">
        <f t="shared" si="8"/>
        <v>5894499.166666666</v>
      </c>
      <c r="I22" s="408">
        <f t="shared" si="9"/>
        <v>-5894372.166666666</v>
      </c>
      <c r="J22" s="408">
        <f t="shared" si="10"/>
        <v>-0.99997845448842915</v>
      </c>
      <c r="K22" s="735">
        <f t="shared" si="7"/>
        <v>7073399</v>
      </c>
      <c r="L22" s="100"/>
    </row>
    <row r="23" spans="1:12" x14ac:dyDescent="0.25">
      <c r="A23" s="695" t="s">
        <v>1125</v>
      </c>
      <c r="B23" s="415"/>
      <c r="C23" s="733">
        <v>245586522.53999999</v>
      </c>
      <c r="D23" s="733">
        <v>366438660</v>
      </c>
      <c r="E23" s="733">
        <v>366438660</v>
      </c>
      <c r="F23" s="733">
        <v>22514349</v>
      </c>
      <c r="G23" s="733">
        <v>223529397</v>
      </c>
      <c r="H23" s="733">
        <f t="shared" si="8"/>
        <v>305365550</v>
      </c>
      <c r="I23" s="408">
        <f t="shared" si="9"/>
        <v>-81836153</v>
      </c>
      <c r="J23" s="408">
        <f t="shared" si="10"/>
        <v>-0.26799405826885186</v>
      </c>
      <c r="K23" s="735">
        <f t="shared" si="7"/>
        <v>366438660</v>
      </c>
      <c r="L23" s="100"/>
    </row>
    <row r="24" spans="1:12" x14ac:dyDescent="0.25">
      <c r="A24" s="607" t="s">
        <v>1126</v>
      </c>
      <c r="B24" s="415"/>
      <c r="C24" s="608">
        <f t="shared" ref="C24:H24" si="11">SUM(C25:C25)</f>
        <v>0</v>
      </c>
      <c r="D24" s="608">
        <f t="shared" si="11"/>
        <v>1045</v>
      </c>
      <c r="E24" s="608">
        <f t="shared" si="11"/>
        <v>1045</v>
      </c>
      <c r="F24" s="608">
        <f t="shared" si="11"/>
        <v>0</v>
      </c>
      <c r="G24" s="608">
        <f t="shared" si="11"/>
        <v>0</v>
      </c>
      <c r="H24" s="608">
        <f t="shared" si="11"/>
        <v>870.83333333333326</v>
      </c>
      <c r="I24" s="608">
        <f t="shared" si="2"/>
        <v>-870.83333333333326</v>
      </c>
      <c r="J24" s="608">
        <f t="shared" si="3"/>
        <v>-1</v>
      </c>
      <c r="K24" s="610">
        <f>SUM(K25:K25)</f>
        <v>1045</v>
      </c>
      <c r="L24" s="100"/>
    </row>
    <row r="25" spans="1:12" x14ac:dyDescent="0.25">
      <c r="A25" s="695" t="s">
        <v>1127</v>
      </c>
      <c r="B25" s="415"/>
      <c r="C25" s="733"/>
      <c r="D25" s="733">
        <v>1045</v>
      </c>
      <c r="E25" s="733">
        <v>1045</v>
      </c>
      <c r="F25" s="733"/>
      <c r="G25" s="733"/>
      <c r="H25" s="1001">
        <f>E25/12*10</f>
        <v>870.83333333333326</v>
      </c>
      <c r="I25" s="408">
        <f t="shared" si="2"/>
        <v>-870.83333333333326</v>
      </c>
      <c r="J25" s="408">
        <f t="shared" si="3"/>
        <v>-1</v>
      </c>
      <c r="K25" s="735">
        <f>E25</f>
        <v>1045</v>
      </c>
      <c r="L25" s="100"/>
    </row>
    <row r="26" spans="1:12" x14ac:dyDescent="0.25">
      <c r="A26" s="414" t="s">
        <v>109</v>
      </c>
      <c r="B26" s="415"/>
      <c r="C26" s="605">
        <f>C27+C49+C55+C64+C67</f>
        <v>7210786.7200000007</v>
      </c>
      <c r="D26" s="605">
        <f t="shared" ref="D26:K26" si="12">D27+D49+D55+D64+D67</f>
        <v>16214345</v>
      </c>
      <c r="E26" s="605">
        <f t="shared" si="12"/>
        <v>12714345</v>
      </c>
      <c r="F26" s="605">
        <f t="shared" si="12"/>
        <v>572512.80000000005</v>
      </c>
      <c r="G26" s="605">
        <f t="shared" si="12"/>
        <v>6890994.4800000004</v>
      </c>
      <c r="H26" s="605">
        <f t="shared" si="12"/>
        <v>10595287.500000002</v>
      </c>
      <c r="I26" s="605">
        <f t="shared" si="2"/>
        <v>-3704293.0200000014</v>
      </c>
      <c r="J26" s="605">
        <f t="shared" si="3"/>
        <v>-0.34961703681943512</v>
      </c>
      <c r="K26" s="606">
        <f t="shared" si="12"/>
        <v>12714345</v>
      </c>
      <c r="L26" s="100"/>
    </row>
    <row r="27" spans="1:12" x14ac:dyDescent="0.25">
      <c r="A27" s="607" t="s">
        <v>110</v>
      </c>
      <c r="B27" s="415"/>
      <c r="C27" s="611">
        <f t="shared" ref="C27:H27" si="13">SUM(C28:C48)</f>
        <v>1851206.5100000002</v>
      </c>
      <c r="D27" s="611">
        <f t="shared" si="13"/>
        <v>4201298</v>
      </c>
      <c r="E27" s="611">
        <f t="shared" si="13"/>
        <v>4201298</v>
      </c>
      <c r="F27" s="611">
        <f t="shared" si="13"/>
        <v>107137</v>
      </c>
      <c r="G27" s="611">
        <f t="shared" si="13"/>
        <v>1456669</v>
      </c>
      <c r="H27" s="611">
        <f t="shared" si="13"/>
        <v>3501081.666666667</v>
      </c>
      <c r="I27" s="611">
        <f t="shared" si="2"/>
        <v>-2044412.666666667</v>
      </c>
      <c r="J27" s="611">
        <f t="shared" si="3"/>
        <v>-0.58393744028631156</v>
      </c>
      <c r="K27" s="611">
        <f>SUM(K28:K48)</f>
        <v>4201298</v>
      </c>
      <c r="L27" s="100"/>
    </row>
    <row r="28" spans="1:12" x14ac:dyDescent="0.25">
      <c r="A28" s="695" t="s">
        <v>165</v>
      </c>
      <c r="B28" s="415"/>
      <c r="C28" s="733">
        <v>0</v>
      </c>
      <c r="D28" s="733">
        <v>0</v>
      </c>
      <c r="E28" s="733">
        <v>0</v>
      </c>
      <c r="F28" s="733">
        <v>0</v>
      </c>
      <c r="G28" s="733">
        <v>0</v>
      </c>
      <c r="H28" s="733">
        <f t="shared" ref="H28:H48" si="14">E28/12*10</f>
        <v>0</v>
      </c>
      <c r="I28" s="408">
        <f t="shared" ref="I28:I34" si="15">G28-H28</f>
        <v>0</v>
      </c>
      <c r="J28" s="408" t="str">
        <f t="shared" ref="J28:J34" si="16">IF(I28=0,"",I28/H28)</f>
        <v/>
      </c>
      <c r="K28" s="735">
        <f t="shared" ref="K28:K48" si="17">E28</f>
        <v>0</v>
      </c>
      <c r="L28" s="100"/>
    </row>
    <row r="29" spans="1:12" x14ac:dyDescent="0.25">
      <c r="A29" s="695" t="s">
        <v>714</v>
      </c>
      <c r="B29" s="415"/>
      <c r="C29" s="733">
        <v>0</v>
      </c>
      <c r="D29" s="733">
        <v>0</v>
      </c>
      <c r="E29" s="733">
        <v>0</v>
      </c>
      <c r="F29" s="733">
        <v>0</v>
      </c>
      <c r="G29" s="733">
        <v>0</v>
      </c>
      <c r="H29" s="733">
        <f t="shared" si="14"/>
        <v>0</v>
      </c>
      <c r="I29" s="408">
        <f t="shared" si="15"/>
        <v>0</v>
      </c>
      <c r="J29" s="408" t="str">
        <f t="shared" si="16"/>
        <v/>
      </c>
      <c r="K29" s="735">
        <f t="shared" si="17"/>
        <v>0</v>
      </c>
      <c r="L29" s="100"/>
    </row>
    <row r="30" spans="1:12" x14ac:dyDescent="0.25">
      <c r="A30" s="695" t="s">
        <v>1129</v>
      </c>
      <c r="B30" s="415"/>
      <c r="C30" s="733">
        <v>0</v>
      </c>
      <c r="D30" s="733">
        <v>0</v>
      </c>
      <c r="E30" s="733">
        <v>0</v>
      </c>
      <c r="F30" s="733">
        <v>0</v>
      </c>
      <c r="G30" s="733">
        <v>0</v>
      </c>
      <c r="H30" s="733">
        <f t="shared" si="14"/>
        <v>0</v>
      </c>
      <c r="I30" s="408">
        <f t="shared" si="15"/>
        <v>0</v>
      </c>
      <c r="J30" s="408" t="str">
        <f t="shared" si="16"/>
        <v/>
      </c>
      <c r="K30" s="735">
        <f t="shared" si="17"/>
        <v>0</v>
      </c>
      <c r="L30" s="100"/>
    </row>
    <row r="31" spans="1:12" ht="22.5" x14ac:dyDescent="0.25">
      <c r="A31" s="695" t="s">
        <v>1130</v>
      </c>
      <c r="B31" s="415"/>
      <c r="C31" s="733">
        <v>1133614.4600000002</v>
      </c>
      <c r="D31" s="733">
        <v>3597045</v>
      </c>
      <c r="E31" s="733">
        <v>3597045</v>
      </c>
      <c r="F31" s="733">
        <v>77951</v>
      </c>
      <c r="G31" s="733">
        <v>1313198</v>
      </c>
      <c r="H31" s="733">
        <f t="shared" si="14"/>
        <v>2997537.5</v>
      </c>
      <c r="I31" s="408">
        <f t="shared" si="15"/>
        <v>-1684339.5</v>
      </c>
      <c r="J31" s="408">
        <f t="shared" si="16"/>
        <v>-0.56190773259717353</v>
      </c>
      <c r="K31" s="735">
        <f t="shared" si="17"/>
        <v>3597045</v>
      </c>
      <c r="L31" s="100"/>
    </row>
    <row r="32" spans="1:12" x14ac:dyDescent="0.25">
      <c r="A32" s="695" t="s">
        <v>1131</v>
      </c>
      <c r="B32" s="415"/>
      <c r="C32" s="733">
        <v>0</v>
      </c>
      <c r="D32" s="733">
        <v>0</v>
      </c>
      <c r="E32" s="733">
        <v>0</v>
      </c>
      <c r="F32" s="733">
        <v>0</v>
      </c>
      <c r="G32" s="733">
        <v>0</v>
      </c>
      <c r="H32" s="733">
        <f t="shared" si="14"/>
        <v>0</v>
      </c>
      <c r="I32" s="408">
        <f t="shared" si="15"/>
        <v>0</v>
      </c>
      <c r="J32" s="408" t="str">
        <f t="shared" si="16"/>
        <v/>
      </c>
      <c r="K32" s="735">
        <f t="shared" si="17"/>
        <v>0</v>
      </c>
      <c r="L32" s="100"/>
    </row>
    <row r="33" spans="1:12" x14ac:dyDescent="0.25">
      <c r="A33" s="695" t="s">
        <v>1132</v>
      </c>
      <c r="B33" s="415"/>
      <c r="C33" s="733">
        <v>427063.84</v>
      </c>
      <c r="D33" s="733">
        <v>1045</v>
      </c>
      <c r="E33" s="733">
        <v>1045</v>
      </c>
      <c r="F33" s="733">
        <v>29186</v>
      </c>
      <c r="G33" s="733">
        <v>141848</v>
      </c>
      <c r="H33" s="733">
        <f t="shared" si="14"/>
        <v>870.83333333333326</v>
      </c>
      <c r="I33" s="408">
        <f t="shared" si="15"/>
        <v>140977.16666666666</v>
      </c>
      <c r="J33" s="408">
        <f t="shared" si="16"/>
        <v>161.88765550239233</v>
      </c>
      <c r="K33" s="735">
        <f t="shared" si="17"/>
        <v>1045</v>
      </c>
      <c r="L33" s="100"/>
    </row>
    <row r="34" spans="1:12" x14ac:dyDescent="0.25">
      <c r="A34" s="695" t="s">
        <v>1133</v>
      </c>
      <c r="B34" s="415"/>
      <c r="C34" s="733">
        <v>0</v>
      </c>
      <c r="D34" s="733">
        <v>0</v>
      </c>
      <c r="E34" s="733">
        <v>0</v>
      </c>
      <c r="F34" s="733">
        <v>0</v>
      </c>
      <c r="G34" s="733">
        <v>0</v>
      </c>
      <c r="H34" s="733">
        <f t="shared" si="14"/>
        <v>0</v>
      </c>
      <c r="I34" s="408">
        <f t="shared" si="15"/>
        <v>0</v>
      </c>
      <c r="J34" s="408" t="str">
        <f t="shared" si="16"/>
        <v/>
      </c>
      <c r="K34" s="735">
        <f t="shared" si="17"/>
        <v>0</v>
      </c>
      <c r="L34" s="100"/>
    </row>
    <row r="35" spans="1:12" x14ac:dyDescent="0.25">
      <c r="A35" s="695" t="s">
        <v>1134</v>
      </c>
      <c r="B35" s="415"/>
      <c r="C35" s="733">
        <v>0</v>
      </c>
      <c r="D35" s="733">
        <v>2090</v>
      </c>
      <c r="E35" s="733">
        <v>2090</v>
      </c>
      <c r="F35" s="733">
        <v>0</v>
      </c>
      <c r="G35" s="733">
        <v>0</v>
      </c>
      <c r="H35" s="733">
        <f t="shared" si="14"/>
        <v>1741.6666666666665</v>
      </c>
      <c r="I35" s="408">
        <f t="shared" ref="I35:I40" si="18">G35-H35</f>
        <v>-1741.6666666666665</v>
      </c>
      <c r="J35" s="408">
        <f t="shared" ref="J35:J40" si="19">IF(I35=0,"",I35/H35)</f>
        <v>-1</v>
      </c>
      <c r="K35" s="735">
        <f t="shared" si="17"/>
        <v>2090</v>
      </c>
      <c r="L35" s="100"/>
    </row>
    <row r="36" spans="1:12" x14ac:dyDescent="0.25">
      <c r="A36" s="695" t="s">
        <v>1135</v>
      </c>
      <c r="B36" s="415"/>
      <c r="C36" s="733">
        <v>0</v>
      </c>
      <c r="D36" s="733">
        <v>1045</v>
      </c>
      <c r="E36" s="733">
        <v>1045</v>
      </c>
      <c r="F36" s="733">
        <v>0</v>
      </c>
      <c r="G36" s="733">
        <v>0</v>
      </c>
      <c r="H36" s="733">
        <f t="shared" si="14"/>
        <v>870.83333333333326</v>
      </c>
      <c r="I36" s="408">
        <f t="shared" si="18"/>
        <v>-870.83333333333326</v>
      </c>
      <c r="J36" s="408">
        <f t="shared" si="19"/>
        <v>-1</v>
      </c>
      <c r="K36" s="735">
        <f t="shared" si="17"/>
        <v>1045</v>
      </c>
      <c r="L36" s="100"/>
    </row>
    <row r="37" spans="1:12" x14ac:dyDescent="0.25">
      <c r="A37" s="695" t="s">
        <v>1006</v>
      </c>
      <c r="B37" s="415"/>
      <c r="C37" s="733">
        <v>0</v>
      </c>
      <c r="D37" s="733">
        <v>0</v>
      </c>
      <c r="E37" s="733">
        <v>0</v>
      </c>
      <c r="F37" s="733">
        <v>0</v>
      </c>
      <c r="G37" s="733">
        <v>0</v>
      </c>
      <c r="H37" s="733">
        <f t="shared" si="14"/>
        <v>0</v>
      </c>
      <c r="I37" s="408">
        <f t="shared" si="18"/>
        <v>0</v>
      </c>
      <c r="J37" s="408" t="str">
        <f t="shared" si="19"/>
        <v/>
      </c>
      <c r="K37" s="735">
        <f t="shared" si="17"/>
        <v>0</v>
      </c>
      <c r="L37" s="100"/>
    </row>
    <row r="38" spans="1:12" x14ac:dyDescent="0.25">
      <c r="A38" s="695" t="s">
        <v>1136</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1137</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1138</v>
      </c>
      <c r="B40" s="415"/>
      <c r="C40" s="733">
        <v>0</v>
      </c>
      <c r="D40" s="733">
        <v>0</v>
      </c>
      <c r="E40" s="733">
        <v>0</v>
      </c>
      <c r="F40" s="733">
        <v>0</v>
      </c>
      <c r="G40" s="733">
        <v>0</v>
      </c>
      <c r="H40" s="733">
        <f t="shared" si="14"/>
        <v>0</v>
      </c>
      <c r="I40" s="408">
        <f t="shared" si="18"/>
        <v>0</v>
      </c>
      <c r="J40" s="408" t="str">
        <f t="shared" si="19"/>
        <v/>
      </c>
      <c r="K40" s="735">
        <f t="shared" si="17"/>
        <v>0</v>
      </c>
      <c r="L40" s="100"/>
    </row>
    <row r="41" spans="1:12" x14ac:dyDescent="0.25">
      <c r="A41" s="695" t="s">
        <v>164</v>
      </c>
      <c r="B41" s="415"/>
      <c r="C41" s="733">
        <v>177671.67</v>
      </c>
      <c r="D41" s="733">
        <v>378738</v>
      </c>
      <c r="E41" s="733">
        <v>378738</v>
      </c>
      <c r="F41" s="733">
        <v>0</v>
      </c>
      <c r="G41" s="733">
        <v>-1705</v>
      </c>
      <c r="H41" s="733">
        <f t="shared" si="14"/>
        <v>315615</v>
      </c>
      <c r="I41" s="408">
        <f t="shared" si="2"/>
        <v>-317320</v>
      </c>
      <c r="J41" s="408">
        <f t="shared" si="3"/>
        <v>-1.0054021513552904</v>
      </c>
      <c r="K41" s="735">
        <f t="shared" si="17"/>
        <v>378738</v>
      </c>
      <c r="L41" s="100"/>
    </row>
    <row r="42" spans="1:12" x14ac:dyDescent="0.25">
      <c r="A42" s="695" t="s">
        <v>1139</v>
      </c>
      <c r="B42" s="415"/>
      <c r="C42" s="733">
        <v>0</v>
      </c>
      <c r="D42" s="733">
        <v>0</v>
      </c>
      <c r="E42" s="733">
        <v>0</v>
      </c>
      <c r="F42" s="733">
        <v>0</v>
      </c>
      <c r="G42" s="733">
        <v>0</v>
      </c>
      <c r="H42" s="733">
        <f t="shared" si="14"/>
        <v>0</v>
      </c>
      <c r="I42" s="408">
        <f t="shared" si="2"/>
        <v>0</v>
      </c>
      <c r="J42" s="408" t="str">
        <f t="shared" si="3"/>
        <v/>
      </c>
      <c r="K42" s="735">
        <f t="shared" si="17"/>
        <v>0</v>
      </c>
      <c r="L42" s="100"/>
    </row>
    <row r="43" spans="1:12" x14ac:dyDescent="0.25">
      <c r="A43" s="695" t="s">
        <v>1140</v>
      </c>
      <c r="B43" s="415"/>
      <c r="C43" s="733">
        <v>0</v>
      </c>
      <c r="D43" s="733">
        <v>0</v>
      </c>
      <c r="E43" s="733">
        <v>0</v>
      </c>
      <c r="F43" s="733">
        <v>0</v>
      </c>
      <c r="G43" s="733">
        <v>0</v>
      </c>
      <c r="H43" s="733">
        <f t="shared" si="14"/>
        <v>0</v>
      </c>
      <c r="I43" s="408">
        <f t="shared" si="2"/>
        <v>0</v>
      </c>
      <c r="J43" s="408" t="str">
        <f t="shared" si="3"/>
        <v/>
      </c>
      <c r="K43" s="735">
        <f t="shared" si="17"/>
        <v>0</v>
      </c>
      <c r="L43" s="100"/>
    </row>
    <row r="44" spans="1:12" x14ac:dyDescent="0.25">
      <c r="A44" s="695" t="s">
        <v>1141</v>
      </c>
      <c r="B44" s="415"/>
      <c r="C44" s="733">
        <v>112856.54000000001</v>
      </c>
      <c r="D44" s="733">
        <v>221335</v>
      </c>
      <c r="E44" s="733">
        <v>221335</v>
      </c>
      <c r="F44" s="733">
        <v>0</v>
      </c>
      <c r="G44" s="733">
        <v>3328</v>
      </c>
      <c r="H44" s="733">
        <f t="shared" si="14"/>
        <v>184445.83333333331</v>
      </c>
      <c r="I44" s="408">
        <f t="shared" si="2"/>
        <v>-181117.83333333331</v>
      </c>
      <c r="J44" s="408">
        <f t="shared" si="3"/>
        <v>-0.98195676237377727</v>
      </c>
      <c r="K44" s="735">
        <f t="shared" si="17"/>
        <v>221335</v>
      </c>
      <c r="L44" s="100"/>
    </row>
    <row r="45" spans="1:12" x14ac:dyDescent="0.25">
      <c r="A45" s="695" t="s">
        <v>1142</v>
      </c>
      <c r="B45" s="415"/>
      <c r="C45" s="733">
        <v>0</v>
      </c>
      <c r="D45" s="733">
        <v>0</v>
      </c>
      <c r="E45" s="733">
        <v>0</v>
      </c>
      <c r="F45" s="733">
        <v>0</v>
      </c>
      <c r="G45" s="733">
        <v>0</v>
      </c>
      <c r="H45" s="733">
        <f t="shared" si="14"/>
        <v>0</v>
      </c>
      <c r="I45" s="408">
        <f t="shared" si="2"/>
        <v>0</v>
      </c>
      <c r="J45" s="408" t="str">
        <f t="shared" si="3"/>
        <v/>
      </c>
      <c r="K45" s="735">
        <f t="shared" si="17"/>
        <v>0</v>
      </c>
      <c r="L45" s="100"/>
    </row>
    <row r="46" spans="1:12" x14ac:dyDescent="0.25">
      <c r="A46" s="695" t="s">
        <v>1143</v>
      </c>
      <c r="B46" s="415"/>
      <c r="C46" s="733">
        <v>0</v>
      </c>
      <c r="D46" s="733">
        <v>0</v>
      </c>
      <c r="E46" s="733">
        <v>0</v>
      </c>
      <c r="F46" s="733">
        <v>0</v>
      </c>
      <c r="G46" s="733">
        <v>0</v>
      </c>
      <c r="H46" s="733">
        <f t="shared" si="14"/>
        <v>0</v>
      </c>
      <c r="I46" s="408">
        <f t="shared" si="2"/>
        <v>0</v>
      </c>
      <c r="J46" s="408" t="str">
        <f t="shared" si="3"/>
        <v/>
      </c>
      <c r="K46" s="735">
        <f t="shared" si="17"/>
        <v>0</v>
      </c>
      <c r="L46" s="100"/>
    </row>
    <row r="47" spans="1:12" x14ac:dyDescent="0.25">
      <c r="A47" s="695" t="s">
        <v>1144</v>
      </c>
      <c r="B47" s="415"/>
      <c r="C47" s="733">
        <v>0</v>
      </c>
      <c r="D47" s="733">
        <v>0</v>
      </c>
      <c r="E47" s="733">
        <v>0</v>
      </c>
      <c r="F47" s="733">
        <v>0</v>
      </c>
      <c r="G47" s="733">
        <v>0</v>
      </c>
      <c r="H47" s="733">
        <f t="shared" si="14"/>
        <v>0</v>
      </c>
      <c r="I47" s="408">
        <f t="shared" si="2"/>
        <v>0</v>
      </c>
      <c r="J47" s="408" t="str">
        <f t="shared" si="3"/>
        <v/>
      </c>
      <c r="K47" s="735">
        <f t="shared" si="17"/>
        <v>0</v>
      </c>
      <c r="L47" s="100"/>
    </row>
    <row r="48" spans="1:12" x14ac:dyDescent="0.25">
      <c r="A48" s="695" t="s">
        <v>1145</v>
      </c>
      <c r="B48" s="415"/>
      <c r="C48" s="733">
        <v>0</v>
      </c>
      <c r="D48" s="733">
        <v>0</v>
      </c>
      <c r="E48" s="733">
        <v>0</v>
      </c>
      <c r="F48" s="733">
        <v>0</v>
      </c>
      <c r="G48" s="733">
        <v>0</v>
      </c>
      <c r="H48" s="733">
        <f t="shared" si="14"/>
        <v>0</v>
      </c>
      <c r="I48" s="408">
        <f t="shared" si="2"/>
        <v>0</v>
      </c>
      <c r="J48" s="408" t="str">
        <f t="shared" si="3"/>
        <v/>
      </c>
      <c r="K48" s="735">
        <f t="shared" si="17"/>
        <v>0</v>
      </c>
      <c r="L48" s="100"/>
    </row>
    <row r="49" spans="1:12" x14ac:dyDescent="0.25">
      <c r="A49" s="607" t="s">
        <v>111</v>
      </c>
      <c r="B49" s="415"/>
      <c r="C49" s="611">
        <f>SUM(C50:C54)</f>
        <v>3524917.7600000002</v>
      </c>
      <c r="D49" s="611">
        <f t="shared" ref="D49:K49" si="20">SUM(D50:D54)</f>
        <v>11149486</v>
      </c>
      <c r="E49" s="611">
        <f t="shared" si="20"/>
        <v>7649486</v>
      </c>
      <c r="F49" s="611">
        <f t="shared" si="20"/>
        <v>239791</v>
      </c>
      <c r="G49" s="611">
        <f t="shared" si="20"/>
        <v>3613143</v>
      </c>
      <c r="H49" s="611">
        <f t="shared" si="20"/>
        <v>6374571.6666666679</v>
      </c>
      <c r="I49" s="611">
        <f t="shared" ref="I49:I54" si="21">G49-H49</f>
        <v>-2761428.6666666679</v>
      </c>
      <c r="J49" s="611">
        <f t="shared" ref="J49:J54" si="22">IF(I49=0,"",I49/H49)</f>
        <v>-0.43319438717843273</v>
      </c>
      <c r="K49" s="614">
        <f t="shared" si="20"/>
        <v>7649486</v>
      </c>
      <c r="L49" s="100"/>
    </row>
    <row r="50" spans="1:12" x14ac:dyDescent="0.25">
      <c r="A50" s="695" t="s">
        <v>1146</v>
      </c>
      <c r="B50" s="415"/>
      <c r="C50" s="733">
        <v>0</v>
      </c>
      <c r="D50" s="733"/>
      <c r="E50" s="733">
        <v>0</v>
      </c>
      <c r="F50" s="733">
        <v>0</v>
      </c>
      <c r="G50" s="733">
        <v>0</v>
      </c>
      <c r="H50" s="733">
        <f t="shared" ref="H50:H54" si="23">E50/12*10</f>
        <v>0</v>
      </c>
      <c r="I50" s="408">
        <f t="shared" si="21"/>
        <v>0</v>
      </c>
      <c r="J50" s="408" t="str">
        <f t="shared" si="22"/>
        <v/>
      </c>
      <c r="K50" s="735">
        <f>E50</f>
        <v>0</v>
      </c>
      <c r="L50" s="100"/>
    </row>
    <row r="51" spans="1:12" x14ac:dyDescent="0.25">
      <c r="A51" s="695" t="s">
        <v>1147</v>
      </c>
      <c r="B51" s="415"/>
      <c r="C51" s="733">
        <v>0</v>
      </c>
      <c r="D51" s="733"/>
      <c r="E51" s="733">
        <v>0</v>
      </c>
      <c r="F51" s="733">
        <v>0</v>
      </c>
      <c r="G51" s="733">
        <v>0</v>
      </c>
      <c r="H51" s="733">
        <f t="shared" si="23"/>
        <v>0</v>
      </c>
      <c r="I51" s="408">
        <f t="shared" si="21"/>
        <v>0</v>
      </c>
      <c r="J51" s="408" t="str">
        <f t="shared" si="22"/>
        <v/>
      </c>
      <c r="K51" s="735">
        <f>E51</f>
        <v>0</v>
      </c>
      <c r="L51" s="100"/>
    </row>
    <row r="52" spans="1:12" x14ac:dyDescent="0.25">
      <c r="A52" s="695" t="s">
        <v>1148</v>
      </c>
      <c r="B52" s="415"/>
      <c r="C52" s="733">
        <v>1317165.7</v>
      </c>
      <c r="D52" s="733">
        <v>671216</v>
      </c>
      <c r="E52" s="733">
        <v>671216</v>
      </c>
      <c r="F52" s="733">
        <v>132523</v>
      </c>
      <c r="G52" s="733">
        <v>851601</v>
      </c>
      <c r="H52" s="733">
        <f t="shared" si="23"/>
        <v>559346.66666666663</v>
      </c>
      <c r="I52" s="408">
        <f t="shared" si="21"/>
        <v>292254.33333333337</v>
      </c>
      <c r="J52" s="408">
        <f t="shared" si="22"/>
        <v>0.52249231245977457</v>
      </c>
      <c r="K52" s="735">
        <f>E52</f>
        <v>671216</v>
      </c>
      <c r="L52" s="100"/>
    </row>
    <row r="53" spans="1:12" x14ac:dyDescent="0.25">
      <c r="A53" s="695" t="s">
        <v>1149</v>
      </c>
      <c r="B53" s="415"/>
      <c r="C53" s="733">
        <v>1970898.57</v>
      </c>
      <c r="D53" s="733">
        <v>9809004</v>
      </c>
      <c r="E53" s="733">
        <v>6309004</v>
      </c>
      <c r="F53" s="733">
        <v>82923</v>
      </c>
      <c r="G53" s="733">
        <v>2471607</v>
      </c>
      <c r="H53" s="733">
        <f t="shared" si="23"/>
        <v>5257503.333333334</v>
      </c>
      <c r="I53" s="408">
        <f t="shared" si="21"/>
        <v>-2785896.333333334</v>
      </c>
      <c r="J53" s="408">
        <f t="shared" si="22"/>
        <v>-0.52988959905557209</v>
      </c>
      <c r="K53" s="735">
        <f>E53</f>
        <v>6309004</v>
      </c>
      <c r="L53" s="100"/>
    </row>
    <row r="54" spans="1:12" x14ac:dyDescent="0.25">
      <c r="A54" s="695" t="s">
        <v>1150</v>
      </c>
      <c r="B54" s="415"/>
      <c r="C54" s="733">
        <v>236853.49000000002</v>
      </c>
      <c r="D54" s="733">
        <v>669266</v>
      </c>
      <c r="E54" s="733">
        <v>669266</v>
      </c>
      <c r="F54" s="733">
        <v>24345</v>
      </c>
      <c r="G54" s="733">
        <v>289935</v>
      </c>
      <c r="H54" s="733">
        <f t="shared" si="23"/>
        <v>557721.66666666663</v>
      </c>
      <c r="I54" s="408">
        <f t="shared" si="21"/>
        <v>-267786.66666666663</v>
      </c>
      <c r="J54" s="408">
        <f t="shared" si="22"/>
        <v>-0.48014391886036339</v>
      </c>
      <c r="K54" s="735">
        <f>E54</f>
        <v>669266</v>
      </c>
      <c r="L54" s="100"/>
    </row>
    <row r="55" spans="1:12" x14ac:dyDescent="0.25">
      <c r="A55" s="607" t="s">
        <v>112</v>
      </c>
      <c r="B55" s="415"/>
      <c r="C55" s="611">
        <f>SUM(C56:C63)</f>
        <v>853836.51</v>
      </c>
      <c r="D55" s="611">
        <f t="shared" ref="D55:K55" si="24">SUM(D56:D63)</f>
        <v>340511</v>
      </c>
      <c r="E55" s="611">
        <f t="shared" si="24"/>
        <v>340511</v>
      </c>
      <c r="F55" s="611">
        <f t="shared" si="24"/>
        <v>128935</v>
      </c>
      <c r="G55" s="611">
        <f t="shared" si="24"/>
        <v>963324</v>
      </c>
      <c r="H55" s="611">
        <f t="shared" si="24"/>
        <v>283759.16666666669</v>
      </c>
      <c r="I55" s="611">
        <f t="shared" si="2"/>
        <v>679564.83333333326</v>
      </c>
      <c r="J55" s="611">
        <f t="shared" si="3"/>
        <v>2.3948647767619837</v>
      </c>
      <c r="K55" s="614">
        <f t="shared" si="24"/>
        <v>340511</v>
      </c>
      <c r="L55" s="100"/>
    </row>
    <row r="56" spans="1:12" x14ac:dyDescent="0.25">
      <c r="A56" s="695" t="s">
        <v>167</v>
      </c>
      <c r="B56" s="415"/>
      <c r="C56" s="733">
        <v>0</v>
      </c>
      <c r="D56" s="733">
        <v>0</v>
      </c>
      <c r="E56" s="733">
        <v>0</v>
      </c>
      <c r="F56" s="733">
        <v>0</v>
      </c>
      <c r="G56" s="733">
        <v>0</v>
      </c>
      <c r="H56" s="733">
        <f t="shared" ref="H56:H63" si="25">E56/12*10</f>
        <v>0</v>
      </c>
      <c r="I56" s="408">
        <f t="shared" si="2"/>
        <v>0</v>
      </c>
      <c r="J56" s="408" t="str">
        <f t="shared" si="3"/>
        <v/>
      </c>
      <c r="K56" s="735">
        <f t="shared" ref="K56:K63" si="26">E56</f>
        <v>0</v>
      </c>
      <c r="L56" s="100"/>
    </row>
    <row r="57" spans="1:12" x14ac:dyDescent="0.25">
      <c r="A57" s="695" t="s">
        <v>1151</v>
      </c>
      <c r="B57" s="415"/>
      <c r="C57" s="733">
        <v>0</v>
      </c>
      <c r="D57" s="733">
        <v>0</v>
      </c>
      <c r="E57" s="733">
        <v>0</v>
      </c>
      <c r="F57" s="733">
        <v>0</v>
      </c>
      <c r="G57" s="733">
        <v>0</v>
      </c>
      <c r="H57" s="733">
        <f t="shared" si="25"/>
        <v>0</v>
      </c>
      <c r="I57" s="408">
        <f t="shared" si="2"/>
        <v>0</v>
      </c>
      <c r="J57" s="408" t="str">
        <f t="shared" si="3"/>
        <v/>
      </c>
      <c r="K57" s="735">
        <f t="shared" si="26"/>
        <v>0</v>
      </c>
      <c r="L57" s="100"/>
    </row>
    <row r="58" spans="1:12" x14ac:dyDescent="0.25">
      <c r="A58" s="695" t="s">
        <v>1152</v>
      </c>
      <c r="B58" s="415"/>
      <c r="C58" s="733">
        <v>0</v>
      </c>
      <c r="D58" s="733">
        <v>0</v>
      </c>
      <c r="E58" s="733">
        <v>0</v>
      </c>
      <c r="F58" s="733">
        <v>0</v>
      </c>
      <c r="G58" s="733">
        <v>0</v>
      </c>
      <c r="H58" s="733">
        <f t="shared" si="25"/>
        <v>0</v>
      </c>
      <c r="I58" s="408">
        <f>G58-H58</f>
        <v>0</v>
      </c>
      <c r="J58" s="408" t="str">
        <f>IF(I58=0,"",I58/H58)</f>
        <v/>
      </c>
      <c r="K58" s="735">
        <f t="shared" si="26"/>
        <v>0</v>
      </c>
      <c r="L58" s="100"/>
    </row>
    <row r="59" spans="1:12" x14ac:dyDescent="0.25">
      <c r="A59" s="695" t="s">
        <v>1153</v>
      </c>
      <c r="B59" s="415"/>
      <c r="C59" s="733">
        <v>0</v>
      </c>
      <c r="D59" s="733">
        <v>0</v>
      </c>
      <c r="E59" s="733">
        <v>0</v>
      </c>
      <c r="F59" s="733">
        <v>0</v>
      </c>
      <c r="G59" s="733">
        <v>0</v>
      </c>
      <c r="H59" s="733">
        <f t="shared" si="25"/>
        <v>0</v>
      </c>
      <c r="I59" s="408">
        <f t="shared" si="2"/>
        <v>0</v>
      </c>
      <c r="J59" s="408" t="str">
        <f t="shared" si="3"/>
        <v/>
      </c>
      <c r="K59" s="735">
        <f t="shared" si="26"/>
        <v>0</v>
      </c>
      <c r="L59" s="100"/>
    </row>
    <row r="60" spans="1:12" x14ac:dyDescent="0.25">
      <c r="A60" s="695" t="s">
        <v>1154</v>
      </c>
      <c r="B60" s="415"/>
      <c r="C60" s="733">
        <v>853836.51</v>
      </c>
      <c r="D60" s="733">
        <v>340511</v>
      </c>
      <c r="E60" s="733">
        <v>340511</v>
      </c>
      <c r="F60" s="733">
        <v>128935</v>
      </c>
      <c r="G60" s="733">
        <v>963324</v>
      </c>
      <c r="H60" s="733">
        <f t="shared" si="25"/>
        <v>283759.16666666669</v>
      </c>
      <c r="I60" s="408">
        <f t="shared" si="2"/>
        <v>679564.83333333326</v>
      </c>
      <c r="J60" s="408">
        <f t="shared" si="3"/>
        <v>2.3948647767619837</v>
      </c>
      <c r="K60" s="735">
        <f t="shared" si="26"/>
        <v>340511</v>
      </c>
      <c r="L60" s="100"/>
    </row>
    <row r="61" spans="1:12" x14ac:dyDescent="0.25">
      <c r="A61" s="695" t="s">
        <v>1155</v>
      </c>
      <c r="B61" s="415"/>
      <c r="C61" s="733">
        <v>0</v>
      </c>
      <c r="D61" s="733">
        <v>0</v>
      </c>
      <c r="E61" s="733">
        <v>0</v>
      </c>
      <c r="F61" s="733">
        <v>0</v>
      </c>
      <c r="G61" s="733">
        <v>0</v>
      </c>
      <c r="H61" s="733">
        <f t="shared" si="25"/>
        <v>0</v>
      </c>
      <c r="I61" s="408">
        <f>G61-H61</f>
        <v>0</v>
      </c>
      <c r="J61" s="408" t="str">
        <f>IF(I61=0,"",I61/H61)</f>
        <v/>
      </c>
      <c r="K61" s="735">
        <f t="shared" si="26"/>
        <v>0</v>
      </c>
      <c r="L61" s="100"/>
    </row>
    <row r="62" spans="1:12" ht="22.5" x14ac:dyDescent="0.25">
      <c r="A62" s="695" t="s">
        <v>1173</v>
      </c>
      <c r="B62" s="415"/>
      <c r="C62" s="733"/>
      <c r="D62" s="733">
        <v>0</v>
      </c>
      <c r="E62" s="733">
        <v>0</v>
      </c>
      <c r="F62" s="733">
        <v>0</v>
      </c>
      <c r="G62" s="733">
        <v>0</v>
      </c>
      <c r="H62" s="733">
        <f t="shared" si="25"/>
        <v>0</v>
      </c>
      <c r="I62" s="408">
        <f>G62-H62</f>
        <v>0</v>
      </c>
      <c r="J62" s="408" t="str">
        <f>IF(I62=0,"",I62/H62)</f>
        <v/>
      </c>
      <c r="K62" s="735">
        <f t="shared" si="26"/>
        <v>0</v>
      </c>
      <c r="L62" s="100"/>
    </row>
    <row r="63" spans="1:12" x14ac:dyDescent="0.25">
      <c r="A63" s="695" t="s">
        <v>1174</v>
      </c>
      <c r="B63" s="415"/>
      <c r="C63" s="733"/>
      <c r="D63" s="733"/>
      <c r="E63" s="733">
        <v>0</v>
      </c>
      <c r="F63" s="733">
        <v>0</v>
      </c>
      <c r="G63" s="733">
        <v>0</v>
      </c>
      <c r="H63" s="733">
        <f t="shared" si="25"/>
        <v>0</v>
      </c>
      <c r="I63" s="408">
        <f t="shared" si="2"/>
        <v>0</v>
      </c>
      <c r="J63" s="408" t="str">
        <f t="shared" si="3"/>
        <v/>
      </c>
      <c r="K63" s="735">
        <f t="shared" si="26"/>
        <v>0</v>
      </c>
      <c r="L63" s="100"/>
    </row>
    <row r="64" spans="1:12" x14ac:dyDescent="0.25">
      <c r="A64" s="607" t="s">
        <v>713</v>
      </c>
      <c r="B64" s="415"/>
      <c r="C64" s="611">
        <f t="shared" ref="C64:H64" si="27">SUM(C65:C66)</f>
        <v>980551.94</v>
      </c>
      <c r="D64" s="611">
        <f t="shared" si="27"/>
        <v>519915</v>
      </c>
      <c r="E64" s="611">
        <f t="shared" si="27"/>
        <v>519915</v>
      </c>
      <c r="F64" s="611">
        <f t="shared" si="27"/>
        <v>96649.8</v>
      </c>
      <c r="G64" s="611">
        <f t="shared" si="27"/>
        <v>857858.48</v>
      </c>
      <c r="H64" s="611">
        <f t="shared" si="27"/>
        <v>433262.5</v>
      </c>
      <c r="I64" s="611">
        <f>G64-H64</f>
        <v>424595.98</v>
      </c>
      <c r="J64" s="611">
        <f>IF(I64=0,"",I64/H64)</f>
        <v>0.97999706875162285</v>
      </c>
      <c r="K64" s="614">
        <f>SUM(K65:K66)</f>
        <v>519915</v>
      </c>
      <c r="L64" s="100"/>
    </row>
    <row r="65" spans="1:12" x14ac:dyDescent="0.25">
      <c r="A65" s="695" t="s">
        <v>713</v>
      </c>
      <c r="B65" s="415"/>
      <c r="C65" s="733">
        <v>980551.94</v>
      </c>
      <c r="D65" s="733">
        <v>519915</v>
      </c>
      <c r="E65" s="733">
        <v>519915</v>
      </c>
      <c r="F65" s="733">
        <v>96649.8</v>
      </c>
      <c r="G65" s="733">
        <v>857858.48</v>
      </c>
      <c r="H65" s="733">
        <f t="shared" ref="H65:H66" si="28">E65/12*10</f>
        <v>433262.5</v>
      </c>
      <c r="I65" s="408">
        <f>G65-H65</f>
        <v>424595.98</v>
      </c>
      <c r="J65" s="408">
        <f>IF(I65=0,"",I65/H65)</f>
        <v>0.97999706875162285</v>
      </c>
      <c r="K65" s="735">
        <f>E65</f>
        <v>519915</v>
      </c>
      <c r="L65" s="100"/>
    </row>
    <row r="66" spans="1:12" x14ac:dyDescent="0.25">
      <c r="A66" s="695" t="s">
        <v>1156</v>
      </c>
      <c r="B66" s="415"/>
      <c r="C66" s="733">
        <v>0</v>
      </c>
      <c r="D66" s="733"/>
      <c r="E66" s="733">
        <v>0</v>
      </c>
      <c r="F66" s="733">
        <v>0</v>
      </c>
      <c r="G66" s="733">
        <v>0</v>
      </c>
      <c r="H66" s="733">
        <f t="shared" si="28"/>
        <v>0</v>
      </c>
      <c r="I66" s="408">
        <f>G66-H66</f>
        <v>0</v>
      </c>
      <c r="J66" s="408" t="str">
        <f>IF(I66=0,"",I66/H66)</f>
        <v/>
      </c>
      <c r="K66" s="735">
        <f>E66</f>
        <v>0</v>
      </c>
      <c r="L66" s="100"/>
    </row>
    <row r="67" spans="1:12" x14ac:dyDescent="0.25">
      <c r="A67" s="607" t="s">
        <v>612</v>
      </c>
      <c r="B67" s="415"/>
      <c r="C67" s="611">
        <f t="shared" ref="C67:H67" si="29">SUM(C68:C74)</f>
        <v>274</v>
      </c>
      <c r="D67" s="611">
        <f t="shared" si="29"/>
        <v>3135</v>
      </c>
      <c r="E67" s="611">
        <f t="shared" si="29"/>
        <v>3135</v>
      </c>
      <c r="F67" s="611">
        <f t="shared" si="29"/>
        <v>0</v>
      </c>
      <c r="G67" s="611">
        <f t="shared" si="29"/>
        <v>0</v>
      </c>
      <c r="H67" s="611">
        <f t="shared" si="29"/>
        <v>2612.5</v>
      </c>
      <c r="I67" s="611">
        <f t="shared" si="2"/>
        <v>-2612.5</v>
      </c>
      <c r="J67" s="611">
        <f t="shared" si="3"/>
        <v>-1</v>
      </c>
      <c r="K67" s="611">
        <f>SUM(K68:K74)</f>
        <v>3135</v>
      </c>
      <c r="L67" s="100"/>
    </row>
    <row r="68" spans="1:12" x14ac:dyDescent="0.25">
      <c r="A68" s="695" t="s">
        <v>520</v>
      </c>
      <c r="B68" s="415"/>
      <c r="C68" s="733">
        <v>0</v>
      </c>
      <c r="D68" s="733">
        <v>0</v>
      </c>
      <c r="E68" s="733">
        <v>0</v>
      </c>
      <c r="F68" s="733">
        <v>0</v>
      </c>
      <c r="G68" s="733">
        <v>0</v>
      </c>
      <c r="H68" s="733">
        <f t="shared" ref="H68:H74" si="30">E68/12*10</f>
        <v>0</v>
      </c>
      <c r="I68" s="408">
        <f t="shared" si="2"/>
        <v>0</v>
      </c>
      <c r="J68" s="408" t="str">
        <f t="shared" si="3"/>
        <v/>
      </c>
      <c r="K68" s="735">
        <f t="shared" ref="K68:K74" si="31">E68</f>
        <v>0</v>
      </c>
      <c r="L68" s="100"/>
    </row>
    <row r="69" spans="1:12" x14ac:dyDescent="0.25">
      <c r="A69" s="695" t="s">
        <v>1157</v>
      </c>
      <c r="B69" s="415"/>
      <c r="C69" s="733">
        <v>274</v>
      </c>
      <c r="D69" s="733">
        <v>0</v>
      </c>
      <c r="E69" s="733">
        <v>3135</v>
      </c>
      <c r="F69" s="733">
        <v>0</v>
      </c>
      <c r="G69" s="733">
        <v>0</v>
      </c>
      <c r="H69" s="733">
        <f t="shared" si="30"/>
        <v>2612.5</v>
      </c>
      <c r="I69" s="408">
        <f t="shared" si="2"/>
        <v>-2612.5</v>
      </c>
      <c r="J69" s="408">
        <f t="shared" si="3"/>
        <v>-1</v>
      </c>
      <c r="K69" s="735">
        <f t="shared" si="31"/>
        <v>3135</v>
      </c>
      <c r="L69" s="100"/>
    </row>
    <row r="70" spans="1:12" x14ac:dyDescent="0.25">
      <c r="A70" s="695" t="s">
        <v>1158</v>
      </c>
      <c r="B70" s="415"/>
      <c r="C70" s="733">
        <v>0</v>
      </c>
      <c r="D70" s="733">
        <v>0</v>
      </c>
      <c r="E70" s="733">
        <v>0</v>
      </c>
      <c r="F70" s="733">
        <v>0</v>
      </c>
      <c r="G70" s="733">
        <v>0</v>
      </c>
      <c r="H70" s="733">
        <f t="shared" si="30"/>
        <v>0</v>
      </c>
      <c r="I70" s="408">
        <f>G70-H70</f>
        <v>0</v>
      </c>
      <c r="J70" s="408" t="str">
        <f>IF(I70=0,"",I70/H70)</f>
        <v/>
      </c>
      <c r="K70" s="735">
        <f t="shared" si="31"/>
        <v>0</v>
      </c>
      <c r="L70" s="100"/>
    </row>
    <row r="71" spans="1:12" x14ac:dyDescent="0.25">
      <c r="A71" s="695" t="s">
        <v>1159</v>
      </c>
      <c r="B71" s="415"/>
      <c r="C71" s="733">
        <v>0</v>
      </c>
      <c r="D71" s="733">
        <v>3135</v>
      </c>
      <c r="E71" s="733">
        <v>0</v>
      </c>
      <c r="F71" s="733">
        <v>0</v>
      </c>
      <c r="G71" s="733">
        <v>0</v>
      </c>
      <c r="H71" s="733">
        <f t="shared" si="30"/>
        <v>0</v>
      </c>
      <c r="I71" s="408">
        <f>G71-H71</f>
        <v>0</v>
      </c>
      <c r="J71" s="408" t="str">
        <f>IF(I71=0,"",I71/H71)</f>
        <v/>
      </c>
      <c r="K71" s="735">
        <f t="shared" si="31"/>
        <v>0</v>
      </c>
      <c r="L71" s="100"/>
    </row>
    <row r="72" spans="1:12" ht="33.75" x14ac:dyDescent="0.25">
      <c r="A72" s="695" t="s">
        <v>1160</v>
      </c>
      <c r="B72" s="415"/>
      <c r="C72" s="733">
        <v>0</v>
      </c>
      <c r="D72" s="733">
        <v>0</v>
      </c>
      <c r="E72" s="733">
        <v>0</v>
      </c>
      <c r="F72" s="733">
        <v>0</v>
      </c>
      <c r="G72" s="733">
        <v>0</v>
      </c>
      <c r="H72" s="733">
        <f t="shared" si="30"/>
        <v>0</v>
      </c>
      <c r="I72" s="408">
        <f t="shared" si="2"/>
        <v>0</v>
      </c>
      <c r="J72" s="408" t="str">
        <f t="shared" si="3"/>
        <v/>
      </c>
      <c r="K72" s="735">
        <f t="shared" si="31"/>
        <v>0</v>
      </c>
      <c r="L72" s="100"/>
    </row>
    <row r="73" spans="1:12" x14ac:dyDescent="0.25">
      <c r="A73" s="695" t="s">
        <v>1161</v>
      </c>
      <c r="B73" s="415"/>
      <c r="C73" s="733">
        <v>0</v>
      </c>
      <c r="D73" s="733">
        <v>0</v>
      </c>
      <c r="E73" s="733">
        <v>0</v>
      </c>
      <c r="F73" s="733">
        <v>0</v>
      </c>
      <c r="G73" s="733">
        <v>0</v>
      </c>
      <c r="H73" s="733">
        <f t="shared" si="30"/>
        <v>0</v>
      </c>
      <c r="I73" s="408">
        <f t="shared" si="2"/>
        <v>0</v>
      </c>
      <c r="J73" s="408" t="str">
        <f t="shared" si="3"/>
        <v/>
      </c>
      <c r="K73" s="735">
        <f t="shared" si="31"/>
        <v>0</v>
      </c>
      <c r="L73" s="100"/>
    </row>
    <row r="74" spans="1:12" x14ac:dyDescent="0.25">
      <c r="A74" s="695" t="s">
        <v>1162</v>
      </c>
      <c r="B74" s="415"/>
      <c r="C74" s="733">
        <v>0</v>
      </c>
      <c r="D74" s="733">
        <v>0</v>
      </c>
      <c r="E74" s="733">
        <v>0</v>
      </c>
      <c r="F74" s="733">
        <v>0</v>
      </c>
      <c r="G74" s="733">
        <v>0</v>
      </c>
      <c r="H74" s="733">
        <f t="shared" si="30"/>
        <v>0</v>
      </c>
      <c r="I74" s="408">
        <f t="shared" si="2"/>
        <v>0</v>
      </c>
      <c r="J74" s="408" t="str">
        <f t="shared" si="3"/>
        <v/>
      </c>
      <c r="K74" s="735">
        <f t="shared" si="31"/>
        <v>0</v>
      </c>
      <c r="L74" s="100"/>
    </row>
    <row r="75" spans="1:12" x14ac:dyDescent="0.25">
      <c r="A75" s="414" t="s">
        <v>113</v>
      </c>
      <c r="B75" s="417"/>
      <c r="C75" s="605">
        <f t="shared" ref="C75:H75" si="32">C76+C87+C92</f>
        <v>164512870.41999999</v>
      </c>
      <c r="D75" s="605">
        <f t="shared" si="32"/>
        <v>143188134</v>
      </c>
      <c r="E75" s="605">
        <f t="shared" si="32"/>
        <v>135902134</v>
      </c>
      <c r="F75" s="605">
        <f t="shared" si="32"/>
        <v>14116746.279999999</v>
      </c>
      <c r="G75" s="605">
        <f t="shared" si="32"/>
        <v>102361418.5</v>
      </c>
      <c r="H75" s="605">
        <f t="shared" si="32"/>
        <v>113251778.33333333</v>
      </c>
      <c r="I75" s="605">
        <f t="shared" si="2"/>
        <v>-10890359.833333328</v>
      </c>
      <c r="J75" s="605">
        <f t="shared" si="3"/>
        <v>-9.6160607750280028E-2</v>
      </c>
      <c r="K75" s="606">
        <f>K76+K87+K92</f>
        <v>135902134</v>
      </c>
      <c r="L75" s="100"/>
    </row>
    <row r="76" spans="1:12" x14ac:dyDescent="0.25">
      <c r="A76" s="607" t="s">
        <v>114</v>
      </c>
      <c r="B76" s="417"/>
      <c r="C76" s="611">
        <f t="shared" ref="C76:H76" si="33">SUM(C77:C86)</f>
        <v>13049359.6</v>
      </c>
      <c r="D76" s="611">
        <f t="shared" si="33"/>
        <v>53905406</v>
      </c>
      <c r="E76" s="611">
        <f t="shared" si="33"/>
        <v>50405406</v>
      </c>
      <c r="F76" s="611">
        <f t="shared" si="33"/>
        <v>2158353.86</v>
      </c>
      <c r="G76" s="611">
        <f t="shared" si="33"/>
        <v>12523216.119999999</v>
      </c>
      <c r="H76" s="611">
        <f t="shared" si="33"/>
        <v>42004505</v>
      </c>
      <c r="I76" s="611">
        <f t="shared" si="2"/>
        <v>-29481288.880000003</v>
      </c>
      <c r="J76" s="611">
        <f t="shared" si="3"/>
        <v>-0.70186016666545659</v>
      </c>
      <c r="K76" s="611">
        <f>SUM(K77:K86)</f>
        <v>50405406</v>
      </c>
      <c r="L76" s="100"/>
    </row>
    <row r="77" spans="1:12" x14ac:dyDescent="0.25">
      <c r="A77" s="695" t="s">
        <v>1163</v>
      </c>
      <c r="B77" s="417"/>
      <c r="C77" s="733">
        <v>0</v>
      </c>
      <c r="D77" s="733">
        <v>0</v>
      </c>
      <c r="E77" s="733">
        <v>0</v>
      </c>
      <c r="F77" s="733">
        <v>0</v>
      </c>
      <c r="G77" s="733">
        <v>0</v>
      </c>
      <c r="H77" s="733">
        <f t="shared" ref="H77:H86" si="34">E77/12*10</f>
        <v>0</v>
      </c>
      <c r="I77" s="408">
        <f>G77-H77</f>
        <v>0</v>
      </c>
      <c r="J77" s="408" t="str">
        <f>IF(I77=0,"",I77/H77)</f>
        <v/>
      </c>
      <c r="K77" s="735">
        <f t="shared" ref="K77:K86" si="35">E77</f>
        <v>0</v>
      </c>
      <c r="L77" s="100"/>
    </row>
    <row r="78" spans="1:12" ht="22.5" x14ac:dyDescent="0.25">
      <c r="A78" s="695" t="s">
        <v>1164</v>
      </c>
      <c r="B78" s="417"/>
      <c r="C78" s="733">
        <v>0</v>
      </c>
      <c r="D78" s="733">
        <v>2090</v>
      </c>
      <c r="E78" s="733">
        <v>2090</v>
      </c>
      <c r="F78" s="733">
        <v>0</v>
      </c>
      <c r="G78" s="733">
        <v>0</v>
      </c>
      <c r="H78" s="733">
        <f t="shared" si="34"/>
        <v>1741.6666666666665</v>
      </c>
      <c r="I78" s="408">
        <f t="shared" si="2"/>
        <v>-1741.6666666666665</v>
      </c>
      <c r="J78" s="408">
        <f t="shared" si="3"/>
        <v>-1</v>
      </c>
      <c r="K78" s="735">
        <f t="shared" si="35"/>
        <v>2090</v>
      </c>
      <c r="L78" s="100"/>
    </row>
    <row r="79" spans="1:12" x14ac:dyDescent="0.25">
      <c r="A79" s="695" t="s">
        <v>1165</v>
      </c>
      <c r="B79" s="417"/>
      <c r="C79" s="733">
        <v>0</v>
      </c>
      <c r="D79" s="733">
        <v>0</v>
      </c>
      <c r="E79" s="733">
        <v>0</v>
      </c>
      <c r="F79" s="733">
        <v>0</v>
      </c>
      <c r="G79" s="733">
        <v>0</v>
      </c>
      <c r="H79" s="733">
        <f t="shared" si="34"/>
        <v>0</v>
      </c>
      <c r="I79" s="408">
        <f t="shared" si="2"/>
        <v>0</v>
      </c>
      <c r="J79" s="408" t="str">
        <f t="shared" si="3"/>
        <v/>
      </c>
      <c r="K79" s="735">
        <f t="shared" si="35"/>
        <v>0</v>
      </c>
      <c r="L79" s="100"/>
    </row>
    <row r="80" spans="1:12" x14ac:dyDescent="0.25">
      <c r="A80" s="695" t="s">
        <v>1166</v>
      </c>
      <c r="B80" s="417"/>
      <c r="C80" s="733">
        <v>0</v>
      </c>
      <c r="D80" s="733">
        <v>0</v>
      </c>
      <c r="E80" s="733">
        <v>0</v>
      </c>
      <c r="F80" s="733">
        <v>0</v>
      </c>
      <c r="G80" s="733">
        <v>0</v>
      </c>
      <c r="H80" s="733">
        <f t="shared" si="34"/>
        <v>0</v>
      </c>
      <c r="I80" s="408">
        <f>G80-H80</f>
        <v>0</v>
      </c>
      <c r="J80" s="408" t="str">
        <f>IF(I80=0,"",I80/H80)</f>
        <v/>
      </c>
      <c r="K80" s="735">
        <f t="shared" si="35"/>
        <v>0</v>
      </c>
      <c r="L80" s="100"/>
    </row>
    <row r="81" spans="1:12" x14ac:dyDescent="0.25">
      <c r="A81" s="695" t="s">
        <v>1167</v>
      </c>
      <c r="B81" s="417"/>
      <c r="C81" s="733">
        <v>1025073.12</v>
      </c>
      <c r="D81" s="733">
        <v>4078488</v>
      </c>
      <c r="E81" s="733">
        <v>4078488</v>
      </c>
      <c r="F81" s="733">
        <v>0</v>
      </c>
      <c r="G81" s="733">
        <v>0</v>
      </c>
      <c r="H81" s="733">
        <f t="shared" si="34"/>
        <v>3398740</v>
      </c>
      <c r="I81" s="408">
        <f>G81-H81</f>
        <v>-3398740</v>
      </c>
      <c r="J81" s="408">
        <f>IF(I81=0,"",I81/H81)</f>
        <v>-1</v>
      </c>
      <c r="K81" s="735">
        <f t="shared" si="35"/>
        <v>4078488</v>
      </c>
      <c r="L81" s="100"/>
    </row>
    <row r="82" spans="1:12" x14ac:dyDescent="0.25">
      <c r="A82" s="695" t="s">
        <v>1168</v>
      </c>
      <c r="B82" s="417"/>
      <c r="C82" s="733">
        <v>1831871.31</v>
      </c>
      <c r="D82" s="733">
        <v>0</v>
      </c>
      <c r="E82" s="733">
        <v>0</v>
      </c>
      <c r="F82" s="733">
        <v>0</v>
      </c>
      <c r="G82" s="733">
        <v>0</v>
      </c>
      <c r="H82" s="733">
        <f t="shared" si="34"/>
        <v>0</v>
      </c>
      <c r="I82" s="408">
        <f>G82-H82</f>
        <v>0</v>
      </c>
      <c r="J82" s="408" t="str">
        <f>IF(I82=0,"",I82/H82)</f>
        <v/>
      </c>
      <c r="K82" s="735">
        <f t="shared" si="35"/>
        <v>0</v>
      </c>
      <c r="L82" s="100"/>
    </row>
    <row r="83" spans="1:12" ht="22.5" x14ac:dyDescent="0.25">
      <c r="A83" s="695" t="s">
        <v>1169</v>
      </c>
      <c r="B83" s="417"/>
      <c r="C83" s="733">
        <v>10192415.17</v>
      </c>
      <c r="D83" s="733">
        <v>49823783</v>
      </c>
      <c r="E83" s="733">
        <v>46323783</v>
      </c>
      <c r="F83" s="733">
        <v>2158353.86</v>
      </c>
      <c r="G83" s="733">
        <v>12523216.119999999</v>
      </c>
      <c r="H83" s="733">
        <f t="shared" si="34"/>
        <v>38603152.5</v>
      </c>
      <c r="I83" s="408">
        <f>G83-H83</f>
        <v>-26079936.380000003</v>
      </c>
      <c r="J83" s="408">
        <f>IF(I83=0,"",I83/H83)</f>
        <v>-0.6755908440379319</v>
      </c>
      <c r="K83" s="735">
        <f t="shared" si="35"/>
        <v>46323783</v>
      </c>
      <c r="L83" s="100"/>
    </row>
    <row r="84" spans="1:12" x14ac:dyDescent="0.25">
      <c r="A84" s="695" t="s">
        <v>1170</v>
      </c>
      <c r="B84" s="417"/>
      <c r="C84" s="733">
        <v>0</v>
      </c>
      <c r="D84" s="733">
        <v>1045</v>
      </c>
      <c r="E84" s="733">
        <v>1045</v>
      </c>
      <c r="F84" s="733">
        <v>0</v>
      </c>
      <c r="G84" s="733">
        <v>0</v>
      </c>
      <c r="H84" s="733">
        <f t="shared" si="34"/>
        <v>870.83333333333326</v>
      </c>
      <c r="I84" s="408">
        <f t="shared" si="2"/>
        <v>-870.83333333333326</v>
      </c>
      <c r="J84" s="408">
        <f t="shared" si="3"/>
        <v>-1</v>
      </c>
      <c r="K84" s="735">
        <f t="shared" si="35"/>
        <v>1045</v>
      </c>
      <c r="L84" s="100"/>
    </row>
    <row r="85" spans="1:12" x14ac:dyDescent="0.25">
      <c r="A85" s="695" t="s">
        <v>1171</v>
      </c>
      <c r="B85" s="417"/>
      <c r="C85" s="733">
        <v>0</v>
      </c>
      <c r="D85" s="733">
        <v>0</v>
      </c>
      <c r="E85" s="733">
        <v>0</v>
      </c>
      <c r="F85" s="733">
        <v>0</v>
      </c>
      <c r="G85" s="733">
        <v>0</v>
      </c>
      <c r="H85" s="733">
        <f t="shared" si="34"/>
        <v>0</v>
      </c>
      <c r="I85" s="408">
        <f t="shared" si="2"/>
        <v>0</v>
      </c>
      <c r="J85" s="408" t="str">
        <f t="shared" si="3"/>
        <v/>
      </c>
      <c r="K85" s="735">
        <f t="shared" si="35"/>
        <v>0</v>
      </c>
      <c r="L85" s="100"/>
    </row>
    <row r="86" spans="1:12" x14ac:dyDescent="0.25">
      <c r="A86" s="695" t="s">
        <v>1172</v>
      </c>
      <c r="B86" s="417"/>
      <c r="C86" s="733">
        <v>0</v>
      </c>
      <c r="D86" s="733">
        <v>0</v>
      </c>
      <c r="E86" s="733">
        <v>0</v>
      </c>
      <c r="F86" s="733">
        <v>0</v>
      </c>
      <c r="G86" s="733">
        <v>0</v>
      </c>
      <c r="H86" s="733">
        <f t="shared" si="34"/>
        <v>0</v>
      </c>
      <c r="I86" s="408">
        <f t="shared" si="2"/>
        <v>0</v>
      </c>
      <c r="J86" s="408" t="str">
        <f t="shared" si="3"/>
        <v/>
      </c>
      <c r="K86" s="735">
        <f t="shared" si="35"/>
        <v>0</v>
      </c>
      <c r="L86" s="100"/>
    </row>
    <row r="87" spans="1:12" x14ac:dyDescent="0.25">
      <c r="A87" s="607" t="s">
        <v>115</v>
      </c>
      <c r="B87" s="417"/>
      <c r="C87" s="611">
        <f t="shared" ref="C87:H87" si="36">SUM(C88:C91)</f>
        <v>151463510.81999999</v>
      </c>
      <c r="D87" s="611">
        <f t="shared" si="36"/>
        <v>87293975</v>
      </c>
      <c r="E87" s="611">
        <f t="shared" si="36"/>
        <v>83507975</v>
      </c>
      <c r="F87" s="611">
        <f t="shared" si="36"/>
        <v>11958392.42</v>
      </c>
      <c r="G87" s="611">
        <f t="shared" si="36"/>
        <v>89838202.379999995</v>
      </c>
      <c r="H87" s="611">
        <f t="shared" si="36"/>
        <v>69589979.166666657</v>
      </c>
      <c r="I87" s="611">
        <f t="shared" si="2"/>
        <v>20248223.213333338</v>
      </c>
      <c r="J87" s="611">
        <f t="shared" si="3"/>
        <v>0.29096463967662978</v>
      </c>
      <c r="K87" s="614">
        <f>SUM(K88:K91)</f>
        <v>83507975</v>
      </c>
      <c r="L87" s="100"/>
    </row>
    <row r="88" spans="1:12" x14ac:dyDescent="0.25">
      <c r="A88" s="695" t="s">
        <v>1175</v>
      </c>
      <c r="B88" s="417"/>
      <c r="C88" s="733">
        <v>200</v>
      </c>
      <c r="D88" s="733">
        <v>0</v>
      </c>
      <c r="E88" s="733">
        <v>3004180</v>
      </c>
      <c r="F88" s="733">
        <v>0</v>
      </c>
      <c r="G88" s="733">
        <v>0</v>
      </c>
      <c r="H88" s="733">
        <f t="shared" ref="H88:H91" si="37">E88/12*10</f>
        <v>2503483.3333333335</v>
      </c>
      <c r="I88" s="408">
        <f t="shared" si="2"/>
        <v>-2503483.3333333335</v>
      </c>
      <c r="J88" s="408">
        <f t="shared" si="3"/>
        <v>-1</v>
      </c>
      <c r="K88" s="735">
        <f>E88</f>
        <v>3004180</v>
      </c>
      <c r="L88" s="100"/>
    </row>
    <row r="89" spans="1:12" x14ac:dyDescent="0.25">
      <c r="A89" s="695" t="s">
        <v>1176</v>
      </c>
      <c r="B89" s="417"/>
      <c r="C89" s="733">
        <v>66460095.579999998</v>
      </c>
      <c r="D89" s="733">
        <v>0</v>
      </c>
      <c r="E89" s="733">
        <v>52419979</v>
      </c>
      <c r="F89" s="733">
        <v>11958392.42</v>
      </c>
      <c r="G89" s="733">
        <v>89838202.379999995</v>
      </c>
      <c r="H89" s="733">
        <f t="shared" si="37"/>
        <v>43683315.833333328</v>
      </c>
      <c r="I89" s="408">
        <f t="shared" si="2"/>
        <v>46154886.546666667</v>
      </c>
      <c r="J89" s="408">
        <f t="shared" si="3"/>
        <v>1.0565792835590415</v>
      </c>
      <c r="K89" s="735">
        <f>E89</f>
        <v>52419979</v>
      </c>
      <c r="L89" s="100"/>
    </row>
    <row r="90" spans="1:12" x14ac:dyDescent="0.25">
      <c r="A90" s="695" t="s">
        <v>168</v>
      </c>
      <c r="B90" s="417"/>
      <c r="C90" s="733">
        <v>85003215.239999995</v>
      </c>
      <c r="D90" s="733">
        <v>87293975</v>
      </c>
      <c r="E90" s="733">
        <v>28083816</v>
      </c>
      <c r="F90" s="733">
        <v>0</v>
      </c>
      <c r="G90" s="733">
        <v>0</v>
      </c>
      <c r="H90" s="733">
        <f t="shared" si="37"/>
        <v>23403180</v>
      </c>
      <c r="I90" s="408">
        <f t="shared" si="2"/>
        <v>-23403180</v>
      </c>
      <c r="J90" s="408">
        <f t="shared" si="3"/>
        <v>-1</v>
      </c>
      <c r="K90" s="735">
        <f>E90</f>
        <v>28083816</v>
      </c>
      <c r="L90" s="100"/>
    </row>
    <row r="91" spans="1:12" x14ac:dyDescent="0.25">
      <c r="A91" s="695" t="s">
        <v>1177</v>
      </c>
      <c r="B91" s="417"/>
      <c r="C91" s="733">
        <v>0</v>
      </c>
      <c r="D91" s="733"/>
      <c r="E91" s="733">
        <v>0</v>
      </c>
      <c r="F91" s="733">
        <v>0</v>
      </c>
      <c r="G91" s="733">
        <v>0</v>
      </c>
      <c r="H91" s="733">
        <f t="shared" si="37"/>
        <v>0</v>
      </c>
      <c r="I91" s="408">
        <f t="shared" si="2"/>
        <v>0</v>
      </c>
      <c r="J91" s="408" t="str">
        <f t="shared" si="3"/>
        <v/>
      </c>
      <c r="K91" s="735">
        <f>E91</f>
        <v>0</v>
      </c>
      <c r="L91" s="100"/>
    </row>
    <row r="92" spans="1:12" x14ac:dyDescent="0.25">
      <c r="A92" s="607" t="s">
        <v>116</v>
      </c>
      <c r="B92" s="417"/>
      <c r="C92" s="611">
        <f>SUM(C93:C98)</f>
        <v>0</v>
      </c>
      <c r="D92" s="611">
        <f t="shared" ref="D92:K92" si="38">SUM(D93:D98)</f>
        <v>1988753</v>
      </c>
      <c r="E92" s="611">
        <f t="shared" si="38"/>
        <v>1988753</v>
      </c>
      <c r="F92" s="611">
        <f t="shared" si="38"/>
        <v>0</v>
      </c>
      <c r="G92" s="611">
        <f t="shared" si="38"/>
        <v>0</v>
      </c>
      <c r="H92" s="611">
        <f t="shared" si="38"/>
        <v>1657294.1666666665</v>
      </c>
      <c r="I92" s="611">
        <f t="shared" si="2"/>
        <v>-1657294.1666666665</v>
      </c>
      <c r="J92" s="611">
        <f t="shared" si="3"/>
        <v>-1</v>
      </c>
      <c r="K92" s="614">
        <f t="shared" si="38"/>
        <v>1988753</v>
      </c>
      <c r="L92" s="100"/>
    </row>
    <row r="93" spans="1:12" x14ac:dyDescent="0.25">
      <c r="A93" s="695" t="s">
        <v>1178</v>
      </c>
      <c r="B93" s="417"/>
      <c r="C93" s="733">
        <v>0</v>
      </c>
      <c r="D93" s="733">
        <v>0</v>
      </c>
      <c r="E93" s="733">
        <v>1988753</v>
      </c>
      <c r="F93" s="733">
        <v>0</v>
      </c>
      <c r="G93" s="733">
        <v>0</v>
      </c>
      <c r="H93" s="733">
        <f t="shared" ref="H93:H98" si="39">E93/12*10</f>
        <v>1657294.1666666665</v>
      </c>
      <c r="I93" s="408">
        <f t="shared" si="2"/>
        <v>-1657294.1666666665</v>
      </c>
      <c r="J93" s="408">
        <f t="shared" si="3"/>
        <v>-1</v>
      </c>
      <c r="K93" s="735">
        <f t="shared" ref="K93:K98" si="40">E93</f>
        <v>1988753</v>
      </c>
      <c r="L93" s="100"/>
    </row>
    <row r="94" spans="1:12" x14ac:dyDescent="0.25">
      <c r="A94" s="695" t="s">
        <v>1179</v>
      </c>
      <c r="B94" s="417"/>
      <c r="C94" s="733">
        <v>0</v>
      </c>
      <c r="D94" s="733">
        <v>0</v>
      </c>
      <c r="E94" s="733">
        <v>0</v>
      </c>
      <c r="F94" s="733">
        <v>0</v>
      </c>
      <c r="G94" s="733">
        <v>0</v>
      </c>
      <c r="H94" s="1001">
        <f t="shared" si="39"/>
        <v>0</v>
      </c>
      <c r="I94" s="408">
        <f t="shared" si="2"/>
        <v>0</v>
      </c>
      <c r="J94" s="408" t="str">
        <f t="shared" si="3"/>
        <v/>
      </c>
      <c r="K94" s="735">
        <f t="shared" si="40"/>
        <v>0</v>
      </c>
      <c r="L94" s="100"/>
    </row>
    <row r="95" spans="1:12" x14ac:dyDescent="0.25">
      <c r="A95" s="695" t="s">
        <v>1180</v>
      </c>
      <c r="B95" s="417"/>
      <c r="C95" s="733">
        <v>0</v>
      </c>
      <c r="D95" s="733">
        <v>0</v>
      </c>
      <c r="E95" s="733">
        <v>0</v>
      </c>
      <c r="F95" s="733">
        <v>0</v>
      </c>
      <c r="G95" s="733">
        <v>0</v>
      </c>
      <c r="H95" s="1001">
        <f t="shared" si="39"/>
        <v>0</v>
      </c>
      <c r="I95" s="408">
        <f>G95-H95</f>
        <v>0</v>
      </c>
      <c r="J95" s="408" t="str">
        <f>IF(I95=0,"",I95/H95)</f>
        <v/>
      </c>
      <c r="K95" s="735">
        <f t="shared" si="40"/>
        <v>0</v>
      </c>
      <c r="L95" s="100"/>
    </row>
    <row r="96" spans="1:12" x14ac:dyDescent="0.25">
      <c r="A96" s="695" t="s">
        <v>1181</v>
      </c>
      <c r="B96" s="417"/>
      <c r="C96" s="733">
        <v>0</v>
      </c>
      <c r="D96" s="733">
        <v>1988753</v>
      </c>
      <c r="E96" s="733">
        <v>0</v>
      </c>
      <c r="F96" s="733">
        <v>0</v>
      </c>
      <c r="G96" s="733">
        <v>0</v>
      </c>
      <c r="H96" s="1001">
        <f t="shared" si="39"/>
        <v>0</v>
      </c>
      <c r="I96" s="408">
        <f>G96-H96</f>
        <v>0</v>
      </c>
      <c r="J96" s="408" t="str">
        <f>IF(I96=0,"",I96/H96)</f>
        <v/>
      </c>
      <c r="K96" s="735">
        <f t="shared" si="40"/>
        <v>0</v>
      </c>
      <c r="L96" s="100"/>
    </row>
    <row r="97" spans="1:12" x14ac:dyDescent="0.25">
      <c r="A97" s="695" t="s">
        <v>169</v>
      </c>
      <c r="B97" s="417"/>
      <c r="C97" s="733"/>
      <c r="D97" s="733">
        <v>0</v>
      </c>
      <c r="E97" s="733">
        <v>0</v>
      </c>
      <c r="F97" s="733">
        <v>0</v>
      </c>
      <c r="G97" s="733">
        <v>0</v>
      </c>
      <c r="H97" s="1001">
        <f t="shared" si="39"/>
        <v>0</v>
      </c>
      <c r="I97" s="408">
        <f t="shared" si="2"/>
        <v>0</v>
      </c>
      <c r="J97" s="408" t="str">
        <f t="shared" si="3"/>
        <v/>
      </c>
      <c r="K97" s="735">
        <f t="shared" si="40"/>
        <v>0</v>
      </c>
      <c r="L97" s="100"/>
    </row>
    <row r="98" spans="1:12" x14ac:dyDescent="0.25">
      <c r="A98" s="695" t="s">
        <v>1182</v>
      </c>
      <c r="B98" s="417"/>
      <c r="C98" s="733"/>
      <c r="D98" s="733">
        <v>0</v>
      </c>
      <c r="E98" s="733">
        <v>0</v>
      </c>
      <c r="F98" s="733">
        <v>0</v>
      </c>
      <c r="G98" s="733">
        <v>0</v>
      </c>
      <c r="H98" s="1001">
        <f t="shared" si="39"/>
        <v>0</v>
      </c>
      <c r="I98" s="408">
        <f t="shared" si="2"/>
        <v>0</v>
      </c>
      <c r="J98" s="408" t="str">
        <f t="shared" si="3"/>
        <v/>
      </c>
      <c r="K98" s="735">
        <f t="shared" si="40"/>
        <v>0</v>
      </c>
      <c r="L98" s="100"/>
    </row>
    <row r="99" spans="1:12" x14ac:dyDescent="0.25">
      <c r="A99" s="414" t="s">
        <v>117</v>
      </c>
      <c r="B99" s="417"/>
      <c r="C99" s="605">
        <f>C100+C104+C108+C113</f>
        <v>1491387032.72</v>
      </c>
      <c r="D99" s="605">
        <f t="shared" ref="D99:I99" si="41">D100+D104+D108+D113</f>
        <v>1780203008</v>
      </c>
      <c r="E99" s="605">
        <f t="shared" si="41"/>
        <v>1737203008</v>
      </c>
      <c r="F99" s="605">
        <f t="shared" si="41"/>
        <v>124312131.73</v>
      </c>
      <c r="G99" s="605">
        <f t="shared" si="41"/>
        <v>1126586928.74</v>
      </c>
      <c r="H99" s="605">
        <f t="shared" si="41"/>
        <v>1447669173.3333335</v>
      </c>
      <c r="I99" s="605">
        <f t="shared" si="41"/>
        <v>-321082244.59333336</v>
      </c>
      <c r="J99" s="605">
        <f t="shared" si="3"/>
        <v>-0.22179255489292821</v>
      </c>
      <c r="K99" s="606">
        <f>K100+K104+K108+K113</f>
        <v>1737203008</v>
      </c>
      <c r="L99" s="100"/>
    </row>
    <row r="100" spans="1:12" x14ac:dyDescent="0.25">
      <c r="A100" s="607" t="s">
        <v>1183</v>
      </c>
      <c r="B100" s="417"/>
      <c r="C100" s="611">
        <f>SUM(C101:C103)</f>
        <v>1017318005.3600001</v>
      </c>
      <c r="D100" s="611">
        <f t="shared" ref="D100:K100" si="42">SUM(D101:D103)</f>
        <v>1234593773</v>
      </c>
      <c r="E100" s="611">
        <f t="shared" si="42"/>
        <v>1234593773</v>
      </c>
      <c r="F100" s="611">
        <f t="shared" si="42"/>
        <v>89178477.730000004</v>
      </c>
      <c r="G100" s="611">
        <f t="shared" si="42"/>
        <v>755956448.74000001</v>
      </c>
      <c r="H100" s="611">
        <f t="shared" si="42"/>
        <v>1028828144.1666667</v>
      </c>
      <c r="I100" s="611">
        <f t="shared" si="2"/>
        <v>-272871695.42666674</v>
      </c>
      <c r="J100" s="611">
        <f t="shared" si="3"/>
        <v>-0.26522572984984599</v>
      </c>
      <c r="K100" s="614">
        <f t="shared" si="42"/>
        <v>1234593773</v>
      </c>
      <c r="L100" s="100"/>
    </row>
    <row r="101" spans="1:12" x14ac:dyDescent="0.25">
      <c r="A101" s="695" t="s">
        <v>1184</v>
      </c>
      <c r="B101" s="417"/>
      <c r="C101" s="733">
        <v>1017318005.3600001</v>
      </c>
      <c r="D101" s="733">
        <v>1234593773</v>
      </c>
      <c r="E101" s="733">
        <v>1234593773</v>
      </c>
      <c r="F101" s="733">
        <v>89178477.730000004</v>
      </c>
      <c r="G101" s="733">
        <v>755956448.74000001</v>
      </c>
      <c r="H101" s="733">
        <f t="shared" ref="H101:H103" si="43">E101/12*10</f>
        <v>1028828144.1666667</v>
      </c>
      <c r="I101" s="408">
        <f t="shared" si="2"/>
        <v>-272871695.42666674</v>
      </c>
      <c r="J101" s="408">
        <f t="shared" si="3"/>
        <v>-0.26522572984984599</v>
      </c>
      <c r="K101" s="735">
        <f>E101</f>
        <v>1234593773</v>
      </c>
      <c r="L101" s="100"/>
    </row>
    <row r="102" spans="1:12" x14ac:dyDescent="0.25">
      <c r="A102" s="695" t="s">
        <v>1185</v>
      </c>
      <c r="B102" s="417"/>
      <c r="C102" s="733">
        <v>0</v>
      </c>
      <c r="D102" s="733">
        <v>0</v>
      </c>
      <c r="E102" s="733">
        <v>0</v>
      </c>
      <c r="F102" s="733">
        <v>0</v>
      </c>
      <c r="G102" s="733">
        <v>0</v>
      </c>
      <c r="H102" s="733">
        <f t="shared" si="43"/>
        <v>0</v>
      </c>
      <c r="I102" s="408">
        <f>G102-H102</f>
        <v>0</v>
      </c>
      <c r="J102" s="408" t="str">
        <f>IF(I102=0,"",I102/H102)</f>
        <v/>
      </c>
      <c r="K102" s="735">
        <f>E102</f>
        <v>0</v>
      </c>
      <c r="L102" s="100"/>
    </row>
    <row r="103" spans="1:12" x14ac:dyDescent="0.25">
      <c r="A103" s="695" t="s">
        <v>1186</v>
      </c>
      <c r="B103" s="417"/>
      <c r="C103" s="733">
        <v>0</v>
      </c>
      <c r="D103" s="733">
        <v>0</v>
      </c>
      <c r="E103" s="733">
        <v>0</v>
      </c>
      <c r="F103" s="733">
        <v>0</v>
      </c>
      <c r="G103" s="733">
        <v>0</v>
      </c>
      <c r="H103" s="733">
        <f t="shared" si="43"/>
        <v>0</v>
      </c>
      <c r="I103" s="408">
        <f t="shared" si="2"/>
        <v>0</v>
      </c>
      <c r="J103" s="408" t="str">
        <f t="shared" si="3"/>
        <v/>
      </c>
      <c r="K103" s="735">
        <f>E103</f>
        <v>0</v>
      </c>
      <c r="L103" s="100"/>
    </row>
    <row r="104" spans="1:12" x14ac:dyDescent="0.25">
      <c r="A104" s="607" t="s">
        <v>1187</v>
      </c>
      <c r="B104" s="417"/>
      <c r="C104" s="611">
        <f>SUM(C105:C107)</f>
        <v>245579704.28999999</v>
      </c>
      <c r="D104" s="611">
        <f t="shared" ref="D104:K104" si="44">SUM(D105:D107)</f>
        <v>296691354</v>
      </c>
      <c r="E104" s="611">
        <f t="shared" si="44"/>
        <v>253691354</v>
      </c>
      <c r="F104" s="611">
        <f t="shared" si="44"/>
        <v>14110805</v>
      </c>
      <c r="G104" s="611">
        <f t="shared" si="44"/>
        <v>172331206</v>
      </c>
      <c r="H104" s="611">
        <f t="shared" si="44"/>
        <v>211409461.66666666</v>
      </c>
      <c r="I104" s="611">
        <f t="shared" si="2"/>
        <v>-39078255.666666657</v>
      </c>
      <c r="J104" s="611">
        <f t="shared" si="3"/>
        <v>-0.1848462947617836</v>
      </c>
      <c r="K104" s="614">
        <f t="shared" si="44"/>
        <v>253691354</v>
      </c>
      <c r="L104" s="100"/>
    </row>
    <row r="105" spans="1:12" x14ac:dyDescent="0.25">
      <c r="A105" s="695" t="s">
        <v>1188</v>
      </c>
      <c r="B105" s="417"/>
      <c r="C105" s="733">
        <v>0</v>
      </c>
      <c r="D105" s="733">
        <v>0</v>
      </c>
      <c r="E105" s="733">
        <v>1045</v>
      </c>
      <c r="F105" s="733">
        <v>0</v>
      </c>
      <c r="G105" s="733">
        <v>0</v>
      </c>
      <c r="H105" s="733">
        <f t="shared" ref="H105:H107" si="45">E105/12*10</f>
        <v>870.83333333333326</v>
      </c>
      <c r="I105" s="408">
        <f t="shared" si="2"/>
        <v>-870.83333333333326</v>
      </c>
      <c r="J105" s="408">
        <f t="shared" si="3"/>
        <v>-1</v>
      </c>
      <c r="K105" s="735">
        <f>E105</f>
        <v>1045</v>
      </c>
      <c r="L105" s="100"/>
    </row>
    <row r="106" spans="1:12" x14ac:dyDescent="0.25">
      <c r="A106" s="695" t="s">
        <v>170</v>
      </c>
      <c r="B106" s="417"/>
      <c r="C106" s="733">
        <v>245579704.28999999</v>
      </c>
      <c r="D106" s="733">
        <v>296691354</v>
      </c>
      <c r="E106" s="733">
        <v>253690309</v>
      </c>
      <c r="F106" s="733">
        <v>14110805</v>
      </c>
      <c r="G106" s="733">
        <v>172331206</v>
      </c>
      <c r="H106" s="733">
        <f t="shared" si="45"/>
        <v>211408590.83333331</v>
      </c>
      <c r="I106" s="408">
        <f>G106-H106</f>
        <v>-39077384.833333313</v>
      </c>
      <c r="J106" s="408">
        <f>IF(I106=0,"",I106/H106)</f>
        <v>-0.1848429369842424</v>
      </c>
      <c r="K106" s="735">
        <f>E106</f>
        <v>253690309</v>
      </c>
      <c r="L106" s="100"/>
    </row>
    <row r="107" spans="1:12" x14ac:dyDescent="0.25">
      <c r="A107" s="695" t="s">
        <v>171</v>
      </c>
      <c r="B107" s="417"/>
      <c r="C107" s="733">
        <v>0</v>
      </c>
      <c r="D107" s="733"/>
      <c r="E107" s="733">
        <v>0</v>
      </c>
      <c r="F107" s="733">
        <v>0</v>
      </c>
      <c r="G107" s="733">
        <v>0</v>
      </c>
      <c r="H107" s="733">
        <f t="shared" si="45"/>
        <v>0</v>
      </c>
      <c r="I107" s="408">
        <f t="shared" si="2"/>
        <v>0</v>
      </c>
      <c r="J107" s="408" t="str">
        <f t="shared" si="3"/>
        <v/>
      </c>
      <c r="K107" s="735">
        <f>E107</f>
        <v>0</v>
      </c>
      <c r="L107" s="100"/>
    </row>
    <row r="108" spans="1:12" x14ac:dyDescent="0.25">
      <c r="A108" s="607" t="s">
        <v>118</v>
      </c>
      <c r="B108" s="417"/>
      <c r="C108" s="611">
        <f>SUM(C109:C112)</f>
        <v>113092925.72999999</v>
      </c>
      <c r="D108" s="611">
        <f t="shared" ref="D108:K108" si="46">SUM(D109:D112)</f>
        <v>126898124</v>
      </c>
      <c r="E108" s="611">
        <f t="shared" si="46"/>
        <v>126898124</v>
      </c>
      <c r="F108" s="611">
        <f t="shared" si="46"/>
        <v>10719880</v>
      </c>
      <c r="G108" s="611">
        <f t="shared" si="46"/>
        <v>94192104</v>
      </c>
      <c r="H108" s="611">
        <f t="shared" si="46"/>
        <v>105748436.66666666</v>
      </c>
      <c r="I108" s="611">
        <f t="shared" si="2"/>
        <v>-11556332.666666657</v>
      </c>
      <c r="J108" s="611">
        <f t="shared" si="3"/>
        <v>-0.10928135706718556</v>
      </c>
      <c r="K108" s="614">
        <f t="shared" si="46"/>
        <v>126898124</v>
      </c>
      <c r="L108" s="100"/>
    </row>
    <row r="109" spans="1:12" x14ac:dyDescent="0.25">
      <c r="A109" s="695" t="s">
        <v>174</v>
      </c>
      <c r="B109" s="417"/>
      <c r="C109" s="733">
        <v>0</v>
      </c>
      <c r="D109" s="733"/>
      <c r="E109" s="733">
        <v>0</v>
      </c>
      <c r="F109" s="733">
        <v>0</v>
      </c>
      <c r="G109" s="733">
        <v>0</v>
      </c>
      <c r="H109" s="733">
        <f t="shared" ref="H109:H112" si="47">E109/12*10</f>
        <v>0</v>
      </c>
      <c r="I109" s="408">
        <f t="shared" si="2"/>
        <v>0</v>
      </c>
      <c r="J109" s="408" t="str">
        <f t="shared" si="3"/>
        <v/>
      </c>
      <c r="K109" s="735">
        <f>E109</f>
        <v>0</v>
      </c>
      <c r="L109" s="100"/>
    </row>
    <row r="110" spans="1:12" x14ac:dyDescent="0.25">
      <c r="A110" s="695" t="s">
        <v>172</v>
      </c>
      <c r="B110" s="417"/>
      <c r="C110" s="733">
        <v>113092925.72999999</v>
      </c>
      <c r="D110" s="733">
        <v>126898124</v>
      </c>
      <c r="E110" s="733">
        <v>126898124</v>
      </c>
      <c r="F110" s="733">
        <v>10719880</v>
      </c>
      <c r="G110" s="733">
        <v>94192104</v>
      </c>
      <c r="H110" s="733">
        <f t="shared" si="47"/>
        <v>105748436.66666666</v>
      </c>
      <c r="I110" s="408">
        <f t="shared" si="2"/>
        <v>-11556332.666666657</v>
      </c>
      <c r="J110" s="408">
        <f t="shared" si="3"/>
        <v>-0.10928135706718556</v>
      </c>
      <c r="K110" s="735">
        <f>E110</f>
        <v>126898124</v>
      </c>
      <c r="L110" s="100"/>
    </row>
    <row r="111" spans="1:12" x14ac:dyDescent="0.25">
      <c r="A111" s="695" t="s">
        <v>173</v>
      </c>
      <c r="B111" s="417"/>
      <c r="C111" s="733">
        <v>0</v>
      </c>
      <c r="D111" s="733"/>
      <c r="E111" s="733">
        <v>0</v>
      </c>
      <c r="F111" s="733">
        <v>0</v>
      </c>
      <c r="G111" s="733">
        <v>0</v>
      </c>
      <c r="H111" s="733">
        <f t="shared" si="47"/>
        <v>0</v>
      </c>
      <c r="I111" s="408">
        <f>G111-H111</f>
        <v>0</v>
      </c>
      <c r="J111" s="408" t="str">
        <f>IF(I111=0,"",I111/H111)</f>
        <v/>
      </c>
      <c r="K111" s="735">
        <f>E111</f>
        <v>0</v>
      </c>
      <c r="L111" s="100"/>
    </row>
    <row r="112" spans="1:12" x14ac:dyDescent="0.25">
      <c r="A112" s="695" t="s">
        <v>1189</v>
      </c>
      <c r="B112" s="417"/>
      <c r="C112" s="733">
        <v>0</v>
      </c>
      <c r="D112" s="733"/>
      <c r="E112" s="733">
        <v>0</v>
      </c>
      <c r="F112" s="733">
        <v>0</v>
      </c>
      <c r="G112" s="733">
        <v>0</v>
      </c>
      <c r="H112" s="733">
        <f t="shared" si="47"/>
        <v>0</v>
      </c>
      <c r="I112" s="408">
        <f t="shared" si="2"/>
        <v>0</v>
      </c>
      <c r="J112" s="408" t="str">
        <f t="shared" si="3"/>
        <v/>
      </c>
      <c r="K112" s="735">
        <f>E112</f>
        <v>0</v>
      </c>
      <c r="L112" s="100"/>
    </row>
    <row r="113" spans="1:12" x14ac:dyDescent="0.25">
      <c r="A113" s="607" t="s">
        <v>119</v>
      </c>
      <c r="B113" s="417"/>
      <c r="C113" s="611">
        <f t="shared" ref="C113:H113" si="48">SUM(C114:C117)</f>
        <v>115396397.33999999</v>
      </c>
      <c r="D113" s="611">
        <f t="shared" si="48"/>
        <v>122019757</v>
      </c>
      <c r="E113" s="611">
        <f t="shared" si="48"/>
        <v>122019757</v>
      </c>
      <c r="F113" s="611">
        <f t="shared" si="48"/>
        <v>10302969</v>
      </c>
      <c r="G113" s="611">
        <f t="shared" si="48"/>
        <v>104107170</v>
      </c>
      <c r="H113" s="611">
        <f t="shared" si="48"/>
        <v>101683130.83333334</v>
      </c>
      <c r="I113" s="611">
        <f t="shared" si="2"/>
        <v>2424039.1666666567</v>
      </c>
      <c r="J113" s="611">
        <f t="shared" si="3"/>
        <v>2.3839147622626292E-2</v>
      </c>
      <c r="K113" s="611">
        <f>SUM(K114:K117)</f>
        <v>122019757</v>
      </c>
      <c r="L113" s="100"/>
    </row>
    <row r="114" spans="1:12" x14ac:dyDescent="0.25">
      <c r="A114" s="695" t="s">
        <v>1190</v>
      </c>
      <c r="B114" s="417"/>
      <c r="C114" s="733">
        <v>0</v>
      </c>
      <c r="D114" s="733">
        <v>0</v>
      </c>
      <c r="E114" s="733">
        <v>0</v>
      </c>
      <c r="F114" s="733">
        <v>0</v>
      </c>
      <c r="G114" s="733">
        <v>0</v>
      </c>
      <c r="H114" s="733">
        <f t="shared" ref="H114:H117" si="49">E114/12*10</f>
        <v>0</v>
      </c>
      <c r="I114" s="408">
        <f>G114-H114</f>
        <v>0</v>
      </c>
      <c r="J114" s="408" t="str">
        <f>IF(I114=0,"",I114/H114)</f>
        <v/>
      </c>
      <c r="K114" s="735">
        <v>0</v>
      </c>
      <c r="L114" s="100"/>
    </row>
    <row r="115" spans="1:12" x14ac:dyDescent="0.25">
      <c r="A115" s="695" t="s">
        <v>1191</v>
      </c>
      <c r="B115" s="417"/>
      <c r="C115" s="733">
        <v>0</v>
      </c>
      <c r="D115" s="733">
        <v>0</v>
      </c>
      <c r="E115" s="733">
        <v>0</v>
      </c>
      <c r="F115" s="733">
        <v>0</v>
      </c>
      <c r="G115" s="733">
        <v>0</v>
      </c>
      <c r="H115" s="733">
        <f t="shared" si="49"/>
        <v>0</v>
      </c>
      <c r="I115" s="408">
        <f>G115-H115</f>
        <v>0</v>
      </c>
      <c r="J115" s="408" t="str">
        <f>IF(I115=0,"",I115/H115)</f>
        <v/>
      </c>
      <c r="K115" s="735">
        <v>0</v>
      </c>
      <c r="L115" s="100"/>
    </row>
    <row r="116" spans="1:12" x14ac:dyDescent="0.25">
      <c r="A116" s="695" t="s">
        <v>1192</v>
      </c>
      <c r="B116" s="417"/>
      <c r="C116" s="733">
        <v>115396397.33999999</v>
      </c>
      <c r="D116" s="733">
        <v>122019757</v>
      </c>
      <c r="E116" s="733">
        <v>122019757</v>
      </c>
      <c r="F116" s="733">
        <v>10302969</v>
      </c>
      <c r="G116" s="733">
        <v>104107170</v>
      </c>
      <c r="H116" s="733">
        <f t="shared" si="49"/>
        <v>101683130.83333334</v>
      </c>
      <c r="I116" s="408">
        <f t="shared" si="2"/>
        <v>2424039.1666666567</v>
      </c>
      <c r="J116" s="408">
        <f t="shared" si="3"/>
        <v>2.3839147622626292E-2</v>
      </c>
      <c r="K116" s="735">
        <f>E116</f>
        <v>122019757</v>
      </c>
      <c r="L116" s="100"/>
    </row>
    <row r="117" spans="1:12" x14ac:dyDescent="0.25">
      <c r="A117" s="695" t="s">
        <v>1193</v>
      </c>
      <c r="B117" s="417"/>
      <c r="C117" s="733">
        <v>0</v>
      </c>
      <c r="D117" s="733">
        <v>0</v>
      </c>
      <c r="E117" s="733">
        <v>0</v>
      </c>
      <c r="F117" s="733">
        <v>0</v>
      </c>
      <c r="G117" s="733">
        <v>0</v>
      </c>
      <c r="H117" s="733">
        <f t="shared" si="49"/>
        <v>0</v>
      </c>
      <c r="I117" s="408">
        <f>G117-H117</f>
        <v>0</v>
      </c>
      <c r="J117" s="408" t="str">
        <f>IF(I117=0,"",I117/H117)</f>
        <v/>
      </c>
      <c r="K117" s="735">
        <v>0</v>
      </c>
      <c r="L117" s="100"/>
    </row>
    <row r="118" spans="1:12" x14ac:dyDescent="0.25">
      <c r="A118" s="414" t="s">
        <v>720</v>
      </c>
      <c r="B118" s="417"/>
      <c r="C118" s="611">
        <f>SUM(C119:C124)</f>
        <v>0</v>
      </c>
      <c r="D118" s="611">
        <f t="shared" ref="D118:K118" si="50">SUM(D119:D124)</f>
        <v>0</v>
      </c>
      <c r="E118" s="611">
        <f t="shared" si="50"/>
        <v>0</v>
      </c>
      <c r="F118" s="611">
        <f t="shared" si="50"/>
        <v>0</v>
      </c>
      <c r="G118" s="611">
        <f t="shared" si="50"/>
        <v>0</v>
      </c>
      <c r="H118" s="611">
        <f t="shared" si="50"/>
        <v>0</v>
      </c>
      <c r="I118" s="611">
        <f t="shared" si="2"/>
        <v>0</v>
      </c>
      <c r="J118" s="611" t="str">
        <f t="shared" si="3"/>
        <v/>
      </c>
      <c r="K118" s="614">
        <f t="shared" si="50"/>
        <v>0</v>
      </c>
      <c r="L118" s="100"/>
    </row>
    <row r="119" spans="1:12" x14ac:dyDescent="0.25">
      <c r="A119" s="607" t="s">
        <v>440</v>
      </c>
      <c r="B119" s="417"/>
      <c r="C119" s="733"/>
      <c r="D119" s="733"/>
      <c r="E119" s="733"/>
      <c r="F119" s="733"/>
      <c r="G119" s="733"/>
      <c r="H119" s="733">
        <f t="shared" ref="H119:H124" si="51">E119/12*10</f>
        <v>0</v>
      </c>
      <c r="I119" s="408">
        <f t="shared" si="2"/>
        <v>0</v>
      </c>
      <c r="J119" s="408" t="str">
        <f t="shared" si="3"/>
        <v/>
      </c>
      <c r="K119" s="735">
        <f t="shared" ref="K119:K124" si="52">E119</f>
        <v>0</v>
      </c>
      <c r="L119" s="100"/>
    </row>
    <row r="120" spans="1:12" x14ac:dyDescent="0.25">
      <c r="A120" s="607" t="s">
        <v>175</v>
      </c>
      <c r="B120" s="417"/>
      <c r="C120" s="733"/>
      <c r="D120" s="733"/>
      <c r="E120" s="733"/>
      <c r="F120" s="733"/>
      <c r="G120" s="733"/>
      <c r="H120" s="733">
        <f t="shared" si="51"/>
        <v>0</v>
      </c>
      <c r="I120" s="408">
        <f t="shared" si="2"/>
        <v>0</v>
      </c>
      <c r="J120" s="408" t="str">
        <f t="shared" si="3"/>
        <v/>
      </c>
      <c r="K120" s="735">
        <f t="shared" si="52"/>
        <v>0</v>
      </c>
      <c r="L120" s="100"/>
    </row>
    <row r="121" spans="1:12" x14ac:dyDescent="0.25">
      <c r="A121" s="607" t="s">
        <v>1194</v>
      </c>
      <c r="B121" s="417"/>
      <c r="C121" s="733"/>
      <c r="D121" s="733"/>
      <c r="E121" s="733"/>
      <c r="F121" s="733"/>
      <c r="G121" s="733"/>
      <c r="H121" s="733">
        <f t="shared" si="51"/>
        <v>0</v>
      </c>
      <c r="I121" s="408">
        <f>G121-H121</f>
        <v>0</v>
      </c>
      <c r="J121" s="408" t="str">
        <f>IF(I121=0,"",I121/H121)</f>
        <v/>
      </c>
      <c r="K121" s="735">
        <f t="shared" si="52"/>
        <v>0</v>
      </c>
      <c r="L121" s="100"/>
    </row>
    <row r="122" spans="1:12" x14ac:dyDescent="0.25">
      <c r="A122" s="607" t="s">
        <v>1195</v>
      </c>
      <c r="B122" s="417"/>
      <c r="C122" s="733"/>
      <c r="D122" s="733"/>
      <c r="E122" s="733"/>
      <c r="F122" s="733"/>
      <c r="G122" s="733"/>
      <c r="H122" s="733">
        <f t="shared" si="51"/>
        <v>0</v>
      </c>
      <c r="I122" s="408">
        <f t="shared" si="2"/>
        <v>0</v>
      </c>
      <c r="J122" s="408" t="str">
        <f t="shared" si="3"/>
        <v/>
      </c>
      <c r="K122" s="735">
        <f t="shared" si="52"/>
        <v>0</v>
      </c>
      <c r="L122" s="100"/>
    </row>
    <row r="123" spans="1:12" x14ac:dyDescent="0.25">
      <c r="A123" s="607" t="s">
        <v>441</v>
      </c>
      <c r="B123" s="415"/>
      <c r="C123" s="733"/>
      <c r="D123" s="733"/>
      <c r="E123" s="733"/>
      <c r="F123" s="733"/>
      <c r="G123" s="733"/>
      <c r="H123" s="733">
        <f t="shared" si="51"/>
        <v>0</v>
      </c>
      <c r="I123" s="408">
        <f t="shared" si="2"/>
        <v>0</v>
      </c>
      <c r="J123" s="408" t="str">
        <f t="shared" si="3"/>
        <v/>
      </c>
      <c r="K123" s="735">
        <f t="shared" si="52"/>
        <v>0</v>
      </c>
      <c r="L123" s="100"/>
    </row>
    <row r="124" spans="1:12" x14ac:dyDescent="0.25">
      <c r="A124" s="607" t="s">
        <v>176</v>
      </c>
      <c r="B124" s="415"/>
      <c r="C124" s="733"/>
      <c r="D124" s="733"/>
      <c r="E124" s="733"/>
      <c r="F124" s="733"/>
      <c r="G124" s="733"/>
      <c r="H124" s="733">
        <f t="shared" si="51"/>
        <v>0</v>
      </c>
      <c r="I124" s="408">
        <f>G124-H124</f>
        <v>0</v>
      </c>
      <c r="J124" s="408" t="str">
        <f>IF(I124=0,"",I124/H124)</f>
        <v/>
      </c>
      <c r="K124" s="735">
        <f t="shared" si="52"/>
        <v>0</v>
      </c>
      <c r="L124" s="100"/>
    </row>
    <row r="125" spans="1:12" x14ac:dyDescent="0.25">
      <c r="A125" s="615" t="str">
        <f>"Total "&amp;A5</f>
        <v>Total Revenue - Functional</v>
      </c>
      <c r="B125" s="415">
        <v>2</v>
      </c>
      <c r="C125" s="616">
        <f t="shared" ref="C125:H125" si="53">C6+C26+C75+C99+C118</f>
        <v>4935069794.999999</v>
      </c>
      <c r="D125" s="616">
        <f t="shared" si="53"/>
        <v>4682577927</v>
      </c>
      <c r="E125" s="616">
        <f t="shared" si="53"/>
        <v>4794598460</v>
      </c>
      <c r="F125" s="616">
        <f t="shared" si="53"/>
        <v>304958862.69349998</v>
      </c>
      <c r="G125" s="616">
        <f t="shared" si="53"/>
        <v>3616001874.6418495</v>
      </c>
      <c r="H125" s="616">
        <f t="shared" si="53"/>
        <v>3995498716.666667</v>
      </c>
      <c r="I125" s="616">
        <f>G125-H125</f>
        <v>-379496842.02481747</v>
      </c>
      <c r="J125" s="616">
        <f>IF(I125=0,"",I125/H125)</f>
        <v>-9.4981094710855293E-2</v>
      </c>
      <c r="K125" s="617">
        <f>K6+K26+K75+K99+K118</f>
        <v>4794598460</v>
      </c>
      <c r="L125" s="100"/>
    </row>
    <row r="126" spans="1:12" x14ac:dyDescent="0.25">
      <c r="A126" s="618"/>
      <c r="B126" s="415"/>
      <c r="C126" s="44"/>
      <c r="D126" s="44"/>
      <c r="E126" s="44"/>
      <c r="F126" s="44"/>
      <c r="G126" s="44"/>
      <c r="H126" s="44"/>
      <c r="I126" s="47"/>
      <c r="J126" s="47"/>
      <c r="K126" s="144"/>
      <c r="L126" s="100"/>
    </row>
    <row r="127" spans="1:12" x14ac:dyDescent="0.25">
      <c r="A127" s="619" t="s">
        <v>1196</v>
      </c>
      <c r="B127" s="620"/>
      <c r="C127" s="44"/>
      <c r="D127" s="44"/>
      <c r="E127" s="44"/>
      <c r="F127" s="44"/>
      <c r="G127" s="44"/>
      <c r="H127" s="44"/>
      <c r="I127" s="47"/>
      <c r="J127" s="47"/>
      <c r="K127" s="144"/>
      <c r="L127" s="100"/>
    </row>
    <row r="128" spans="1:12" x14ac:dyDescent="0.25">
      <c r="A128" s="414" t="str">
        <f t="shared" ref="A128:A159" si="54">A6</f>
        <v>Municipal governance and administration</v>
      </c>
      <c r="B128" s="620"/>
      <c r="C128" s="605">
        <f t="shared" ref="C128:H128" si="55">C129+C132+C146</f>
        <v>1960378839.3599999</v>
      </c>
      <c r="D128" s="605">
        <f t="shared" si="55"/>
        <v>1205471628</v>
      </c>
      <c r="E128" s="605">
        <f t="shared" si="55"/>
        <v>1275556175</v>
      </c>
      <c r="F128" s="605">
        <f t="shared" si="55"/>
        <v>125147290.33333331</v>
      </c>
      <c r="G128" s="605">
        <f t="shared" si="55"/>
        <v>1136494595.333333</v>
      </c>
      <c r="H128" s="605">
        <f t="shared" si="55"/>
        <v>1062963479.1666667</v>
      </c>
      <c r="I128" s="605">
        <f t="shared" ref="I128:I244" si="56">G128-H128</f>
        <v>73531116.166666269</v>
      </c>
      <c r="J128" s="605">
        <f t="shared" ref="J128:J244" si="57">IF(I128=0,"",I128/H128)</f>
        <v>6.9175580918652613E-2</v>
      </c>
      <c r="K128" s="606">
        <f>K129+K132+K146</f>
        <v>1275556175</v>
      </c>
      <c r="L128" s="100"/>
    </row>
    <row r="129" spans="1:12" x14ac:dyDescent="0.25">
      <c r="A129" s="607" t="str">
        <f t="shared" si="54"/>
        <v>Executive and council</v>
      </c>
      <c r="B129" s="620"/>
      <c r="C129" s="608">
        <f t="shared" ref="C129:K129" si="58">SUM(C130:C131)</f>
        <v>163442225.88999999</v>
      </c>
      <c r="D129" s="608">
        <f t="shared" si="58"/>
        <v>383191111</v>
      </c>
      <c r="E129" s="608">
        <f t="shared" si="58"/>
        <v>403428111</v>
      </c>
      <c r="F129" s="608">
        <f t="shared" si="58"/>
        <v>23221488</v>
      </c>
      <c r="G129" s="608">
        <f t="shared" si="58"/>
        <v>109746163</v>
      </c>
      <c r="H129" s="608">
        <f t="shared" si="58"/>
        <v>336190092.5</v>
      </c>
      <c r="I129" s="608">
        <f t="shared" si="56"/>
        <v>-226443929.5</v>
      </c>
      <c r="J129" s="608">
        <f t="shared" si="57"/>
        <v>-0.67355919924975183</v>
      </c>
      <c r="K129" s="610">
        <f t="shared" si="58"/>
        <v>403428111</v>
      </c>
      <c r="L129" s="100"/>
    </row>
    <row r="130" spans="1:12" x14ac:dyDescent="0.25">
      <c r="A130" s="695" t="str">
        <f t="shared" si="54"/>
        <v>Mayor and Council</v>
      </c>
      <c r="B130" s="620"/>
      <c r="C130" s="733">
        <v>155146791.38999999</v>
      </c>
      <c r="D130" s="733">
        <v>366023337</v>
      </c>
      <c r="E130" s="733">
        <v>388373337</v>
      </c>
      <c r="F130" s="733">
        <v>22228152</v>
      </c>
      <c r="G130" s="733">
        <v>104920526</v>
      </c>
      <c r="H130" s="733">
        <f t="shared" ref="H130:H131" si="59">E130/12*10</f>
        <v>323644447.5</v>
      </c>
      <c r="I130" s="408">
        <f t="shared" si="56"/>
        <v>-218723921.5</v>
      </c>
      <c r="J130" s="408">
        <f t="shared" si="57"/>
        <v>-0.67581546103923196</v>
      </c>
      <c r="K130" s="735">
        <f>E130</f>
        <v>388373337</v>
      </c>
      <c r="L130" s="100"/>
    </row>
    <row r="131" spans="1:12" ht="18.600000000000001" customHeight="1" x14ac:dyDescent="0.25">
      <c r="A131" s="695" t="str">
        <f t="shared" si="54"/>
        <v>Municipal Manager, Town Secretary and Chief Executive</v>
      </c>
      <c r="B131" s="620"/>
      <c r="C131" s="733">
        <v>8295434.5</v>
      </c>
      <c r="D131" s="733">
        <v>17167774</v>
      </c>
      <c r="E131" s="733">
        <v>15054774</v>
      </c>
      <c r="F131" s="733">
        <v>993336</v>
      </c>
      <c r="G131" s="733">
        <v>4825637</v>
      </c>
      <c r="H131" s="733">
        <f t="shared" si="59"/>
        <v>12545645</v>
      </c>
      <c r="I131" s="408">
        <f t="shared" si="56"/>
        <v>-7720008</v>
      </c>
      <c r="J131" s="408">
        <f t="shared" si="57"/>
        <v>-0.61535361474041395</v>
      </c>
      <c r="K131" s="735">
        <f>E131</f>
        <v>15054774</v>
      </c>
      <c r="L131" s="100"/>
    </row>
    <row r="132" spans="1:12" x14ac:dyDescent="0.25">
      <c r="A132" s="607" t="str">
        <f t="shared" si="54"/>
        <v>Finance and administration</v>
      </c>
      <c r="B132" s="620"/>
      <c r="C132" s="608">
        <f t="shared" ref="C132:H132" si="60">SUM(C133:C145)</f>
        <v>1786070938.6500001</v>
      </c>
      <c r="D132" s="608">
        <f t="shared" si="60"/>
        <v>810532650</v>
      </c>
      <c r="E132" s="608">
        <f t="shared" si="60"/>
        <v>860480201</v>
      </c>
      <c r="F132" s="608">
        <f t="shared" si="60"/>
        <v>101130165.33333331</v>
      </c>
      <c r="G132" s="608">
        <f t="shared" si="60"/>
        <v>1018041020.333333</v>
      </c>
      <c r="H132" s="608">
        <f t="shared" si="60"/>
        <v>717066834.16666675</v>
      </c>
      <c r="I132" s="608">
        <f t="shared" si="56"/>
        <v>300974186.16666627</v>
      </c>
      <c r="J132" s="608">
        <f t="shared" si="57"/>
        <v>0.41972961490603722</v>
      </c>
      <c r="K132" s="608">
        <f>SUM(K133:K145)</f>
        <v>860480201</v>
      </c>
      <c r="L132" s="100"/>
    </row>
    <row r="133" spans="1:12" x14ac:dyDescent="0.25">
      <c r="A133" s="695" t="str">
        <f t="shared" si="54"/>
        <v>Administrative and Corporate Support</v>
      </c>
      <c r="B133" s="415"/>
      <c r="C133" s="733">
        <v>30076814.859999999</v>
      </c>
      <c r="D133" s="733">
        <v>19504295</v>
      </c>
      <c r="E133" s="733">
        <v>15470345</v>
      </c>
      <c r="F133" s="733">
        <v>737116</v>
      </c>
      <c r="G133" s="733">
        <v>6238785</v>
      </c>
      <c r="H133" s="733">
        <f t="shared" ref="H133:H145" si="61">E133/12*10</f>
        <v>12891954.166666668</v>
      </c>
      <c r="I133" s="408">
        <f t="shared" si="56"/>
        <v>-6653169.1666666679</v>
      </c>
      <c r="J133" s="408">
        <f t="shared" si="57"/>
        <v>-0.51607142568572328</v>
      </c>
      <c r="K133" s="735">
        <v>15470345</v>
      </c>
      <c r="L133" s="100"/>
    </row>
    <row r="134" spans="1:12" x14ac:dyDescent="0.25">
      <c r="A134" s="695" t="str">
        <f t="shared" si="54"/>
        <v>Asset Management</v>
      </c>
      <c r="B134" s="415"/>
      <c r="C134" s="733">
        <v>39720768.400000006</v>
      </c>
      <c r="D134" s="733">
        <v>53814554</v>
      </c>
      <c r="E134" s="733">
        <v>61841751</v>
      </c>
      <c r="F134" s="733">
        <v>2686568</v>
      </c>
      <c r="G134" s="733">
        <v>45282019</v>
      </c>
      <c r="H134" s="733">
        <f t="shared" si="61"/>
        <v>51534792.5</v>
      </c>
      <c r="I134" s="408">
        <f t="shared" si="56"/>
        <v>-6252773.5</v>
      </c>
      <c r="J134" s="408">
        <f t="shared" si="57"/>
        <v>-0.12133110849335427</v>
      </c>
      <c r="K134" s="735">
        <v>61841751</v>
      </c>
      <c r="L134" s="100"/>
    </row>
    <row r="135" spans="1:12" x14ac:dyDescent="0.25">
      <c r="A135" s="695" t="str">
        <f t="shared" si="54"/>
        <v>Finance</v>
      </c>
      <c r="B135" s="415"/>
      <c r="C135" s="733">
        <v>1403464153.1600001</v>
      </c>
      <c r="D135" s="733">
        <v>326096029</v>
      </c>
      <c r="E135" s="733">
        <v>339401719</v>
      </c>
      <c r="F135" s="733">
        <v>66930421.333333313</v>
      </c>
      <c r="G135" s="733">
        <v>639328623.33333302</v>
      </c>
      <c r="H135" s="733">
        <f t="shared" si="61"/>
        <v>282834765.83333331</v>
      </c>
      <c r="I135" s="408">
        <f t="shared" si="56"/>
        <v>356493857.4999997</v>
      </c>
      <c r="J135" s="408">
        <f t="shared" si="57"/>
        <v>1.260431533053018</v>
      </c>
      <c r="K135" s="735">
        <v>339401719</v>
      </c>
      <c r="L135" s="100"/>
    </row>
    <row r="136" spans="1:12" x14ac:dyDescent="0.25">
      <c r="A136" s="695" t="str">
        <f t="shared" si="54"/>
        <v>Fleet Management</v>
      </c>
      <c r="B136" s="415"/>
      <c r="C136" s="733">
        <v>48547456.799999982</v>
      </c>
      <c r="D136" s="733">
        <v>82937671</v>
      </c>
      <c r="E136" s="733">
        <v>77937671</v>
      </c>
      <c r="F136" s="733">
        <v>5409530</v>
      </c>
      <c r="G136" s="733">
        <v>65468077</v>
      </c>
      <c r="H136" s="733">
        <f t="shared" si="61"/>
        <v>64948059.166666672</v>
      </c>
      <c r="I136" s="408">
        <f t="shared" si="56"/>
        <v>520017.83333332837</v>
      </c>
      <c r="J136" s="408">
        <f t="shared" si="57"/>
        <v>8.0066724087764184E-3</v>
      </c>
      <c r="K136" s="735">
        <v>77937671</v>
      </c>
      <c r="L136" s="100"/>
    </row>
    <row r="137" spans="1:12" x14ac:dyDescent="0.25">
      <c r="A137" s="695" t="str">
        <f t="shared" si="54"/>
        <v>Human Resources</v>
      </c>
      <c r="B137" s="415"/>
      <c r="C137" s="733">
        <v>52019444.309999987</v>
      </c>
      <c r="D137" s="733">
        <v>56226674</v>
      </c>
      <c r="E137" s="733">
        <v>56192414</v>
      </c>
      <c r="F137" s="733">
        <v>3280074</v>
      </c>
      <c r="G137" s="733">
        <v>37006657</v>
      </c>
      <c r="H137" s="733">
        <f t="shared" si="61"/>
        <v>46827011.666666672</v>
      </c>
      <c r="I137" s="408">
        <f t="shared" si="56"/>
        <v>-9820354.6666666716</v>
      </c>
      <c r="J137" s="408">
        <f t="shared" si="57"/>
        <v>-0.20971559613011118</v>
      </c>
      <c r="K137" s="735">
        <v>56192414</v>
      </c>
      <c r="L137" s="100"/>
    </row>
    <row r="138" spans="1:12" x14ac:dyDescent="0.25">
      <c r="A138" s="695" t="str">
        <f t="shared" si="54"/>
        <v>Information Technology</v>
      </c>
      <c r="B138" s="415"/>
      <c r="C138" s="733">
        <v>28188909.889999997</v>
      </c>
      <c r="D138" s="733">
        <v>52985089</v>
      </c>
      <c r="E138" s="733">
        <v>57925089</v>
      </c>
      <c r="F138" s="733">
        <v>3427542</v>
      </c>
      <c r="G138" s="733">
        <v>43683773</v>
      </c>
      <c r="H138" s="733">
        <f t="shared" si="61"/>
        <v>48270907.5</v>
      </c>
      <c r="I138" s="408">
        <f t="shared" si="56"/>
        <v>-4587134.5</v>
      </c>
      <c r="J138" s="408">
        <f t="shared" si="57"/>
        <v>-9.5028967499730554E-2</v>
      </c>
      <c r="K138" s="735">
        <v>57925089</v>
      </c>
      <c r="L138" s="100"/>
    </row>
    <row r="139" spans="1:12" x14ac:dyDescent="0.25">
      <c r="A139" s="695" t="str">
        <f t="shared" si="54"/>
        <v>Legal Services</v>
      </c>
      <c r="B139" s="415"/>
      <c r="C139" s="733">
        <v>10096668.179999998</v>
      </c>
      <c r="D139" s="733">
        <v>26516935</v>
      </c>
      <c r="E139" s="733">
        <v>31016935</v>
      </c>
      <c r="F139" s="733">
        <v>1325131</v>
      </c>
      <c r="G139" s="733">
        <v>24814800</v>
      </c>
      <c r="H139" s="733">
        <f t="shared" si="61"/>
        <v>25847445.833333336</v>
      </c>
      <c r="I139" s="408">
        <f t="shared" si="56"/>
        <v>-1032645.8333333358</v>
      </c>
      <c r="J139" s="408">
        <f t="shared" si="57"/>
        <v>-3.9951561945111687E-2</v>
      </c>
      <c r="K139" s="735">
        <v>31016935</v>
      </c>
      <c r="L139" s="100"/>
    </row>
    <row r="140" spans="1:12" ht="22.5" x14ac:dyDescent="0.25">
      <c r="A140" s="695" t="str">
        <f t="shared" si="54"/>
        <v>Marketing, Customer Relations, Publicity and Media Co-ordination</v>
      </c>
      <c r="B140" s="415"/>
      <c r="C140" s="733">
        <v>58341896.729999989</v>
      </c>
      <c r="D140" s="733">
        <v>12627753</v>
      </c>
      <c r="E140" s="733">
        <v>11977753</v>
      </c>
      <c r="F140" s="733">
        <v>716749</v>
      </c>
      <c r="G140" s="733">
        <v>8118403</v>
      </c>
      <c r="H140" s="733">
        <f t="shared" si="61"/>
        <v>9981460.833333334</v>
      </c>
      <c r="I140" s="408">
        <f t="shared" si="56"/>
        <v>-1863057.833333334</v>
      </c>
      <c r="J140" s="408">
        <f t="shared" si="57"/>
        <v>-0.1866518202537655</v>
      </c>
      <c r="K140" s="735">
        <v>11977753</v>
      </c>
      <c r="L140" s="100"/>
    </row>
    <row r="141" spans="1:12" x14ac:dyDescent="0.25">
      <c r="A141" s="695" t="str">
        <f t="shared" si="54"/>
        <v>Property Services</v>
      </c>
      <c r="B141" s="415"/>
      <c r="C141" s="733">
        <v>2522218.94</v>
      </c>
      <c r="D141" s="733">
        <v>59870884</v>
      </c>
      <c r="E141" s="733">
        <v>66214324</v>
      </c>
      <c r="F141" s="733">
        <v>3388662</v>
      </c>
      <c r="G141" s="733">
        <v>43797657</v>
      </c>
      <c r="H141" s="733">
        <f t="shared" si="61"/>
        <v>55178603.333333328</v>
      </c>
      <c r="I141" s="408">
        <f t="shared" si="56"/>
        <v>-11380946.333333328</v>
      </c>
      <c r="J141" s="408">
        <f t="shared" si="57"/>
        <v>-0.20625651331877973</v>
      </c>
      <c r="K141" s="735">
        <v>66214324</v>
      </c>
      <c r="L141" s="100"/>
    </row>
    <row r="142" spans="1:12" x14ac:dyDescent="0.25">
      <c r="A142" s="695" t="str">
        <f t="shared" si="54"/>
        <v>Risk Management</v>
      </c>
      <c r="B142" s="415"/>
      <c r="C142" s="733">
        <v>90913838.570000023</v>
      </c>
      <c r="D142" s="733">
        <v>5059139</v>
      </c>
      <c r="E142" s="733">
        <v>4968139</v>
      </c>
      <c r="F142" s="733">
        <v>143857</v>
      </c>
      <c r="G142" s="733">
        <v>2132890</v>
      </c>
      <c r="H142" s="733">
        <f t="shared" si="61"/>
        <v>4140115.833333333</v>
      </c>
      <c r="I142" s="408">
        <f t="shared" si="56"/>
        <v>-2007225.833333333</v>
      </c>
      <c r="J142" s="408">
        <f t="shared" si="57"/>
        <v>-0.48482359289866889</v>
      </c>
      <c r="K142" s="735">
        <v>4968139</v>
      </c>
      <c r="L142" s="100"/>
    </row>
    <row r="143" spans="1:12" x14ac:dyDescent="0.25">
      <c r="A143" s="695" t="str">
        <f t="shared" si="54"/>
        <v>Security Services</v>
      </c>
      <c r="B143" s="415"/>
      <c r="C143" s="733">
        <v>22178768.810000002</v>
      </c>
      <c r="D143" s="733">
        <v>92369575</v>
      </c>
      <c r="E143" s="733">
        <v>114820009</v>
      </c>
      <c r="F143" s="733">
        <v>11312532</v>
      </c>
      <c r="G143" s="733">
        <v>84715670</v>
      </c>
      <c r="H143" s="733">
        <f t="shared" si="61"/>
        <v>95683340.833333343</v>
      </c>
      <c r="I143" s="408">
        <f t="shared" si="56"/>
        <v>-10967670.833333343</v>
      </c>
      <c r="J143" s="408">
        <f t="shared" si="57"/>
        <v>-0.11462466441715756</v>
      </c>
      <c r="K143" s="735">
        <v>114820009</v>
      </c>
      <c r="L143" s="100"/>
    </row>
    <row r="144" spans="1:12" x14ac:dyDescent="0.25">
      <c r="A144" s="695" t="str">
        <f t="shared" si="54"/>
        <v xml:space="preserve">Supply Chain Management </v>
      </c>
      <c r="B144" s="415"/>
      <c r="C144" s="733">
        <v>0</v>
      </c>
      <c r="D144" s="733">
        <v>22524052</v>
      </c>
      <c r="E144" s="733">
        <v>22714052</v>
      </c>
      <c r="F144" s="733">
        <v>1771983</v>
      </c>
      <c r="G144" s="733">
        <v>17453666</v>
      </c>
      <c r="H144" s="733">
        <f t="shared" si="61"/>
        <v>18928376.666666668</v>
      </c>
      <c r="I144" s="408">
        <f t="shared" si="56"/>
        <v>-1474710.6666666679</v>
      </c>
      <c r="J144" s="408">
        <f t="shared" si="57"/>
        <v>-7.7910044407752579E-2</v>
      </c>
      <c r="K144" s="735">
        <v>22714052</v>
      </c>
      <c r="L144" s="100"/>
    </row>
    <row r="145" spans="1:12" x14ac:dyDescent="0.25">
      <c r="A145" s="695" t="str">
        <f t="shared" si="54"/>
        <v>Valuation Service</v>
      </c>
      <c r="B145" s="415"/>
      <c r="C145" s="733"/>
      <c r="D145" s="733"/>
      <c r="E145" s="733">
        <v>0</v>
      </c>
      <c r="F145" s="733">
        <v>0</v>
      </c>
      <c r="G145" s="733">
        <v>0</v>
      </c>
      <c r="H145" s="733">
        <f t="shared" si="61"/>
        <v>0</v>
      </c>
      <c r="I145" s="408">
        <f t="shared" si="56"/>
        <v>0</v>
      </c>
      <c r="J145" s="408" t="str">
        <f t="shared" si="57"/>
        <v/>
      </c>
      <c r="K145" s="735">
        <v>0</v>
      </c>
      <c r="L145" s="100"/>
    </row>
    <row r="146" spans="1:12" x14ac:dyDescent="0.25">
      <c r="A146" s="607" t="str">
        <f t="shared" si="54"/>
        <v>Internal audit</v>
      </c>
      <c r="B146" s="620"/>
      <c r="C146" s="608">
        <f t="shared" ref="C146:H146" si="62">SUM(C147:C147)</f>
        <v>10865674.82</v>
      </c>
      <c r="D146" s="608">
        <f t="shared" si="62"/>
        <v>11747867</v>
      </c>
      <c r="E146" s="608">
        <f t="shared" si="62"/>
        <v>11647863</v>
      </c>
      <c r="F146" s="608">
        <f t="shared" si="62"/>
        <v>795637</v>
      </c>
      <c r="G146" s="608">
        <f t="shared" si="62"/>
        <v>8707412</v>
      </c>
      <c r="H146" s="608">
        <f t="shared" si="62"/>
        <v>9706552.5</v>
      </c>
      <c r="I146" s="608">
        <f t="shared" si="56"/>
        <v>-999140.5</v>
      </c>
      <c r="J146" s="608">
        <f t="shared" si="57"/>
        <v>-0.10293464131575036</v>
      </c>
      <c r="K146" s="610">
        <f>SUM(K147:K147)</f>
        <v>11647863</v>
      </c>
      <c r="L146" s="100"/>
    </row>
    <row r="147" spans="1:12" x14ac:dyDescent="0.25">
      <c r="A147" s="695" t="str">
        <f t="shared" si="54"/>
        <v>Governance Function</v>
      </c>
      <c r="B147" s="620"/>
      <c r="C147" s="733">
        <v>10865674.82</v>
      </c>
      <c r="D147" s="733">
        <v>11747867</v>
      </c>
      <c r="E147" s="733">
        <v>11647863</v>
      </c>
      <c r="F147" s="733">
        <v>795637</v>
      </c>
      <c r="G147" s="733">
        <v>8707412</v>
      </c>
      <c r="H147" s="733">
        <f>E147/12*10</f>
        <v>9706552.5</v>
      </c>
      <c r="I147" s="408">
        <f t="shared" si="56"/>
        <v>-999140.5</v>
      </c>
      <c r="J147" s="408">
        <f t="shared" si="57"/>
        <v>-0.10293464131575036</v>
      </c>
      <c r="K147" s="735">
        <f>E147</f>
        <v>11647863</v>
      </c>
      <c r="L147" s="100"/>
    </row>
    <row r="148" spans="1:12" x14ac:dyDescent="0.25">
      <c r="A148" s="414" t="str">
        <f t="shared" si="54"/>
        <v>Community and public safety</v>
      </c>
      <c r="B148" s="620"/>
      <c r="C148" s="605">
        <f t="shared" ref="C148:H148" si="63">C149+C171+C177+C186+C189</f>
        <v>201706839.08999997</v>
      </c>
      <c r="D148" s="605">
        <f t="shared" si="63"/>
        <v>290602015</v>
      </c>
      <c r="E148" s="605">
        <f t="shared" si="63"/>
        <v>290204518</v>
      </c>
      <c r="F148" s="605">
        <f t="shared" si="63"/>
        <v>20963192</v>
      </c>
      <c r="G148" s="605">
        <f t="shared" si="63"/>
        <v>187194431</v>
      </c>
      <c r="H148" s="605">
        <f t="shared" si="63"/>
        <v>241837098.33333334</v>
      </c>
      <c r="I148" s="605">
        <f t="shared" si="56"/>
        <v>-54642667.333333343</v>
      </c>
      <c r="J148" s="605">
        <f t="shared" si="57"/>
        <v>-0.22594824247360618</v>
      </c>
      <c r="K148" s="606">
        <f>K149+K171+K177+K186+K189</f>
        <v>290204518</v>
      </c>
      <c r="L148" s="100"/>
    </row>
    <row r="149" spans="1:12" x14ac:dyDescent="0.25">
      <c r="A149" s="607" t="str">
        <f t="shared" si="54"/>
        <v>Community and social services</v>
      </c>
      <c r="B149" s="620"/>
      <c r="C149" s="611">
        <f t="shared" ref="C149:H149" si="64">SUM(C150:C170)</f>
        <v>62863355.659999996</v>
      </c>
      <c r="D149" s="611">
        <f t="shared" si="64"/>
        <v>77523564</v>
      </c>
      <c r="E149" s="611">
        <f t="shared" si="64"/>
        <v>77697367</v>
      </c>
      <c r="F149" s="611">
        <f t="shared" si="64"/>
        <v>6988453</v>
      </c>
      <c r="G149" s="611">
        <f t="shared" si="64"/>
        <v>50313110</v>
      </c>
      <c r="H149" s="611">
        <f t="shared" si="64"/>
        <v>64747805.833333328</v>
      </c>
      <c r="I149" s="611">
        <f t="shared" si="56"/>
        <v>-14434695.833333328</v>
      </c>
      <c r="J149" s="611">
        <f t="shared" si="57"/>
        <v>-0.22293721999614216</v>
      </c>
      <c r="K149" s="614">
        <f>SUM(K150:K170)</f>
        <v>77697367</v>
      </c>
      <c r="L149" s="100"/>
    </row>
    <row r="150" spans="1:12" x14ac:dyDescent="0.25">
      <c r="A150" s="695" t="str">
        <f t="shared" si="54"/>
        <v>Aged Care</v>
      </c>
      <c r="B150" s="620"/>
      <c r="C150" s="733">
        <v>0</v>
      </c>
      <c r="D150" s="733"/>
      <c r="E150" s="733">
        <v>0</v>
      </c>
      <c r="F150" s="733">
        <v>0</v>
      </c>
      <c r="G150" s="733">
        <v>0</v>
      </c>
      <c r="H150" s="733">
        <f t="shared" ref="H150:H170" si="65">E150/12*10</f>
        <v>0</v>
      </c>
      <c r="I150" s="408">
        <f t="shared" si="56"/>
        <v>0</v>
      </c>
      <c r="J150" s="408" t="str">
        <f t="shared" si="57"/>
        <v/>
      </c>
      <c r="K150" s="735">
        <f t="shared" ref="K150:K170" si="66">E150</f>
        <v>0</v>
      </c>
      <c r="L150" s="100"/>
    </row>
    <row r="151" spans="1:12" x14ac:dyDescent="0.25">
      <c r="A151" s="695" t="str">
        <f t="shared" si="54"/>
        <v>Agricultural</v>
      </c>
      <c r="B151" s="620"/>
      <c r="C151" s="733">
        <v>0</v>
      </c>
      <c r="D151" s="733"/>
      <c r="E151" s="733">
        <v>0</v>
      </c>
      <c r="F151" s="733">
        <v>0</v>
      </c>
      <c r="G151" s="733">
        <v>0</v>
      </c>
      <c r="H151" s="733">
        <f t="shared" si="65"/>
        <v>0</v>
      </c>
      <c r="I151" s="408">
        <f t="shared" si="56"/>
        <v>0</v>
      </c>
      <c r="J151" s="408" t="str">
        <f t="shared" si="57"/>
        <v/>
      </c>
      <c r="K151" s="735">
        <f t="shared" si="66"/>
        <v>0</v>
      </c>
      <c r="L151" s="100"/>
    </row>
    <row r="152" spans="1:12" x14ac:dyDescent="0.25">
      <c r="A152" s="695" t="str">
        <f t="shared" si="54"/>
        <v>Animal Care and Diseases</v>
      </c>
      <c r="B152" s="620"/>
      <c r="C152" s="733">
        <v>0</v>
      </c>
      <c r="D152" s="733"/>
      <c r="E152" s="733">
        <v>0</v>
      </c>
      <c r="F152" s="733">
        <v>0</v>
      </c>
      <c r="G152" s="733">
        <v>0</v>
      </c>
      <c r="H152" s="733">
        <f t="shared" si="65"/>
        <v>0</v>
      </c>
      <c r="I152" s="408">
        <f t="shared" si="56"/>
        <v>0</v>
      </c>
      <c r="J152" s="408" t="str">
        <f t="shared" si="57"/>
        <v/>
      </c>
      <c r="K152" s="735">
        <f t="shared" si="66"/>
        <v>0</v>
      </c>
      <c r="L152" s="100"/>
    </row>
    <row r="153" spans="1:12" ht="22.5" x14ac:dyDescent="0.25">
      <c r="A153" s="695" t="str">
        <f t="shared" si="54"/>
        <v>Cemeteries, Funeral Parlours and Crematoriums</v>
      </c>
      <c r="B153" s="620"/>
      <c r="C153" s="733">
        <v>13432535.959999999</v>
      </c>
      <c r="D153" s="733">
        <v>8799204</v>
      </c>
      <c r="E153" s="733">
        <v>11194204</v>
      </c>
      <c r="F153" s="733">
        <v>2601052</v>
      </c>
      <c r="G153" s="733">
        <v>8157849</v>
      </c>
      <c r="H153" s="733">
        <f t="shared" si="65"/>
        <v>9328503.333333334</v>
      </c>
      <c r="I153" s="408">
        <f t="shared" si="56"/>
        <v>-1170654.333333334</v>
      </c>
      <c r="J153" s="408">
        <f t="shared" si="57"/>
        <v>-0.12549219220946844</v>
      </c>
      <c r="K153" s="735">
        <f t="shared" si="66"/>
        <v>11194204</v>
      </c>
      <c r="L153" s="100"/>
    </row>
    <row r="154" spans="1:12" x14ac:dyDescent="0.25">
      <c r="A154" s="695" t="str">
        <f t="shared" si="54"/>
        <v>Child Care Facilities</v>
      </c>
      <c r="B154" s="620"/>
      <c r="C154" s="733">
        <v>0</v>
      </c>
      <c r="D154" s="733"/>
      <c r="E154" s="733">
        <v>0</v>
      </c>
      <c r="F154" s="733">
        <v>0</v>
      </c>
      <c r="G154" s="733">
        <v>0</v>
      </c>
      <c r="H154" s="733">
        <f t="shared" si="65"/>
        <v>0</v>
      </c>
      <c r="I154" s="408">
        <f t="shared" si="56"/>
        <v>0</v>
      </c>
      <c r="J154" s="408" t="str">
        <f t="shared" si="57"/>
        <v/>
      </c>
      <c r="K154" s="735">
        <f t="shared" si="66"/>
        <v>0</v>
      </c>
      <c r="L154" s="100"/>
    </row>
    <row r="155" spans="1:12" x14ac:dyDescent="0.25">
      <c r="A155" s="695" t="str">
        <f t="shared" si="54"/>
        <v>Community Halls and Facilities</v>
      </c>
      <c r="B155" s="620"/>
      <c r="C155" s="733">
        <v>13097350.369999995</v>
      </c>
      <c r="D155" s="733">
        <v>13430855</v>
      </c>
      <c r="E155" s="733">
        <v>13301855</v>
      </c>
      <c r="F155" s="733">
        <v>973336</v>
      </c>
      <c r="G155" s="733">
        <v>10331800</v>
      </c>
      <c r="H155" s="733">
        <f t="shared" si="65"/>
        <v>11084879.166666668</v>
      </c>
      <c r="I155" s="408">
        <f t="shared" si="56"/>
        <v>-753079.16666666791</v>
      </c>
      <c r="J155" s="408">
        <f t="shared" si="57"/>
        <v>-6.7937516985413046E-2</v>
      </c>
      <c r="K155" s="735">
        <f t="shared" si="66"/>
        <v>13301855</v>
      </c>
      <c r="L155" s="100"/>
    </row>
    <row r="156" spans="1:12" x14ac:dyDescent="0.25">
      <c r="A156" s="695" t="str">
        <f t="shared" si="54"/>
        <v>Consumer Protection</v>
      </c>
      <c r="B156" s="620"/>
      <c r="C156" s="733">
        <v>0</v>
      </c>
      <c r="D156" s="733"/>
      <c r="E156" s="733">
        <v>0</v>
      </c>
      <c r="F156" s="733">
        <v>0</v>
      </c>
      <c r="G156" s="733">
        <v>0</v>
      </c>
      <c r="H156" s="733">
        <f t="shared" si="65"/>
        <v>0</v>
      </c>
      <c r="I156" s="408">
        <f t="shared" si="56"/>
        <v>0</v>
      </c>
      <c r="J156" s="408" t="str">
        <f t="shared" si="57"/>
        <v/>
      </c>
      <c r="K156" s="735">
        <f t="shared" si="66"/>
        <v>0</v>
      </c>
      <c r="L156" s="100"/>
    </row>
    <row r="157" spans="1:12" x14ac:dyDescent="0.25">
      <c r="A157" s="695" t="str">
        <f t="shared" si="54"/>
        <v>Cultural Matters</v>
      </c>
      <c r="B157" s="620"/>
      <c r="C157" s="733">
        <v>4580801.7100000009</v>
      </c>
      <c r="D157" s="733">
        <v>4395566</v>
      </c>
      <c r="E157" s="733">
        <v>4195566</v>
      </c>
      <c r="F157" s="733">
        <v>379188</v>
      </c>
      <c r="G157" s="733">
        <v>2782077</v>
      </c>
      <c r="H157" s="733">
        <f t="shared" si="65"/>
        <v>3496305</v>
      </c>
      <c r="I157" s="408">
        <f>G157-H157</f>
        <v>-714228</v>
      </c>
      <c r="J157" s="408">
        <f>IF(I157=0,"",I157/H157)</f>
        <v>-0.20428080502130105</v>
      </c>
      <c r="K157" s="735">
        <f t="shared" si="66"/>
        <v>4195566</v>
      </c>
      <c r="L157" s="100"/>
    </row>
    <row r="158" spans="1:12" x14ac:dyDescent="0.25">
      <c r="A158" s="695" t="str">
        <f t="shared" si="54"/>
        <v>Disaster Management</v>
      </c>
      <c r="B158" s="620"/>
      <c r="C158" s="733">
        <v>5048420.54</v>
      </c>
      <c r="D158" s="733">
        <v>15639961</v>
      </c>
      <c r="E158" s="733">
        <v>14939961</v>
      </c>
      <c r="F158" s="733">
        <v>607831</v>
      </c>
      <c r="G158" s="733">
        <v>6164302</v>
      </c>
      <c r="H158" s="733">
        <f t="shared" si="65"/>
        <v>12449967.5</v>
      </c>
      <c r="I158" s="408">
        <f>G158-H158</f>
        <v>-6285665.5</v>
      </c>
      <c r="J158" s="408">
        <f>IF(I158=0,"",I158/H158)</f>
        <v>-0.50487404886799903</v>
      </c>
      <c r="K158" s="735">
        <f t="shared" si="66"/>
        <v>14939961</v>
      </c>
      <c r="L158" s="100"/>
    </row>
    <row r="159" spans="1:12" x14ac:dyDescent="0.25">
      <c r="A159" s="695" t="str">
        <f t="shared" si="54"/>
        <v>Education</v>
      </c>
      <c r="B159" s="620"/>
      <c r="C159" s="733">
        <v>0</v>
      </c>
      <c r="D159" s="733">
        <v>0</v>
      </c>
      <c r="E159" s="733">
        <v>0</v>
      </c>
      <c r="F159" s="733">
        <v>0</v>
      </c>
      <c r="G159" s="733">
        <v>0</v>
      </c>
      <c r="H159" s="733">
        <f t="shared" si="65"/>
        <v>0</v>
      </c>
      <c r="I159" s="408">
        <f t="shared" ref="I159:I164" si="67">G159-H159</f>
        <v>0</v>
      </c>
      <c r="J159" s="408" t="str">
        <f t="shared" ref="J159:J164" si="68">IF(I159=0,"",I159/H159)</f>
        <v/>
      </c>
      <c r="K159" s="735">
        <f t="shared" si="66"/>
        <v>0</v>
      </c>
      <c r="L159" s="100"/>
    </row>
    <row r="160" spans="1:12" x14ac:dyDescent="0.25">
      <c r="A160" s="695" t="str">
        <f t="shared" ref="A160:A191" si="69">A38</f>
        <v>Indigenous and Customary Law</v>
      </c>
      <c r="B160" s="620"/>
      <c r="C160" s="733">
        <v>0</v>
      </c>
      <c r="D160" s="733">
        <v>0</v>
      </c>
      <c r="E160" s="733">
        <v>0</v>
      </c>
      <c r="F160" s="733">
        <v>0</v>
      </c>
      <c r="G160" s="733">
        <v>0</v>
      </c>
      <c r="H160" s="733">
        <f t="shared" si="65"/>
        <v>0</v>
      </c>
      <c r="I160" s="408">
        <f t="shared" si="67"/>
        <v>0</v>
      </c>
      <c r="J160" s="408" t="str">
        <f t="shared" si="68"/>
        <v/>
      </c>
      <c r="K160" s="735">
        <f t="shared" si="66"/>
        <v>0</v>
      </c>
      <c r="L160" s="100"/>
    </row>
    <row r="161" spans="1:12" x14ac:dyDescent="0.25">
      <c r="A161" s="695" t="str">
        <f t="shared" si="69"/>
        <v>Industrial Promotion</v>
      </c>
      <c r="B161" s="620"/>
      <c r="C161" s="733">
        <v>0</v>
      </c>
      <c r="D161" s="733">
        <v>0</v>
      </c>
      <c r="E161" s="733">
        <v>0</v>
      </c>
      <c r="F161" s="733">
        <v>0</v>
      </c>
      <c r="G161" s="733">
        <v>0</v>
      </c>
      <c r="H161" s="733">
        <f t="shared" si="65"/>
        <v>0</v>
      </c>
      <c r="I161" s="408">
        <f t="shared" si="67"/>
        <v>0</v>
      </c>
      <c r="J161" s="408" t="str">
        <f t="shared" si="68"/>
        <v/>
      </c>
      <c r="K161" s="735">
        <f t="shared" si="66"/>
        <v>0</v>
      </c>
      <c r="L161" s="100"/>
    </row>
    <row r="162" spans="1:12" x14ac:dyDescent="0.25">
      <c r="A162" s="695" t="str">
        <f t="shared" si="69"/>
        <v>Language Policy</v>
      </c>
      <c r="B162" s="620"/>
      <c r="C162" s="733">
        <v>0</v>
      </c>
      <c r="D162" s="733">
        <v>0</v>
      </c>
      <c r="E162" s="733">
        <v>0</v>
      </c>
      <c r="F162" s="733">
        <v>0</v>
      </c>
      <c r="G162" s="733">
        <v>0</v>
      </c>
      <c r="H162" s="733">
        <f t="shared" si="65"/>
        <v>0</v>
      </c>
      <c r="I162" s="408">
        <f t="shared" si="67"/>
        <v>0</v>
      </c>
      <c r="J162" s="408" t="str">
        <f t="shared" si="68"/>
        <v/>
      </c>
      <c r="K162" s="735">
        <f t="shared" si="66"/>
        <v>0</v>
      </c>
      <c r="L162" s="100"/>
    </row>
    <row r="163" spans="1:12" x14ac:dyDescent="0.25">
      <c r="A163" s="695" t="str">
        <f t="shared" si="69"/>
        <v>Libraries and Archives</v>
      </c>
      <c r="B163" s="620"/>
      <c r="C163" s="733">
        <v>18398315.380000003</v>
      </c>
      <c r="D163" s="733">
        <v>24580580</v>
      </c>
      <c r="E163" s="733">
        <v>23445580</v>
      </c>
      <c r="F163" s="733">
        <v>1776640</v>
      </c>
      <c r="G163" s="733">
        <v>16253900</v>
      </c>
      <c r="H163" s="733">
        <f t="shared" si="65"/>
        <v>19537983.333333332</v>
      </c>
      <c r="I163" s="408">
        <f t="shared" si="67"/>
        <v>-3284083.3333333321</v>
      </c>
      <c r="J163" s="408">
        <f t="shared" si="68"/>
        <v>-0.16808711919261535</v>
      </c>
      <c r="K163" s="735">
        <f t="shared" si="66"/>
        <v>23445580</v>
      </c>
      <c r="L163" s="100"/>
    </row>
    <row r="164" spans="1:12" x14ac:dyDescent="0.25">
      <c r="A164" s="695" t="str">
        <f t="shared" si="69"/>
        <v>Literacy Programmes</v>
      </c>
      <c r="B164" s="620"/>
      <c r="C164" s="733">
        <v>0</v>
      </c>
      <c r="D164" s="733">
        <v>0</v>
      </c>
      <c r="E164" s="733">
        <v>0</v>
      </c>
      <c r="F164" s="733">
        <v>0</v>
      </c>
      <c r="G164" s="733">
        <v>0</v>
      </c>
      <c r="H164" s="733">
        <f t="shared" si="65"/>
        <v>0</v>
      </c>
      <c r="I164" s="408">
        <f t="shared" si="67"/>
        <v>0</v>
      </c>
      <c r="J164" s="408" t="str">
        <f t="shared" si="68"/>
        <v/>
      </c>
      <c r="K164" s="735">
        <f t="shared" si="66"/>
        <v>0</v>
      </c>
      <c r="L164" s="100"/>
    </row>
    <row r="165" spans="1:12" x14ac:dyDescent="0.25">
      <c r="A165" s="695" t="str">
        <f t="shared" si="69"/>
        <v>Media Services</v>
      </c>
      <c r="B165" s="620"/>
      <c r="C165" s="733">
        <v>0</v>
      </c>
      <c r="D165" s="733"/>
      <c r="E165" s="733">
        <v>0</v>
      </c>
      <c r="F165" s="733">
        <v>0</v>
      </c>
      <c r="G165" s="733">
        <v>0</v>
      </c>
      <c r="H165" s="733">
        <f t="shared" si="65"/>
        <v>0</v>
      </c>
      <c r="I165" s="408">
        <f t="shared" si="56"/>
        <v>0</v>
      </c>
      <c r="J165" s="408" t="str">
        <f t="shared" si="57"/>
        <v/>
      </c>
      <c r="K165" s="735">
        <f t="shared" si="66"/>
        <v>0</v>
      </c>
      <c r="L165" s="100"/>
    </row>
    <row r="166" spans="1:12" x14ac:dyDescent="0.25">
      <c r="A166" s="695" t="str">
        <f t="shared" si="69"/>
        <v>Museums and Art Galleries</v>
      </c>
      <c r="B166" s="620"/>
      <c r="C166" s="733">
        <v>8305931.6999999993</v>
      </c>
      <c r="D166" s="733">
        <v>10677398</v>
      </c>
      <c r="E166" s="733">
        <v>10620201</v>
      </c>
      <c r="F166" s="733">
        <v>650406</v>
      </c>
      <c r="G166" s="733">
        <v>6623182</v>
      </c>
      <c r="H166" s="733">
        <f t="shared" si="65"/>
        <v>8850167.5</v>
      </c>
      <c r="I166" s="408">
        <f t="shared" si="56"/>
        <v>-2226985.5</v>
      </c>
      <c r="J166" s="408">
        <f t="shared" si="57"/>
        <v>-0.25163201713413896</v>
      </c>
      <c r="K166" s="735">
        <f t="shared" si="66"/>
        <v>10620201</v>
      </c>
      <c r="L166" s="100"/>
    </row>
    <row r="167" spans="1:12" x14ac:dyDescent="0.25">
      <c r="A167" s="695" t="str">
        <f t="shared" si="69"/>
        <v>Population Development</v>
      </c>
      <c r="B167" s="620"/>
      <c r="C167" s="733">
        <v>0</v>
      </c>
      <c r="D167" s="733">
        <v>0</v>
      </c>
      <c r="E167" s="733">
        <v>0</v>
      </c>
      <c r="F167" s="733">
        <v>0</v>
      </c>
      <c r="G167" s="733">
        <v>0</v>
      </c>
      <c r="H167" s="733">
        <f t="shared" si="65"/>
        <v>0</v>
      </c>
      <c r="I167" s="408">
        <f t="shared" si="56"/>
        <v>0</v>
      </c>
      <c r="J167" s="408" t="str">
        <f t="shared" si="57"/>
        <v/>
      </c>
      <c r="K167" s="735">
        <f t="shared" si="66"/>
        <v>0</v>
      </c>
      <c r="L167" s="100"/>
    </row>
    <row r="168" spans="1:12" x14ac:dyDescent="0.25">
      <c r="A168" s="695" t="str">
        <f t="shared" si="69"/>
        <v>Provincial Cultural Matters</v>
      </c>
      <c r="B168" s="620"/>
      <c r="C168" s="733">
        <v>0</v>
      </c>
      <c r="D168" s="733">
        <v>0</v>
      </c>
      <c r="E168" s="733">
        <v>0</v>
      </c>
      <c r="F168" s="733">
        <v>0</v>
      </c>
      <c r="G168" s="733">
        <v>0</v>
      </c>
      <c r="H168" s="733">
        <f t="shared" si="65"/>
        <v>0</v>
      </c>
      <c r="I168" s="408">
        <f t="shared" si="56"/>
        <v>0</v>
      </c>
      <c r="J168" s="408" t="str">
        <f t="shared" si="57"/>
        <v/>
      </c>
      <c r="K168" s="735">
        <f t="shared" si="66"/>
        <v>0</v>
      </c>
      <c r="L168" s="100"/>
    </row>
    <row r="169" spans="1:12" x14ac:dyDescent="0.25">
      <c r="A169" s="695" t="str">
        <f t="shared" si="69"/>
        <v>Theatres</v>
      </c>
      <c r="B169" s="620"/>
      <c r="C169" s="733">
        <v>0</v>
      </c>
      <c r="D169" s="733">
        <v>0</v>
      </c>
      <c r="E169" s="733">
        <v>0</v>
      </c>
      <c r="F169" s="733">
        <v>0</v>
      </c>
      <c r="G169" s="733">
        <v>0</v>
      </c>
      <c r="H169" s="733">
        <f t="shared" si="65"/>
        <v>0</v>
      </c>
      <c r="I169" s="408">
        <f t="shared" si="56"/>
        <v>0</v>
      </c>
      <c r="J169" s="408" t="str">
        <f t="shared" si="57"/>
        <v/>
      </c>
      <c r="K169" s="735">
        <f t="shared" si="66"/>
        <v>0</v>
      </c>
      <c r="L169" s="100"/>
    </row>
    <row r="170" spans="1:12" x14ac:dyDescent="0.25">
      <c r="A170" s="695" t="str">
        <f t="shared" si="69"/>
        <v>Zoo's</v>
      </c>
      <c r="B170" s="620"/>
      <c r="C170" s="733">
        <v>0</v>
      </c>
      <c r="D170" s="733">
        <v>0</v>
      </c>
      <c r="E170" s="733">
        <v>0</v>
      </c>
      <c r="F170" s="733">
        <v>0</v>
      </c>
      <c r="G170" s="733">
        <v>0</v>
      </c>
      <c r="H170" s="733">
        <f t="shared" si="65"/>
        <v>0</v>
      </c>
      <c r="I170" s="408">
        <f t="shared" si="56"/>
        <v>0</v>
      </c>
      <c r="J170" s="408" t="str">
        <f t="shared" si="57"/>
        <v/>
      </c>
      <c r="K170" s="735">
        <f t="shared" si="66"/>
        <v>0</v>
      </c>
      <c r="L170" s="100"/>
    </row>
    <row r="171" spans="1:12" x14ac:dyDescent="0.25">
      <c r="A171" s="607" t="str">
        <f t="shared" si="69"/>
        <v>Sport and recreation</v>
      </c>
      <c r="B171" s="620"/>
      <c r="C171" s="611">
        <f t="shared" ref="C171:K171" si="70">SUM(C172:C176)</f>
        <v>70382757.530000001</v>
      </c>
      <c r="D171" s="611">
        <f t="shared" si="70"/>
        <v>139720177</v>
      </c>
      <c r="E171" s="611">
        <f t="shared" si="70"/>
        <v>139503877</v>
      </c>
      <c r="F171" s="611">
        <f t="shared" si="70"/>
        <v>8009984</v>
      </c>
      <c r="G171" s="611">
        <f t="shared" si="70"/>
        <v>77062355</v>
      </c>
      <c r="H171" s="611">
        <f t="shared" si="70"/>
        <v>116253230.83333333</v>
      </c>
      <c r="I171" s="611">
        <f t="shared" ref="I171:I176" si="71">G171-H171</f>
        <v>-39190875.833333328</v>
      </c>
      <c r="J171" s="611">
        <f t="shared" ref="J171:J176" si="72">IF(I171=0,"",I171/H171)</f>
        <v>-0.33711644444118205</v>
      </c>
      <c r="K171" s="614">
        <f t="shared" si="70"/>
        <v>139503877</v>
      </c>
      <c r="L171" s="100"/>
    </row>
    <row r="172" spans="1:12" x14ac:dyDescent="0.25">
      <c r="A172" s="695" t="str">
        <f t="shared" si="69"/>
        <v xml:space="preserve">Beaches and Jetties </v>
      </c>
      <c r="B172" s="620"/>
      <c r="C172" s="733">
        <v>0</v>
      </c>
      <c r="D172" s="733">
        <v>0</v>
      </c>
      <c r="E172" s="733">
        <v>0</v>
      </c>
      <c r="F172" s="733">
        <v>0</v>
      </c>
      <c r="G172" s="733">
        <v>0</v>
      </c>
      <c r="H172" s="733">
        <f t="shared" ref="H172:H176" si="73">E172/12*10</f>
        <v>0</v>
      </c>
      <c r="I172" s="408">
        <f t="shared" si="71"/>
        <v>0</v>
      </c>
      <c r="J172" s="408" t="str">
        <f t="shared" si="72"/>
        <v/>
      </c>
      <c r="K172" s="735">
        <f>E172</f>
        <v>0</v>
      </c>
      <c r="L172" s="100"/>
    </row>
    <row r="173" spans="1:12" x14ac:dyDescent="0.25">
      <c r="A173" s="695" t="str">
        <f t="shared" si="69"/>
        <v>Casinos, Racing, Gambling, Wagering</v>
      </c>
      <c r="B173" s="620"/>
      <c r="C173" s="733">
        <v>0</v>
      </c>
      <c r="D173" s="733">
        <v>0</v>
      </c>
      <c r="E173" s="733">
        <v>0</v>
      </c>
      <c r="F173" s="733">
        <v>0</v>
      </c>
      <c r="G173" s="733">
        <v>0</v>
      </c>
      <c r="H173" s="733">
        <f t="shared" si="73"/>
        <v>0</v>
      </c>
      <c r="I173" s="408">
        <f t="shared" si="71"/>
        <v>0</v>
      </c>
      <c r="J173" s="408" t="str">
        <f t="shared" si="72"/>
        <v/>
      </c>
      <c r="K173" s="735">
        <f>E173</f>
        <v>0</v>
      </c>
      <c r="L173" s="100"/>
    </row>
    <row r="174" spans="1:12" x14ac:dyDescent="0.25">
      <c r="A174" s="695" t="str">
        <f t="shared" si="69"/>
        <v>Community Parks (including Nurseries)</v>
      </c>
      <c r="B174" s="620"/>
      <c r="C174" s="733">
        <v>34373650.740000002</v>
      </c>
      <c r="D174" s="733">
        <v>40400469</v>
      </c>
      <c r="E174" s="733">
        <v>41285469</v>
      </c>
      <c r="F174" s="733">
        <v>2824260</v>
      </c>
      <c r="G174" s="733">
        <v>31738033</v>
      </c>
      <c r="H174" s="733">
        <f t="shared" si="73"/>
        <v>34404557.5</v>
      </c>
      <c r="I174" s="408">
        <f t="shared" si="71"/>
        <v>-2666524.5</v>
      </c>
      <c r="J174" s="408">
        <f t="shared" si="72"/>
        <v>-7.7504978809856809E-2</v>
      </c>
      <c r="K174" s="735">
        <f>E174</f>
        <v>41285469</v>
      </c>
      <c r="L174" s="100"/>
    </row>
    <row r="175" spans="1:12" x14ac:dyDescent="0.25">
      <c r="A175" s="695" t="str">
        <f t="shared" si="69"/>
        <v>Recreational Facilities</v>
      </c>
      <c r="B175" s="620"/>
      <c r="C175" s="733">
        <v>36009106.789999999</v>
      </c>
      <c r="D175" s="733">
        <v>99319708</v>
      </c>
      <c r="E175" s="733">
        <v>98218408</v>
      </c>
      <c r="F175" s="733">
        <v>5185724</v>
      </c>
      <c r="G175" s="733">
        <v>45324322</v>
      </c>
      <c r="H175" s="733">
        <f t="shared" si="73"/>
        <v>81848673.333333328</v>
      </c>
      <c r="I175" s="408">
        <f t="shared" si="71"/>
        <v>-36524351.333333328</v>
      </c>
      <c r="J175" s="408">
        <f t="shared" si="72"/>
        <v>-0.44624243553204401</v>
      </c>
      <c r="K175" s="735">
        <f>E175</f>
        <v>98218408</v>
      </c>
      <c r="L175" s="100"/>
    </row>
    <row r="176" spans="1:12" x14ac:dyDescent="0.25">
      <c r="A176" s="695" t="str">
        <f t="shared" si="69"/>
        <v>Sports Grounds and Stadiums</v>
      </c>
      <c r="B176" s="620"/>
      <c r="C176" s="733">
        <v>0</v>
      </c>
      <c r="D176" s="733"/>
      <c r="E176" s="733">
        <v>0</v>
      </c>
      <c r="F176" s="733">
        <v>0</v>
      </c>
      <c r="G176" s="733">
        <v>0</v>
      </c>
      <c r="H176" s="733">
        <f t="shared" si="73"/>
        <v>0</v>
      </c>
      <c r="I176" s="408">
        <f t="shared" si="71"/>
        <v>0</v>
      </c>
      <c r="J176" s="408" t="str">
        <f t="shared" si="72"/>
        <v/>
      </c>
      <c r="K176" s="735">
        <f>E176</f>
        <v>0</v>
      </c>
      <c r="L176" s="100"/>
    </row>
    <row r="177" spans="1:12" x14ac:dyDescent="0.25">
      <c r="A177" s="607" t="str">
        <f t="shared" si="69"/>
        <v>Public safety</v>
      </c>
      <c r="B177" s="620"/>
      <c r="C177" s="611">
        <f t="shared" ref="C177:K177" si="74">SUM(C178:C185)</f>
        <v>54005183.709999993</v>
      </c>
      <c r="D177" s="611">
        <f t="shared" si="74"/>
        <v>54804168</v>
      </c>
      <c r="E177" s="611">
        <f t="shared" si="74"/>
        <v>54322168</v>
      </c>
      <c r="F177" s="611">
        <f t="shared" si="74"/>
        <v>4716005</v>
      </c>
      <c r="G177" s="611">
        <f t="shared" si="74"/>
        <v>47473698</v>
      </c>
      <c r="H177" s="611">
        <f t="shared" si="74"/>
        <v>45268473.333333328</v>
      </c>
      <c r="I177" s="611">
        <f t="shared" si="56"/>
        <v>2205224.6666666716</v>
      </c>
      <c r="J177" s="611">
        <f t="shared" si="57"/>
        <v>4.8714359117625908E-2</v>
      </c>
      <c r="K177" s="614">
        <f t="shared" si="74"/>
        <v>54322168</v>
      </c>
      <c r="L177" s="100"/>
    </row>
    <row r="178" spans="1:12" x14ac:dyDescent="0.25">
      <c r="A178" s="695" t="str">
        <f t="shared" si="69"/>
        <v>Civil Defence</v>
      </c>
      <c r="B178" s="620"/>
      <c r="C178" s="733">
        <v>0</v>
      </c>
      <c r="D178" s="733">
        <v>0</v>
      </c>
      <c r="E178" s="733">
        <v>0</v>
      </c>
      <c r="F178" s="733">
        <v>0</v>
      </c>
      <c r="G178" s="733">
        <v>0</v>
      </c>
      <c r="H178" s="733">
        <f t="shared" ref="H178:H185" si="75">E178/12*10</f>
        <v>0</v>
      </c>
      <c r="I178" s="408">
        <f t="shared" si="56"/>
        <v>0</v>
      </c>
      <c r="J178" s="408" t="str">
        <f t="shared" si="57"/>
        <v/>
      </c>
      <c r="K178" s="735">
        <f t="shared" ref="K178:K185" si="76">E178</f>
        <v>0</v>
      </c>
      <c r="L178" s="100"/>
    </row>
    <row r="179" spans="1:12" x14ac:dyDescent="0.25">
      <c r="A179" s="695" t="str">
        <f t="shared" si="69"/>
        <v>Cleansing</v>
      </c>
      <c r="B179" s="620"/>
      <c r="C179" s="733">
        <v>0</v>
      </c>
      <c r="D179" s="733">
        <v>0</v>
      </c>
      <c r="E179" s="733">
        <v>0</v>
      </c>
      <c r="F179" s="733">
        <v>0</v>
      </c>
      <c r="G179" s="733">
        <v>0</v>
      </c>
      <c r="H179" s="733">
        <f t="shared" si="75"/>
        <v>0</v>
      </c>
      <c r="I179" s="408">
        <f t="shared" si="56"/>
        <v>0</v>
      </c>
      <c r="J179" s="408" t="str">
        <f t="shared" si="57"/>
        <v/>
      </c>
      <c r="K179" s="735">
        <f t="shared" si="76"/>
        <v>0</v>
      </c>
      <c r="L179" s="100"/>
    </row>
    <row r="180" spans="1:12" x14ac:dyDescent="0.25">
      <c r="A180" s="695" t="str">
        <f t="shared" si="69"/>
        <v>Control of Public Nuisances</v>
      </c>
      <c r="B180" s="620"/>
      <c r="C180" s="733">
        <v>0</v>
      </c>
      <c r="D180" s="733">
        <v>0</v>
      </c>
      <c r="E180" s="733">
        <v>0</v>
      </c>
      <c r="F180" s="733">
        <v>0</v>
      </c>
      <c r="G180" s="733">
        <v>0</v>
      </c>
      <c r="H180" s="733">
        <f t="shared" si="75"/>
        <v>0</v>
      </c>
      <c r="I180" s="408">
        <f>G180-H180</f>
        <v>0</v>
      </c>
      <c r="J180" s="408" t="str">
        <f>IF(I180=0,"",I180/H180)</f>
        <v/>
      </c>
      <c r="K180" s="735">
        <f t="shared" si="76"/>
        <v>0</v>
      </c>
      <c r="L180" s="100"/>
    </row>
    <row r="181" spans="1:12" x14ac:dyDescent="0.25">
      <c r="A181" s="695" t="str">
        <f t="shared" si="69"/>
        <v xml:space="preserve">Fencing and Fences </v>
      </c>
      <c r="B181" s="620"/>
      <c r="C181" s="733">
        <v>0</v>
      </c>
      <c r="D181" s="733">
        <v>0</v>
      </c>
      <c r="E181" s="733">
        <v>0</v>
      </c>
      <c r="F181" s="733">
        <v>0</v>
      </c>
      <c r="G181" s="733">
        <v>0</v>
      </c>
      <c r="H181" s="733">
        <f t="shared" si="75"/>
        <v>0</v>
      </c>
      <c r="I181" s="408">
        <f t="shared" si="56"/>
        <v>0</v>
      </c>
      <c r="J181" s="408" t="str">
        <f t="shared" si="57"/>
        <v/>
      </c>
      <c r="K181" s="735">
        <f t="shared" si="76"/>
        <v>0</v>
      </c>
      <c r="L181" s="100"/>
    </row>
    <row r="182" spans="1:12" x14ac:dyDescent="0.25">
      <c r="A182" s="695" t="str">
        <f t="shared" si="69"/>
        <v>Fire Fighting and Protection</v>
      </c>
      <c r="B182" s="620"/>
      <c r="C182" s="733">
        <v>54005183.709999993</v>
      </c>
      <c r="D182" s="733">
        <v>54804168</v>
      </c>
      <c r="E182" s="733">
        <v>54322168</v>
      </c>
      <c r="F182" s="733">
        <v>4716005</v>
      </c>
      <c r="G182" s="733">
        <v>47473698</v>
      </c>
      <c r="H182" s="733">
        <f t="shared" si="75"/>
        <v>45268473.333333328</v>
      </c>
      <c r="I182" s="408">
        <f t="shared" si="56"/>
        <v>2205224.6666666716</v>
      </c>
      <c r="J182" s="408">
        <f t="shared" si="57"/>
        <v>4.8714359117625908E-2</v>
      </c>
      <c r="K182" s="735">
        <f t="shared" si="76"/>
        <v>54322168</v>
      </c>
      <c r="L182" s="100"/>
    </row>
    <row r="183" spans="1:12" x14ac:dyDescent="0.25">
      <c r="A183" s="695" t="str">
        <f t="shared" si="69"/>
        <v>Licensing and Control of Animals</v>
      </c>
      <c r="B183" s="620"/>
      <c r="C183" s="733">
        <v>0</v>
      </c>
      <c r="D183" s="733">
        <v>0</v>
      </c>
      <c r="E183" s="733">
        <v>0</v>
      </c>
      <c r="F183" s="733">
        <v>0</v>
      </c>
      <c r="G183" s="733">
        <v>0</v>
      </c>
      <c r="H183" s="733">
        <f t="shared" si="75"/>
        <v>0</v>
      </c>
      <c r="I183" s="408">
        <f>G183-H183</f>
        <v>0</v>
      </c>
      <c r="J183" s="408" t="str">
        <f>IF(I183=0,"",I183/H183)</f>
        <v/>
      </c>
      <c r="K183" s="735">
        <f t="shared" si="76"/>
        <v>0</v>
      </c>
      <c r="L183" s="100"/>
    </row>
    <row r="184" spans="1:12" ht="22.5" x14ac:dyDescent="0.25">
      <c r="A184" s="695" t="str">
        <f t="shared" si="69"/>
        <v>Police Forces, Traffic and Street Parking Control</v>
      </c>
      <c r="B184" s="620"/>
      <c r="C184" s="733"/>
      <c r="D184" s="733">
        <v>0</v>
      </c>
      <c r="E184" s="733">
        <v>0</v>
      </c>
      <c r="F184" s="733">
        <v>0</v>
      </c>
      <c r="G184" s="733">
        <v>0</v>
      </c>
      <c r="H184" s="733">
        <f t="shared" si="75"/>
        <v>0</v>
      </c>
      <c r="I184" s="408">
        <f>G184-H184</f>
        <v>0</v>
      </c>
      <c r="J184" s="408" t="str">
        <f>IF(I184=0,"",I184/H184)</f>
        <v/>
      </c>
      <c r="K184" s="735">
        <f t="shared" si="76"/>
        <v>0</v>
      </c>
      <c r="L184" s="100"/>
    </row>
    <row r="185" spans="1:12" x14ac:dyDescent="0.25">
      <c r="A185" s="695" t="str">
        <f t="shared" si="69"/>
        <v>Pounds</v>
      </c>
      <c r="B185" s="620"/>
      <c r="C185" s="733"/>
      <c r="D185" s="733">
        <v>0</v>
      </c>
      <c r="E185" s="733">
        <v>0</v>
      </c>
      <c r="F185" s="733">
        <v>0</v>
      </c>
      <c r="G185" s="733">
        <v>0</v>
      </c>
      <c r="H185" s="733">
        <f t="shared" si="75"/>
        <v>0</v>
      </c>
      <c r="I185" s="408">
        <f t="shared" si="56"/>
        <v>0</v>
      </c>
      <c r="J185" s="408" t="str">
        <f t="shared" si="57"/>
        <v/>
      </c>
      <c r="K185" s="735">
        <f t="shared" si="76"/>
        <v>0</v>
      </c>
      <c r="L185" s="100"/>
    </row>
    <row r="186" spans="1:12" x14ac:dyDescent="0.25">
      <c r="A186" s="607" t="str">
        <f t="shared" si="69"/>
        <v>Housing</v>
      </c>
      <c r="B186" s="620"/>
      <c r="C186" s="611">
        <f t="shared" ref="C186:H186" si="77">SUM(C187:C188)</f>
        <v>10061144.130000003</v>
      </c>
      <c r="D186" s="611">
        <f t="shared" si="77"/>
        <v>11549248</v>
      </c>
      <c r="E186" s="611">
        <f t="shared" si="77"/>
        <v>11656248</v>
      </c>
      <c r="F186" s="611">
        <f t="shared" si="77"/>
        <v>805105</v>
      </c>
      <c r="G186" s="611">
        <f t="shared" si="77"/>
        <v>8203783</v>
      </c>
      <c r="H186" s="611">
        <f t="shared" si="77"/>
        <v>9713540</v>
      </c>
      <c r="I186" s="611">
        <f>G186-H186</f>
        <v>-1509757</v>
      </c>
      <c r="J186" s="611">
        <f>IF(I186=0,"",I186/H186)</f>
        <v>-0.15542809315656289</v>
      </c>
      <c r="K186" s="611">
        <f>SUM(K187:K188)</f>
        <v>11656248</v>
      </c>
      <c r="L186" s="100"/>
    </row>
    <row r="187" spans="1:12" x14ac:dyDescent="0.25">
      <c r="A187" s="695" t="str">
        <f t="shared" si="69"/>
        <v>Housing</v>
      </c>
      <c r="B187" s="620"/>
      <c r="C187" s="733">
        <v>10061144.130000003</v>
      </c>
      <c r="D187" s="733">
        <v>11549248</v>
      </c>
      <c r="E187" s="733">
        <v>11656248</v>
      </c>
      <c r="F187" s="733">
        <v>805105</v>
      </c>
      <c r="G187" s="733">
        <v>8203783</v>
      </c>
      <c r="H187" s="733">
        <f t="shared" ref="H187:H188" si="78">E187/12*10</f>
        <v>9713540</v>
      </c>
      <c r="I187" s="408">
        <f>G187-H187</f>
        <v>-1509757</v>
      </c>
      <c r="J187" s="408">
        <f>IF(I187=0,"",I187/H187)</f>
        <v>-0.15542809315656289</v>
      </c>
      <c r="K187" s="735">
        <f>E187</f>
        <v>11656248</v>
      </c>
      <c r="L187" s="100"/>
    </row>
    <row r="188" spans="1:12" x14ac:dyDescent="0.25">
      <c r="A188" s="695" t="str">
        <f t="shared" si="69"/>
        <v>Informal Settlements</v>
      </c>
      <c r="B188" s="620"/>
      <c r="C188" s="733"/>
      <c r="D188" s="733"/>
      <c r="E188" s="733">
        <v>0</v>
      </c>
      <c r="F188" s="733">
        <v>0</v>
      </c>
      <c r="G188" s="733">
        <v>0</v>
      </c>
      <c r="H188" s="733">
        <f t="shared" si="78"/>
        <v>0</v>
      </c>
      <c r="I188" s="408">
        <f>G188-H188</f>
        <v>0</v>
      </c>
      <c r="J188" s="408" t="str">
        <f>IF(I188=0,"",I188/H188)</f>
        <v/>
      </c>
      <c r="K188" s="735">
        <f>E188</f>
        <v>0</v>
      </c>
      <c r="L188" s="100"/>
    </row>
    <row r="189" spans="1:12" x14ac:dyDescent="0.25">
      <c r="A189" s="607" t="str">
        <f t="shared" si="69"/>
        <v>Health</v>
      </c>
      <c r="B189" s="620"/>
      <c r="C189" s="611">
        <f t="shared" ref="C189:K189" si="79">SUM(C190:C196)</f>
        <v>4394398.0599999996</v>
      </c>
      <c r="D189" s="611">
        <f t="shared" si="79"/>
        <v>7004858</v>
      </c>
      <c r="E189" s="611">
        <f t="shared" si="79"/>
        <v>7024858</v>
      </c>
      <c r="F189" s="611">
        <f t="shared" si="79"/>
        <v>443645</v>
      </c>
      <c r="G189" s="611">
        <f t="shared" si="79"/>
        <v>4141485</v>
      </c>
      <c r="H189" s="611">
        <f t="shared" si="79"/>
        <v>5854048.333333334</v>
      </c>
      <c r="I189" s="611">
        <f t="shared" si="56"/>
        <v>-1712563.333333334</v>
      </c>
      <c r="J189" s="611">
        <f t="shared" si="57"/>
        <v>-0.29254342223002949</v>
      </c>
      <c r="K189" s="614">
        <f t="shared" si="79"/>
        <v>7024858</v>
      </c>
      <c r="L189" s="100"/>
    </row>
    <row r="190" spans="1:12" x14ac:dyDescent="0.25">
      <c r="A190" s="695" t="str">
        <f t="shared" si="69"/>
        <v>Ambulance</v>
      </c>
      <c r="B190" s="620"/>
      <c r="C190" s="733">
        <v>0</v>
      </c>
      <c r="D190" s="733"/>
      <c r="E190" s="733">
        <v>0</v>
      </c>
      <c r="F190" s="733">
        <v>0</v>
      </c>
      <c r="G190" s="733">
        <v>0</v>
      </c>
      <c r="H190" s="733">
        <f t="shared" ref="H190:H196" si="80">E190/12*10</f>
        <v>0</v>
      </c>
      <c r="I190" s="408">
        <f t="shared" si="56"/>
        <v>0</v>
      </c>
      <c r="J190" s="408" t="str">
        <f t="shared" si="57"/>
        <v/>
      </c>
      <c r="K190" s="735">
        <f t="shared" ref="K190:K196" si="81">E190</f>
        <v>0</v>
      </c>
      <c r="L190" s="100"/>
    </row>
    <row r="191" spans="1:12" x14ac:dyDescent="0.25">
      <c r="A191" s="695" t="str">
        <f t="shared" si="69"/>
        <v>Health Services</v>
      </c>
      <c r="B191" s="620"/>
      <c r="C191" s="733">
        <v>4394398.0599999996</v>
      </c>
      <c r="D191" s="733">
        <v>7004858</v>
      </c>
      <c r="E191" s="733">
        <v>7024858</v>
      </c>
      <c r="F191" s="733">
        <v>443645</v>
      </c>
      <c r="G191" s="733">
        <v>4141485</v>
      </c>
      <c r="H191" s="733">
        <f t="shared" si="80"/>
        <v>5854048.333333334</v>
      </c>
      <c r="I191" s="408">
        <f t="shared" si="56"/>
        <v>-1712563.333333334</v>
      </c>
      <c r="J191" s="408">
        <f t="shared" si="57"/>
        <v>-0.29254342223002949</v>
      </c>
      <c r="K191" s="735">
        <f t="shared" si="81"/>
        <v>7024858</v>
      </c>
      <c r="L191" s="100"/>
    </row>
    <row r="192" spans="1:12" x14ac:dyDescent="0.25">
      <c r="A192" s="695" t="str">
        <f t="shared" ref="A192:A223" si="82">A70</f>
        <v>Laboratory Services</v>
      </c>
      <c r="B192" s="620"/>
      <c r="C192" s="733">
        <v>0</v>
      </c>
      <c r="D192" s="733">
        <v>0</v>
      </c>
      <c r="E192" s="733">
        <v>0</v>
      </c>
      <c r="F192" s="733">
        <v>0</v>
      </c>
      <c r="G192" s="733">
        <v>0</v>
      </c>
      <c r="H192" s="733">
        <f t="shared" si="80"/>
        <v>0</v>
      </c>
      <c r="I192" s="408">
        <f t="shared" si="56"/>
        <v>0</v>
      </c>
      <c r="J192" s="408" t="str">
        <f t="shared" si="57"/>
        <v/>
      </c>
      <c r="K192" s="735">
        <f t="shared" si="81"/>
        <v>0</v>
      </c>
      <c r="L192" s="100"/>
    </row>
    <row r="193" spans="1:12" x14ac:dyDescent="0.25">
      <c r="A193" s="695" t="str">
        <f t="shared" si="82"/>
        <v>Food Control</v>
      </c>
      <c r="B193" s="620"/>
      <c r="C193" s="733">
        <v>0</v>
      </c>
      <c r="D193" s="733">
        <v>0</v>
      </c>
      <c r="E193" s="733">
        <v>0</v>
      </c>
      <c r="F193" s="733">
        <v>0</v>
      </c>
      <c r="G193" s="733">
        <v>0</v>
      </c>
      <c r="H193" s="733">
        <f t="shared" si="80"/>
        <v>0</v>
      </c>
      <c r="I193" s="408">
        <f>G193-H193</f>
        <v>0</v>
      </c>
      <c r="J193" s="408" t="str">
        <f>IF(I193=0,"",I193/H193)</f>
        <v/>
      </c>
      <c r="K193" s="735">
        <f t="shared" si="81"/>
        <v>0</v>
      </c>
      <c r="L193" s="100"/>
    </row>
    <row r="194" spans="1:12" ht="24" customHeight="1" x14ac:dyDescent="0.25">
      <c r="A194" s="695" t="str">
        <f t="shared" si="82"/>
        <v>Health Surveillance and Prevention of Communicable Diseases including immunizations</v>
      </c>
      <c r="B194" s="620"/>
      <c r="C194" s="733">
        <v>0</v>
      </c>
      <c r="D194" s="733">
        <v>0</v>
      </c>
      <c r="E194" s="733">
        <v>0</v>
      </c>
      <c r="F194" s="733">
        <v>0</v>
      </c>
      <c r="G194" s="733">
        <v>0</v>
      </c>
      <c r="H194" s="733">
        <f t="shared" si="80"/>
        <v>0</v>
      </c>
      <c r="I194" s="408">
        <f>G194-H194</f>
        <v>0</v>
      </c>
      <c r="J194" s="408" t="str">
        <f>IF(I194=0,"",I194/H194)</f>
        <v/>
      </c>
      <c r="K194" s="735">
        <f t="shared" si="81"/>
        <v>0</v>
      </c>
      <c r="L194" s="100"/>
    </row>
    <row r="195" spans="1:12" x14ac:dyDescent="0.25">
      <c r="A195" s="695" t="str">
        <f t="shared" si="82"/>
        <v>Vector Control</v>
      </c>
      <c r="B195" s="620"/>
      <c r="C195" s="733">
        <v>0</v>
      </c>
      <c r="D195" s="733">
        <v>0</v>
      </c>
      <c r="E195" s="733">
        <v>0</v>
      </c>
      <c r="F195" s="733">
        <v>0</v>
      </c>
      <c r="G195" s="733">
        <v>0</v>
      </c>
      <c r="H195" s="733">
        <f t="shared" si="80"/>
        <v>0</v>
      </c>
      <c r="I195" s="408">
        <f t="shared" si="56"/>
        <v>0</v>
      </c>
      <c r="J195" s="408" t="str">
        <f t="shared" si="57"/>
        <v/>
      </c>
      <c r="K195" s="735">
        <f t="shared" si="81"/>
        <v>0</v>
      </c>
      <c r="L195" s="100"/>
    </row>
    <row r="196" spans="1:12" x14ac:dyDescent="0.25">
      <c r="A196" s="695" t="str">
        <f t="shared" si="82"/>
        <v>Chemical Safety</v>
      </c>
      <c r="B196" s="620"/>
      <c r="C196" s="733"/>
      <c r="D196" s="733">
        <v>0</v>
      </c>
      <c r="E196" s="733">
        <v>0</v>
      </c>
      <c r="F196" s="733">
        <v>0</v>
      </c>
      <c r="G196" s="733">
        <v>0</v>
      </c>
      <c r="H196" s="733">
        <f t="shared" si="80"/>
        <v>0</v>
      </c>
      <c r="I196" s="408">
        <f t="shared" si="56"/>
        <v>0</v>
      </c>
      <c r="J196" s="408" t="str">
        <f t="shared" si="57"/>
        <v/>
      </c>
      <c r="K196" s="735">
        <f t="shared" si="81"/>
        <v>0</v>
      </c>
      <c r="L196" s="100"/>
    </row>
    <row r="197" spans="1:12" x14ac:dyDescent="0.25">
      <c r="A197" s="414" t="str">
        <f t="shared" si="82"/>
        <v>Economic and environmental services</v>
      </c>
      <c r="B197" s="620"/>
      <c r="C197" s="605">
        <f t="shared" ref="C197:H197" si="83">C198+C209+C214</f>
        <v>366330570.81</v>
      </c>
      <c r="D197" s="605">
        <f t="shared" si="83"/>
        <v>509516640</v>
      </c>
      <c r="E197" s="605">
        <f t="shared" si="83"/>
        <v>560390620</v>
      </c>
      <c r="F197" s="605">
        <f t="shared" si="83"/>
        <v>42086638</v>
      </c>
      <c r="G197" s="605">
        <f t="shared" si="83"/>
        <v>311436866</v>
      </c>
      <c r="H197" s="605">
        <f t="shared" si="83"/>
        <v>466992183.33333337</v>
      </c>
      <c r="I197" s="605">
        <f t="shared" si="56"/>
        <v>-155555317.33333337</v>
      </c>
      <c r="J197" s="605">
        <f t="shared" si="57"/>
        <v>-0.33310047338051452</v>
      </c>
      <c r="K197" s="606">
        <f>K198+K209+K214</f>
        <v>560390620</v>
      </c>
      <c r="L197" s="100"/>
    </row>
    <row r="198" spans="1:12" x14ac:dyDescent="0.25">
      <c r="A198" s="607" t="str">
        <f t="shared" si="82"/>
        <v>Planning and development</v>
      </c>
      <c r="B198" s="620"/>
      <c r="C198" s="611">
        <f t="shared" ref="C198:K198" si="84">SUM(C199:C208)</f>
        <v>96734245.449999988</v>
      </c>
      <c r="D198" s="611">
        <f t="shared" si="84"/>
        <v>115117318</v>
      </c>
      <c r="E198" s="611">
        <f t="shared" si="84"/>
        <v>107789427</v>
      </c>
      <c r="F198" s="611">
        <f t="shared" si="84"/>
        <v>6541754</v>
      </c>
      <c r="G198" s="611">
        <f t="shared" si="84"/>
        <v>75048208</v>
      </c>
      <c r="H198" s="611">
        <f t="shared" si="84"/>
        <v>89824522.5</v>
      </c>
      <c r="I198" s="611">
        <f t="shared" si="56"/>
        <v>-14776314.5</v>
      </c>
      <c r="J198" s="611">
        <f t="shared" si="57"/>
        <v>-0.16450201001625142</v>
      </c>
      <c r="K198" s="614">
        <f t="shared" si="84"/>
        <v>107789427</v>
      </c>
      <c r="L198" s="100"/>
    </row>
    <row r="199" spans="1:12" x14ac:dyDescent="0.25">
      <c r="A199" s="695" t="str">
        <f t="shared" si="82"/>
        <v>Billboards</v>
      </c>
      <c r="B199" s="620"/>
      <c r="C199" s="733">
        <v>0</v>
      </c>
      <c r="D199" s="733"/>
      <c r="E199" s="733">
        <v>0</v>
      </c>
      <c r="F199" s="733">
        <v>0</v>
      </c>
      <c r="G199" s="733">
        <v>0</v>
      </c>
      <c r="H199" s="733">
        <f t="shared" ref="H199:H208" si="85">E199/12*10</f>
        <v>0</v>
      </c>
      <c r="I199" s="408">
        <f t="shared" si="56"/>
        <v>0</v>
      </c>
      <c r="J199" s="408" t="str">
        <f t="shared" si="57"/>
        <v/>
      </c>
      <c r="K199" s="735">
        <f t="shared" ref="K199:K208" si="86">E199</f>
        <v>0</v>
      </c>
      <c r="L199" s="100"/>
    </row>
    <row r="200" spans="1:12" ht="22.5" x14ac:dyDescent="0.25">
      <c r="A200" s="695" t="str">
        <f t="shared" si="82"/>
        <v>Corporate Wide Strategic Planning (IDPs, LEDs)</v>
      </c>
      <c r="B200" s="620"/>
      <c r="C200" s="733">
        <v>5968696.8300000001</v>
      </c>
      <c r="D200" s="733">
        <v>16208075</v>
      </c>
      <c r="E200" s="733">
        <v>14662878</v>
      </c>
      <c r="F200" s="733">
        <v>758056</v>
      </c>
      <c r="G200" s="733">
        <v>5833727</v>
      </c>
      <c r="H200" s="733">
        <f t="shared" si="85"/>
        <v>12219065</v>
      </c>
      <c r="I200" s="408">
        <f t="shared" si="56"/>
        <v>-6385338</v>
      </c>
      <c r="J200" s="408">
        <f t="shared" si="57"/>
        <v>-0.52257173523506095</v>
      </c>
      <c r="K200" s="735">
        <f t="shared" si="86"/>
        <v>14662878</v>
      </c>
      <c r="L200" s="100"/>
    </row>
    <row r="201" spans="1:12" x14ac:dyDescent="0.25">
      <c r="A201" s="695" t="str">
        <f t="shared" si="82"/>
        <v>Central City Improvement District</v>
      </c>
      <c r="B201" s="620"/>
      <c r="C201" s="733">
        <v>0</v>
      </c>
      <c r="D201" s="733"/>
      <c r="E201" s="733">
        <v>0</v>
      </c>
      <c r="F201" s="733">
        <v>0</v>
      </c>
      <c r="G201" s="733">
        <v>0</v>
      </c>
      <c r="H201" s="733">
        <f t="shared" si="85"/>
        <v>0</v>
      </c>
      <c r="I201" s="408">
        <f t="shared" si="56"/>
        <v>0</v>
      </c>
      <c r="J201" s="408" t="str">
        <f t="shared" si="57"/>
        <v/>
      </c>
      <c r="K201" s="735">
        <f t="shared" si="86"/>
        <v>0</v>
      </c>
      <c r="L201" s="100"/>
    </row>
    <row r="202" spans="1:12" x14ac:dyDescent="0.25">
      <c r="A202" s="695" t="str">
        <f t="shared" si="82"/>
        <v>Development Facilitation</v>
      </c>
      <c r="B202" s="620"/>
      <c r="C202" s="733">
        <v>0</v>
      </c>
      <c r="D202" s="733"/>
      <c r="E202" s="733">
        <v>0</v>
      </c>
      <c r="F202" s="733">
        <v>0</v>
      </c>
      <c r="G202" s="733">
        <v>0</v>
      </c>
      <c r="H202" s="733">
        <f t="shared" si="85"/>
        <v>0</v>
      </c>
      <c r="I202" s="408">
        <f>G202-H202</f>
        <v>0</v>
      </c>
      <c r="J202" s="408" t="str">
        <f>IF(I202=0,"",I202/H202)</f>
        <v/>
      </c>
      <c r="K202" s="735">
        <f t="shared" si="86"/>
        <v>0</v>
      </c>
      <c r="L202" s="100"/>
    </row>
    <row r="203" spans="1:12" x14ac:dyDescent="0.25">
      <c r="A203" s="695" t="str">
        <f t="shared" si="82"/>
        <v>Economic Development/Planning</v>
      </c>
      <c r="B203" s="620"/>
      <c r="C203" s="733">
        <v>19281350.499999996</v>
      </c>
      <c r="D203" s="733">
        <v>21366327</v>
      </c>
      <c r="E203" s="733">
        <v>21008627</v>
      </c>
      <c r="F203" s="733">
        <v>1446982</v>
      </c>
      <c r="G203" s="733">
        <v>14473811</v>
      </c>
      <c r="H203" s="733">
        <f t="shared" si="85"/>
        <v>17507189.166666668</v>
      </c>
      <c r="I203" s="408">
        <f>G203-H203</f>
        <v>-3033378.1666666679</v>
      </c>
      <c r="J203" s="408">
        <f>IF(I203=0,"",I203/H203)</f>
        <v>-0.1732647164424406</v>
      </c>
      <c r="K203" s="735">
        <f t="shared" si="86"/>
        <v>21008627</v>
      </c>
      <c r="L203" s="100"/>
    </row>
    <row r="204" spans="1:12" x14ac:dyDescent="0.25">
      <c r="A204" s="695" t="str">
        <f t="shared" si="82"/>
        <v>Regional Planning and Development</v>
      </c>
      <c r="B204" s="620"/>
      <c r="C204" s="733">
        <v>0</v>
      </c>
      <c r="D204" s="733"/>
      <c r="E204" s="733">
        <v>0</v>
      </c>
      <c r="F204" s="733">
        <v>0</v>
      </c>
      <c r="G204" s="733">
        <v>0</v>
      </c>
      <c r="H204" s="733">
        <f t="shared" si="85"/>
        <v>0</v>
      </c>
      <c r="I204" s="408">
        <f>G204-H204</f>
        <v>0</v>
      </c>
      <c r="J204" s="408" t="str">
        <f>IF(I204=0,"",I204/H204)</f>
        <v/>
      </c>
      <c r="K204" s="735">
        <f t="shared" si="86"/>
        <v>0</v>
      </c>
      <c r="L204" s="100"/>
    </row>
    <row r="205" spans="1:12" ht="22.5" x14ac:dyDescent="0.25">
      <c r="A205" s="695" t="str">
        <f t="shared" si="82"/>
        <v>Town Planning, Building Regulations and Enforcement, and City Engineer</v>
      </c>
      <c r="B205" s="620"/>
      <c r="C205" s="733">
        <v>44864659.769999996</v>
      </c>
      <c r="D205" s="733">
        <v>40023116</v>
      </c>
      <c r="E205" s="733">
        <v>42118116</v>
      </c>
      <c r="F205" s="733">
        <v>3112017</v>
      </c>
      <c r="G205" s="733">
        <v>27433175</v>
      </c>
      <c r="H205" s="733">
        <f t="shared" si="85"/>
        <v>35098430</v>
      </c>
      <c r="I205" s="408">
        <f>G205-H205</f>
        <v>-7665255</v>
      </c>
      <c r="J205" s="408">
        <f>IF(I205=0,"",I205/H205)</f>
        <v>-0.21839310191367534</v>
      </c>
      <c r="K205" s="735">
        <f t="shared" si="86"/>
        <v>42118116</v>
      </c>
      <c r="L205" s="100"/>
    </row>
    <row r="206" spans="1:12" x14ac:dyDescent="0.25">
      <c r="A206" s="695" t="str">
        <f t="shared" si="82"/>
        <v>Project Management Unit</v>
      </c>
      <c r="B206" s="620"/>
      <c r="C206" s="733">
        <v>26619538.349999998</v>
      </c>
      <c r="D206" s="733">
        <v>37519800</v>
      </c>
      <c r="E206" s="733">
        <v>29999806</v>
      </c>
      <c r="F206" s="733">
        <v>1224699</v>
      </c>
      <c r="G206" s="733">
        <v>27307495</v>
      </c>
      <c r="H206" s="733">
        <f t="shared" si="85"/>
        <v>24999838.333333336</v>
      </c>
      <c r="I206" s="408">
        <f>G206-H206</f>
        <v>2307656.6666666642</v>
      </c>
      <c r="J206" s="408">
        <f>IF(I206=0,"",I206/H206)</f>
        <v>9.2306863584384405E-2</v>
      </c>
      <c r="K206" s="735">
        <f t="shared" si="86"/>
        <v>29999806</v>
      </c>
      <c r="L206" s="100"/>
    </row>
    <row r="207" spans="1:12" x14ac:dyDescent="0.25">
      <c r="A207" s="695" t="str">
        <f t="shared" si="82"/>
        <v>Provincial Planning</v>
      </c>
      <c r="B207" s="620"/>
      <c r="C207" s="733">
        <v>0</v>
      </c>
      <c r="D207" s="733"/>
      <c r="E207" s="733">
        <v>0</v>
      </c>
      <c r="F207" s="733">
        <v>0</v>
      </c>
      <c r="G207" s="733">
        <v>0</v>
      </c>
      <c r="H207" s="733">
        <f t="shared" si="85"/>
        <v>0</v>
      </c>
      <c r="I207" s="408">
        <f t="shared" si="56"/>
        <v>0</v>
      </c>
      <c r="J207" s="408" t="str">
        <f t="shared" si="57"/>
        <v/>
      </c>
      <c r="K207" s="735">
        <f t="shared" si="86"/>
        <v>0</v>
      </c>
      <c r="L207" s="100"/>
    </row>
    <row r="208" spans="1:12" x14ac:dyDescent="0.25">
      <c r="A208" s="695" t="str">
        <f t="shared" si="82"/>
        <v>Support to Local Municipalities</v>
      </c>
      <c r="B208" s="620"/>
      <c r="C208" s="733">
        <v>0</v>
      </c>
      <c r="D208" s="733"/>
      <c r="E208" s="733">
        <v>0</v>
      </c>
      <c r="F208" s="733">
        <v>0</v>
      </c>
      <c r="G208" s="733">
        <v>0</v>
      </c>
      <c r="H208" s="733">
        <f t="shared" si="85"/>
        <v>0</v>
      </c>
      <c r="I208" s="408">
        <f t="shared" si="56"/>
        <v>0</v>
      </c>
      <c r="J208" s="408" t="str">
        <f t="shared" si="57"/>
        <v/>
      </c>
      <c r="K208" s="735">
        <f t="shared" si="86"/>
        <v>0</v>
      </c>
      <c r="L208" s="100"/>
    </row>
    <row r="209" spans="1:12" x14ac:dyDescent="0.25">
      <c r="A209" s="607" t="str">
        <f t="shared" si="82"/>
        <v>Road transport</v>
      </c>
      <c r="B209" s="620"/>
      <c r="C209" s="611">
        <f t="shared" ref="C209:H209" si="87">SUM(C210:C213)</f>
        <v>258144618.18999997</v>
      </c>
      <c r="D209" s="611">
        <f t="shared" si="87"/>
        <v>371330938</v>
      </c>
      <c r="E209" s="611">
        <f t="shared" si="87"/>
        <v>429522809</v>
      </c>
      <c r="F209" s="611">
        <f t="shared" si="87"/>
        <v>32768836</v>
      </c>
      <c r="G209" s="611">
        <f t="shared" si="87"/>
        <v>218591026</v>
      </c>
      <c r="H209" s="611">
        <f t="shared" si="87"/>
        <v>357935674.16666669</v>
      </c>
      <c r="I209" s="611">
        <f t="shared" si="56"/>
        <v>-139344648.16666669</v>
      </c>
      <c r="J209" s="611">
        <f t="shared" si="57"/>
        <v>-0.38930081079815254</v>
      </c>
      <c r="K209" s="614">
        <f>SUM(K210:K213)</f>
        <v>429522809</v>
      </c>
      <c r="L209" s="100"/>
    </row>
    <row r="210" spans="1:12" x14ac:dyDescent="0.25">
      <c r="A210" s="695" t="str">
        <f t="shared" si="82"/>
        <v>Public Transport</v>
      </c>
      <c r="B210" s="620"/>
      <c r="C210" s="733">
        <v>65052716.95000001</v>
      </c>
      <c r="D210" s="733">
        <v>78243451</v>
      </c>
      <c r="E210" s="733">
        <v>115116601</v>
      </c>
      <c r="F210" s="733">
        <v>7064792</v>
      </c>
      <c r="G210" s="733">
        <v>41634994</v>
      </c>
      <c r="H210" s="733">
        <f t="shared" ref="H210:H213" si="88">E210/12*10</f>
        <v>95930500.833333343</v>
      </c>
      <c r="I210" s="408">
        <f t="shared" si="56"/>
        <v>-54295506.833333343</v>
      </c>
      <c r="J210" s="408">
        <f t="shared" si="57"/>
        <v>-0.5659879429553345</v>
      </c>
      <c r="K210" s="735">
        <f>E210</f>
        <v>115116601</v>
      </c>
      <c r="L210" s="100"/>
    </row>
    <row r="211" spans="1:12" x14ac:dyDescent="0.25">
      <c r="A211" s="695" t="str">
        <f t="shared" si="82"/>
        <v>Road and Traffic Regulation</v>
      </c>
      <c r="B211" s="620"/>
      <c r="C211" s="733">
        <v>108910173.02</v>
      </c>
      <c r="D211" s="733">
        <v>108512356</v>
      </c>
      <c r="E211" s="733">
        <v>113552356</v>
      </c>
      <c r="F211" s="733">
        <v>15309204</v>
      </c>
      <c r="G211" s="733">
        <v>83952686</v>
      </c>
      <c r="H211" s="733">
        <f t="shared" si="88"/>
        <v>94626963.333333343</v>
      </c>
      <c r="I211" s="408">
        <f>G211-H211</f>
        <v>-10674277.333333343</v>
      </c>
      <c r="J211" s="408">
        <f>IF(I211=0,"",I211/H211)</f>
        <v>-0.11280376076036688</v>
      </c>
      <c r="K211" s="735">
        <f>E211</f>
        <v>113552356</v>
      </c>
      <c r="L211" s="100"/>
    </row>
    <row r="212" spans="1:12" x14ac:dyDescent="0.25">
      <c r="A212" s="695" t="str">
        <f t="shared" si="82"/>
        <v>Roads</v>
      </c>
      <c r="B212" s="620"/>
      <c r="C212" s="733">
        <v>84181728.219999969</v>
      </c>
      <c r="D212" s="733">
        <v>184575131</v>
      </c>
      <c r="E212" s="733">
        <v>200853852</v>
      </c>
      <c r="F212" s="733">
        <v>0</v>
      </c>
      <c r="G212" s="733">
        <v>0</v>
      </c>
      <c r="H212" s="733">
        <f t="shared" si="88"/>
        <v>167378210</v>
      </c>
      <c r="I212" s="408">
        <f t="shared" si="56"/>
        <v>-167378210</v>
      </c>
      <c r="J212" s="408">
        <f t="shared" si="57"/>
        <v>-1</v>
      </c>
      <c r="K212" s="735">
        <f>E212</f>
        <v>200853852</v>
      </c>
      <c r="L212" s="100"/>
    </row>
    <row r="213" spans="1:12" x14ac:dyDescent="0.25">
      <c r="A213" s="695" t="str">
        <f t="shared" si="82"/>
        <v>Taxi Ranks</v>
      </c>
      <c r="B213" s="620"/>
      <c r="C213" s="733">
        <v>0</v>
      </c>
      <c r="D213" s="733"/>
      <c r="E213" s="733">
        <v>0</v>
      </c>
      <c r="F213" s="733">
        <v>10394840</v>
      </c>
      <c r="G213" s="733">
        <v>93003346</v>
      </c>
      <c r="H213" s="733">
        <f t="shared" si="88"/>
        <v>0</v>
      </c>
      <c r="I213" s="408">
        <f t="shared" si="56"/>
        <v>93003346</v>
      </c>
      <c r="J213" s="408" t="e">
        <f t="shared" si="57"/>
        <v>#DIV/0!</v>
      </c>
      <c r="K213" s="735">
        <f>E213</f>
        <v>0</v>
      </c>
      <c r="L213" s="100"/>
    </row>
    <row r="214" spans="1:12" x14ac:dyDescent="0.25">
      <c r="A214" s="607" t="str">
        <f t="shared" si="82"/>
        <v>Environmental protection</v>
      </c>
      <c r="B214" s="620"/>
      <c r="C214" s="611">
        <f t="shared" ref="C214:K214" si="89">SUM(C215:C220)</f>
        <v>11451707.17</v>
      </c>
      <c r="D214" s="611">
        <f t="shared" si="89"/>
        <v>23068384</v>
      </c>
      <c r="E214" s="611">
        <f t="shared" si="89"/>
        <v>23078384</v>
      </c>
      <c r="F214" s="611">
        <f t="shared" si="89"/>
        <v>2776048</v>
      </c>
      <c r="G214" s="611">
        <f t="shared" si="89"/>
        <v>17797632</v>
      </c>
      <c r="H214" s="611">
        <f t="shared" si="89"/>
        <v>19231986.666666668</v>
      </c>
      <c r="I214" s="611">
        <f t="shared" si="56"/>
        <v>-1434354.6666666679</v>
      </c>
      <c r="J214" s="611">
        <f t="shared" si="57"/>
        <v>-7.4581721146506672E-2</v>
      </c>
      <c r="K214" s="614">
        <f t="shared" si="89"/>
        <v>23078384</v>
      </c>
      <c r="L214" s="100"/>
    </row>
    <row r="215" spans="1:12" x14ac:dyDescent="0.25">
      <c r="A215" s="695" t="str">
        <f t="shared" si="82"/>
        <v>Biodiversity and Landscape</v>
      </c>
      <c r="B215" s="620"/>
      <c r="C215" s="733">
        <v>11451707.17</v>
      </c>
      <c r="D215" s="733">
        <v>23068384</v>
      </c>
      <c r="E215" s="733">
        <v>23078384</v>
      </c>
      <c r="F215" s="733">
        <v>2776048</v>
      </c>
      <c r="G215" s="733">
        <v>17797632</v>
      </c>
      <c r="H215" s="733">
        <f t="shared" ref="H215:H220" si="90">E215/12*10</f>
        <v>19231986.666666668</v>
      </c>
      <c r="I215" s="408">
        <f t="shared" si="56"/>
        <v>-1434354.6666666679</v>
      </c>
      <c r="J215" s="408">
        <f t="shared" si="57"/>
        <v>-7.4581721146506672E-2</v>
      </c>
      <c r="K215" s="735">
        <f t="shared" ref="K215:K220" si="91">E215</f>
        <v>23078384</v>
      </c>
      <c r="L215" s="100"/>
    </row>
    <row r="216" spans="1:12" x14ac:dyDescent="0.25">
      <c r="A216" s="695" t="str">
        <f t="shared" si="82"/>
        <v>Coastal Protection</v>
      </c>
      <c r="B216" s="620"/>
      <c r="C216" s="733">
        <v>0</v>
      </c>
      <c r="D216" s="733">
        <v>0</v>
      </c>
      <c r="E216" s="733">
        <v>0</v>
      </c>
      <c r="F216" s="733">
        <v>0</v>
      </c>
      <c r="G216" s="733">
        <v>0</v>
      </c>
      <c r="H216" s="733">
        <f t="shared" si="90"/>
        <v>0</v>
      </c>
      <c r="I216" s="408">
        <f t="shared" si="56"/>
        <v>0</v>
      </c>
      <c r="J216" s="408" t="str">
        <f t="shared" si="57"/>
        <v/>
      </c>
      <c r="K216" s="735">
        <f t="shared" si="91"/>
        <v>0</v>
      </c>
      <c r="L216" s="100"/>
    </row>
    <row r="217" spans="1:12" x14ac:dyDescent="0.25">
      <c r="A217" s="695" t="str">
        <f t="shared" si="82"/>
        <v>Indigenous Forests</v>
      </c>
      <c r="B217" s="620"/>
      <c r="C217" s="733">
        <v>0</v>
      </c>
      <c r="D217" s="733">
        <v>0</v>
      </c>
      <c r="E217" s="733">
        <v>0</v>
      </c>
      <c r="F217" s="733">
        <v>0</v>
      </c>
      <c r="G217" s="733">
        <v>0</v>
      </c>
      <c r="H217" s="733">
        <f t="shared" si="90"/>
        <v>0</v>
      </c>
      <c r="I217" s="408">
        <f t="shared" si="56"/>
        <v>0</v>
      </c>
      <c r="J217" s="408" t="str">
        <f t="shared" si="57"/>
        <v/>
      </c>
      <c r="K217" s="735">
        <f t="shared" si="91"/>
        <v>0</v>
      </c>
      <c r="L217" s="100"/>
    </row>
    <row r="218" spans="1:12" x14ac:dyDescent="0.25">
      <c r="A218" s="695" t="str">
        <f t="shared" si="82"/>
        <v>Nature Conservation</v>
      </c>
      <c r="B218" s="620"/>
      <c r="C218" s="733">
        <v>0</v>
      </c>
      <c r="D218" s="733">
        <v>0</v>
      </c>
      <c r="E218" s="733">
        <v>0</v>
      </c>
      <c r="F218" s="733">
        <v>0</v>
      </c>
      <c r="G218" s="733">
        <v>0</v>
      </c>
      <c r="H218" s="733">
        <f t="shared" si="90"/>
        <v>0</v>
      </c>
      <c r="I218" s="408">
        <f>G218-H218</f>
        <v>0</v>
      </c>
      <c r="J218" s="408" t="str">
        <f>IF(I218=0,"",I218/H218)</f>
        <v/>
      </c>
      <c r="K218" s="735">
        <f t="shared" si="91"/>
        <v>0</v>
      </c>
      <c r="L218" s="100"/>
    </row>
    <row r="219" spans="1:12" x14ac:dyDescent="0.25">
      <c r="A219" s="695" t="str">
        <f t="shared" si="82"/>
        <v>Pollution Control</v>
      </c>
      <c r="B219" s="620"/>
      <c r="C219" s="733">
        <v>0</v>
      </c>
      <c r="D219" s="733">
        <v>0</v>
      </c>
      <c r="E219" s="733">
        <v>0</v>
      </c>
      <c r="F219" s="733">
        <v>0</v>
      </c>
      <c r="G219" s="733">
        <v>0</v>
      </c>
      <c r="H219" s="733">
        <f t="shared" si="90"/>
        <v>0</v>
      </c>
      <c r="I219" s="408">
        <f>G219-H219</f>
        <v>0</v>
      </c>
      <c r="J219" s="408" t="str">
        <f>IF(I219=0,"",I219/H219)</f>
        <v/>
      </c>
      <c r="K219" s="735">
        <f t="shared" si="91"/>
        <v>0</v>
      </c>
      <c r="L219" s="100"/>
    </row>
    <row r="220" spans="1:12" x14ac:dyDescent="0.25">
      <c r="A220" s="695" t="str">
        <f t="shared" si="82"/>
        <v>Soil Conservation</v>
      </c>
      <c r="B220" s="620"/>
      <c r="C220" s="733">
        <v>0</v>
      </c>
      <c r="D220" s="733">
        <v>0</v>
      </c>
      <c r="E220" s="733">
        <v>0</v>
      </c>
      <c r="F220" s="733">
        <v>0</v>
      </c>
      <c r="G220" s="733">
        <v>0</v>
      </c>
      <c r="H220" s="733">
        <f t="shared" si="90"/>
        <v>0</v>
      </c>
      <c r="I220" s="408">
        <f t="shared" si="56"/>
        <v>0</v>
      </c>
      <c r="J220" s="408" t="str">
        <f t="shared" si="57"/>
        <v/>
      </c>
      <c r="K220" s="735">
        <f t="shared" si="91"/>
        <v>0</v>
      </c>
      <c r="L220" s="100"/>
    </row>
    <row r="221" spans="1:12" x14ac:dyDescent="0.25">
      <c r="A221" s="414" t="str">
        <f t="shared" si="82"/>
        <v>Trading services</v>
      </c>
      <c r="B221" s="620"/>
      <c r="C221" s="605">
        <f>C222+C226+C230+C235</f>
        <v>1507706412.7399998</v>
      </c>
      <c r="D221" s="605">
        <f t="shared" ref="D221:I221" si="92">D222+D226+D230+D235</f>
        <v>1673876853</v>
      </c>
      <c r="E221" s="605">
        <f t="shared" si="92"/>
        <v>1690581668</v>
      </c>
      <c r="F221" s="605">
        <f t="shared" si="92"/>
        <v>154670834</v>
      </c>
      <c r="G221" s="605">
        <f t="shared" si="92"/>
        <v>1310093248</v>
      </c>
      <c r="H221" s="605">
        <f t="shared" si="92"/>
        <v>1408818056.6666667</v>
      </c>
      <c r="I221" s="605">
        <f t="shared" si="92"/>
        <v>-98724808.666666731</v>
      </c>
      <c r="J221" s="605">
        <f t="shared" si="57"/>
        <v>-7.0076336826811067E-2</v>
      </c>
      <c r="K221" s="606">
        <f>K222+K226+K230+K235</f>
        <v>1690581668</v>
      </c>
      <c r="L221" s="100"/>
    </row>
    <row r="222" spans="1:12" x14ac:dyDescent="0.25">
      <c r="A222" s="607" t="str">
        <f t="shared" si="82"/>
        <v>Energy sources</v>
      </c>
      <c r="B222" s="620"/>
      <c r="C222" s="611">
        <f t="shared" ref="C222:K222" si="93">SUM(C223:C225)</f>
        <v>876730241.11999989</v>
      </c>
      <c r="D222" s="611">
        <f t="shared" si="93"/>
        <v>1020858225</v>
      </c>
      <c r="E222" s="611">
        <f t="shared" si="93"/>
        <v>963332114</v>
      </c>
      <c r="F222" s="611">
        <f t="shared" si="93"/>
        <v>74090268</v>
      </c>
      <c r="G222" s="611">
        <f t="shared" si="93"/>
        <v>751470460</v>
      </c>
      <c r="H222" s="611">
        <f t="shared" si="93"/>
        <v>802776761.66666675</v>
      </c>
      <c r="I222" s="611">
        <f t="shared" si="56"/>
        <v>-51306301.666666746</v>
      </c>
      <c r="J222" s="611">
        <f t="shared" si="57"/>
        <v>-6.3911044908859016E-2</v>
      </c>
      <c r="K222" s="614">
        <f t="shared" si="93"/>
        <v>963332114</v>
      </c>
      <c r="L222" s="100"/>
    </row>
    <row r="223" spans="1:12" x14ac:dyDescent="0.25">
      <c r="A223" s="695" t="str">
        <f t="shared" si="82"/>
        <v xml:space="preserve">Electricity </v>
      </c>
      <c r="B223" s="620"/>
      <c r="C223" s="733">
        <v>876730241.11999989</v>
      </c>
      <c r="D223" s="733">
        <v>1020858225</v>
      </c>
      <c r="E223" s="733">
        <v>963332114</v>
      </c>
      <c r="F223" s="733">
        <v>74090268</v>
      </c>
      <c r="G223" s="733">
        <v>751470460</v>
      </c>
      <c r="H223" s="733">
        <f t="shared" ref="H223:H225" si="94">E223/12*10</f>
        <v>802776761.66666675</v>
      </c>
      <c r="I223" s="408">
        <f t="shared" si="56"/>
        <v>-51306301.666666746</v>
      </c>
      <c r="J223" s="408">
        <f t="shared" si="57"/>
        <v>-6.3911044908859016E-2</v>
      </c>
      <c r="K223" s="735">
        <f>E223</f>
        <v>963332114</v>
      </c>
      <c r="L223" s="100"/>
    </row>
    <row r="224" spans="1:12" x14ac:dyDescent="0.25">
      <c r="A224" s="695" t="str">
        <f t="shared" ref="A224:A246" si="95">A102</f>
        <v>Street Lighting and Signal Systems</v>
      </c>
      <c r="B224" s="620"/>
      <c r="C224" s="733">
        <v>0</v>
      </c>
      <c r="D224" s="733">
        <v>0</v>
      </c>
      <c r="E224" s="733">
        <v>0</v>
      </c>
      <c r="F224" s="733">
        <v>0</v>
      </c>
      <c r="G224" s="733">
        <v>0</v>
      </c>
      <c r="H224" s="733">
        <f t="shared" si="94"/>
        <v>0</v>
      </c>
      <c r="I224" s="408">
        <f>G224-H224</f>
        <v>0</v>
      </c>
      <c r="J224" s="408" t="str">
        <f>IF(I224=0,"",I224/H224)</f>
        <v/>
      </c>
      <c r="K224" s="735">
        <v>0</v>
      </c>
      <c r="L224" s="100"/>
    </row>
    <row r="225" spans="1:12" x14ac:dyDescent="0.25">
      <c r="A225" s="695" t="str">
        <f t="shared" si="95"/>
        <v>Nonelectric Energy</v>
      </c>
      <c r="B225" s="620"/>
      <c r="C225" s="733"/>
      <c r="D225" s="733">
        <v>0</v>
      </c>
      <c r="E225" s="733">
        <v>0</v>
      </c>
      <c r="F225" s="733">
        <v>0</v>
      </c>
      <c r="G225" s="733">
        <v>0</v>
      </c>
      <c r="H225" s="733">
        <f t="shared" si="94"/>
        <v>0</v>
      </c>
      <c r="I225" s="408">
        <f t="shared" si="56"/>
        <v>0</v>
      </c>
      <c r="J225" s="408" t="str">
        <f t="shared" si="57"/>
        <v/>
      </c>
      <c r="K225" s="735">
        <v>0</v>
      </c>
      <c r="L225" s="100"/>
    </row>
    <row r="226" spans="1:12" x14ac:dyDescent="0.25">
      <c r="A226" s="607" t="str">
        <f t="shared" si="95"/>
        <v>Water management</v>
      </c>
      <c r="B226" s="620"/>
      <c r="C226" s="611">
        <f t="shared" ref="C226:K226" si="96">SUM(C227:C229)</f>
        <v>417568013.56</v>
      </c>
      <c r="D226" s="611">
        <f t="shared" si="96"/>
        <v>488595720</v>
      </c>
      <c r="E226" s="611">
        <f t="shared" si="96"/>
        <v>540010452</v>
      </c>
      <c r="F226" s="611">
        <f t="shared" si="96"/>
        <v>66279804</v>
      </c>
      <c r="G226" s="611">
        <f t="shared" si="96"/>
        <v>408607937</v>
      </c>
      <c r="H226" s="611">
        <f t="shared" si="96"/>
        <v>450008710</v>
      </c>
      <c r="I226" s="611">
        <f t="shared" si="56"/>
        <v>-41400773</v>
      </c>
      <c r="J226" s="611">
        <f t="shared" si="57"/>
        <v>-9.1999937067884757E-2</v>
      </c>
      <c r="K226" s="614">
        <f t="shared" si="96"/>
        <v>540010452</v>
      </c>
      <c r="L226" s="100"/>
    </row>
    <row r="227" spans="1:12" x14ac:dyDescent="0.25">
      <c r="A227" s="695" t="str">
        <f t="shared" si="95"/>
        <v>Water Treatment</v>
      </c>
      <c r="B227" s="620"/>
      <c r="C227" s="733">
        <v>30044114.91</v>
      </c>
      <c r="D227" s="733">
        <v>16022241</v>
      </c>
      <c r="E227" s="733">
        <v>19262241</v>
      </c>
      <c r="F227" s="733">
        <v>2188935</v>
      </c>
      <c r="G227" s="733">
        <v>24523093</v>
      </c>
      <c r="H227" s="733">
        <f t="shared" ref="H227:H229" si="97">E227/12*10</f>
        <v>16051867.5</v>
      </c>
      <c r="I227" s="408">
        <f t="shared" si="56"/>
        <v>8471225.5</v>
      </c>
      <c r="J227" s="408">
        <f t="shared" si="57"/>
        <v>0.52774080648248556</v>
      </c>
      <c r="K227" s="735">
        <f>E227</f>
        <v>19262241</v>
      </c>
      <c r="L227" s="100"/>
    </row>
    <row r="228" spans="1:12" x14ac:dyDescent="0.25">
      <c r="A228" s="695" t="str">
        <f t="shared" si="95"/>
        <v>Water Distribution</v>
      </c>
      <c r="B228" s="620"/>
      <c r="C228" s="733">
        <v>387523898.64999998</v>
      </c>
      <c r="D228" s="733">
        <v>472573479</v>
      </c>
      <c r="E228" s="733">
        <v>520748211</v>
      </c>
      <c r="F228" s="733">
        <v>64090869</v>
      </c>
      <c r="G228" s="733">
        <v>384084844</v>
      </c>
      <c r="H228" s="733">
        <f t="shared" si="97"/>
        <v>433956842.5</v>
      </c>
      <c r="I228" s="408">
        <f>G228-H228</f>
        <v>-49871998.5</v>
      </c>
      <c r="J228" s="408">
        <f>IF(I228=0,"",I228/H228)</f>
        <v>-0.11492386711243066</v>
      </c>
      <c r="K228" s="735">
        <f>E228</f>
        <v>520748211</v>
      </c>
      <c r="L228" s="100"/>
    </row>
    <row r="229" spans="1:12" x14ac:dyDescent="0.25">
      <c r="A229" s="695" t="str">
        <f t="shared" si="95"/>
        <v>Water Storage</v>
      </c>
      <c r="B229" s="620"/>
      <c r="C229" s="733">
        <v>0</v>
      </c>
      <c r="D229" s="733">
        <v>0</v>
      </c>
      <c r="E229" s="733">
        <v>0</v>
      </c>
      <c r="F229" s="733">
        <v>0</v>
      </c>
      <c r="G229" s="733">
        <v>0</v>
      </c>
      <c r="H229" s="733">
        <f t="shared" si="97"/>
        <v>0</v>
      </c>
      <c r="I229" s="408">
        <f t="shared" si="56"/>
        <v>0</v>
      </c>
      <c r="J229" s="408" t="str">
        <f t="shared" si="57"/>
        <v/>
      </c>
      <c r="K229" s="735">
        <f>E229</f>
        <v>0</v>
      </c>
      <c r="L229" s="100"/>
    </row>
    <row r="230" spans="1:12" x14ac:dyDescent="0.25">
      <c r="A230" s="607" t="str">
        <f t="shared" si="95"/>
        <v>Waste water management</v>
      </c>
      <c r="B230" s="620"/>
      <c r="C230" s="611">
        <f t="shared" ref="C230:K230" si="98">SUM(C231:C234)</f>
        <v>89635599.11999999</v>
      </c>
      <c r="D230" s="611">
        <f t="shared" si="98"/>
        <v>50741273</v>
      </c>
      <c r="E230" s="611">
        <f t="shared" si="98"/>
        <v>56041267</v>
      </c>
      <c r="F230" s="611">
        <f t="shared" si="98"/>
        <v>4474479</v>
      </c>
      <c r="G230" s="611">
        <f t="shared" si="98"/>
        <v>43032673</v>
      </c>
      <c r="H230" s="611">
        <f t="shared" si="98"/>
        <v>46701055.833333328</v>
      </c>
      <c r="I230" s="611">
        <f t="shared" si="56"/>
        <v>-3668382.8333333284</v>
      </c>
      <c r="J230" s="611">
        <f t="shared" si="57"/>
        <v>-7.8550318999747001E-2</v>
      </c>
      <c r="K230" s="614">
        <f t="shared" si="98"/>
        <v>56041267</v>
      </c>
      <c r="L230" s="100"/>
    </row>
    <row r="231" spans="1:12" x14ac:dyDescent="0.25">
      <c r="A231" s="695" t="str">
        <f t="shared" si="95"/>
        <v>Public Toilets</v>
      </c>
      <c r="B231" s="620"/>
      <c r="C231" s="733">
        <v>0</v>
      </c>
      <c r="D231" s="733">
        <v>0</v>
      </c>
      <c r="E231" s="733">
        <v>0</v>
      </c>
      <c r="F231" s="733">
        <v>0</v>
      </c>
      <c r="G231" s="733">
        <v>0</v>
      </c>
      <c r="H231" s="733">
        <f t="shared" ref="H231:H234" si="99">E231/12*10</f>
        <v>0</v>
      </c>
      <c r="I231" s="408">
        <f t="shared" si="56"/>
        <v>0</v>
      </c>
      <c r="J231" s="408" t="str">
        <f t="shared" si="57"/>
        <v/>
      </c>
      <c r="K231" s="735">
        <v>0</v>
      </c>
      <c r="L231" s="100"/>
    </row>
    <row r="232" spans="1:12" x14ac:dyDescent="0.25">
      <c r="A232" s="695" t="str">
        <f t="shared" si="95"/>
        <v>Sewerage</v>
      </c>
      <c r="B232" s="620"/>
      <c r="C232" s="733">
        <v>89635599.11999999</v>
      </c>
      <c r="D232" s="733">
        <v>50741273</v>
      </c>
      <c r="E232" s="733">
        <v>56041267</v>
      </c>
      <c r="F232" s="733">
        <v>4474479</v>
      </c>
      <c r="G232" s="733">
        <v>43032673</v>
      </c>
      <c r="H232" s="733">
        <f t="shared" si="99"/>
        <v>46701055.833333328</v>
      </c>
      <c r="I232" s="408">
        <f t="shared" si="56"/>
        <v>-3668382.8333333284</v>
      </c>
      <c r="J232" s="408">
        <f t="shared" si="57"/>
        <v>-7.8550318999747001E-2</v>
      </c>
      <c r="K232" s="735">
        <v>56041267</v>
      </c>
      <c r="L232" s="100"/>
    </row>
    <row r="233" spans="1:12" x14ac:dyDescent="0.25">
      <c r="A233" s="695" t="str">
        <f t="shared" si="95"/>
        <v>Storm Water Management</v>
      </c>
      <c r="B233" s="620"/>
      <c r="C233" s="733">
        <v>0</v>
      </c>
      <c r="D233" s="733">
        <v>0</v>
      </c>
      <c r="E233" s="733">
        <v>0</v>
      </c>
      <c r="F233" s="733">
        <v>0</v>
      </c>
      <c r="G233" s="733">
        <v>0</v>
      </c>
      <c r="H233" s="733">
        <f t="shared" si="99"/>
        <v>0</v>
      </c>
      <c r="I233" s="408">
        <f>G233-H233</f>
        <v>0</v>
      </c>
      <c r="J233" s="408" t="str">
        <f>IF(I233=0,"",I233/H233)</f>
        <v/>
      </c>
      <c r="K233" s="735">
        <v>0</v>
      </c>
      <c r="L233" s="100"/>
    </row>
    <row r="234" spans="1:12" x14ac:dyDescent="0.25">
      <c r="A234" s="695" t="str">
        <f t="shared" si="95"/>
        <v>Waste Water Treatment</v>
      </c>
      <c r="B234" s="620"/>
      <c r="C234" s="733"/>
      <c r="D234" s="733">
        <v>0</v>
      </c>
      <c r="E234" s="733">
        <v>0</v>
      </c>
      <c r="F234" s="733">
        <v>0</v>
      </c>
      <c r="G234" s="733">
        <v>0</v>
      </c>
      <c r="H234" s="733">
        <f t="shared" si="99"/>
        <v>0</v>
      </c>
      <c r="I234" s="408">
        <f t="shared" si="56"/>
        <v>0</v>
      </c>
      <c r="J234" s="408" t="str">
        <f t="shared" si="57"/>
        <v/>
      </c>
      <c r="K234" s="735">
        <v>0</v>
      </c>
      <c r="L234" s="100"/>
    </row>
    <row r="235" spans="1:12" x14ac:dyDescent="0.25">
      <c r="A235" s="607" t="str">
        <f t="shared" si="95"/>
        <v>Waste management</v>
      </c>
      <c r="B235" s="620"/>
      <c r="C235" s="611">
        <f t="shared" ref="C235:H235" si="100">SUM(C236:C239)</f>
        <v>123772558.94000001</v>
      </c>
      <c r="D235" s="611">
        <f t="shared" si="100"/>
        <v>113681635</v>
      </c>
      <c r="E235" s="611">
        <f t="shared" si="100"/>
        <v>131197835</v>
      </c>
      <c r="F235" s="611">
        <f t="shared" si="100"/>
        <v>9826283</v>
      </c>
      <c r="G235" s="611">
        <f t="shared" si="100"/>
        <v>106982178</v>
      </c>
      <c r="H235" s="611">
        <f t="shared" si="100"/>
        <v>109331529.16666666</v>
      </c>
      <c r="I235" s="611">
        <f t="shared" si="56"/>
        <v>-2349351.1666666567</v>
      </c>
      <c r="J235" s="611">
        <f t="shared" si="57"/>
        <v>-2.1488322577883915E-2</v>
      </c>
      <c r="K235" s="611">
        <f>SUM(K236:K239)</f>
        <v>131197835</v>
      </c>
      <c r="L235" s="100"/>
    </row>
    <row r="236" spans="1:12" x14ac:dyDescent="0.25">
      <c r="A236" s="695" t="str">
        <f t="shared" si="95"/>
        <v>Recycling</v>
      </c>
      <c r="B236" s="620"/>
      <c r="C236" s="733">
        <v>0</v>
      </c>
      <c r="D236" s="733">
        <v>0</v>
      </c>
      <c r="E236" s="733">
        <v>0</v>
      </c>
      <c r="F236" s="733">
        <v>0</v>
      </c>
      <c r="G236" s="733">
        <v>0</v>
      </c>
      <c r="H236" s="733">
        <f t="shared" ref="H236:H239" si="101">E236/12*10</f>
        <v>0</v>
      </c>
      <c r="I236" s="408">
        <f>G236-H236</f>
        <v>0</v>
      </c>
      <c r="J236" s="408" t="str">
        <f>IF(I236=0,"",I236/H236)</f>
        <v/>
      </c>
      <c r="K236" s="735">
        <v>0</v>
      </c>
      <c r="L236" s="100"/>
    </row>
    <row r="237" spans="1:12" x14ac:dyDescent="0.25">
      <c r="A237" s="695" t="str">
        <f t="shared" si="95"/>
        <v>Solid Waste Disposal (Landfill Sites)</v>
      </c>
      <c r="B237" s="620"/>
      <c r="C237" s="733">
        <v>0</v>
      </c>
      <c r="D237" s="733">
        <v>0</v>
      </c>
      <c r="E237" s="733">
        <v>0</v>
      </c>
      <c r="F237" s="733">
        <v>0</v>
      </c>
      <c r="G237" s="733">
        <v>0</v>
      </c>
      <c r="H237" s="733">
        <f t="shared" si="101"/>
        <v>0</v>
      </c>
      <c r="I237" s="408">
        <f>G237-H237</f>
        <v>0</v>
      </c>
      <c r="J237" s="408" t="str">
        <f>IF(I237=0,"",I237/H237)</f>
        <v/>
      </c>
      <c r="K237" s="735">
        <v>0</v>
      </c>
      <c r="L237" s="100"/>
    </row>
    <row r="238" spans="1:12" x14ac:dyDescent="0.25">
      <c r="A238" s="695" t="str">
        <f t="shared" si="95"/>
        <v>Solid Waste Removal</v>
      </c>
      <c r="B238" s="620"/>
      <c r="C238" s="733">
        <v>123772558.94000001</v>
      </c>
      <c r="D238" s="733">
        <v>113681635</v>
      </c>
      <c r="E238" s="733">
        <v>131197835</v>
      </c>
      <c r="F238" s="733">
        <v>9826283</v>
      </c>
      <c r="G238" s="733">
        <v>106982178</v>
      </c>
      <c r="H238" s="733">
        <f t="shared" si="101"/>
        <v>109331529.16666666</v>
      </c>
      <c r="I238" s="408">
        <f>G238-H238</f>
        <v>-2349351.1666666567</v>
      </c>
      <c r="J238" s="408">
        <f>IF(I238=0,"",I238/H238)</f>
        <v>-2.1488322577883915E-2</v>
      </c>
      <c r="K238" s="735">
        <v>131197835</v>
      </c>
      <c r="L238" s="100"/>
    </row>
    <row r="239" spans="1:12" x14ac:dyDescent="0.25">
      <c r="A239" s="695" t="str">
        <f t="shared" si="95"/>
        <v>Street Cleaning</v>
      </c>
      <c r="B239" s="415"/>
      <c r="C239" s="733">
        <v>0</v>
      </c>
      <c r="D239" s="733">
        <v>0</v>
      </c>
      <c r="E239" s="733">
        <v>0</v>
      </c>
      <c r="F239" s="733">
        <v>0</v>
      </c>
      <c r="G239" s="733">
        <v>0</v>
      </c>
      <c r="H239" s="733">
        <f t="shared" si="101"/>
        <v>0</v>
      </c>
      <c r="I239" s="408">
        <f t="shared" si="56"/>
        <v>0</v>
      </c>
      <c r="J239" s="408" t="str">
        <f t="shared" si="57"/>
        <v/>
      </c>
      <c r="K239" s="735">
        <v>0</v>
      </c>
      <c r="L239" s="100"/>
    </row>
    <row r="240" spans="1:12" x14ac:dyDescent="0.25">
      <c r="A240" s="414" t="str">
        <f t="shared" si="95"/>
        <v>Other</v>
      </c>
      <c r="B240" s="415"/>
      <c r="C240" s="611">
        <f t="shared" ref="C240:K240" si="102">SUM(C241:C246)</f>
        <v>0</v>
      </c>
      <c r="D240" s="611">
        <f t="shared" si="102"/>
        <v>0</v>
      </c>
      <c r="E240" s="611">
        <f t="shared" si="102"/>
        <v>0</v>
      </c>
      <c r="F240" s="611">
        <f t="shared" si="102"/>
        <v>0</v>
      </c>
      <c r="G240" s="611">
        <f t="shared" si="102"/>
        <v>0</v>
      </c>
      <c r="H240" s="611">
        <f t="shared" si="102"/>
        <v>0</v>
      </c>
      <c r="I240" s="611">
        <f t="shared" si="56"/>
        <v>0</v>
      </c>
      <c r="J240" s="611" t="str">
        <f t="shared" si="57"/>
        <v/>
      </c>
      <c r="K240" s="614">
        <f t="shared" si="102"/>
        <v>0</v>
      </c>
      <c r="L240" s="100"/>
    </row>
    <row r="241" spans="1:12" x14ac:dyDescent="0.25">
      <c r="A241" s="607" t="str">
        <f t="shared" si="95"/>
        <v>Abattoirs</v>
      </c>
      <c r="B241" s="415"/>
      <c r="C241" s="733">
        <v>0</v>
      </c>
      <c r="D241" s="733">
        <v>0</v>
      </c>
      <c r="E241" s="733">
        <v>0</v>
      </c>
      <c r="F241" s="733">
        <v>0</v>
      </c>
      <c r="G241" s="733">
        <v>0</v>
      </c>
      <c r="H241" s="733">
        <f t="shared" ref="H241:H246" si="103">E241/12*10</f>
        <v>0</v>
      </c>
      <c r="I241" s="408">
        <f t="shared" si="56"/>
        <v>0</v>
      </c>
      <c r="J241" s="408" t="str">
        <f t="shared" si="57"/>
        <v/>
      </c>
      <c r="K241" s="735"/>
      <c r="L241" s="100"/>
    </row>
    <row r="242" spans="1:12" x14ac:dyDescent="0.25">
      <c r="A242" s="607" t="str">
        <f t="shared" si="95"/>
        <v>Air Transport</v>
      </c>
      <c r="B242" s="415"/>
      <c r="C242" s="733">
        <v>0</v>
      </c>
      <c r="D242" s="733">
        <v>0</v>
      </c>
      <c r="E242" s="733">
        <v>0</v>
      </c>
      <c r="F242" s="733">
        <v>0</v>
      </c>
      <c r="G242" s="733">
        <v>0</v>
      </c>
      <c r="H242" s="733">
        <f t="shared" si="103"/>
        <v>0</v>
      </c>
      <c r="I242" s="408">
        <f t="shared" si="56"/>
        <v>0</v>
      </c>
      <c r="J242" s="408" t="str">
        <f t="shared" si="57"/>
        <v/>
      </c>
      <c r="K242" s="735"/>
      <c r="L242" s="100"/>
    </row>
    <row r="243" spans="1:12" x14ac:dyDescent="0.25">
      <c r="A243" s="607" t="str">
        <f t="shared" si="95"/>
        <v xml:space="preserve">Forestry </v>
      </c>
      <c r="B243" s="415"/>
      <c r="C243" s="733">
        <v>0</v>
      </c>
      <c r="D243" s="733">
        <v>0</v>
      </c>
      <c r="E243" s="733">
        <v>0</v>
      </c>
      <c r="F243" s="733">
        <v>0</v>
      </c>
      <c r="G243" s="733">
        <v>0</v>
      </c>
      <c r="H243" s="733">
        <f t="shared" si="103"/>
        <v>0</v>
      </c>
      <c r="I243" s="408">
        <f>G243-H243</f>
        <v>0</v>
      </c>
      <c r="J243" s="408" t="str">
        <f>IF(I243=0,"",I243/H243)</f>
        <v/>
      </c>
      <c r="K243" s="735"/>
      <c r="L243" s="100"/>
    </row>
    <row r="244" spans="1:12" x14ac:dyDescent="0.25">
      <c r="A244" s="607" t="str">
        <f t="shared" si="95"/>
        <v>Licensing and Regulation</v>
      </c>
      <c r="B244" s="415"/>
      <c r="C244" s="733">
        <v>0</v>
      </c>
      <c r="D244" s="733">
        <v>0</v>
      </c>
      <c r="E244" s="733">
        <v>0</v>
      </c>
      <c r="F244" s="733">
        <v>0</v>
      </c>
      <c r="G244" s="733">
        <v>0</v>
      </c>
      <c r="H244" s="733">
        <f t="shared" si="103"/>
        <v>0</v>
      </c>
      <c r="I244" s="408">
        <f t="shared" si="56"/>
        <v>0</v>
      </c>
      <c r="J244" s="408" t="str">
        <f t="shared" si="57"/>
        <v/>
      </c>
      <c r="K244" s="735"/>
      <c r="L244" s="100"/>
    </row>
    <row r="245" spans="1:12" x14ac:dyDescent="0.25">
      <c r="A245" s="607" t="str">
        <f t="shared" si="95"/>
        <v>Markets</v>
      </c>
      <c r="B245" s="415"/>
      <c r="C245" s="733">
        <v>0</v>
      </c>
      <c r="D245" s="733">
        <v>0</v>
      </c>
      <c r="E245" s="733">
        <v>0</v>
      </c>
      <c r="F245" s="733">
        <v>0</v>
      </c>
      <c r="G245" s="733">
        <v>0</v>
      </c>
      <c r="H245" s="733">
        <f t="shared" si="103"/>
        <v>0</v>
      </c>
      <c r="I245" s="408">
        <f>G245-H245</f>
        <v>0</v>
      </c>
      <c r="J245" s="408" t="str">
        <f>IF(I245=0,"",I245/H245)</f>
        <v/>
      </c>
      <c r="K245" s="1003"/>
      <c r="L245" s="100"/>
    </row>
    <row r="246" spans="1:12" x14ac:dyDescent="0.25">
      <c r="A246" s="607" t="str">
        <f t="shared" si="95"/>
        <v>Tourism</v>
      </c>
      <c r="B246" s="415"/>
      <c r="C246" s="733">
        <v>0</v>
      </c>
      <c r="D246" s="733">
        <v>0</v>
      </c>
      <c r="E246" s="733">
        <v>0</v>
      </c>
      <c r="F246" s="733">
        <v>0</v>
      </c>
      <c r="G246" s="733">
        <v>0</v>
      </c>
      <c r="H246" s="733">
        <f t="shared" si="103"/>
        <v>0</v>
      </c>
      <c r="I246" s="408">
        <f>G246-H246</f>
        <v>0</v>
      </c>
      <c r="J246" s="408" t="str">
        <f>IF(I246=0,"",I246/H246)</f>
        <v/>
      </c>
      <c r="K246" s="1003"/>
      <c r="L246" s="100"/>
    </row>
    <row r="247" spans="1:12" x14ac:dyDescent="0.25">
      <c r="A247" s="615" t="str">
        <f>"Total "&amp;A127</f>
        <v>Total Expenditure - Functional</v>
      </c>
      <c r="B247" s="415">
        <v>3</v>
      </c>
      <c r="C247" s="545">
        <f t="shared" ref="C247:I247" si="104">C128+C148+C197+C221+C240</f>
        <v>4036122661.9999995</v>
      </c>
      <c r="D247" s="545">
        <f t="shared" si="104"/>
        <v>3679467136</v>
      </c>
      <c r="E247" s="545">
        <f t="shared" si="104"/>
        <v>3816732981</v>
      </c>
      <c r="F247" s="545">
        <f t="shared" si="104"/>
        <v>342867954.33333331</v>
      </c>
      <c r="G247" s="545">
        <f t="shared" si="104"/>
        <v>2945219140.333333</v>
      </c>
      <c r="H247" s="545">
        <f t="shared" si="104"/>
        <v>3180610817.5</v>
      </c>
      <c r="I247" s="545">
        <f t="shared" si="104"/>
        <v>-235391677.16666716</v>
      </c>
      <c r="J247" s="545">
        <f>IF(I247=0,"",I247/H247)</f>
        <v>-7.4008324398421046E-2</v>
      </c>
      <c r="K247" s="597">
        <f>K128+K148+K197+K221+K240</f>
        <v>3816732981</v>
      </c>
      <c r="L247" s="100"/>
    </row>
    <row r="248" spans="1:12" x14ac:dyDescent="0.25">
      <c r="A248" s="621" t="str">
        <f>result</f>
        <v>Surplus/ (Deficit) for the year</v>
      </c>
      <c r="B248" s="622"/>
      <c r="C248" s="76">
        <f t="shared" ref="C248:H248" si="105">C125-C247</f>
        <v>898947132.99999952</v>
      </c>
      <c r="D248" s="76">
        <f t="shared" si="105"/>
        <v>1003110791</v>
      </c>
      <c r="E248" s="76">
        <f t="shared" si="105"/>
        <v>977865479</v>
      </c>
      <c r="F248" s="76">
        <f t="shared" si="105"/>
        <v>-37909091.639833331</v>
      </c>
      <c r="G248" s="76">
        <f t="shared" si="105"/>
        <v>670782734.3085165</v>
      </c>
      <c r="H248" s="76">
        <f t="shared" si="105"/>
        <v>814887899.16666698</v>
      </c>
      <c r="I248" s="634">
        <f>G248-H248</f>
        <v>-144105164.85815048</v>
      </c>
      <c r="J248" s="634">
        <f>IF(I248=0,"",I248/H248)</f>
        <v>-0.17684047708343378</v>
      </c>
      <c r="K248" s="234">
        <f>K125-K247</f>
        <v>977865479</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1197</v>
      </c>
      <c r="B251" s="624"/>
      <c r="C251" s="626"/>
      <c r="D251" s="626"/>
      <c r="E251" s="627"/>
      <c r="F251" s="627"/>
      <c r="G251" s="627"/>
      <c r="H251" s="627"/>
      <c r="I251" s="636"/>
      <c r="J251" s="636"/>
      <c r="K251" s="627"/>
    </row>
    <row r="252" spans="1:12" x14ac:dyDescent="0.25">
      <c r="A252" s="584" t="s">
        <v>1198</v>
      </c>
      <c r="B252" s="624"/>
      <c r="C252" s="626"/>
      <c r="D252" s="626"/>
      <c r="E252" s="627"/>
      <c r="F252" s="627"/>
      <c r="G252" s="627"/>
      <c r="H252" s="627"/>
      <c r="I252" s="636"/>
      <c r="J252" s="636"/>
      <c r="K252" s="627"/>
    </row>
    <row r="253" spans="1:12" ht="25.9" customHeight="1" x14ac:dyDescent="0.25">
      <c r="A253" s="1055" t="s">
        <v>1199</v>
      </c>
      <c r="B253" s="1055"/>
      <c r="C253" s="1055"/>
      <c r="D253" s="1055"/>
      <c r="E253" s="1055"/>
      <c r="F253" s="1055"/>
      <c r="G253" s="1055"/>
      <c r="H253" s="1055"/>
      <c r="I253" s="1055"/>
      <c r="J253" s="1055"/>
      <c r="K253" s="105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0</v>
      </c>
      <c r="E256" s="628">
        <f>E125-'C4-FinPerf RE'!E53</f>
        <v>0</v>
      </c>
      <c r="F256" s="628">
        <f>F125-'C4-FinPerf RE'!F53</f>
        <v>0</v>
      </c>
      <c r="G256" s="628">
        <f>G125-'C4-FinPerf RE'!G53</f>
        <v>0</v>
      </c>
      <c r="H256" s="628">
        <f>H125-'C4-FinPerf RE'!H53</f>
        <v>0</v>
      </c>
      <c r="I256" s="628">
        <f>I125-'C4-FinPerf RE'!I53</f>
        <v>-379496842.02481747</v>
      </c>
      <c r="J256" s="629"/>
      <c r="K256" s="628">
        <f>K125-'C4-FinPerf RE'!K53</f>
        <v>0</v>
      </c>
    </row>
    <row r="257" spans="1:11" x14ac:dyDescent="0.25">
      <c r="A257" s="81" t="s">
        <v>179</v>
      </c>
      <c r="B257" s="64"/>
      <c r="C257" s="628">
        <f>C247-'C4-FinPerf RE'!C36</f>
        <v>0</v>
      </c>
      <c r="D257" s="628">
        <f>D247-'C4-FinPerf RE'!D36</f>
        <v>0</v>
      </c>
      <c r="E257" s="628">
        <f>E247-'C4-FinPerf RE'!E36</f>
        <v>0</v>
      </c>
      <c r="F257" s="628">
        <f>F247-'C4-FinPerf RE'!F36</f>
        <v>0</v>
      </c>
      <c r="G257" s="628">
        <f>G247-'C4-FinPerf RE'!G36</f>
        <v>0</v>
      </c>
      <c r="H257" s="628">
        <f>H247-'C4-FinPerf RE'!H36</f>
        <v>0</v>
      </c>
      <c r="I257" s="628">
        <f>I247-'C4-FinPerf RE'!I36</f>
        <v>0</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C25" activePane="bottomRight" state="frozen"/>
      <selection pane="topRight"/>
      <selection pane="bottomLeft"/>
      <selection pane="bottomRight" activeCell="F39" sqref="F39:G39"/>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54" t="str">
        <f>muni&amp; " - "&amp;S71C&amp; " - "&amp;date</f>
        <v>LIM354 Polokwane - Table C3 Monthly Budget Statement - Financial Performance (revenue and expenditure by municipal vote) - M10 April</v>
      </c>
      <c r="B1" s="1054"/>
      <c r="C1" s="1054"/>
      <c r="D1" s="1054"/>
      <c r="E1" s="1054"/>
      <c r="F1" s="1054"/>
      <c r="G1" s="1054"/>
      <c r="H1" s="1054"/>
      <c r="I1" s="1054"/>
      <c r="J1" s="1054"/>
      <c r="K1" s="1054"/>
    </row>
    <row r="2" spans="1:24" x14ac:dyDescent="0.25">
      <c r="A2" s="20" t="str">
        <f>Vdesc</f>
        <v>Vote Description</v>
      </c>
      <c r="B2" s="1045" t="str">
        <f>head27</f>
        <v>Ref</v>
      </c>
      <c r="C2" s="142" t="str">
        <f>Head1</f>
        <v>2019/20</v>
      </c>
      <c r="D2" s="1047" t="str">
        <f>Head2</f>
        <v>Budget Year 2020/21</v>
      </c>
      <c r="E2" s="1048"/>
      <c r="F2" s="1048"/>
      <c r="G2" s="1048"/>
      <c r="H2" s="1048"/>
      <c r="I2" s="1048"/>
      <c r="J2" s="1048"/>
      <c r="K2" s="1049"/>
    </row>
    <row r="3" spans="1:24" ht="25.5" x14ac:dyDescent="0.25">
      <c r="A3" s="168"/>
      <c r="B3" s="105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669</v>
      </c>
      <c r="B4" s="1057"/>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5">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CHIEF OPERATION OFFICE</v>
      </c>
      <c r="B6" s="169"/>
      <c r="C6" s="134">
        <f>'C3C'!C6</f>
        <v>0</v>
      </c>
      <c r="D6" s="46">
        <f>'C3C'!D6</f>
        <v>8964</v>
      </c>
      <c r="E6" s="44">
        <f>'C3C'!E6</f>
        <v>9356</v>
      </c>
      <c r="F6" s="44">
        <f>'C3C'!F6</f>
        <v>0</v>
      </c>
      <c r="G6" s="44">
        <f>'C3C'!G6</f>
        <v>109</v>
      </c>
      <c r="H6" s="44">
        <f>'C3C'!H6</f>
        <v>7796.666666666667</v>
      </c>
      <c r="I6" s="44">
        <f>G6-H6</f>
        <v>-7687.666666666667</v>
      </c>
      <c r="J6" s="715">
        <f>IF(I6=0,"",I6/H6)</f>
        <v>-0.98601966652415562</v>
      </c>
      <c r="K6" s="144">
        <f>'C3C'!K6</f>
        <v>9356</v>
      </c>
      <c r="L6" s="167"/>
      <c r="M6" s="167"/>
      <c r="N6" s="167"/>
      <c r="O6" s="167"/>
      <c r="P6" s="167"/>
      <c r="Q6" s="167"/>
      <c r="R6" s="167"/>
      <c r="S6" s="167"/>
      <c r="T6" s="167"/>
      <c r="U6" s="167"/>
      <c r="V6" s="167"/>
      <c r="W6" s="167"/>
      <c r="X6" s="67"/>
    </row>
    <row r="7" spans="1:24" ht="12.75" customHeight="1" x14ac:dyDescent="0.25">
      <c r="A7" s="407" t="str">
        <f>'Org structure'!A3</f>
        <v>Vote 2 - MUNICIPAL MANAGER'S OFFICE</v>
      </c>
      <c r="B7" s="169"/>
      <c r="C7" s="134">
        <f>'C3C'!C17</f>
        <v>-22802.48</v>
      </c>
      <c r="D7" s="46">
        <f>'C3C'!D17</f>
        <v>2003988</v>
      </c>
      <c r="E7" s="44">
        <f>'C3C'!E17</f>
        <v>1504180</v>
      </c>
      <c r="F7" s="44">
        <f>'C3C'!F17</f>
        <v>0</v>
      </c>
      <c r="G7" s="44">
        <f>'C3C'!G17</f>
        <v>0</v>
      </c>
      <c r="H7" s="44">
        <f>'C3C'!H17</f>
        <v>1253483.3333333333</v>
      </c>
      <c r="I7" s="44">
        <f t="shared" ref="I7:I20" si="0">G7-H7</f>
        <v>-1253483.3333333333</v>
      </c>
      <c r="J7" s="715">
        <f t="shared" ref="J7:J21" si="1">IF(I7=0,"",I7/H7)</f>
        <v>-1</v>
      </c>
      <c r="K7" s="144">
        <f>'C3C'!K17</f>
        <v>1504180</v>
      </c>
      <c r="L7" s="167"/>
      <c r="M7" s="167"/>
      <c r="N7" s="167"/>
      <c r="O7" s="167"/>
      <c r="P7" s="167"/>
      <c r="Q7" s="167"/>
      <c r="R7" s="167"/>
      <c r="S7" s="167"/>
      <c r="T7" s="167"/>
      <c r="U7" s="167"/>
      <c r="V7" s="167"/>
      <c r="W7" s="167"/>
      <c r="X7" s="67"/>
    </row>
    <row r="8" spans="1:24" ht="12.75" customHeight="1" x14ac:dyDescent="0.25">
      <c r="A8" s="407" t="str">
        <f>'Org structure'!A4</f>
        <v>Vote 3 - WATER AND SANITATION</v>
      </c>
      <c r="B8" s="169"/>
      <c r="C8" s="134">
        <f>'C3C'!C28</f>
        <v>335232857.96999997</v>
      </c>
      <c r="D8" s="46">
        <f>'C3C'!D28</f>
        <v>471441984</v>
      </c>
      <c r="E8" s="44">
        <f>'C3C'!E28</f>
        <v>380589478</v>
      </c>
      <c r="F8" s="44">
        <f>'C3C'!F28</f>
        <v>24830685</v>
      </c>
      <c r="G8" s="44">
        <f>'C3C'!G28</f>
        <v>266523310</v>
      </c>
      <c r="H8" s="44">
        <f>'C3C'!H28</f>
        <v>317157898.33333331</v>
      </c>
      <c r="I8" s="44">
        <f t="shared" si="0"/>
        <v>-50634588.333333313</v>
      </c>
      <c r="J8" s="715">
        <f t="shared" si="1"/>
        <v>-0.15965104006369818</v>
      </c>
      <c r="K8" s="144">
        <f>'C3C'!K28</f>
        <v>380589478</v>
      </c>
      <c r="L8" s="167"/>
      <c r="M8" s="167"/>
      <c r="N8" s="167"/>
      <c r="O8" s="167"/>
      <c r="P8" s="167"/>
      <c r="Q8" s="167"/>
      <c r="R8" s="167"/>
      <c r="S8" s="167"/>
      <c r="T8" s="167"/>
      <c r="U8" s="167"/>
      <c r="V8" s="167"/>
      <c r="W8" s="167"/>
      <c r="X8" s="67"/>
    </row>
    <row r="9" spans="1:24" ht="12.75" customHeight="1" x14ac:dyDescent="0.25">
      <c r="A9" s="407" t="str">
        <f>'Org structure'!A5</f>
        <v>Vote 4 - ENERGY</v>
      </c>
      <c r="B9" s="169"/>
      <c r="C9" s="134">
        <f>'C3C'!C39</f>
        <v>899847508.55999994</v>
      </c>
      <c r="D9" s="46">
        <f>'C3C'!D39</f>
        <v>1355755992</v>
      </c>
      <c r="E9" s="44">
        <f>'C3C'!E39</f>
        <v>1234593773</v>
      </c>
      <c r="F9" s="44">
        <f>'C3C'!F39</f>
        <v>120672914</v>
      </c>
      <c r="G9" s="44">
        <f>'C3C'!G39</f>
        <v>876629367</v>
      </c>
      <c r="H9" s="44">
        <f>'C3C'!H39</f>
        <v>1028828144.1666667</v>
      </c>
      <c r="I9" s="44">
        <f t="shared" si="0"/>
        <v>-152198777.16666675</v>
      </c>
      <c r="J9" s="715">
        <f t="shared" si="1"/>
        <v>-0.14793411127953265</v>
      </c>
      <c r="K9" s="144">
        <f>'C3C'!K39</f>
        <v>1234593773</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110847776.61</v>
      </c>
      <c r="D10" s="46">
        <f>'C3C'!D50</f>
        <v>151340964</v>
      </c>
      <c r="E10" s="44">
        <f>'C3C'!E50</f>
        <v>135846718</v>
      </c>
      <c r="F10" s="44">
        <f>'C3C'!F50</f>
        <v>10779010</v>
      </c>
      <c r="G10" s="44">
        <f>'C3C'!G50</f>
        <v>110140484</v>
      </c>
      <c r="H10" s="44">
        <f>'C3C'!H50</f>
        <v>113205598.33333334</v>
      </c>
      <c r="I10" s="44">
        <f t="shared" si="0"/>
        <v>-3065114.3333333433</v>
      </c>
      <c r="J10" s="715">
        <f t="shared" si="1"/>
        <v>-2.707564271077945E-2</v>
      </c>
      <c r="K10" s="144">
        <f>'C3C'!K50</f>
        <v>135846718</v>
      </c>
      <c r="L10" s="167"/>
      <c r="M10" s="167"/>
      <c r="N10" s="167"/>
      <c r="O10" s="167"/>
      <c r="P10" s="167"/>
      <c r="Q10" s="167"/>
      <c r="R10" s="167"/>
      <c r="S10" s="167"/>
      <c r="T10" s="167"/>
      <c r="U10" s="167"/>
      <c r="V10" s="167"/>
      <c r="W10" s="167"/>
      <c r="X10" s="67"/>
    </row>
    <row r="11" spans="1:24" ht="12.75" customHeight="1" x14ac:dyDescent="0.25">
      <c r="A11" s="407" t="str">
        <f>'Org structure'!A7</f>
        <v>Vote 6 - PUBLIC SAFETY</v>
      </c>
      <c r="B11" s="169"/>
      <c r="C11" s="134">
        <f>'C3C'!C61</f>
        <v>36583136.609999999</v>
      </c>
      <c r="D11" s="46">
        <f>'C3C'!D61</f>
        <v>70244940</v>
      </c>
      <c r="E11" s="44">
        <f>'C3C'!E61</f>
        <v>53128141</v>
      </c>
      <c r="F11" s="44">
        <f>'C3C'!F61</f>
        <v>3972884</v>
      </c>
      <c r="G11" s="44">
        <f>'C3C'!G61</f>
        <v>18672929</v>
      </c>
      <c r="H11" s="44">
        <f>'C3C'!H61</f>
        <v>44273450.833333336</v>
      </c>
      <c r="I11" s="44">
        <f t="shared" si="0"/>
        <v>-25600521.833333336</v>
      </c>
      <c r="J11" s="715">
        <f t="shared" si="1"/>
        <v>-0.57823642276510301</v>
      </c>
      <c r="K11" s="144">
        <f>'C3C'!K61</f>
        <v>53128141</v>
      </c>
      <c r="L11" s="167"/>
      <c r="M11" s="167"/>
      <c r="N11" s="167"/>
      <c r="O11" s="167"/>
      <c r="P11" s="167"/>
      <c r="Q11" s="167"/>
      <c r="R11" s="167"/>
      <c r="S11" s="167"/>
      <c r="T11" s="167"/>
      <c r="U11" s="167"/>
      <c r="V11" s="167"/>
      <c r="W11" s="167"/>
      <c r="X11" s="67"/>
    </row>
    <row r="12" spans="1:24" ht="11.25" customHeight="1" x14ac:dyDescent="0.25">
      <c r="A12" s="407" t="str">
        <f>'Org structure'!A8</f>
        <v>Vote 7 - CORPORATE AND SHARED SERVICES</v>
      </c>
      <c r="B12" s="169"/>
      <c r="C12" s="134">
        <f>'C3C'!C72</f>
        <v>3357161.21</v>
      </c>
      <c r="D12" s="46">
        <f>'C3C'!D72</f>
        <v>6007956</v>
      </c>
      <c r="E12" s="44">
        <f>'C3C'!E72</f>
        <v>4128365</v>
      </c>
      <c r="F12" s="44">
        <f>'C3C'!F72</f>
        <v>0</v>
      </c>
      <c r="G12" s="44">
        <f>'C3C'!G72</f>
        <v>109</v>
      </c>
      <c r="H12" s="44">
        <f>'C3C'!H72</f>
        <v>3440304.166666667</v>
      </c>
      <c r="I12" s="44">
        <f t="shared" si="0"/>
        <v>-3440195.166666667</v>
      </c>
      <c r="J12" s="715">
        <f t="shared" si="1"/>
        <v>-0.99996831675493814</v>
      </c>
      <c r="K12" s="144">
        <f>'C3C'!K72</f>
        <v>4128365</v>
      </c>
      <c r="L12" s="167"/>
      <c r="M12" s="167"/>
      <c r="N12" s="167"/>
      <c r="O12" s="167"/>
      <c r="P12" s="167"/>
      <c r="Q12" s="167"/>
      <c r="R12" s="167"/>
      <c r="S12" s="167"/>
      <c r="T12" s="167"/>
      <c r="U12" s="167"/>
      <c r="V12" s="167"/>
      <c r="W12" s="167"/>
      <c r="X12" s="67"/>
    </row>
    <row r="13" spans="1:24" ht="11.25" customHeight="1" x14ac:dyDescent="0.25">
      <c r="A13" s="407" t="str">
        <f>'Org structure'!A9</f>
        <v>Vote 8 - PLANNING AND ECONOMIC DEVELOPMENT</v>
      </c>
      <c r="B13" s="169"/>
      <c r="C13" s="134">
        <f>'C3C'!C83</f>
        <v>12275861.969999999</v>
      </c>
      <c r="D13" s="46">
        <f>'C3C'!D83</f>
        <v>55686956</v>
      </c>
      <c r="E13" s="44">
        <f>'C3C'!E83</f>
        <v>50403316</v>
      </c>
      <c r="F13" s="44">
        <f>'C3C'!F83</f>
        <v>4487779</v>
      </c>
      <c r="G13" s="44">
        <f>'C3C'!G83</f>
        <v>17301314</v>
      </c>
      <c r="H13" s="44">
        <f>'C3C'!H83</f>
        <v>42002763.333333328</v>
      </c>
      <c r="I13" s="44">
        <f t="shared" si="0"/>
        <v>-24701449.333333328</v>
      </c>
      <c r="J13" s="715">
        <f t="shared" si="1"/>
        <v>-0.58809105337434542</v>
      </c>
      <c r="K13" s="144">
        <f>'C3C'!K83</f>
        <v>50403316</v>
      </c>
      <c r="L13" s="167"/>
      <c r="M13" s="167"/>
      <c r="N13" s="167"/>
      <c r="O13" s="167"/>
      <c r="P13" s="167"/>
      <c r="Q13" s="167"/>
      <c r="R13" s="167"/>
      <c r="S13" s="167"/>
      <c r="T13" s="167"/>
      <c r="U13" s="167"/>
      <c r="V13" s="167"/>
      <c r="W13" s="167"/>
      <c r="X13" s="67"/>
    </row>
    <row r="14" spans="1:24" ht="11.25" customHeight="1" x14ac:dyDescent="0.25">
      <c r="A14" s="407" t="str">
        <f>'Org structure'!A10</f>
        <v xml:space="preserve">Vote 9 - BUDGET AND TREASURY OFFICE </v>
      </c>
      <c r="B14" s="169"/>
      <c r="C14" s="134">
        <f>'C3C'!C94</f>
        <v>3463338659.54</v>
      </c>
      <c r="D14" s="46">
        <f>'C3C'!D94</f>
        <v>2560404235</v>
      </c>
      <c r="E14" s="44">
        <f>'C3C'!E94</f>
        <v>2902787222</v>
      </c>
      <c r="F14" s="44">
        <f>'C3C'!F94</f>
        <v>134823142.69349998</v>
      </c>
      <c r="G14" s="44">
        <f>'C3C'!G94</f>
        <v>2245242313.6418495</v>
      </c>
      <c r="H14" s="44">
        <f>'C3C'!H94</f>
        <v>2418989351.6666665</v>
      </c>
      <c r="I14" s="44">
        <f t="shared" si="0"/>
        <v>-173747038.02481699</v>
      </c>
      <c r="J14" s="715">
        <f t="shared" si="1"/>
        <v>-7.1826293036431316E-2</v>
      </c>
      <c r="K14" s="144">
        <f>'C3C'!K94</f>
        <v>2902787222</v>
      </c>
      <c r="L14" s="696"/>
      <c r="M14" s="167"/>
      <c r="N14" s="167"/>
      <c r="O14" s="167"/>
      <c r="P14" s="167"/>
      <c r="Q14" s="167"/>
      <c r="R14" s="167"/>
      <c r="S14" s="167"/>
      <c r="T14" s="167"/>
      <c r="U14" s="167"/>
      <c r="V14" s="167"/>
      <c r="W14" s="167"/>
      <c r="X14" s="67"/>
    </row>
    <row r="15" spans="1:24" ht="11.25" customHeight="1" x14ac:dyDescent="0.25">
      <c r="A15" s="407" t="str">
        <f>'Org structure'!A11</f>
        <v>Vote 10 - TRANSPORT SERVICES</v>
      </c>
      <c r="B15" s="169"/>
      <c r="C15" s="134">
        <f>'C3C'!C105</f>
        <v>72629083.069999993</v>
      </c>
      <c r="D15" s="46">
        <f>'C3C'!D105</f>
        <v>292956</v>
      </c>
      <c r="E15" s="44">
        <f>'C3C'!E105</f>
        <v>31087996</v>
      </c>
      <c r="F15" s="44">
        <f>'C3C'!F105</f>
        <v>5296842</v>
      </c>
      <c r="G15" s="44">
        <f>'C3C'!G105</f>
        <v>80538473</v>
      </c>
      <c r="H15" s="44">
        <f>'C3C'!H105</f>
        <v>25906663.333333336</v>
      </c>
      <c r="I15" s="44">
        <f t="shared" si="0"/>
        <v>54631809.666666664</v>
      </c>
      <c r="J15" s="715">
        <f t="shared" si="1"/>
        <v>2.1087937479147896</v>
      </c>
      <c r="K15" s="144">
        <f>'C3C'!K105</f>
        <v>31087996</v>
      </c>
      <c r="L15" s="696"/>
      <c r="M15" s="167"/>
      <c r="N15" s="167"/>
      <c r="O15" s="167"/>
      <c r="P15" s="167"/>
      <c r="Q15" s="167"/>
      <c r="R15" s="167"/>
      <c r="S15" s="167"/>
      <c r="T15" s="167"/>
      <c r="U15" s="167"/>
      <c r="V15" s="167"/>
      <c r="W15" s="167"/>
      <c r="X15" s="67"/>
    </row>
    <row r="16" spans="1:24" ht="11.25" customHeight="1" x14ac:dyDescent="0.25">
      <c r="A16" s="407" t="str">
        <f>'Org structure'!A12</f>
        <v>Vote 11 - HUMAN SETTLEMENT</v>
      </c>
      <c r="B16" s="169"/>
      <c r="C16" s="134">
        <f>'C3C'!C116</f>
        <v>980551.94</v>
      </c>
      <c r="D16" s="46">
        <f>'C3C'!D116</f>
        <v>9388992</v>
      </c>
      <c r="E16" s="44">
        <f>'C3C'!E116</f>
        <v>519915</v>
      </c>
      <c r="F16" s="44">
        <f>'C3C'!F116</f>
        <v>95606</v>
      </c>
      <c r="G16" s="44">
        <f>'C3C'!G116</f>
        <v>953466</v>
      </c>
      <c r="H16" s="44">
        <f>'C3C'!H116</f>
        <v>433262.5</v>
      </c>
      <c r="I16" s="44">
        <f t="shared" si="0"/>
        <v>520203.5</v>
      </c>
      <c r="J16" s="715">
        <f t="shared" si="1"/>
        <v>1.200665878076224</v>
      </c>
      <c r="K16" s="144">
        <f>'C3C'!K116</f>
        <v>519915</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637</v>
      </c>
      <c r="B21" s="233">
        <v>2</v>
      </c>
      <c r="C21" s="145">
        <f>SUM(C6:C20)</f>
        <v>4935069794.999999</v>
      </c>
      <c r="D21" s="74">
        <f t="shared" ref="D21:I21" si="2">SUM(D6:D20)</f>
        <v>4682577927</v>
      </c>
      <c r="E21" s="73">
        <f t="shared" si="2"/>
        <v>4794598460</v>
      </c>
      <c r="F21" s="73">
        <f t="shared" si="2"/>
        <v>304958862.69349998</v>
      </c>
      <c r="G21" s="73">
        <f t="shared" si="2"/>
        <v>3616001874.6418495</v>
      </c>
      <c r="H21" s="73">
        <f t="shared" si="2"/>
        <v>3995498716.6666665</v>
      </c>
      <c r="I21" s="73">
        <f t="shared" si="2"/>
        <v>-379496842.02481705</v>
      </c>
      <c r="J21" s="716">
        <f t="shared" si="1"/>
        <v>-9.4981094710855196E-2</v>
      </c>
      <c r="K21" s="145">
        <f>SUM(K6:K20)</f>
        <v>4794598460</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CHIEF OPERATION OFFICE</v>
      </c>
      <c r="B24" s="169"/>
      <c r="C24" s="134">
        <f>'C3C'!C174</f>
        <v>158525910.52999997</v>
      </c>
      <c r="D24" s="46">
        <f>'C3C'!D174</f>
        <v>165657857</v>
      </c>
      <c r="E24" s="44">
        <f>'C3C'!E174</f>
        <v>141399553</v>
      </c>
      <c r="F24" s="44">
        <f>'C3C'!F174</f>
        <v>1982755</v>
      </c>
      <c r="G24" s="44">
        <f>'C3C'!G174</f>
        <v>33141222</v>
      </c>
      <c r="H24" s="44">
        <f>'C3C'!H174</f>
        <v>117832960.83333334</v>
      </c>
      <c r="I24" s="44">
        <f t="shared" ref="I24:I38" si="3">G24-H24</f>
        <v>-84691738.833333343</v>
      </c>
      <c r="J24" s="715">
        <f t="shared" ref="J24:J29" si="4">IF(I24=0,"",I24/H24)</f>
        <v>-0.71874404440302586</v>
      </c>
      <c r="K24" s="144">
        <f>'C3C'!K174</f>
        <v>141399553</v>
      </c>
      <c r="L24" s="97"/>
      <c r="M24" s="84"/>
      <c r="N24" s="84"/>
      <c r="O24" s="84"/>
      <c r="P24" s="84"/>
      <c r="Q24" s="84"/>
      <c r="R24" s="84"/>
      <c r="S24" s="84"/>
      <c r="T24" s="84"/>
      <c r="U24" s="84"/>
      <c r="V24" s="84"/>
      <c r="W24" s="84"/>
      <c r="X24" s="67"/>
    </row>
    <row r="25" spans="1:24" ht="12.75" customHeight="1" x14ac:dyDescent="0.25">
      <c r="A25" s="39" t="str">
        <f>'Org structure'!A3</f>
        <v>Vote 2 - MUNICIPAL MANAGER'S OFFICE</v>
      </c>
      <c r="B25" s="169"/>
      <c r="C25" s="134">
        <f>'C3C'!C185</f>
        <v>79019172.25999999</v>
      </c>
      <c r="D25" s="46">
        <f>'C3C'!D185</f>
        <v>357910903</v>
      </c>
      <c r="E25" s="44">
        <f>'C3C'!E185</f>
        <v>375154879</v>
      </c>
      <c r="F25" s="44">
        <f>'C3C'!F185</f>
        <v>24877731</v>
      </c>
      <c r="G25" s="44">
        <f>'C3C'!G185</f>
        <v>128704868</v>
      </c>
      <c r="H25" s="44">
        <f>'C3C'!H185</f>
        <v>312629065.83333325</v>
      </c>
      <c r="I25" s="44">
        <f t="shared" si="3"/>
        <v>-183924197.83333325</v>
      </c>
      <c r="J25" s="715">
        <f t="shared" si="4"/>
        <v>-0.58831445292225548</v>
      </c>
      <c r="K25" s="144">
        <f>'C3C'!K185</f>
        <v>375154879</v>
      </c>
      <c r="L25" s="97"/>
      <c r="M25" s="97"/>
      <c r="N25" s="97"/>
      <c r="O25" s="97"/>
      <c r="P25" s="97"/>
      <c r="Q25" s="97"/>
      <c r="R25" s="97"/>
      <c r="S25" s="97"/>
      <c r="T25" s="97"/>
      <c r="U25" s="97"/>
      <c r="V25" s="97"/>
      <c r="W25" s="97"/>
      <c r="X25" s="67"/>
    </row>
    <row r="26" spans="1:24" ht="12.75" customHeight="1" x14ac:dyDescent="0.25">
      <c r="A26" s="39" t="str">
        <f>'Org structure'!A4</f>
        <v>Vote 3 - WATER AND SANITATION</v>
      </c>
      <c r="B26" s="169"/>
      <c r="C26" s="134">
        <f>'C3C'!C196</f>
        <v>506865600.25000012</v>
      </c>
      <c r="D26" s="46">
        <f>'C3C'!D196</f>
        <v>446538856</v>
      </c>
      <c r="E26" s="44">
        <f>'C3C'!E196</f>
        <v>596051719</v>
      </c>
      <c r="F26" s="44">
        <f>'C3C'!F196</f>
        <v>70754283</v>
      </c>
      <c r="G26" s="44">
        <f>'C3C'!G196</f>
        <v>451640610</v>
      </c>
      <c r="H26" s="44">
        <f>'C3C'!H196</f>
        <v>496709765.83333331</v>
      </c>
      <c r="I26" s="44">
        <f t="shared" si="3"/>
        <v>-45069155.833333313</v>
      </c>
      <c r="J26" s="715">
        <f t="shared" si="4"/>
        <v>-9.0735393047327126E-2</v>
      </c>
      <c r="K26" s="144">
        <f>'C3C'!K196</f>
        <v>596051719</v>
      </c>
      <c r="L26" s="97"/>
      <c r="M26" s="97"/>
      <c r="N26" s="97"/>
      <c r="O26" s="97"/>
      <c r="P26" s="97"/>
      <c r="Q26" s="97"/>
      <c r="R26" s="97"/>
      <c r="S26" s="97"/>
      <c r="T26" s="97"/>
      <c r="U26" s="97"/>
      <c r="V26" s="97"/>
      <c r="W26" s="97"/>
      <c r="X26" s="67"/>
    </row>
    <row r="27" spans="1:24" ht="12.75" customHeight="1" x14ac:dyDescent="0.25">
      <c r="A27" s="39" t="str">
        <f>'Org structure'!A5</f>
        <v>Vote 4 - ENERGY</v>
      </c>
      <c r="B27" s="169"/>
      <c r="C27" s="134">
        <f>'C3C'!C207</f>
        <v>877062179.01999986</v>
      </c>
      <c r="D27" s="46">
        <f>'C3C'!D207</f>
        <v>924808134.39999998</v>
      </c>
      <c r="E27" s="44">
        <f>'C3C'!E207</f>
        <v>963332114</v>
      </c>
      <c r="F27" s="44">
        <f>'C3C'!F207</f>
        <v>74090268</v>
      </c>
      <c r="G27" s="44">
        <f>'C3C'!G207</f>
        <v>751470460</v>
      </c>
      <c r="H27" s="44">
        <f>'C3C'!H207</f>
        <v>802776761.66666651</v>
      </c>
      <c r="I27" s="44">
        <f t="shared" si="3"/>
        <v>-51306301.666666508</v>
      </c>
      <c r="J27" s="715">
        <f t="shared" si="4"/>
        <v>-6.3911044908858738E-2</v>
      </c>
      <c r="K27" s="144">
        <f>'C3C'!K207</f>
        <v>963332114</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250557958.42999995</v>
      </c>
      <c r="D28" s="46">
        <f>'C3C'!D218</f>
        <v>336592492.39999998</v>
      </c>
      <c r="E28" s="44">
        <f>'C3C'!E218</f>
        <v>338204111</v>
      </c>
      <c r="F28" s="44">
        <f>'C3C'!F218</f>
        <v>32152587</v>
      </c>
      <c r="G28" s="44">
        <f>'C3C'!G218</f>
        <v>297606156</v>
      </c>
      <c r="H28" s="44">
        <f>'C3C'!H218</f>
        <v>281836759.16666669</v>
      </c>
      <c r="I28" s="44">
        <f t="shared" si="3"/>
        <v>15769396.833333313</v>
      </c>
      <c r="J28" s="715">
        <f t="shared" si="4"/>
        <v>5.5952235896978716E-2</v>
      </c>
      <c r="K28" s="144">
        <f>'C3C'!K218</f>
        <v>338204111</v>
      </c>
      <c r="L28" s="97"/>
      <c r="M28" s="97"/>
      <c r="N28" s="97"/>
      <c r="O28" s="97"/>
      <c r="P28" s="97"/>
      <c r="Q28" s="97"/>
      <c r="R28" s="97"/>
      <c r="S28" s="97"/>
      <c r="T28" s="97"/>
      <c r="U28" s="97"/>
      <c r="V28" s="97"/>
      <c r="W28" s="97"/>
      <c r="X28" s="67"/>
    </row>
    <row r="29" spans="1:24" ht="12.75" customHeight="1" x14ac:dyDescent="0.25">
      <c r="A29" s="39" t="str">
        <f>'Org structure'!A7</f>
        <v>Vote 6 - PUBLIC SAFETY</v>
      </c>
      <c r="B29" s="169"/>
      <c r="C29" s="134">
        <f>'C3C'!C229</f>
        <v>263281477.01000002</v>
      </c>
      <c r="D29" s="46">
        <f>'C3C'!D229</f>
        <v>299191112</v>
      </c>
      <c r="E29" s="44">
        <f>'C3C'!E229</f>
        <v>315518704.95999998</v>
      </c>
      <c r="F29" s="44">
        <f>'C3C'!F229</f>
        <v>22315203</v>
      </c>
      <c r="G29" s="44">
        <f>'C3C'!G229</f>
        <v>183883318</v>
      </c>
      <c r="H29" s="44">
        <f>'C3C'!H229</f>
        <v>262932254.13333333</v>
      </c>
      <c r="I29" s="44">
        <f t="shared" si="3"/>
        <v>-79048936.133333325</v>
      </c>
      <c r="J29" s="715">
        <f t="shared" si="4"/>
        <v>-0.30064373955904056</v>
      </c>
      <c r="K29" s="144">
        <f>'C3C'!K229</f>
        <v>315518704.95999998</v>
      </c>
      <c r="L29" s="97"/>
      <c r="M29" s="97"/>
      <c r="N29" s="97"/>
      <c r="O29" s="97"/>
      <c r="P29" s="97"/>
      <c r="Q29" s="97"/>
      <c r="R29" s="97"/>
      <c r="S29" s="97"/>
      <c r="T29" s="97"/>
      <c r="U29" s="97"/>
      <c r="V29" s="97"/>
      <c r="W29" s="97"/>
      <c r="X29" s="67"/>
    </row>
    <row r="30" spans="1:24" ht="11.25" customHeight="1" x14ac:dyDescent="0.25">
      <c r="A30" s="39" t="str">
        <f>'Org structure'!A8</f>
        <v>Vote 7 - CORPORATE AND SHARED SERVICES</v>
      </c>
      <c r="B30" s="169"/>
      <c r="C30" s="134">
        <f>'C3C'!C240</f>
        <v>233683957.22</v>
      </c>
      <c r="D30" s="46">
        <f>'C3C'!D240</f>
        <v>230469771</v>
      </c>
      <c r="E30" s="44">
        <f>'C3C'!E240</f>
        <v>261118287</v>
      </c>
      <c r="F30" s="44">
        <f>'C3C'!F240</f>
        <v>14179393</v>
      </c>
      <c r="G30" s="44">
        <f>'C3C'!G240</f>
        <v>177212092</v>
      </c>
      <c r="H30" s="44">
        <f>'C3C'!H240</f>
        <v>217598572.5</v>
      </c>
      <c r="I30" s="44">
        <f t="shared" si="3"/>
        <v>-40386480.5</v>
      </c>
      <c r="J30" s="715">
        <f t="shared" ref="J30:J38" si="5">IF(I30=0,"",I30/H30)</f>
        <v>-0.18560085222985551</v>
      </c>
      <c r="K30" s="144">
        <f>'C3C'!K240</f>
        <v>261118287</v>
      </c>
      <c r="L30" s="97"/>
      <c r="M30" s="97"/>
      <c r="N30" s="97"/>
      <c r="O30" s="97"/>
      <c r="P30" s="97"/>
      <c r="Q30" s="97"/>
      <c r="R30" s="97"/>
      <c r="S30" s="97"/>
      <c r="T30" s="97"/>
      <c r="U30" s="97"/>
      <c r="V30" s="97"/>
      <c r="W30" s="97"/>
      <c r="X30" s="67"/>
    </row>
    <row r="31" spans="1:24" ht="11.25" customHeight="1" x14ac:dyDescent="0.25">
      <c r="A31" s="39" t="str">
        <f>'Org structure'!A9</f>
        <v>Vote 8 - PLANNING AND ECONOMIC DEVELOPMENT</v>
      </c>
      <c r="B31" s="169"/>
      <c r="C31" s="134">
        <f>'C3C'!C251</f>
        <v>45900888.849999979</v>
      </c>
      <c r="D31" s="46">
        <f>'C3C'!D251</f>
        <v>126695280</v>
      </c>
      <c r="E31" s="44">
        <f>'C3C'!E251</f>
        <v>74369390</v>
      </c>
      <c r="F31" s="44">
        <f>'C3C'!F251</f>
        <v>7947661</v>
      </c>
      <c r="G31" s="44">
        <f>'C3C'!G251</f>
        <v>85704643</v>
      </c>
      <c r="H31" s="44">
        <f>'C3C'!H251</f>
        <v>61974491.666666657</v>
      </c>
      <c r="I31" s="44">
        <f t="shared" si="3"/>
        <v>23730151.333333343</v>
      </c>
      <c r="J31" s="715">
        <f t="shared" si="5"/>
        <v>0.38290191166016041</v>
      </c>
      <c r="K31" s="144">
        <f>'C3C'!K251</f>
        <v>74369390</v>
      </c>
      <c r="L31" s="97"/>
      <c r="M31" s="97"/>
      <c r="N31" s="97"/>
      <c r="O31" s="97"/>
      <c r="P31" s="97"/>
      <c r="Q31" s="97"/>
      <c r="R31" s="97"/>
      <c r="S31" s="97"/>
      <c r="T31" s="97"/>
      <c r="U31" s="97"/>
      <c r="V31" s="97"/>
      <c r="W31" s="97"/>
      <c r="X31" s="67"/>
    </row>
    <row r="32" spans="1:24" ht="11.25" customHeight="1" x14ac:dyDescent="0.25">
      <c r="A32" s="39" t="str">
        <f>'Org structure'!A10</f>
        <v xml:space="preserve">Vote 9 - BUDGET AND TREASURY OFFICE </v>
      </c>
      <c r="B32" s="169"/>
      <c r="C32" s="134">
        <f>'C3C'!C262</f>
        <v>1470263319.3800001</v>
      </c>
      <c r="D32" s="46">
        <f>'C3C'!D262</f>
        <v>547788196.99999976</v>
      </c>
      <c r="E32" s="44">
        <f>'C3C'!E262</f>
        <v>423957522.03999996</v>
      </c>
      <c r="F32" s="44">
        <f>'C3C'!F262</f>
        <v>71388972.333333313</v>
      </c>
      <c r="G32" s="44">
        <f>'C3C'!G262</f>
        <v>702064308.33333302</v>
      </c>
      <c r="H32" s="44">
        <f>'C3C'!H262</f>
        <v>353297935.0333333</v>
      </c>
      <c r="I32" s="44">
        <f t="shared" si="3"/>
        <v>348766373.29999971</v>
      </c>
      <c r="J32" s="715">
        <f t="shared" si="5"/>
        <v>0.98717354027867144</v>
      </c>
      <c r="K32" s="144">
        <f>'C3C'!K262</f>
        <v>423957522.03999996</v>
      </c>
      <c r="L32" s="97"/>
      <c r="M32" s="97"/>
      <c r="N32" s="97"/>
      <c r="O32" s="97"/>
      <c r="P32" s="97"/>
      <c r="Q32" s="97"/>
      <c r="R32" s="97"/>
      <c r="S32" s="97"/>
      <c r="T32" s="97"/>
      <c r="U32" s="97"/>
      <c r="V32" s="97"/>
      <c r="W32" s="97"/>
      <c r="X32" s="67"/>
    </row>
    <row r="33" spans="1:24" ht="11.25" customHeight="1" x14ac:dyDescent="0.25">
      <c r="A33" s="39" t="str">
        <f>'Org structure'!A11</f>
        <v>Vote 10 - TRANSPORT SERVICES</v>
      </c>
      <c r="B33" s="169"/>
      <c r="C33" s="134">
        <f>'C3C'!C273</f>
        <v>149234445.17000008</v>
      </c>
      <c r="D33" s="46">
        <f>'C3C'!D273</f>
        <v>230522497.19999999</v>
      </c>
      <c r="E33" s="44">
        <f>'C3C'!E273</f>
        <v>315970453</v>
      </c>
      <c r="F33" s="44">
        <f>'C3C'!F273</f>
        <v>22373996</v>
      </c>
      <c r="G33" s="44">
        <f>'C3C'!G273</f>
        <v>125587680</v>
      </c>
      <c r="H33" s="44">
        <f>'C3C'!H273</f>
        <v>263308710.83333334</v>
      </c>
      <c r="I33" s="44">
        <f t="shared" si="3"/>
        <v>-137721030.83333334</v>
      </c>
      <c r="J33" s="715">
        <f>IF(I33=0,"",I33/H33)</f>
        <v>-0.52304016223947369</v>
      </c>
      <c r="K33" s="144">
        <f>'C3C'!K273</f>
        <v>315970453</v>
      </c>
      <c r="L33" s="97"/>
      <c r="M33" s="97"/>
      <c r="N33" s="97"/>
      <c r="O33" s="97"/>
      <c r="P33" s="97"/>
      <c r="Q33" s="97"/>
      <c r="R33" s="97"/>
      <c r="S33" s="97"/>
      <c r="T33" s="97"/>
      <c r="U33" s="97"/>
      <c r="V33" s="97"/>
      <c r="W33" s="97"/>
      <c r="X33" s="67"/>
    </row>
    <row r="34" spans="1:24" ht="11.25" customHeight="1" x14ac:dyDescent="0.25">
      <c r="A34" s="39" t="str">
        <f>'Org structure'!A12</f>
        <v>Vote 11 - HUMAN SETTLEMENT</v>
      </c>
      <c r="B34" s="169"/>
      <c r="C34" s="134">
        <f>'C3C'!C284</f>
        <v>1727753.8800000004</v>
      </c>
      <c r="D34" s="46">
        <f>'C3C'!D284</f>
        <v>13292036</v>
      </c>
      <c r="E34" s="44">
        <f>'C3C'!E284</f>
        <v>11656248</v>
      </c>
      <c r="F34" s="44">
        <f>'C3C'!F284</f>
        <v>805105</v>
      </c>
      <c r="G34" s="44">
        <f>'C3C'!G284</f>
        <v>8203783</v>
      </c>
      <c r="H34" s="44">
        <f>'C3C'!H284</f>
        <v>9713540</v>
      </c>
      <c r="I34" s="44">
        <f t="shared" si="3"/>
        <v>-1509757</v>
      </c>
      <c r="J34" s="715">
        <f>IF(I34=0,"",I34/H34)</f>
        <v>-0.15542809315656289</v>
      </c>
      <c r="K34" s="144">
        <f>'C3C'!K284</f>
        <v>11656248</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636</v>
      </c>
      <c r="B39" s="233">
        <v>2</v>
      </c>
      <c r="C39" s="516">
        <f>SUM(C24:C38)</f>
        <v>4036122662</v>
      </c>
      <c r="D39" s="475">
        <f t="shared" ref="D39:I39" si="6">SUM(D24:D38)</f>
        <v>3679467136</v>
      </c>
      <c r="E39" s="430">
        <f t="shared" si="6"/>
        <v>3816732981</v>
      </c>
      <c r="F39" s="430">
        <f t="shared" si="6"/>
        <v>342867954.33333331</v>
      </c>
      <c r="G39" s="430">
        <f t="shared" si="6"/>
        <v>2945219140.333333</v>
      </c>
      <c r="H39" s="430">
        <f t="shared" si="6"/>
        <v>3180610817.5</v>
      </c>
      <c r="I39" s="430">
        <f t="shared" si="6"/>
        <v>-235391677.16666672</v>
      </c>
      <c r="J39" s="718">
        <f>IF(I39=0,"",I39/H39)</f>
        <v>-7.4008324398420908E-2</v>
      </c>
      <c r="K39" s="513">
        <f>SUM(K24:K38)</f>
        <v>3816732981</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898947132.99999905</v>
      </c>
      <c r="D40" s="56">
        <f t="shared" si="7"/>
        <v>1003110791</v>
      </c>
      <c r="E40" s="55">
        <f t="shared" si="7"/>
        <v>977865479</v>
      </c>
      <c r="F40" s="55">
        <f t="shared" si="7"/>
        <v>-37909091.639833331</v>
      </c>
      <c r="G40" s="55">
        <f t="shared" si="7"/>
        <v>670782734.3085165</v>
      </c>
      <c r="H40" s="55">
        <f t="shared" si="7"/>
        <v>814887899.16666651</v>
      </c>
      <c r="I40" s="55">
        <f>I21-I39</f>
        <v>-144105164.85815033</v>
      </c>
      <c r="J40" s="719">
        <f>IF(I40=0,"",I40/H40)</f>
        <v>-0.17684047708343373</v>
      </c>
      <c r="K40" s="235">
        <f>K21-K39</f>
        <v>977865479</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X379"/>
  <sheetViews>
    <sheetView showGridLines="0" showZeros="0" zoomScaleNormal="100" workbookViewId="0">
      <pane xSplit="2" ySplit="4" topLeftCell="C296" activePane="bottomRight" state="frozen"/>
      <selection pane="topRight"/>
      <selection pane="bottomLeft"/>
      <selection pane="bottomRight" activeCell="AC311" sqref="AC311"/>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LIM354 Polokwane - Table C3 Monthly Budget Statement - Financial Performance (revenue and expenditure by municipal vote) - A - M10 April</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CHIEF OPERATION OFFICE</v>
      </c>
      <c r="B6" s="440"/>
      <c r="C6" s="503">
        <f>SUM(C7:C16)</f>
        <v>0</v>
      </c>
      <c r="D6" s="444">
        <f t="shared" ref="D6:K6" si="0">SUM(D7:D16)</f>
        <v>8964</v>
      </c>
      <c r="E6" s="441">
        <f t="shared" si="0"/>
        <v>9356</v>
      </c>
      <c r="F6" s="443">
        <f t="shared" si="0"/>
        <v>0</v>
      </c>
      <c r="G6" s="441">
        <f t="shared" si="0"/>
        <v>109</v>
      </c>
      <c r="H6" s="443">
        <f t="shared" si="0"/>
        <v>7796.666666666667</v>
      </c>
      <c r="I6" s="44">
        <f t="shared" ref="I6:I69" si="1">G6-H6</f>
        <v>-7687.666666666667</v>
      </c>
      <c r="J6" s="330">
        <f t="shared" ref="J6:J69" si="2">IF(I6=0,"",I6/H6)</f>
        <v>-0.98601966652415562</v>
      </c>
      <c r="K6" s="442">
        <f t="shared" si="0"/>
        <v>9356</v>
      </c>
      <c r="L6" s="424"/>
      <c r="M6" s="38"/>
      <c r="N6" s="38"/>
      <c r="O6" s="38"/>
      <c r="P6" s="38"/>
      <c r="Q6" s="38"/>
      <c r="R6" s="38"/>
      <c r="S6" s="38"/>
      <c r="T6" s="38"/>
      <c r="U6" s="38"/>
      <c r="V6" s="38"/>
      <c r="W6" s="38"/>
    </row>
    <row r="7" spans="1:23" ht="11.25" customHeight="1" x14ac:dyDescent="0.25">
      <c r="A7" s="407" t="str">
        <f>'Org structure'!E3</f>
        <v>1.1 - CHIEF OPERATIONS OFFICE(ADMINISTRATION)</v>
      </c>
      <c r="B7" s="445"/>
      <c r="C7" s="739">
        <v>0</v>
      </c>
      <c r="D7" s="740">
        <v>996</v>
      </c>
      <c r="E7" s="741">
        <v>996</v>
      </c>
      <c r="F7" s="742">
        <v>0</v>
      </c>
      <c r="G7" s="741">
        <v>109</v>
      </c>
      <c r="H7" s="742">
        <f t="shared" ref="H7:H16" si="3">E7/12*10</f>
        <v>830</v>
      </c>
      <c r="I7" s="44">
        <f t="shared" si="1"/>
        <v>-721</v>
      </c>
      <c r="J7" s="330">
        <f t="shared" si="2"/>
        <v>-0.86867469879518078</v>
      </c>
      <c r="K7" s="743">
        <f>E7</f>
        <v>996</v>
      </c>
      <c r="L7" s="424"/>
      <c r="M7" s="38"/>
      <c r="N7" s="38"/>
      <c r="O7" s="38"/>
      <c r="P7" s="38"/>
      <c r="Q7" s="38"/>
      <c r="R7" s="38"/>
      <c r="S7" s="38"/>
      <c r="T7" s="38"/>
      <c r="U7" s="38"/>
      <c r="V7" s="38"/>
      <c r="W7" s="38"/>
    </row>
    <row r="8" spans="1:23" ht="11.25" customHeight="1" x14ac:dyDescent="0.25">
      <c r="A8" s="407" t="str">
        <f>'Org structure'!E4</f>
        <v>1.2 - LEGISLATIVE SUPPORT</v>
      </c>
      <c r="B8" s="445"/>
      <c r="C8" s="739">
        <v>0</v>
      </c>
      <c r="D8" s="740">
        <v>996</v>
      </c>
      <c r="E8" s="741">
        <v>996</v>
      </c>
      <c r="F8" s="742">
        <v>0</v>
      </c>
      <c r="G8" s="741">
        <v>0</v>
      </c>
      <c r="H8" s="742">
        <f t="shared" si="3"/>
        <v>830</v>
      </c>
      <c r="I8" s="44">
        <f t="shared" si="1"/>
        <v>-830</v>
      </c>
      <c r="J8" s="330">
        <f t="shared" si="2"/>
        <v>-1</v>
      </c>
      <c r="K8" s="743">
        <f t="shared" ref="K8:K16" si="4">E8</f>
        <v>996</v>
      </c>
      <c r="L8" s="424"/>
      <c r="M8" s="38"/>
      <c r="N8" s="38"/>
      <c r="O8" s="38"/>
      <c r="P8" s="38"/>
      <c r="Q8" s="38"/>
      <c r="R8" s="38"/>
      <c r="S8" s="38"/>
      <c r="T8" s="38"/>
      <c r="U8" s="38"/>
      <c r="V8" s="38"/>
      <c r="W8" s="38"/>
    </row>
    <row r="9" spans="1:23" ht="11.25" customHeight="1" x14ac:dyDescent="0.25">
      <c r="A9" s="407" t="str">
        <f>'Org structure'!E5</f>
        <v>1.3 - LEGAL SERVICES</v>
      </c>
      <c r="B9" s="445"/>
      <c r="C9" s="739">
        <v>0</v>
      </c>
      <c r="D9" s="740">
        <v>996</v>
      </c>
      <c r="E9" s="741">
        <v>996</v>
      </c>
      <c r="F9" s="742">
        <v>0</v>
      </c>
      <c r="G9" s="741">
        <v>0</v>
      </c>
      <c r="H9" s="742">
        <f t="shared" si="3"/>
        <v>830</v>
      </c>
      <c r="I9" s="44">
        <f t="shared" si="1"/>
        <v>-830</v>
      </c>
      <c r="J9" s="330">
        <f t="shared" si="2"/>
        <v>-1</v>
      </c>
      <c r="K9" s="743">
        <f t="shared" si="4"/>
        <v>996</v>
      </c>
      <c r="L9" s="424"/>
      <c r="M9" s="38"/>
      <c r="N9" s="38"/>
      <c r="O9" s="38"/>
      <c r="P9" s="38"/>
      <c r="Q9" s="38"/>
      <c r="R9" s="38"/>
      <c r="S9" s="38"/>
      <c r="T9" s="38"/>
      <c r="U9" s="38"/>
      <c r="V9" s="38"/>
      <c r="W9" s="38"/>
    </row>
    <row r="10" spans="1:23" ht="11.25" customHeight="1" x14ac:dyDescent="0.25">
      <c r="A10" s="407" t="str">
        <f>'Org structure'!E6</f>
        <v xml:space="preserve">1.4 - INTERGRATED DEVELOPMENT PLAN </v>
      </c>
      <c r="B10" s="445"/>
      <c r="C10" s="739">
        <v>0</v>
      </c>
      <c r="D10" s="740">
        <v>996</v>
      </c>
      <c r="E10" s="741">
        <v>996</v>
      </c>
      <c r="F10" s="742">
        <v>0</v>
      </c>
      <c r="G10" s="741">
        <v>0</v>
      </c>
      <c r="H10" s="742">
        <f t="shared" si="3"/>
        <v>830</v>
      </c>
      <c r="I10" s="44">
        <f t="shared" si="1"/>
        <v>-830</v>
      </c>
      <c r="J10" s="330">
        <f t="shared" si="2"/>
        <v>-1</v>
      </c>
      <c r="K10" s="743">
        <f t="shared" si="4"/>
        <v>996</v>
      </c>
      <c r="L10" s="424"/>
      <c r="M10" s="38"/>
      <c r="N10" s="38"/>
      <c r="O10" s="38"/>
      <c r="P10" s="38"/>
      <c r="Q10" s="38"/>
      <c r="R10" s="38"/>
      <c r="S10" s="38"/>
      <c r="T10" s="38"/>
      <c r="U10" s="38"/>
      <c r="V10" s="38"/>
      <c r="W10" s="38"/>
    </row>
    <row r="11" spans="1:23" ht="11.25" customHeight="1" x14ac:dyDescent="0.25">
      <c r="A11" s="407" t="str">
        <f>'Org structure'!E7</f>
        <v>1.5 - COMMUNICATIONS AND MARKETING</v>
      </c>
      <c r="B11" s="445"/>
      <c r="C11" s="739">
        <v>0</v>
      </c>
      <c r="D11" s="740">
        <v>996</v>
      </c>
      <c r="E11" s="741">
        <v>1388</v>
      </c>
      <c r="F11" s="742">
        <v>0</v>
      </c>
      <c r="G11" s="741">
        <v>0</v>
      </c>
      <c r="H11" s="742">
        <f t="shared" si="3"/>
        <v>1156.6666666666667</v>
      </c>
      <c r="I11" s="44">
        <f t="shared" si="1"/>
        <v>-1156.6666666666667</v>
      </c>
      <c r="J11" s="330">
        <f t="shared" si="2"/>
        <v>-1</v>
      </c>
      <c r="K11" s="743">
        <f t="shared" si="4"/>
        <v>1388</v>
      </c>
      <c r="L11" s="424"/>
      <c r="M11" s="38"/>
      <c r="N11" s="38"/>
      <c r="O11" s="38"/>
      <c r="P11" s="38"/>
      <c r="Q11" s="38"/>
      <c r="R11" s="38"/>
      <c r="S11" s="38"/>
      <c r="T11" s="38"/>
      <c r="U11" s="38"/>
      <c r="V11" s="38"/>
      <c r="W11" s="38"/>
    </row>
    <row r="12" spans="1:23" ht="11.25" customHeight="1" x14ac:dyDescent="0.25">
      <c r="A12" s="407" t="str">
        <f>'Org structure'!E8</f>
        <v>1.6 - PROJECT MANAGEMENT UNIT</v>
      </c>
      <c r="B12" s="445"/>
      <c r="C12" s="739">
        <v>0</v>
      </c>
      <c r="D12" s="740">
        <v>996</v>
      </c>
      <c r="E12" s="741">
        <v>996</v>
      </c>
      <c r="F12" s="742">
        <v>0</v>
      </c>
      <c r="G12" s="741">
        <v>0</v>
      </c>
      <c r="H12" s="742">
        <f t="shared" si="3"/>
        <v>830</v>
      </c>
      <c r="I12" s="44">
        <f t="shared" si="1"/>
        <v>-830</v>
      </c>
      <c r="J12" s="330">
        <f t="shared" si="2"/>
        <v>-1</v>
      </c>
      <c r="K12" s="743">
        <f t="shared" si="4"/>
        <v>996</v>
      </c>
      <c r="L12" s="424"/>
      <c r="M12" s="38"/>
      <c r="N12" s="38"/>
      <c r="O12" s="38"/>
      <c r="P12" s="38"/>
      <c r="Q12" s="38"/>
      <c r="R12" s="38"/>
      <c r="S12" s="38"/>
      <c r="T12" s="38"/>
      <c r="U12" s="38"/>
      <c r="V12" s="38"/>
      <c r="W12" s="38"/>
    </row>
    <row r="13" spans="1:23" ht="11.25" customHeight="1" x14ac:dyDescent="0.25">
      <c r="A13" s="407" t="str">
        <f>'Org structure'!E9</f>
        <v>1.7 - PERFORMANCE MANAGEMENT</v>
      </c>
      <c r="B13" s="445"/>
      <c r="C13" s="739">
        <v>0</v>
      </c>
      <c r="D13" s="740">
        <v>996</v>
      </c>
      <c r="E13" s="741">
        <v>996</v>
      </c>
      <c r="F13" s="742">
        <v>0</v>
      </c>
      <c r="G13" s="741">
        <v>0</v>
      </c>
      <c r="H13" s="742">
        <f t="shared" si="3"/>
        <v>830</v>
      </c>
      <c r="I13" s="44">
        <f t="shared" si="1"/>
        <v>-830</v>
      </c>
      <c r="J13" s="330">
        <f t="shared" si="2"/>
        <v>-1</v>
      </c>
      <c r="K13" s="743">
        <f t="shared" si="4"/>
        <v>996</v>
      </c>
      <c r="L13" s="424"/>
      <c r="M13" s="38"/>
      <c r="N13" s="38"/>
      <c r="O13" s="38"/>
      <c r="P13" s="38"/>
      <c r="Q13" s="38"/>
      <c r="R13" s="38"/>
      <c r="S13" s="38"/>
      <c r="T13" s="38"/>
      <c r="U13" s="38"/>
      <c r="V13" s="38"/>
      <c r="W13" s="38"/>
    </row>
    <row r="14" spans="1:23" ht="11.25" customHeight="1" x14ac:dyDescent="0.25">
      <c r="A14" s="407" t="str">
        <f>'Org structure'!E10</f>
        <v>1.8 - CLUSTER</v>
      </c>
      <c r="B14" s="445"/>
      <c r="C14" s="739">
        <v>0</v>
      </c>
      <c r="D14" s="740">
        <v>996</v>
      </c>
      <c r="E14" s="741">
        <v>996</v>
      </c>
      <c r="F14" s="742">
        <v>0</v>
      </c>
      <c r="G14" s="741">
        <v>0</v>
      </c>
      <c r="H14" s="742">
        <f t="shared" si="3"/>
        <v>830</v>
      </c>
      <c r="I14" s="44">
        <f t="shared" si="1"/>
        <v>-830</v>
      </c>
      <c r="J14" s="330">
        <f t="shared" si="2"/>
        <v>-1</v>
      </c>
      <c r="K14" s="743">
        <f t="shared" si="4"/>
        <v>996</v>
      </c>
      <c r="L14" s="424"/>
      <c r="M14" s="38"/>
      <c r="N14" s="38"/>
      <c r="O14" s="38"/>
      <c r="P14" s="38"/>
      <c r="Q14" s="38"/>
      <c r="R14" s="38"/>
      <c r="S14" s="38"/>
      <c r="T14" s="38"/>
      <c r="U14" s="38"/>
      <c r="V14" s="38"/>
      <c r="W14" s="38"/>
    </row>
    <row r="15" spans="1:23" ht="11.25" customHeight="1" x14ac:dyDescent="0.25">
      <c r="A15" s="407" t="str">
        <f>'Org structure'!E11</f>
        <v>1.9 - EXECUTIVE SUPPORT</v>
      </c>
      <c r="B15" s="445"/>
      <c r="C15" s="739">
        <v>0</v>
      </c>
      <c r="D15" s="740">
        <v>996</v>
      </c>
      <c r="E15" s="741">
        <v>996</v>
      </c>
      <c r="F15" s="742">
        <v>0</v>
      </c>
      <c r="G15" s="741">
        <v>0</v>
      </c>
      <c r="H15" s="742">
        <f t="shared" si="3"/>
        <v>830</v>
      </c>
      <c r="I15" s="44">
        <f t="shared" si="1"/>
        <v>-830</v>
      </c>
      <c r="J15" s="330">
        <f t="shared" si="2"/>
        <v>-1</v>
      </c>
      <c r="K15" s="743">
        <f t="shared" si="4"/>
        <v>996</v>
      </c>
      <c r="L15" s="424"/>
      <c r="M15" s="38"/>
      <c r="N15" s="38"/>
      <c r="O15" s="38"/>
      <c r="P15" s="38"/>
      <c r="Q15" s="38"/>
      <c r="R15" s="38"/>
      <c r="S15" s="38"/>
      <c r="T15" s="38"/>
      <c r="U15" s="38"/>
      <c r="V15" s="38"/>
      <c r="W15" s="38"/>
    </row>
    <row r="16" spans="1:23" ht="11.25" customHeight="1" x14ac:dyDescent="0.25">
      <c r="A16" s="407">
        <f>'Org structure'!E12</f>
        <v>0</v>
      </c>
      <c r="B16" s="445"/>
      <c r="C16" s="739">
        <v>0</v>
      </c>
      <c r="D16" s="740"/>
      <c r="E16" s="741">
        <v>0</v>
      </c>
      <c r="F16" s="742">
        <v>0</v>
      </c>
      <c r="G16" s="741">
        <v>0</v>
      </c>
      <c r="H16" s="742">
        <f t="shared" si="3"/>
        <v>0</v>
      </c>
      <c r="I16" s="44">
        <f t="shared" si="1"/>
        <v>0</v>
      </c>
      <c r="J16" s="330" t="str">
        <f t="shared" si="2"/>
        <v/>
      </c>
      <c r="K16" s="743">
        <f t="shared" si="4"/>
        <v>0</v>
      </c>
      <c r="L16" s="424"/>
      <c r="M16" s="38"/>
      <c r="N16" s="38"/>
      <c r="O16" s="38"/>
      <c r="P16" s="38"/>
      <c r="Q16" s="38"/>
      <c r="R16" s="38"/>
      <c r="S16" s="38"/>
      <c r="T16" s="38"/>
      <c r="U16" s="38"/>
      <c r="V16" s="38"/>
      <c r="W16" s="38"/>
    </row>
    <row r="17" spans="1:23" ht="11.25" customHeight="1" x14ac:dyDescent="0.25">
      <c r="A17" s="466" t="str">
        <f>'Org structure'!A3</f>
        <v>Vote 2 - MUNICIPAL MANAGER'S OFFICE</v>
      </c>
      <c r="B17" s="440"/>
      <c r="C17" s="503">
        <f>SUM(C18:C27)</f>
        <v>-22802.48</v>
      </c>
      <c r="D17" s="444">
        <f t="shared" ref="D17:K17" si="5">SUM(D18:D27)</f>
        <v>2003988</v>
      </c>
      <c r="E17" s="441">
        <f t="shared" si="5"/>
        <v>1504180</v>
      </c>
      <c r="F17" s="441">
        <f t="shared" si="5"/>
        <v>0</v>
      </c>
      <c r="G17" s="441">
        <f t="shared" si="5"/>
        <v>0</v>
      </c>
      <c r="H17" s="443">
        <f t="shared" si="5"/>
        <v>1253483.3333333333</v>
      </c>
      <c r="I17" s="44">
        <f t="shared" si="1"/>
        <v>-1253483.3333333333</v>
      </c>
      <c r="J17" s="330">
        <f t="shared" si="2"/>
        <v>-1</v>
      </c>
      <c r="K17" s="442">
        <f t="shared" si="5"/>
        <v>1504180</v>
      </c>
      <c r="L17" s="424"/>
      <c r="M17" s="38"/>
      <c r="N17" s="38"/>
      <c r="O17" s="38"/>
      <c r="P17" s="38"/>
      <c r="Q17" s="38"/>
      <c r="R17" s="38"/>
      <c r="S17" s="38"/>
      <c r="T17" s="38"/>
      <c r="U17" s="38"/>
      <c r="V17" s="38"/>
      <c r="W17" s="38"/>
    </row>
    <row r="18" spans="1:23" ht="11.25" customHeight="1" x14ac:dyDescent="0.25">
      <c r="A18" s="407" t="str">
        <f>'Org structure'!E14</f>
        <v>2.1 - COUNCILLORS</v>
      </c>
      <c r="B18" s="445"/>
      <c r="C18" s="739">
        <v>0</v>
      </c>
      <c r="D18" s="740">
        <v>2001000</v>
      </c>
      <c r="E18" s="741">
        <v>1501045</v>
      </c>
      <c r="F18" s="742">
        <v>0</v>
      </c>
      <c r="G18" s="741">
        <v>0</v>
      </c>
      <c r="H18" s="742">
        <f t="shared" ref="H18:H27" si="6">E18/12*10</f>
        <v>1250870.8333333333</v>
      </c>
      <c r="I18" s="44">
        <f t="shared" si="1"/>
        <v>-1250870.8333333333</v>
      </c>
      <c r="J18" s="330">
        <f t="shared" si="2"/>
        <v>-1</v>
      </c>
      <c r="K18" s="743">
        <f t="shared" ref="K18:K27" si="7">E18</f>
        <v>1501045</v>
      </c>
      <c r="L18" s="424"/>
      <c r="M18" s="38"/>
      <c r="N18" s="38"/>
      <c r="O18" s="38"/>
      <c r="P18" s="38"/>
      <c r="Q18" s="38"/>
      <c r="R18" s="38"/>
      <c r="S18" s="38"/>
      <c r="T18" s="38"/>
      <c r="U18" s="38"/>
      <c r="V18" s="38"/>
      <c r="W18" s="38"/>
    </row>
    <row r="19" spans="1:23" ht="11.25" customHeight="1" x14ac:dyDescent="0.25">
      <c r="A19" s="407" t="str">
        <f>'Org structure'!E15</f>
        <v>2.2 - MUNICIPAL MANAGER</v>
      </c>
      <c r="B19" s="445"/>
      <c r="C19" s="739">
        <v>-22802.48</v>
      </c>
      <c r="D19" s="740">
        <v>996</v>
      </c>
      <c r="E19" s="741">
        <v>1143</v>
      </c>
      <c r="F19" s="742">
        <v>0</v>
      </c>
      <c r="G19" s="741">
        <v>0</v>
      </c>
      <c r="H19" s="742">
        <f t="shared" si="6"/>
        <v>952.5</v>
      </c>
      <c r="I19" s="44">
        <f t="shared" si="1"/>
        <v>-952.5</v>
      </c>
      <c r="J19" s="330">
        <f t="shared" si="2"/>
        <v>-1</v>
      </c>
      <c r="K19" s="743">
        <f t="shared" si="7"/>
        <v>1143</v>
      </c>
      <c r="L19" s="424"/>
      <c r="M19" s="38"/>
      <c r="N19" s="38"/>
      <c r="O19" s="38"/>
      <c r="P19" s="38"/>
      <c r="Q19" s="38"/>
      <c r="R19" s="38"/>
      <c r="S19" s="38"/>
      <c r="T19" s="38"/>
      <c r="U19" s="38"/>
      <c r="V19" s="38"/>
      <c r="W19" s="38"/>
    </row>
    <row r="20" spans="1:23" ht="11.25" customHeight="1" x14ac:dyDescent="0.25">
      <c r="A20" s="407" t="str">
        <f>'Org structure'!E16</f>
        <v>2.3 - RISK MANAGEMENT</v>
      </c>
      <c r="B20" s="445"/>
      <c r="C20" s="739">
        <v>0</v>
      </c>
      <c r="D20" s="740">
        <v>996</v>
      </c>
      <c r="E20" s="741">
        <v>996</v>
      </c>
      <c r="F20" s="742">
        <v>0</v>
      </c>
      <c r="G20" s="741">
        <v>0</v>
      </c>
      <c r="H20" s="742">
        <f t="shared" si="6"/>
        <v>830</v>
      </c>
      <c r="I20" s="44">
        <f t="shared" si="1"/>
        <v>-830</v>
      </c>
      <c r="J20" s="330">
        <f t="shared" si="2"/>
        <v>-1</v>
      </c>
      <c r="K20" s="743">
        <f t="shared" si="7"/>
        <v>996</v>
      </c>
      <c r="L20" s="424"/>
      <c r="M20" s="38"/>
      <c r="N20" s="38"/>
      <c r="O20" s="38"/>
      <c r="P20" s="38"/>
      <c r="Q20" s="38"/>
      <c r="R20" s="38"/>
      <c r="S20" s="38"/>
      <c r="T20" s="38"/>
      <c r="U20" s="38"/>
      <c r="V20" s="38"/>
      <c r="W20" s="38"/>
    </row>
    <row r="21" spans="1:23" ht="11.25" customHeight="1" x14ac:dyDescent="0.25">
      <c r="A21" s="407" t="str">
        <f>'Org structure'!E17</f>
        <v xml:space="preserve">2.4 - INTERNAL AUDIT </v>
      </c>
      <c r="B21" s="445"/>
      <c r="C21" s="739">
        <v>0</v>
      </c>
      <c r="D21" s="740">
        <v>996</v>
      </c>
      <c r="E21" s="741">
        <v>996</v>
      </c>
      <c r="F21" s="742">
        <v>0</v>
      </c>
      <c r="G21" s="741">
        <v>0</v>
      </c>
      <c r="H21" s="742">
        <f t="shared" si="6"/>
        <v>830</v>
      </c>
      <c r="I21" s="44">
        <f t="shared" si="1"/>
        <v>-830</v>
      </c>
      <c r="J21" s="330">
        <f t="shared" si="2"/>
        <v>-1</v>
      </c>
      <c r="K21" s="743">
        <f t="shared" si="7"/>
        <v>996</v>
      </c>
      <c r="L21" s="424"/>
      <c r="M21" s="38"/>
      <c r="N21" s="38"/>
      <c r="O21" s="38"/>
      <c r="P21" s="38"/>
      <c r="Q21" s="38"/>
      <c r="R21" s="38"/>
      <c r="S21" s="38"/>
      <c r="T21" s="38"/>
      <c r="U21" s="38"/>
      <c r="V21" s="38"/>
      <c r="W21" s="38"/>
    </row>
    <row r="22" spans="1:23" ht="11.25" customHeight="1" x14ac:dyDescent="0.25">
      <c r="A22" s="407">
        <f>'Org structure'!E18</f>
        <v>0</v>
      </c>
      <c r="B22" s="445"/>
      <c r="C22" s="739">
        <v>0</v>
      </c>
      <c r="D22" s="740">
        <v>0</v>
      </c>
      <c r="E22" s="741">
        <v>0</v>
      </c>
      <c r="F22" s="742">
        <v>0</v>
      </c>
      <c r="G22" s="741">
        <v>0</v>
      </c>
      <c r="H22" s="742">
        <f t="shared" si="6"/>
        <v>0</v>
      </c>
      <c r="I22" s="44">
        <f t="shared" si="1"/>
        <v>0</v>
      </c>
      <c r="J22" s="330" t="str">
        <f t="shared" si="2"/>
        <v/>
      </c>
      <c r="K22" s="743">
        <f t="shared" si="7"/>
        <v>0</v>
      </c>
      <c r="L22" s="424"/>
      <c r="M22" s="38"/>
      <c r="N22" s="38"/>
      <c r="O22" s="38"/>
      <c r="P22" s="38"/>
      <c r="Q22" s="38"/>
      <c r="R22" s="38"/>
      <c r="S22" s="38"/>
      <c r="T22" s="38"/>
      <c r="U22" s="38"/>
      <c r="V22" s="38"/>
      <c r="W22" s="38"/>
    </row>
    <row r="23" spans="1:23" ht="11.25" customHeight="1" x14ac:dyDescent="0.25">
      <c r="A23" s="407">
        <f>'Org structure'!E19</f>
        <v>0</v>
      </c>
      <c r="B23" s="445"/>
      <c r="C23" s="739">
        <v>0</v>
      </c>
      <c r="D23" s="740">
        <v>0</v>
      </c>
      <c r="E23" s="741">
        <v>0</v>
      </c>
      <c r="F23" s="742">
        <v>0</v>
      </c>
      <c r="G23" s="741">
        <v>0</v>
      </c>
      <c r="H23" s="742">
        <f t="shared" si="6"/>
        <v>0</v>
      </c>
      <c r="I23" s="44">
        <f t="shared" si="1"/>
        <v>0</v>
      </c>
      <c r="J23" s="330" t="str">
        <f t="shared" si="2"/>
        <v/>
      </c>
      <c r="K23" s="743">
        <f t="shared" si="7"/>
        <v>0</v>
      </c>
      <c r="L23" s="424"/>
      <c r="M23" s="38"/>
      <c r="N23" s="38"/>
      <c r="O23" s="38"/>
      <c r="P23" s="38"/>
      <c r="Q23" s="38"/>
      <c r="R23" s="38"/>
      <c r="S23" s="38"/>
      <c r="T23" s="38"/>
      <c r="U23" s="38"/>
      <c r="V23" s="38"/>
      <c r="W23" s="38"/>
    </row>
    <row r="24" spans="1:23" ht="11.25" customHeight="1" x14ac:dyDescent="0.25">
      <c r="A24" s="407">
        <f>'Org structure'!E20</f>
        <v>0</v>
      </c>
      <c r="B24" s="445"/>
      <c r="C24" s="739">
        <v>0</v>
      </c>
      <c r="D24" s="740">
        <v>0</v>
      </c>
      <c r="E24" s="741">
        <v>0</v>
      </c>
      <c r="F24" s="742">
        <v>0</v>
      </c>
      <c r="G24" s="741">
        <v>0</v>
      </c>
      <c r="H24" s="742">
        <f t="shared" si="6"/>
        <v>0</v>
      </c>
      <c r="I24" s="44">
        <f t="shared" si="1"/>
        <v>0</v>
      </c>
      <c r="J24" s="330" t="str">
        <f t="shared" si="2"/>
        <v/>
      </c>
      <c r="K24" s="743">
        <f t="shared" si="7"/>
        <v>0</v>
      </c>
      <c r="L24" s="424"/>
      <c r="M24" s="38"/>
      <c r="N24" s="38"/>
      <c r="O24" s="38"/>
      <c r="P24" s="38"/>
      <c r="Q24" s="38"/>
      <c r="R24" s="38"/>
      <c r="S24" s="38"/>
      <c r="T24" s="38"/>
      <c r="U24" s="38"/>
      <c r="V24" s="38"/>
      <c r="W24" s="38"/>
    </row>
    <row r="25" spans="1:23" ht="11.25" customHeight="1" x14ac:dyDescent="0.25">
      <c r="A25" s="407">
        <f>'Org structure'!E21</f>
        <v>0</v>
      </c>
      <c r="B25" s="445"/>
      <c r="C25" s="739">
        <v>0</v>
      </c>
      <c r="D25" s="740">
        <v>0</v>
      </c>
      <c r="E25" s="741">
        <v>0</v>
      </c>
      <c r="F25" s="742">
        <v>0</v>
      </c>
      <c r="G25" s="741">
        <v>0</v>
      </c>
      <c r="H25" s="742">
        <f t="shared" si="6"/>
        <v>0</v>
      </c>
      <c r="I25" s="44">
        <f t="shared" si="1"/>
        <v>0</v>
      </c>
      <c r="J25" s="330" t="str">
        <f t="shared" si="2"/>
        <v/>
      </c>
      <c r="K25" s="743">
        <f t="shared" si="7"/>
        <v>0</v>
      </c>
      <c r="L25" s="424"/>
      <c r="M25" s="38"/>
      <c r="N25" s="38"/>
      <c r="O25" s="38"/>
      <c r="P25" s="38"/>
      <c r="Q25" s="38"/>
      <c r="R25" s="38"/>
      <c r="S25" s="38"/>
      <c r="T25" s="38"/>
      <c r="U25" s="38"/>
      <c r="V25" s="38"/>
      <c r="W25" s="38"/>
    </row>
    <row r="26" spans="1:23" ht="11.25" customHeight="1" x14ac:dyDescent="0.25">
      <c r="A26" s="407">
        <f>'Org structure'!E22</f>
        <v>0</v>
      </c>
      <c r="B26" s="445"/>
      <c r="C26" s="739">
        <v>0</v>
      </c>
      <c r="D26" s="740">
        <v>0</v>
      </c>
      <c r="E26" s="741">
        <v>0</v>
      </c>
      <c r="F26" s="742">
        <v>0</v>
      </c>
      <c r="G26" s="741">
        <v>0</v>
      </c>
      <c r="H26" s="742">
        <f t="shared" si="6"/>
        <v>0</v>
      </c>
      <c r="I26" s="44">
        <f t="shared" si="1"/>
        <v>0</v>
      </c>
      <c r="J26" s="330" t="str">
        <f t="shared" si="2"/>
        <v/>
      </c>
      <c r="K26" s="743">
        <f t="shared" si="7"/>
        <v>0</v>
      </c>
      <c r="L26" s="424"/>
      <c r="M26" s="38"/>
      <c r="N26" s="38"/>
      <c r="O26" s="38"/>
      <c r="P26" s="38"/>
      <c r="Q26" s="38"/>
      <c r="R26" s="38"/>
      <c r="S26" s="38"/>
      <c r="T26" s="38"/>
      <c r="U26" s="38"/>
      <c r="V26" s="38"/>
      <c r="W26" s="38"/>
    </row>
    <row r="27" spans="1:23" ht="11.25" customHeight="1" x14ac:dyDescent="0.25">
      <c r="A27" s="407">
        <f>'Org structure'!E23</f>
        <v>0</v>
      </c>
      <c r="B27" s="445"/>
      <c r="C27" s="739">
        <v>0</v>
      </c>
      <c r="D27" s="740">
        <v>0</v>
      </c>
      <c r="E27" s="741">
        <v>0</v>
      </c>
      <c r="F27" s="742">
        <v>0</v>
      </c>
      <c r="G27" s="741">
        <v>0</v>
      </c>
      <c r="H27" s="742">
        <f t="shared" si="6"/>
        <v>0</v>
      </c>
      <c r="I27" s="44">
        <f t="shared" si="1"/>
        <v>0</v>
      </c>
      <c r="J27" s="330" t="str">
        <f t="shared" si="2"/>
        <v/>
      </c>
      <c r="K27" s="743">
        <f t="shared" si="7"/>
        <v>0</v>
      </c>
      <c r="L27" s="424"/>
      <c r="M27" s="38"/>
      <c r="N27" s="38"/>
      <c r="O27" s="38"/>
      <c r="P27" s="38"/>
      <c r="Q27" s="38"/>
      <c r="R27" s="38"/>
      <c r="S27" s="38"/>
      <c r="T27" s="38"/>
      <c r="U27" s="38"/>
      <c r="V27" s="38"/>
      <c r="W27" s="38"/>
    </row>
    <row r="28" spans="1:23" ht="11.25" customHeight="1" x14ac:dyDescent="0.25">
      <c r="A28" s="466" t="str">
        <f>'Org structure'!A4</f>
        <v>Vote 3 - WATER AND SANITATION</v>
      </c>
      <c r="B28" s="440"/>
      <c r="C28" s="503">
        <f t="shared" ref="C28:K28" si="8">SUM(C29:C38)</f>
        <v>335232857.96999997</v>
      </c>
      <c r="D28" s="444">
        <f t="shared" si="8"/>
        <v>471441984</v>
      </c>
      <c r="E28" s="441">
        <f t="shared" si="8"/>
        <v>380589478</v>
      </c>
      <c r="F28" s="443">
        <f t="shared" si="8"/>
        <v>24830685</v>
      </c>
      <c r="G28" s="441">
        <f t="shared" si="8"/>
        <v>266523310</v>
      </c>
      <c r="H28" s="443">
        <f t="shared" si="8"/>
        <v>317157898.33333331</v>
      </c>
      <c r="I28" s="44">
        <f t="shared" si="1"/>
        <v>-50634588.333333313</v>
      </c>
      <c r="J28" s="330">
        <f t="shared" si="2"/>
        <v>-0.15965104006369818</v>
      </c>
      <c r="K28" s="442">
        <f t="shared" si="8"/>
        <v>380589478</v>
      </c>
      <c r="L28" s="424"/>
      <c r="M28" s="38"/>
      <c r="N28" s="38"/>
      <c r="O28" s="38"/>
      <c r="P28" s="38"/>
      <c r="Q28" s="38"/>
      <c r="R28" s="38"/>
      <c r="S28" s="38"/>
      <c r="T28" s="38"/>
      <c r="U28" s="38"/>
      <c r="V28" s="38"/>
      <c r="W28" s="38"/>
    </row>
    <row r="29" spans="1:23" ht="11.25" customHeight="1" x14ac:dyDescent="0.25">
      <c r="A29" s="407" t="str">
        <f>'Org structure'!E25</f>
        <v>3.1 - WATER AND SANITATION ADMIN</v>
      </c>
      <c r="B29" s="445"/>
      <c r="C29" s="739">
        <v>93519648.439999998</v>
      </c>
      <c r="D29" s="740">
        <v>996</v>
      </c>
      <c r="E29" s="741">
        <v>996</v>
      </c>
      <c r="F29" s="742">
        <v>0</v>
      </c>
      <c r="G29" s="741">
        <v>0</v>
      </c>
      <c r="H29" s="741">
        <f t="shared" ref="H29:H38" si="9">E29/12*10</f>
        <v>830</v>
      </c>
      <c r="I29" s="258">
        <f t="shared" si="1"/>
        <v>-830</v>
      </c>
      <c r="J29" s="330">
        <f t="shared" si="2"/>
        <v>-1</v>
      </c>
      <c r="K29" s="743">
        <f>E29</f>
        <v>996</v>
      </c>
      <c r="L29" s="424"/>
      <c r="M29" s="38"/>
      <c r="N29" s="38"/>
      <c r="O29" s="38"/>
      <c r="P29" s="38"/>
      <c r="Q29" s="38"/>
      <c r="R29" s="38"/>
      <c r="S29" s="38"/>
      <c r="T29" s="38"/>
      <c r="U29" s="38"/>
      <c r="V29" s="38"/>
      <c r="W29" s="38"/>
    </row>
    <row r="30" spans="1:23" ht="11.25" customHeight="1" x14ac:dyDescent="0.25">
      <c r="A30" s="407" t="str">
        <f>'Org structure'!E26</f>
        <v>3.2 - RETICULATION, DISTRIBUTIION AND MAITENANCE, WATER DEMAND AND COSERVATION</v>
      </c>
      <c r="B30" s="445"/>
      <c r="C30" s="739">
        <v>232557541.48999998</v>
      </c>
      <c r="D30" s="740">
        <v>329637996</v>
      </c>
      <c r="E30" s="741">
        <v>238785490</v>
      </c>
      <c r="F30" s="742">
        <v>14110805</v>
      </c>
      <c r="G30" s="741">
        <v>172331206</v>
      </c>
      <c r="H30" s="742">
        <f t="shared" si="9"/>
        <v>198987908.33333331</v>
      </c>
      <c r="I30" s="44">
        <f t="shared" si="1"/>
        <v>-26656702.333333313</v>
      </c>
      <c r="J30" s="330">
        <f t="shared" si="2"/>
        <v>-0.13396141783991974</v>
      </c>
      <c r="K30" s="743">
        <f t="shared" ref="K30:K38" si="10">E30</f>
        <v>238785490</v>
      </c>
      <c r="L30" s="424"/>
      <c r="M30" s="38"/>
      <c r="N30" s="38"/>
      <c r="O30" s="38"/>
      <c r="P30" s="38"/>
      <c r="Q30" s="38"/>
      <c r="R30" s="38"/>
      <c r="S30" s="38"/>
      <c r="T30" s="38"/>
      <c r="U30" s="38"/>
      <c r="V30" s="38"/>
      <c r="W30" s="38"/>
    </row>
    <row r="31" spans="1:23" ht="11.25" customHeight="1" x14ac:dyDescent="0.25">
      <c r="A31" s="407" t="str">
        <f>'Org structure'!E27</f>
        <v>3.3 - OPERATIONS, WATER AND WASTE WATER, QUALITY MANAGEMENT AND LABORATORY SERVICES</v>
      </c>
      <c r="B31" s="445"/>
      <c r="C31" s="739">
        <v>9155668.0399999991</v>
      </c>
      <c r="D31" s="740">
        <v>141801000</v>
      </c>
      <c r="E31" s="741">
        <v>141801000</v>
      </c>
      <c r="F31" s="742">
        <v>10719880</v>
      </c>
      <c r="G31" s="741">
        <v>94192104</v>
      </c>
      <c r="H31" s="742">
        <f t="shared" si="9"/>
        <v>118167500</v>
      </c>
      <c r="I31" s="44">
        <f t="shared" si="1"/>
        <v>-23975396</v>
      </c>
      <c r="J31" s="330">
        <f t="shared" si="2"/>
        <v>-0.20289331669029131</v>
      </c>
      <c r="K31" s="743">
        <f t="shared" si="10"/>
        <v>141801000</v>
      </c>
      <c r="L31" s="424"/>
      <c r="M31" s="38"/>
      <c r="N31" s="38"/>
      <c r="O31" s="38"/>
      <c r="P31" s="38"/>
      <c r="Q31" s="38"/>
      <c r="R31" s="38"/>
      <c r="S31" s="38"/>
      <c r="T31" s="38"/>
      <c r="U31" s="38"/>
      <c r="V31" s="38"/>
      <c r="W31" s="38"/>
    </row>
    <row r="32" spans="1:23" ht="11.25" customHeight="1" x14ac:dyDescent="0.25">
      <c r="A32" s="407" t="str">
        <f>'Org structure'!E28</f>
        <v>3.4 - QUALITY MONITORING SERVICES</v>
      </c>
      <c r="B32" s="445"/>
      <c r="C32" s="739">
        <v>0</v>
      </c>
      <c r="D32" s="740">
        <v>996</v>
      </c>
      <c r="E32" s="741">
        <v>996</v>
      </c>
      <c r="F32" s="742">
        <v>0</v>
      </c>
      <c r="G32" s="741">
        <v>0</v>
      </c>
      <c r="H32" s="742">
        <f t="shared" si="9"/>
        <v>830</v>
      </c>
      <c r="I32" s="44">
        <f t="shared" si="1"/>
        <v>-830</v>
      </c>
      <c r="J32" s="330">
        <f t="shared" si="2"/>
        <v>-1</v>
      </c>
      <c r="K32" s="743">
        <f t="shared" si="10"/>
        <v>996</v>
      </c>
      <c r="L32" s="424"/>
      <c r="M32" s="38"/>
      <c r="N32" s="38"/>
      <c r="O32" s="38"/>
      <c r="P32" s="38"/>
      <c r="Q32" s="38"/>
      <c r="R32" s="38"/>
      <c r="S32" s="38"/>
      <c r="T32" s="38"/>
      <c r="U32" s="38"/>
      <c r="V32" s="38"/>
      <c r="W32" s="38"/>
    </row>
    <row r="33" spans="1:23" ht="11.25" customHeight="1" x14ac:dyDescent="0.25">
      <c r="A33" s="407" t="str">
        <f>'Org structure'!E29</f>
        <v>3.5 - RETICULATION, DISTRIBUTIION AND MAITENANCE, WATER DEMAND AND COSERVATION</v>
      </c>
      <c r="B33" s="445"/>
      <c r="C33" s="739">
        <v>0</v>
      </c>
      <c r="D33" s="740">
        <v>996</v>
      </c>
      <c r="E33" s="741">
        <v>996</v>
      </c>
      <c r="F33" s="742">
        <v>0</v>
      </c>
      <c r="G33" s="741">
        <v>0</v>
      </c>
      <c r="H33" s="742">
        <f t="shared" si="9"/>
        <v>830</v>
      </c>
      <c r="I33" s="44">
        <f t="shared" si="1"/>
        <v>-830</v>
      </c>
      <c r="J33" s="330">
        <f t="shared" si="2"/>
        <v>-1</v>
      </c>
      <c r="K33" s="743">
        <f t="shared" si="10"/>
        <v>996</v>
      </c>
      <c r="L33" s="424"/>
      <c r="M33" s="38"/>
      <c r="N33" s="38"/>
      <c r="O33" s="38"/>
      <c r="P33" s="38"/>
      <c r="Q33" s="38"/>
      <c r="R33" s="38"/>
      <c r="S33" s="38"/>
      <c r="T33" s="38"/>
      <c r="U33" s="38"/>
      <c r="V33" s="38"/>
      <c r="W33" s="38"/>
    </row>
    <row r="34" spans="1:23" ht="11.25" customHeight="1" x14ac:dyDescent="0.25">
      <c r="A34" s="407" t="str">
        <f>'Org structure'!E30</f>
        <v>3.6 - RETICULATION, DISTRIBUTIION AND MAITENANCE, WATER DEMAND AND COSERVATION</v>
      </c>
      <c r="B34" s="445"/>
      <c r="C34" s="739">
        <v>0</v>
      </c>
      <c r="D34" s="740">
        <v>0</v>
      </c>
      <c r="E34" s="741">
        <v>0</v>
      </c>
      <c r="F34" s="742">
        <v>0</v>
      </c>
      <c r="G34" s="741">
        <v>0</v>
      </c>
      <c r="H34" s="742">
        <f t="shared" si="9"/>
        <v>0</v>
      </c>
      <c r="I34" s="44">
        <f t="shared" si="1"/>
        <v>0</v>
      </c>
      <c r="J34" s="330" t="str">
        <f t="shared" si="2"/>
        <v/>
      </c>
      <c r="K34" s="743">
        <f t="shared" si="10"/>
        <v>0</v>
      </c>
      <c r="L34" s="424"/>
      <c r="M34" s="38"/>
      <c r="N34" s="38"/>
      <c r="O34" s="38"/>
      <c r="P34" s="38"/>
      <c r="Q34" s="38"/>
      <c r="R34" s="38"/>
      <c r="S34" s="38"/>
      <c r="T34" s="38"/>
      <c r="U34" s="38"/>
      <c r="V34" s="38"/>
      <c r="W34" s="38"/>
    </row>
    <row r="35" spans="1:23" ht="11.25" customHeight="1" x14ac:dyDescent="0.25">
      <c r="A35" s="407" t="str">
        <f>'Org structure'!E31</f>
        <v>3.7 - INFRASTRUCTURE DEVELOPMENT, PLANNING AND RETICULATION DESIGN</v>
      </c>
      <c r="B35" s="445"/>
      <c r="C35" s="739">
        <v>0</v>
      </c>
      <c r="D35" s="740">
        <v>0</v>
      </c>
      <c r="E35" s="741">
        <v>0</v>
      </c>
      <c r="F35" s="742">
        <v>0</v>
      </c>
      <c r="G35" s="741">
        <v>0</v>
      </c>
      <c r="H35" s="742">
        <f t="shared" si="9"/>
        <v>0</v>
      </c>
      <c r="I35" s="44">
        <f t="shared" si="1"/>
        <v>0</v>
      </c>
      <c r="J35" s="330" t="str">
        <f t="shared" si="2"/>
        <v/>
      </c>
      <c r="K35" s="743">
        <f t="shared" si="10"/>
        <v>0</v>
      </c>
      <c r="L35" s="424"/>
      <c r="M35" s="38"/>
      <c r="N35" s="38"/>
      <c r="O35" s="38"/>
      <c r="P35" s="38"/>
      <c r="Q35" s="38"/>
      <c r="R35" s="38"/>
      <c r="S35" s="38"/>
      <c r="T35" s="38"/>
      <c r="U35" s="38"/>
      <c r="V35" s="38"/>
      <c r="W35" s="38"/>
    </row>
    <row r="36" spans="1:23" ht="11.25" customHeight="1" x14ac:dyDescent="0.25">
      <c r="A36" s="407">
        <f>'Org structure'!E32</f>
        <v>0</v>
      </c>
      <c r="B36" s="445"/>
      <c r="C36" s="739">
        <v>0</v>
      </c>
      <c r="D36" s="740">
        <v>0</v>
      </c>
      <c r="E36" s="741">
        <v>0</v>
      </c>
      <c r="F36" s="742">
        <v>0</v>
      </c>
      <c r="G36" s="741">
        <v>0</v>
      </c>
      <c r="H36" s="742">
        <f t="shared" si="9"/>
        <v>0</v>
      </c>
      <c r="I36" s="44">
        <f t="shared" si="1"/>
        <v>0</v>
      </c>
      <c r="J36" s="330" t="str">
        <f t="shared" si="2"/>
        <v/>
      </c>
      <c r="K36" s="743">
        <f t="shared" si="10"/>
        <v>0</v>
      </c>
      <c r="L36" s="424"/>
      <c r="M36" s="38"/>
      <c r="N36" s="38"/>
      <c r="O36" s="38"/>
      <c r="P36" s="38"/>
      <c r="Q36" s="38"/>
      <c r="R36" s="38"/>
      <c r="S36" s="38"/>
      <c r="T36" s="38"/>
      <c r="U36" s="38"/>
      <c r="V36" s="38"/>
      <c r="W36" s="38"/>
    </row>
    <row r="37" spans="1:23" ht="11.25" customHeight="1" x14ac:dyDescent="0.25">
      <c r="A37" s="407">
        <f>'Org structure'!E33</f>
        <v>0</v>
      </c>
      <c r="B37" s="445"/>
      <c r="C37" s="739">
        <v>0</v>
      </c>
      <c r="D37" s="740">
        <v>0</v>
      </c>
      <c r="E37" s="741">
        <v>0</v>
      </c>
      <c r="F37" s="742">
        <v>0</v>
      </c>
      <c r="G37" s="741">
        <v>0</v>
      </c>
      <c r="H37" s="742">
        <f t="shared" si="9"/>
        <v>0</v>
      </c>
      <c r="I37" s="44">
        <f t="shared" si="1"/>
        <v>0</v>
      </c>
      <c r="J37" s="330" t="str">
        <f t="shared" si="2"/>
        <v/>
      </c>
      <c r="K37" s="743">
        <f t="shared" si="10"/>
        <v>0</v>
      </c>
      <c r="L37" s="424"/>
      <c r="M37" s="38"/>
      <c r="N37" s="38"/>
      <c r="O37" s="38"/>
      <c r="P37" s="38"/>
      <c r="Q37" s="38"/>
      <c r="R37" s="38"/>
      <c r="S37" s="38"/>
      <c r="T37" s="38"/>
      <c r="U37" s="38"/>
      <c r="V37" s="38"/>
      <c r="W37" s="38"/>
    </row>
    <row r="38" spans="1:23" ht="11.25" customHeight="1" x14ac:dyDescent="0.25">
      <c r="A38" s="407">
        <f>'Org structure'!E34</f>
        <v>0</v>
      </c>
      <c r="B38" s="445"/>
      <c r="C38" s="739">
        <v>0</v>
      </c>
      <c r="D38" s="740">
        <v>0</v>
      </c>
      <c r="E38" s="741">
        <v>0</v>
      </c>
      <c r="F38" s="742">
        <v>0</v>
      </c>
      <c r="G38" s="741">
        <v>0</v>
      </c>
      <c r="H38" s="742">
        <f t="shared" si="9"/>
        <v>0</v>
      </c>
      <c r="I38" s="44">
        <f t="shared" si="1"/>
        <v>0</v>
      </c>
      <c r="J38" s="330" t="str">
        <f t="shared" si="2"/>
        <v/>
      </c>
      <c r="K38" s="743">
        <f t="shared" si="10"/>
        <v>0</v>
      </c>
      <c r="L38" s="424"/>
      <c r="M38" s="38"/>
      <c r="N38" s="38"/>
      <c r="O38" s="38"/>
      <c r="P38" s="38"/>
      <c r="Q38" s="38"/>
      <c r="R38" s="38"/>
      <c r="S38" s="38"/>
      <c r="T38" s="38"/>
      <c r="U38" s="38"/>
      <c r="V38" s="38"/>
      <c r="W38" s="38"/>
    </row>
    <row r="39" spans="1:23" ht="11.25" customHeight="1" x14ac:dyDescent="0.25">
      <c r="A39" s="466" t="str">
        <f>'Org structure'!A5</f>
        <v>Vote 4 - ENERGY</v>
      </c>
      <c r="B39" s="440"/>
      <c r="C39" s="503">
        <f t="shared" ref="C39:K39" si="11">SUM(C40:C49)</f>
        <v>899847508.55999994</v>
      </c>
      <c r="D39" s="444">
        <f t="shared" si="11"/>
        <v>1355755992</v>
      </c>
      <c r="E39" s="441">
        <f t="shared" si="11"/>
        <v>1234593773</v>
      </c>
      <c r="F39" s="443">
        <f t="shared" si="11"/>
        <v>120672914</v>
      </c>
      <c r="G39" s="441">
        <f t="shared" si="11"/>
        <v>876629367</v>
      </c>
      <c r="H39" s="443">
        <f t="shared" si="11"/>
        <v>1028828144.1666667</v>
      </c>
      <c r="I39" s="44">
        <f t="shared" si="1"/>
        <v>-152198777.16666675</v>
      </c>
      <c r="J39" s="330">
        <f t="shared" si="2"/>
        <v>-0.14793411127953265</v>
      </c>
      <c r="K39" s="442">
        <f t="shared" si="11"/>
        <v>1234593773</v>
      </c>
      <c r="L39" s="424"/>
      <c r="M39" s="38"/>
      <c r="N39" s="38"/>
      <c r="O39" s="38"/>
      <c r="P39" s="38"/>
      <c r="Q39" s="38"/>
      <c r="R39" s="38"/>
      <c r="S39" s="38"/>
      <c r="T39" s="38"/>
      <c r="U39" s="38"/>
      <c r="V39" s="38"/>
      <c r="W39" s="38"/>
    </row>
    <row r="40" spans="1:23" ht="11.25" customHeight="1" x14ac:dyDescent="0.25">
      <c r="A40" s="407" t="str">
        <f>'Org structure'!E36</f>
        <v>4.1 - ENERGY SERVICES ADMIN</v>
      </c>
      <c r="B40" s="445"/>
      <c r="C40" s="739">
        <v>899845730.13</v>
      </c>
      <c r="D40" s="740">
        <v>996</v>
      </c>
      <c r="E40" s="741">
        <v>996</v>
      </c>
      <c r="F40" s="742">
        <v>0</v>
      </c>
      <c r="G40" s="741">
        <v>0</v>
      </c>
      <c r="H40" s="742">
        <f t="shared" ref="H40:H49" si="12">E40/12*10</f>
        <v>830</v>
      </c>
      <c r="I40" s="44">
        <f t="shared" si="1"/>
        <v>-830</v>
      </c>
      <c r="J40" s="330">
        <f t="shared" si="2"/>
        <v>-1</v>
      </c>
      <c r="K40" s="743">
        <f t="shared" ref="K40:K49" si="13">E40</f>
        <v>996</v>
      </c>
      <c r="L40" s="424"/>
      <c r="M40" s="38"/>
      <c r="N40" s="38"/>
      <c r="O40" s="38"/>
      <c r="P40" s="38"/>
      <c r="Q40" s="38"/>
      <c r="R40" s="38"/>
      <c r="S40" s="38"/>
      <c r="T40" s="38"/>
      <c r="U40" s="38"/>
      <c r="V40" s="38"/>
      <c r="W40" s="38"/>
    </row>
    <row r="41" spans="1:23" ht="11.25" customHeight="1" x14ac:dyDescent="0.25">
      <c r="A41" s="407" t="str">
        <f>'Org structure'!E37</f>
        <v>4.2 - ENERGY OPERATIONS AND MAITENANCE ADMINISTRATION</v>
      </c>
      <c r="B41" s="445"/>
      <c r="C41" s="739">
        <v>1778.43</v>
      </c>
      <c r="D41" s="740">
        <v>1355752008</v>
      </c>
      <c r="E41" s="741">
        <v>1234589789</v>
      </c>
      <c r="F41" s="742">
        <v>120672914</v>
      </c>
      <c r="G41" s="741">
        <v>876629367</v>
      </c>
      <c r="H41" s="742">
        <f t="shared" si="12"/>
        <v>1028824824.1666667</v>
      </c>
      <c r="I41" s="44">
        <f t="shared" si="1"/>
        <v>-152195457.16666675</v>
      </c>
      <c r="J41" s="330">
        <f t="shared" si="2"/>
        <v>-0.14793136167757506</v>
      </c>
      <c r="K41" s="743">
        <f t="shared" si="13"/>
        <v>1234589789</v>
      </c>
      <c r="L41" s="424"/>
      <c r="M41" s="38"/>
      <c r="N41" s="38"/>
      <c r="O41" s="38"/>
      <c r="P41" s="38"/>
      <c r="Q41" s="38"/>
      <c r="R41" s="38"/>
      <c r="S41" s="38"/>
      <c r="T41" s="38"/>
      <c r="U41" s="38"/>
      <c r="V41" s="38"/>
      <c r="W41" s="38"/>
    </row>
    <row r="42" spans="1:23" ht="11.25" customHeight="1" x14ac:dyDescent="0.25">
      <c r="A42" s="407" t="str">
        <f>'Org structure'!E38</f>
        <v>4.3 - ENERGY SERVICES: 66KV OPERATIONS, MAITENANCE. SCADA AND PROTECTION</v>
      </c>
      <c r="B42" s="445"/>
      <c r="C42" s="739">
        <v>0</v>
      </c>
      <c r="D42" s="740">
        <v>996</v>
      </c>
      <c r="E42" s="741">
        <v>996</v>
      </c>
      <c r="F42" s="742">
        <v>0</v>
      </c>
      <c r="G42" s="741">
        <v>0</v>
      </c>
      <c r="H42" s="742">
        <f t="shared" si="12"/>
        <v>830</v>
      </c>
      <c r="I42" s="44">
        <f t="shared" si="1"/>
        <v>-830</v>
      </c>
      <c r="J42" s="330">
        <f t="shared" si="2"/>
        <v>-1</v>
      </c>
      <c r="K42" s="743">
        <f t="shared" si="13"/>
        <v>996</v>
      </c>
      <c r="L42" s="424"/>
      <c r="M42" s="38"/>
      <c r="N42" s="38"/>
      <c r="O42" s="38"/>
      <c r="P42" s="38"/>
      <c r="Q42" s="38"/>
      <c r="R42" s="38"/>
      <c r="S42" s="38"/>
      <c r="T42" s="38"/>
      <c r="U42" s="38"/>
      <c r="V42" s="38"/>
      <c r="W42" s="38"/>
    </row>
    <row r="43" spans="1:23" ht="11.25" customHeight="1" x14ac:dyDescent="0.25">
      <c r="A43" s="407" t="str">
        <f>'Org structure'!E39</f>
        <v>4.4 - ENERGY SERVICES: 11KV OPERATIONS, MAITENANCE. AND CONSTRUCTION</v>
      </c>
      <c r="B43" s="445"/>
      <c r="C43" s="739">
        <v>0</v>
      </c>
      <c r="D43" s="740">
        <v>996</v>
      </c>
      <c r="E43" s="741">
        <v>996</v>
      </c>
      <c r="F43" s="742">
        <v>0</v>
      </c>
      <c r="G43" s="741">
        <v>0</v>
      </c>
      <c r="H43" s="742">
        <f t="shared" si="12"/>
        <v>830</v>
      </c>
      <c r="I43" s="44">
        <f t="shared" si="1"/>
        <v>-830</v>
      </c>
      <c r="J43" s="330">
        <f t="shared" si="2"/>
        <v>-1</v>
      </c>
      <c r="K43" s="743">
        <f t="shared" si="13"/>
        <v>996</v>
      </c>
      <c r="L43" s="424"/>
      <c r="M43" s="38"/>
      <c r="N43" s="38"/>
      <c r="O43" s="38"/>
      <c r="P43" s="38"/>
      <c r="Q43" s="38"/>
      <c r="R43" s="38"/>
      <c r="S43" s="38"/>
      <c r="T43" s="38"/>
      <c r="U43" s="38"/>
      <c r="V43" s="38"/>
      <c r="W43" s="38"/>
    </row>
    <row r="44" spans="1:23" ht="11.25" customHeight="1" x14ac:dyDescent="0.25">
      <c r="A44" s="407" t="str">
        <f>'Org structure'!E40</f>
        <v>4.5 - ENERGY SERVICES : PLANNING AND DEVELOPMENT</v>
      </c>
      <c r="B44" s="445"/>
      <c r="C44" s="739">
        <v>0</v>
      </c>
      <c r="D44" s="740">
        <v>996</v>
      </c>
      <c r="E44" s="741">
        <v>996</v>
      </c>
      <c r="F44" s="742">
        <v>0</v>
      </c>
      <c r="G44" s="741">
        <v>0</v>
      </c>
      <c r="H44" s="742">
        <f t="shared" si="12"/>
        <v>830</v>
      </c>
      <c r="I44" s="44">
        <f t="shared" si="1"/>
        <v>-830</v>
      </c>
      <c r="J44" s="330">
        <f t="shared" si="2"/>
        <v>-1</v>
      </c>
      <c r="K44" s="743">
        <f t="shared" si="13"/>
        <v>996</v>
      </c>
      <c r="L44" s="424"/>
      <c r="M44" s="38"/>
      <c r="N44" s="38"/>
      <c r="O44" s="38"/>
      <c r="P44" s="38"/>
      <c r="Q44" s="38"/>
      <c r="R44" s="38"/>
      <c r="S44" s="38"/>
      <c r="T44" s="38"/>
      <c r="U44" s="38"/>
      <c r="V44" s="38"/>
      <c r="W44" s="38"/>
    </row>
    <row r="45" spans="1:23" ht="11.25" customHeight="1" x14ac:dyDescent="0.25">
      <c r="A45" s="407">
        <f>'Org structure'!E41</f>
        <v>0</v>
      </c>
      <c r="B45" s="445"/>
      <c r="C45" s="739">
        <v>0</v>
      </c>
      <c r="D45" s="740">
        <v>0</v>
      </c>
      <c r="E45" s="741">
        <v>0</v>
      </c>
      <c r="F45" s="742">
        <v>0</v>
      </c>
      <c r="G45" s="741">
        <v>0</v>
      </c>
      <c r="H45" s="742">
        <f t="shared" si="12"/>
        <v>0</v>
      </c>
      <c r="I45" s="44">
        <f t="shared" si="1"/>
        <v>0</v>
      </c>
      <c r="J45" s="330" t="str">
        <f t="shared" si="2"/>
        <v/>
      </c>
      <c r="K45" s="743">
        <f t="shared" si="13"/>
        <v>0</v>
      </c>
      <c r="L45" s="424"/>
      <c r="M45" s="38"/>
      <c r="N45" s="38"/>
      <c r="O45" s="38"/>
      <c r="P45" s="38"/>
      <c r="Q45" s="38"/>
      <c r="R45" s="38"/>
      <c r="S45" s="38"/>
      <c r="T45" s="38"/>
      <c r="U45" s="38"/>
      <c r="V45" s="38"/>
      <c r="W45" s="38"/>
    </row>
    <row r="46" spans="1:23" ht="11.25" customHeight="1" x14ac:dyDescent="0.25">
      <c r="A46" s="407">
        <f>'Org structure'!E42</f>
        <v>0</v>
      </c>
      <c r="B46" s="445"/>
      <c r="C46" s="739">
        <v>0</v>
      </c>
      <c r="D46" s="740">
        <v>0</v>
      </c>
      <c r="E46" s="741">
        <v>0</v>
      </c>
      <c r="F46" s="742">
        <v>0</v>
      </c>
      <c r="G46" s="741">
        <v>0</v>
      </c>
      <c r="H46" s="742">
        <f t="shared" si="12"/>
        <v>0</v>
      </c>
      <c r="I46" s="44">
        <f t="shared" si="1"/>
        <v>0</v>
      </c>
      <c r="J46" s="330" t="str">
        <f t="shared" si="2"/>
        <v/>
      </c>
      <c r="K46" s="743">
        <f t="shared" si="13"/>
        <v>0</v>
      </c>
      <c r="L46" s="424"/>
      <c r="M46" s="38"/>
      <c r="N46" s="38"/>
      <c r="O46" s="38"/>
      <c r="P46" s="38"/>
      <c r="Q46" s="38"/>
      <c r="R46" s="38"/>
      <c r="S46" s="38"/>
      <c r="T46" s="38"/>
      <c r="U46" s="38"/>
      <c r="V46" s="38"/>
      <c r="W46" s="38"/>
    </row>
    <row r="47" spans="1:23" ht="11.25" customHeight="1" x14ac:dyDescent="0.25">
      <c r="A47" s="407">
        <f>'Org structure'!E43</f>
        <v>0</v>
      </c>
      <c r="B47" s="445"/>
      <c r="C47" s="739">
        <v>0</v>
      </c>
      <c r="D47" s="740">
        <v>0</v>
      </c>
      <c r="E47" s="741">
        <v>0</v>
      </c>
      <c r="F47" s="742">
        <v>0</v>
      </c>
      <c r="G47" s="741">
        <v>0</v>
      </c>
      <c r="H47" s="742">
        <f t="shared" si="12"/>
        <v>0</v>
      </c>
      <c r="I47" s="44">
        <f t="shared" si="1"/>
        <v>0</v>
      </c>
      <c r="J47" s="330" t="str">
        <f t="shared" si="2"/>
        <v/>
      </c>
      <c r="K47" s="743">
        <f t="shared" si="13"/>
        <v>0</v>
      </c>
      <c r="L47" s="424"/>
      <c r="M47" s="38"/>
      <c r="N47" s="38"/>
      <c r="O47" s="38"/>
      <c r="P47" s="38"/>
      <c r="Q47" s="38"/>
      <c r="R47" s="38"/>
      <c r="S47" s="38"/>
      <c r="T47" s="38"/>
      <c r="U47" s="38"/>
      <c r="V47" s="38"/>
      <c r="W47" s="38"/>
    </row>
    <row r="48" spans="1:23" ht="11.25" customHeight="1" x14ac:dyDescent="0.25">
      <c r="A48" s="407">
        <f>'Org structure'!E44</f>
        <v>0</v>
      </c>
      <c r="B48" s="445"/>
      <c r="C48" s="739">
        <v>0</v>
      </c>
      <c r="D48" s="740">
        <v>0</v>
      </c>
      <c r="E48" s="741">
        <v>0</v>
      </c>
      <c r="F48" s="742">
        <v>0</v>
      </c>
      <c r="G48" s="741">
        <v>0</v>
      </c>
      <c r="H48" s="742">
        <f t="shared" si="12"/>
        <v>0</v>
      </c>
      <c r="I48" s="44">
        <f t="shared" si="1"/>
        <v>0</v>
      </c>
      <c r="J48" s="330" t="str">
        <f t="shared" si="2"/>
        <v/>
      </c>
      <c r="K48" s="743">
        <f t="shared" si="13"/>
        <v>0</v>
      </c>
      <c r="L48" s="424"/>
      <c r="M48" s="38"/>
      <c r="N48" s="38"/>
      <c r="O48" s="38"/>
      <c r="P48" s="38"/>
      <c r="Q48" s="38"/>
      <c r="R48" s="38"/>
      <c r="S48" s="38"/>
      <c r="T48" s="38"/>
      <c r="U48" s="38"/>
      <c r="V48" s="38"/>
      <c r="W48" s="38"/>
    </row>
    <row r="49" spans="1:23" ht="11.25" customHeight="1" x14ac:dyDescent="0.25">
      <c r="A49" s="407">
        <f>'Org structure'!E45</f>
        <v>0</v>
      </c>
      <c r="B49" s="445"/>
      <c r="C49" s="739">
        <v>0</v>
      </c>
      <c r="D49" s="740">
        <v>0</v>
      </c>
      <c r="E49" s="741">
        <v>0</v>
      </c>
      <c r="F49" s="742">
        <v>0</v>
      </c>
      <c r="G49" s="741">
        <v>0</v>
      </c>
      <c r="H49" s="742">
        <f t="shared" si="12"/>
        <v>0</v>
      </c>
      <c r="I49" s="44">
        <f t="shared" si="1"/>
        <v>0</v>
      </c>
      <c r="J49" s="330" t="str">
        <f t="shared" si="2"/>
        <v/>
      </c>
      <c r="K49" s="743">
        <f t="shared" si="13"/>
        <v>0</v>
      </c>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110847776.61</v>
      </c>
      <c r="D50" s="444">
        <f t="shared" ref="D50:K50" si="14">SUM(D51:D60)</f>
        <v>151340964</v>
      </c>
      <c r="E50" s="441">
        <f t="shared" si="14"/>
        <v>135846718</v>
      </c>
      <c r="F50" s="443">
        <f t="shared" si="14"/>
        <v>10779010</v>
      </c>
      <c r="G50" s="441">
        <f t="shared" si="14"/>
        <v>110140484</v>
      </c>
      <c r="H50" s="443">
        <f t="shared" si="14"/>
        <v>113205598.33333334</v>
      </c>
      <c r="I50" s="44">
        <f t="shared" si="1"/>
        <v>-3065114.3333333433</v>
      </c>
      <c r="J50" s="330">
        <f t="shared" si="2"/>
        <v>-2.707564271077945E-2</v>
      </c>
      <c r="K50" s="442">
        <f t="shared" si="14"/>
        <v>135846718</v>
      </c>
      <c r="L50" s="424"/>
      <c r="M50" s="38"/>
      <c r="N50" s="38"/>
      <c r="O50" s="38"/>
      <c r="P50" s="38"/>
      <c r="Q50" s="38"/>
      <c r="R50" s="38"/>
      <c r="S50" s="38"/>
      <c r="T50" s="38"/>
      <c r="U50" s="38"/>
      <c r="V50" s="38"/>
      <c r="W50" s="38"/>
    </row>
    <row r="51" spans="1:23" ht="11.25" customHeight="1" x14ac:dyDescent="0.25">
      <c r="A51" s="407" t="str">
        <f>'Org structure'!E47</f>
        <v>5.1 - DIRECTORATE COMMUNITY SERVICES</v>
      </c>
      <c r="B51" s="445"/>
      <c r="C51" s="739">
        <v>0</v>
      </c>
      <c r="D51" s="740">
        <v>0</v>
      </c>
      <c r="E51" s="741">
        <v>0</v>
      </c>
      <c r="F51" s="742">
        <v>0</v>
      </c>
      <c r="G51" s="741">
        <v>0</v>
      </c>
      <c r="H51" s="742">
        <f t="shared" ref="H51:H60" si="15">E51/12*10</f>
        <v>0</v>
      </c>
      <c r="I51" s="44">
        <f t="shared" si="1"/>
        <v>0</v>
      </c>
      <c r="J51" s="330" t="str">
        <f t="shared" si="2"/>
        <v/>
      </c>
      <c r="K51" s="743">
        <f t="shared" ref="K51:K60" si="16">E51</f>
        <v>0</v>
      </c>
      <c r="L51" s="424"/>
      <c r="M51" s="38"/>
      <c r="N51" s="38"/>
      <c r="O51" s="38"/>
      <c r="P51" s="38"/>
      <c r="Q51" s="38"/>
      <c r="R51" s="38"/>
      <c r="S51" s="38"/>
      <c r="T51" s="38"/>
      <c r="U51" s="38"/>
      <c r="V51" s="38"/>
      <c r="W51" s="38"/>
    </row>
    <row r="52" spans="1:23" ht="11.25" customHeight="1" x14ac:dyDescent="0.25">
      <c r="A52" s="407" t="str">
        <f>'Org structure'!E48</f>
        <v>5.2 - SPORT AND RECREATION (ADMINISTRATION)</v>
      </c>
      <c r="B52" s="445"/>
      <c r="C52" s="739">
        <v>3356155.4</v>
      </c>
      <c r="D52" s="740">
        <v>8757984</v>
      </c>
      <c r="E52" s="741">
        <v>8757984</v>
      </c>
      <c r="F52" s="742">
        <v>24345</v>
      </c>
      <c r="G52" s="741">
        <v>289935</v>
      </c>
      <c r="H52" s="742">
        <f t="shared" si="15"/>
        <v>7298320</v>
      </c>
      <c r="I52" s="44">
        <f t="shared" si="1"/>
        <v>-7008385</v>
      </c>
      <c r="J52" s="330">
        <f t="shared" si="2"/>
        <v>-0.96027373422924733</v>
      </c>
      <c r="K52" s="743">
        <f t="shared" si="16"/>
        <v>8757984</v>
      </c>
      <c r="L52" s="424"/>
      <c r="M52" s="38"/>
      <c r="N52" s="38"/>
      <c r="O52" s="38"/>
      <c r="P52" s="38"/>
      <c r="Q52" s="38"/>
      <c r="R52" s="38"/>
      <c r="S52" s="38"/>
      <c r="T52" s="38"/>
      <c r="U52" s="38"/>
      <c r="V52" s="38"/>
      <c r="W52" s="38"/>
    </row>
    <row r="53" spans="1:23" ht="11.25" customHeight="1" x14ac:dyDescent="0.25">
      <c r="A53" s="407" t="str">
        <f>'Org structure'!E49</f>
        <v>5.3 - SPORTS FACILITIES MAINTENANCE(NEW)</v>
      </c>
      <c r="B53" s="445"/>
      <c r="C53" s="739">
        <v>0</v>
      </c>
      <c r="D53" s="740">
        <v>1992</v>
      </c>
      <c r="E53" s="741">
        <v>1992</v>
      </c>
      <c r="F53" s="742">
        <v>10302969</v>
      </c>
      <c r="G53" s="741">
        <v>104107170</v>
      </c>
      <c r="H53" s="742">
        <f t="shared" si="15"/>
        <v>1660</v>
      </c>
      <c r="I53" s="44">
        <f t="shared" si="1"/>
        <v>104105510</v>
      </c>
      <c r="J53" s="330">
        <f t="shared" si="2"/>
        <v>62714.162650602411</v>
      </c>
      <c r="K53" s="743">
        <f t="shared" si="16"/>
        <v>1992</v>
      </c>
      <c r="L53" s="424"/>
      <c r="M53" s="38"/>
      <c r="N53" s="38"/>
      <c r="O53" s="38"/>
      <c r="P53" s="38"/>
      <c r="Q53" s="38"/>
      <c r="R53" s="38"/>
      <c r="S53" s="38"/>
      <c r="T53" s="38"/>
      <c r="U53" s="38"/>
      <c r="V53" s="38"/>
      <c r="W53" s="38"/>
    </row>
    <row r="54" spans="1:23" ht="11.25" customHeight="1" x14ac:dyDescent="0.25">
      <c r="A54" s="407" t="str">
        <f>'Org structure'!E50</f>
        <v>5.4 - RECREATION SERVICES (SWIMMING POOLS)</v>
      </c>
      <c r="B54" s="445"/>
      <c r="C54" s="739">
        <v>0</v>
      </c>
      <c r="D54" s="740">
        <v>606996</v>
      </c>
      <c r="E54" s="741">
        <v>606996</v>
      </c>
      <c r="F54" s="742">
        <v>0</v>
      </c>
      <c r="G54" s="741">
        <v>0</v>
      </c>
      <c r="H54" s="742">
        <f t="shared" si="15"/>
        <v>505830</v>
      </c>
      <c r="I54" s="44">
        <f t="shared" si="1"/>
        <v>-505830</v>
      </c>
      <c r="J54" s="330">
        <f t="shared" si="2"/>
        <v>-1</v>
      </c>
      <c r="K54" s="743">
        <f t="shared" si="16"/>
        <v>606996</v>
      </c>
      <c r="L54" s="424"/>
      <c r="M54" s="38"/>
      <c r="N54" s="38"/>
      <c r="O54" s="38"/>
      <c r="P54" s="38"/>
      <c r="Q54" s="38"/>
      <c r="R54" s="38"/>
      <c r="S54" s="38"/>
      <c r="T54" s="38"/>
      <c r="U54" s="38"/>
      <c r="V54" s="38"/>
      <c r="W54" s="38"/>
    </row>
    <row r="55" spans="1:23" ht="11.25" customHeight="1" x14ac:dyDescent="0.25">
      <c r="A55" s="407" t="str">
        <f>'Org structure'!E51</f>
        <v>5.5 - SPORTS FACILITIES MAINTENANCE(HORTICULTURAL SERVICES)</v>
      </c>
      <c r="B55" s="445"/>
      <c r="C55" s="739">
        <v>0</v>
      </c>
      <c r="D55" s="740">
        <v>222996</v>
      </c>
      <c r="E55" s="741">
        <v>222996</v>
      </c>
      <c r="F55" s="742">
        <v>132523</v>
      </c>
      <c r="G55" s="741">
        <v>851601</v>
      </c>
      <c r="H55" s="742">
        <f t="shared" si="15"/>
        <v>185830</v>
      </c>
      <c r="I55" s="44">
        <f t="shared" si="1"/>
        <v>665771</v>
      </c>
      <c r="J55" s="330">
        <f t="shared" si="2"/>
        <v>3.5826884787171069</v>
      </c>
      <c r="K55" s="743">
        <f t="shared" si="16"/>
        <v>222996</v>
      </c>
      <c r="L55" s="424"/>
      <c r="M55" s="38"/>
      <c r="N55" s="38"/>
      <c r="O55" s="38"/>
      <c r="P55" s="38"/>
      <c r="Q55" s="38"/>
      <c r="R55" s="38"/>
      <c r="S55" s="38"/>
      <c r="T55" s="38"/>
      <c r="U55" s="38"/>
      <c r="V55" s="38"/>
      <c r="W55" s="38"/>
    </row>
    <row r="56" spans="1:23" ht="11.25" customHeight="1" x14ac:dyDescent="0.25">
      <c r="A56" s="407" t="str">
        <f>'Org structure'!E57</f>
        <v>5.11 - ENVIRONMENTAL MANAGEMENT (ADMINISTRATION)</v>
      </c>
      <c r="B56" s="445"/>
      <c r="C56" s="739">
        <v>0</v>
      </c>
      <c r="D56" s="740">
        <v>382008</v>
      </c>
      <c r="E56" s="741">
        <v>382008</v>
      </c>
      <c r="F56" s="742">
        <v>0</v>
      </c>
      <c r="G56" s="741">
        <v>-1705</v>
      </c>
      <c r="H56" s="742">
        <f t="shared" si="15"/>
        <v>318340</v>
      </c>
      <c r="I56" s="44">
        <f t="shared" si="1"/>
        <v>-320045</v>
      </c>
      <c r="J56" s="330">
        <f t="shared" si="2"/>
        <v>-1.0053559087767796</v>
      </c>
      <c r="K56" s="743">
        <f t="shared" si="16"/>
        <v>382008</v>
      </c>
      <c r="L56" s="424"/>
      <c r="M56" s="38"/>
      <c r="N56" s="38"/>
      <c r="O56" s="38"/>
      <c r="P56" s="38"/>
      <c r="Q56" s="38"/>
      <c r="R56" s="38"/>
      <c r="S56" s="38"/>
      <c r="T56" s="38"/>
      <c r="U56" s="38"/>
      <c r="V56" s="38"/>
      <c r="W56" s="38"/>
    </row>
    <row r="57" spans="1:23" ht="11.25" customHeight="1" x14ac:dyDescent="0.25">
      <c r="A57" s="407" t="str">
        <f>'Org structure'!E62</f>
        <v>5.16 - WASTE MANAGEMENT (EDUCATION AND AWARENESS)</v>
      </c>
      <c r="B57" s="445"/>
      <c r="C57" s="739">
        <v>112856.54000000001</v>
      </c>
      <c r="D57" s="740">
        <v>1992</v>
      </c>
      <c r="E57" s="741">
        <v>1992</v>
      </c>
      <c r="F57" s="742">
        <v>0</v>
      </c>
      <c r="G57" s="741">
        <v>3328</v>
      </c>
      <c r="H57" s="742">
        <f t="shared" si="15"/>
        <v>1660</v>
      </c>
      <c r="I57" s="44">
        <f t="shared" si="1"/>
        <v>1668</v>
      </c>
      <c r="J57" s="330">
        <f t="shared" si="2"/>
        <v>1.0048192771084337</v>
      </c>
      <c r="K57" s="743">
        <f t="shared" si="16"/>
        <v>1992</v>
      </c>
      <c r="L57" s="424"/>
      <c r="M57" s="38"/>
      <c r="N57" s="38"/>
      <c r="O57" s="38"/>
      <c r="P57" s="38"/>
      <c r="Q57" s="38"/>
      <c r="R57" s="38"/>
      <c r="S57" s="38"/>
      <c r="T57" s="38"/>
      <c r="U57" s="38"/>
      <c r="V57" s="38"/>
      <c r="W57" s="38"/>
    </row>
    <row r="58" spans="1:23" ht="11.25" customHeight="1" x14ac:dyDescent="0.25">
      <c r="A58" s="407" t="e">
        <f>'Org structure'!#REF!</f>
        <v>#REF!</v>
      </c>
      <c r="B58" s="445"/>
      <c r="C58" s="739">
        <v>177671.67</v>
      </c>
      <c r="D58" s="740">
        <v>1194000</v>
      </c>
      <c r="E58" s="741">
        <v>1194000</v>
      </c>
      <c r="F58" s="742">
        <v>82923</v>
      </c>
      <c r="G58" s="741">
        <v>2471607</v>
      </c>
      <c r="H58" s="742">
        <f t="shared" si="15"/>
        <v>995000</v>
      </c>
      <c r="I58" s="44">
        <f t="shared" si="1"/>
        <v>1476607</v>
      </c>
      <c r="J58" s="330">
        <f t="shared" si="2"/>
        <v>1.4840271356783921</v>
      </c>
      <c r="K58" s="743">
        <f t="shared" si="16"/>
        <v>1194000</v>
      </c>
      <c r="L58" s="424"/>
      <c r="M58" s="38"/>
      <c r="N58" s="38"/>
      <c r="O58" s="38"/>
      <c r="P58" s="38"/>
      <c r="Q58" s="38"/>
      <c r="R58" s="38"/>
      <c r="S58" s="38"/>
      <c r="T58" s="38"/>
      <c r="U58" s="38"/>
      <c r="V58" s="38"/>
      <c r="W58" s="38"/>
    </row>
    <row r="59" spans="1:23" ht="11.25" customHeight="1" x14ac:dyDescent="0.25">
      <c r="A59" s="407" t="e">
        <f>'Org structure'!#REF!</f>
        <v>#REF!</v>
      </c>
      <c r="B59" s="445"/>
      <c r="C59" s="739">
        <v>0</v>
      </c>
      <c r="D59" s="740">
        <v>136318008</v>
      </c>
      <c r="E59" s="741">
        <v>120823762</v>
      </c>
      <c r="F59" s="742">
        <v>236250</v>
      </c>
      <c r="G59" s="741">
        <v>2418548</v>
      </c>
      <c r="H59" s="742">
        <f t="shared" si="15"/>
        <v>100686468.33333334</v>
      </c>
      <c r="I59" s="44">
        <f t="shared" si="1"/>
        <v>-98267920.333333343</v>
      </c>
      <c r="J59" s="330">
        <f t="shared" si="2"/>
        <v>-0.97597941371830488</v>
      </c>
      <c r="K59" s="743">
        <f t="shared" si="16"/>
        <v>120823762</v>
      </c>
      <c r="L59" s="424"/>
      <c r="M59" s="38"/>
      <c r="N59" s="38"/>
      <c r="O59" s="38"/>
      <c r="P59" s="38"/>
      <c r="Q59" s="38"/>
      <c r="R59" s="38"/>
      <c r="S59" s="38"/>
      <c r="T59" s="38"/>
      <c r="U59" s="38"/>
      <c r="V59" s="38"/>
      <c r="W59" s="38"/>
    </row>
    <row r="60" spans="1:23" ht="11.25" customHeight="1" x14ac:dyDescent="0.25">
      <c r="A60" s="407" t="e">
        <f>'Org structure'!#REF!</f>
        <v>#REF!</v>
      </c>
      <c r="B60" s="445"/>
      <c r="C60" s="739">
        <v>107201093</v>
      </c>
      <c r="D60" s="740">
        <v>3854988</v>
      </c>
      <c r="E60" s="741">
        <v>3854988</v>
      </c>
      <c r="F60" s="742">
        <v>0</v>
      </c>
      <c r="G60" s="741">
        <v>0</v>
      </c>
      <c r="H60" s="742">
        <f t="shared" si="15"/>
        <v>3212490</v>
      </c>
      <c r="I60" s="44">
        <f t="shared" si="1"/>
        <v>-3212490</v>
      </c>
      <c r="J60" s="330">
        <f t="shared" si="2"/>
        <v>-1</v>
      </c>
      <c r="K60" s="743">
        <f t="shared" si="16"/>
        <v>3854988</v>
      </c>
      <c r="L60" s="424"/>
      <c r="M60" s="38"/>
      <c r="N60" s="38"/>
      <c r="O60" s="38"/>
      <c r="P60" s="38"/>
      <c r="Q60" s="38"/>
      <c r="R60" s="38"/>
      <c r="S60" s="38"/>
      <c r="T60" s="38"/>
      <c r="U60" s="38"/>
      <c r="V60" s="38"/>
      <c r="W60" s="38"/>
    </row>
    <row r="61" spans="1:23" ht="11.25" customHeight="1" x14ac:dyDescent="0.25">
      <c r="A61" s="466" t="str">
        <f>'Org structure'!A7</f>
        <v>Vote 6 - PUBLIC SAFETY</v>
      </c>
      <c r="B61" s="440"/>
      <c r="C61" s="503">
        <f>SUM(C62:C71)</f>
        <v>36583136.609999999</v>
      </c>
      <c r="D61" s="444">
        <f t="shared" ref="D61:K61" si="17">SUM(D62:D71)</f>
        <v>70244940</v>
      </c>
      <c r="E61" s="441">
        <f t="shared" si="17"/>
        <v>53128141</v>
      </c>
      <c r="F61" s="443">
        <f t="shared" si="17"/>
        <v>3972884</v>
      </c>
      <c r="G61" s="441">
        <f t="shared" si="17"/>
        <v>18672929</v>
      </c>
      <c r="H61" s="443">
        <f t="shared" si="17"/>
        <v>44273450.833333336</v>
      </c>
      <c r="I61" s="44">
        <f t="shared" si="1"/>
        <v>-25600521.833333336</v>
      </c>
      <c r="J61" s="330">
        <f t="shared" si="2"/>
        <v>-0.57823642276510301</v>
      </c>
      <c r="K61" s="442">
        <f t="shared" si="17"/>
        <v>53128141</v>
      </c>
      <c r="L61" s="424"/>
      <c r="M61" s="38"/>
      <c r="N61" s="38"/>
      <c r="O61" s="38"/>
      <c r="P61" s="38"/>
      <c r="Q61" s="38"/>
      <c r="R61" s="38"/>
      <c r="S61" s="38"/>
      <c r="T61" s="38"/>
      <c r="U61" s="38"/>
      <c r="V61" s="38"/>
      <c r="W61" s="38"/>
    </row>
    <row r="62" spans="1:23" ht="11.25" customHeight="1" x14ac:dyDescent="0.25">
      <c r="A62" s="407" t="str">
        <f>'Org structure'!E64</f>
        <v>6.1 - PUBLIC SAFETY(ADMINISTRATION)</v>
      </c>
      <c r="B62" s="445"/>
      <c r="C62" s="739">
        <v>0</v>
      </c>
      <c r="D62" s="740">
        <v>14988</v>
      </c>
      <c r="E62" s="741">
        <v>14988</v>
      </c>
      <c r="F62" s="742">
        <v>0</v>
      </c>
      <c r="G62" s="741">
        <v>0</v>
      </c>
      <c r="H62" s="742">
        <f t="shared" ref="H62:H71" si="18">E62/12*10</f>
        <v>12490</v>
      </c>
      <c r="I62" s="44">
        <f t="shared" si="1"/>
        <v>-12490</v>
      </c>
      <c r="J62" s="330">
        <f t="shared" si="2"/>
        <v>-1</v>
      </c>
      <c r="K62" s="743">
        <f t="shared" ref="K62:K71" si="19">E62</f>
        <v>14988</v>
      </c>
      <c r="L62" s="424"/>
      <c r="M62" s="38"/>
      <c r="N62" s="38"/>
      <c r="O62" s="38"/>
      <c r="P62" s="38"/>
      <c r="Q62" s="38"/>
      <c r="R62" s="38"/>
      <c r="S62" s="38"/>
      <c r="T62" s="38"/>
      <c r="U62" s="38"/>
      <c r="V62" s="38"/>
      <c r="W62" s="38"/>
    </row>
    <row r="63" spans="1:23" ht="11.25" customHeight="1" x14ac:dyDescent="0.25">
      <c r="A63" s="407" t="str">
        <f>'Org structure'!E65</f>
        <v>6.2 - TRAFFIC AND LICENSING (ADMINISTRATION)</v>
      </c>
      <c r="B63" s="445"/>
      <c r="C63" s="739">
        <v>0</v>
      </c>
      <c r="D63" s="740">
        <v>0</v>
      </c>
      <c r="E63" s="741">
        <v>0</v>
      </c>
      <c r="F63" s="742">
        <v>0</v>
      </c>
      <c r="G63" s="741">
        <v>0</v>
      </c>
      <c r="H63" s="742">
        <f t="shared" si="18"/>
        <v>0</v>
      </c>
      <c r="I63" s="44">
        <f t="shared" si="1"/>
        <v>0</v>
      </c>
      <c r="J63" s="330" t="str">
        <f t="shared" si="2"/>
        <v/>
      </c>
      <c r="K63" s="743">
        <f t="shared" si="19"/>
        <v>0</v>
      </c>
      <c r="L63" s="424"/>
      <c r="M63" s="38"/>
      <c r="N63" s="38"/>
      <c r="O63" s="38"/>
      <c r="P63" s="38"/>
      <c r="Q63" s="38"/>
      <c r="R63" s="38"/>
      <c r="S63" s="38"/>
      <c r="T63" s="38"/>
      <c r="U63" s="38"/>
      <c r="V63" s="38"/>
      <c r="W63" s="38"/>
    </row>
    <row r="64" spans="1:23" ht="11.25" customHeight="1" x14ac:dyDescent="0.25">
      <c r="A64" s="407" t="str">
        <f>'Org structure'!E66</f>
        <v>6.3 - TRAFFIC AND LICENCES (LICENSING)</v>
      </c>
      <c r="B64" s="445"/>
      <c r="C64" s="739">
        <v>0</v>
      </c>
      <c r="D64" s="740">
        <v>996</v>
      </c>
      <c r="E64" s="741">
        <v>996</v>
      </c>
      <c r="F64" s="742">
        <v>0</v>
      </c>
      <c r="G64" s="741">
        <v>0</v>
      </c>
      <c r="H64" s="742">
        <f t="shared" si="18"/>
        <v>830</v>
      </c>
      <c r="I64" s="44">
        <f t="shared" si="1"/>
        <v>-830</v>
      </c>
      <c r="J64" s="330">
        <f t="shared" si="2"/>
        <v>-1</v>
      </c>
      <c r="K64" s="743">
        <f t="shared" si="19"/>
        <v>996</v>
      </c>
      <c r="L64" s="424"/>
      <c r="M64" s="38"/>
      <c r="N64" s="38"/>
      <c r="O64" s="38"/>
      <c r="P64" s="38"/>
      <c r="Q64" s="38"/>
      <c r="R64" s="38"/>
      <c r="S64" s="38"/>
      <c r="T64" s="38"/>
      <c r="U64" s="38"/>
      <c r="V64" s="38"/>
      <c r="W64" s="38"/>
    </row>
    <row r="65" spans="1:23" ht="11.25" customHeight="1" x14ac:dyDescent="0.25">
      <c r="A65" s="407" t="str">
        <f>'Org structure'!E67</f>
        <v>6.4 - TRAFFIC AND LICENSING(VEHICLE TESTING AND DRIVERS LICENSE TESTING)</v>
      </c>
      <c r="B65" s="445"/>
      <c r="C65" s="739">
        <v>0.01</v>
      </c>
      <c r="D65" s="740">
        <v>28124988</v>
      </c>
      <c r="E65" s="741">
        <v>28124988</v>
      </c>
      <c r="F65" s="742">
        <v>66670</v>
      </c>
      <c r="G65" s="741">
        <v>170152</v>
      </c>
      <c r="H65" s="742">
        <f t="shared" si="18"/>
        <v>23437490</v>
      </c>
      <c r="I65" s="44">
        <f t="shared" si="1"/>
        <v>-23267338</v>
      </c>
      <c r="J65" s="330">
        <f t="shared" si="2"/>
        <v>-0.9927401782358094</v>
      </c>
      <c r="K65" s="743">
        <f t="shared" si="19"/>
        <v>28124988</v>
      </c>
      <c r="L65" s="424"/>
      <c r="M65" s="38"/>
      <c r="N65" s="38"/>
      <c r="O65" s="38"/>
      <c r="P65" s="38"/>
      <c r="Q65" s="38"/>
      <c r="R65" s="38"/>
      <c r="S65" s="38"/>
      <c r="T65" s="38"/>
      <c r="U65" s="38"/>
      <c r="V65" s="38"/>
      <c r="W65" s="38"/>
    </row>
    <row r="66" spans="1:23" ht="11.25" customHeight="1" x14ac:dyDescent="0.25">
      <c r="A66" s="407" t="str">
        <f>'Org structure'!E68</f>
        <v>6.5 - TRAFFIC AND LICENSING (TRAFFIC SERVICES)</v>
      </c>
      <c r="B66" s="445"/>
      <c r="C66" s="739">
        <v>33247684.169999994</v>
      </c>
      <c r="D66" s="740">
        <v>15237000</v>
      </c>
      <c r="E66" s="741">
        <v>15237000</v>
      </c>
      <c r="F66" s="742">
        <v>3906214</v>
      </c>
      <c r="G66" s="741">
        <v>18502777</v>
      </c>
      <c r="H66" s="742">
        <f t="shared" si="18"/>
        <v>12697500</v>
      </c>
      <c r="I66" s="44">
        <f t="shared" si="1"/>
        <v>5805277</v>
      </c>
      <c r="J66" s="330">
        <f t="shared" si="2"/>
        <v>0.45719842488678875</v>
      </c>
      <c r="K66" s="743">
        <f t="shared" si="19"/>
        <v>15237000</v>
      </c>
      <c r="L66" s="424"/>
      <c r="M66" s="38"/>
      <c r="N66" s="38"/>
      <c r="O66" s="38"/>
      <c r="P66" s="38"/>
      <c r="Q66" s="38"/>
      <c r="R66" s="38"/>
      <c r="S66" s="38"/>
      <c r="T66" s="38"/>
      <c r="U66" s="38"/>
      <c r="V66" s="38"/>
      <c r="W66" s="38"/>
    </row>
    <row r="67" spans="1:23" ht="11.25" customHeight="1" x14ac:dyDescent="0.25">
      <c r="A67" s="407" t="str">
        <f>'Org structure'!E74</f>
        <v>6.11 - ENVIRONMENTAL HEALTH SERVICES (ADMINISTRATION)</v>
      </c>
      <c r="B67" s="445"/>
      <c r="C67" s="739">
        <v>0</v>
      </c>
      <c r="D67" s="740">
        <v>26481996</v>
      </c>
      <c r="E67" s="741">
        <v>9365197</v>
      </c>
      <c r="F67" s="742">
        <v>0</v>
      </c>
      <c r="G67" s="741">
        <v>0</v>
      </c>
      <c r="H67" s="742">
        <f t="shared" si="18"/>
        <v>7804330.833333334</v>
      </c>
      <c r="I67" s="44">
        <f t="shared" si="1"/>
        <v>-7804330.833333334</v>
      </c>
      <c r="J67" s="330">
        <f t="shared" si="2"/>
        <v>-1</v>
      </c>
      <c r="K67" s="743">
        <f t="shared" si="19"/>
        <v>9365197</v>
      </c>
      <c r="L67" s="424"/>
      <c r="M67" s="38"/>
      <c r="N67" s="38"/>
      <c r="O67" s="38"/>
      <c r="P67" s="38"/>
      <c r="Q67" s="38"/>
      <c r="R67" s="38"/>
      <c r="S67" s="38"/>
      <c r="T67" s="38"/>
      <c r="U67" s="38"/>
      <c r="V67" s="38"/>
      <c r="W67" s="38"/>
    </row>
    <row r="68" spans="1:23" ht="11.25" customHeight="1" x14ac:dyDescent="0.25">
      <c r="A68" s="407" t="str">
        <f>'Org structure'!E75</f>
        <v>6.12 - ENVIRONMENTAL HEALTH SERVICES (AIR POLUTION CONTROL)</v>
      </c>
      <c r="B68" s="445"/>
      <c r="C68" s="739">
        <v>789742.01</v>
      </c>
      <c r="D68" s="740">
        <v>996</v>
      </c>
      <c r="E68" s="741">
        <v>996</v>
      </c>
      <c r="F68" s="742">
        <v>0</v>
      </c>
      <c r="G68" s="741">
        <v>0</v>
      </c>
      <c r="H68" s="742">
        <f t="shared" si="18"/>
        <v>830</v>
      </c>
      <c r="I68" s="44">
        <f t="shared" si="1"/>
        <v>-830</v>
      </c>
      <c r="J68" s="330">
        <f t="shared" si="2"/>
        <v>-1</v>
      </c>
      <c r="K68" s="743">
        <f t="shared" si="19"/>
        <v>996</v>
      </c>
      <c r="L68" s="424"/>
      <c r="M68" s="38"/>
      <c r="N68" s="38"/>
      <c r="O68" s="38"/>
      <c r="P68" s="38"/>
      <c r="Q68" s="38"/>
      <c r="R68" s="38"/>
      <c r="S68" s="38"/>
      <c r="T68" s="38"/>
      <c r="U68" s="38"/>
      <c r="V68" s="38"/>
      <c r="W68" s="38"/>
    </row>
    <row r="69" spans="1:23" ht="11.25" customHeight="1" x14ac:dyDescent="0.25">
      <c r="A69" s="407" t="str">
        <f>'Org structure'!E76</f>
        <v>6.13 - ENVIRONMENTAL HEALTH SERVICES (HEALTH INSPECTION)</v>
      </c>
      <c r="B69" s="445"/>
      <c r="C69" s="739">
        <v>0</v>
      </c>
      <c r="D69" s="740">
        <v>380988</v>
      </c>
      <c r="E69" s="741">
        <v>380988</v>
      </c>
      <c r="F69" s="742">
        <v>0</v>
      </c>
      <c r="G69" s="741">
        <v>0</v>
      </c>
      <c r="H69" s="742">
        <f t="shared" si="18"/>
        <v>317490</v>
      </c>
      <c r="I69" s="44">
        <f t="shared" si="1"/>
        <v>-317490</v>
      </c>
      <c r="J69" s="330">
        <f t="shared" si="2"/>
        <v>-1</v>
      </c>
      <c r="K69" s="743">
        <f t="shared" si="19"/>
        <v>380988</v>
      </c>
      <c r="L69" s="424"/>
      <c r="M69" s="38"/>
      <c r="N69" s="38"/>
      <c r="O69" s="38"/>
      <c r="P69" s="38"/>
      <c r="Q69" s="38"/>
      <c r="R69" s="38"/>
      <c r="S69" s="38"/>
      <c r="T69" s="38"/>
      <c r="U69" s="38"/>
      <c r="V69" s="38"/>
      <c r="W69" s="38"/>
    </row>
    <row r="70" spans="1:23" ht="11.25" customHeight="1" x14ac:dyDescent="0.25">
      <c r="A70" s="407">
        <f>'Org structure'!E77</f>
        <v>0</v>
      </c>
      <c r="B70" s="445"/>
      <c r="C70" s="739">
        <v>31783</v>
      </c>
      <c r="D70" s="740">
        <v>2988</v>
      </c>
      <c r="E70" s="741">
        <v>2988</v>
      </c>
      <c r="F70" s="742">
        <v>0</v>
      </c>
      <c r="G70" s="741">
        <v>0</v>
      </c>
      <c r="H70" s="742">
        <f t="shared" si="18"/>
        <v>2490</v>
      </c>
      <c r="I70" s="44">
        <f t="shared" ref="I70:I133" si="20">G70-H70</f>
        <v>-2490</v>
      </c>
      <c r="J70" s="330">
        <f t="shared" ref="J70:J133" si="21">IF(I70=0,"",I70/H70)</f>
        <v>-1</v>
      </c>
      <c r="K70" s="743">
        <f t="shared" si="19"/>
        <v>2988</v>
      </c>
      <c r="L70" s="424"/>
      <c r="M70" s="38"/>
      <c r="N70" s="38"/>
      <c r="O70" s="38"/>
      <c r="P70" s="38"/>
      <c r="Q70" s="38"/>
      <c r="R70" s="38"/>
      <c r="S70" s="38"/>
      <c r="T70" s="38"/>
      <c r="U70" s="38"/>
      <c r="V70" s="38"/>
      <c r="W70" s="38"/>
    </row>
    <row r="71" spans="1:23" ht="11.25" customHeight="1" x14ac:dyDescent="0.25">
      <c r="A71" s="407">
        <f>'Org structure'!E78</f>
        <v>0</v>
      </c>
      <c r="B71" s="445"/>
      <c r="C71" s="739">
        <v>2513927.42</v>
      </c>
      <c r="D71" s="740">
        <v>0</v>
      </c>
      <c r="E71" s="741">
        <v>0</v>
      </c>
      <c r="F71" s="742">
        <v>0</v>
      </c>
      <c r="G71" s="741">
        <v>0</v>
      </c>
      <c r="H71" s="742">
        <f t="shared" si="18"/>
        <v>0</v>
      </c>
      <c r="I71" s="44">
        <f t="shared" si="20"/>
        <v>0</v>
      </c>
      <c r="J71" s="330" t="str">
        <f t="shared" si="21"/>
        <v/>
      </c>
      <c r="K71" s="743">
        <f t="shared" si="19"/>
        <v>0</v>
      </c>
      <c r="L71" s="424"/>
      <c r="M71" s="38"/>
      <c r="N71" s="38"/>
      <c r="O71" s="38"/>
      <c r="P71" s="38"/>
      <c r="Q71" s="38"/>
      <c r="R71" s="38"/>
      <c r="S71" s="38"/>
      <c r="T71" s="38"/>
      <c r="U71" s="38"/>
      <c r="V71" s="38"/>
      <c r="W71" s="38"/>
    </row>
    <row r="72" spans="1:23" ht="11.25" customHeight="1" x14ac:dyDescent="0.25">
      <c r="A72" s="466" t="str">
        <f>'Org structure'!A8</f>
        <v>Vote 7 - CORPORATE AND SHARED SERVICES</v>
      </c>
      <c r="B72" s="440"/>
      <c r="C72" s="503">
        <f t="shared" ref="C72:K72" si="22">SUM(C73:C82)</f>
        <v>3357161.21</v>
      </c>
      <c r="D72" s="444">
        <f t="shared" si="22"/>
        <v>6007956</v>
      </c>
      <c r="E72" s="441">
        <f t="shared" si="22"/>
        <v>4128365</v>
      </c>
      <c r="F72" s="443">
        <f t="shared" si="22"/>
        <v>0</v>
      </c>
      <c r="G72" s="441">
        <f t="shared" si="22"/>
        <v>109</v>
      </c>
      <c r="H72" s="443">
        <f t="shared" si="22"/>
        <v>3440304.166666667</v>
      </c>
      <c r="I72" s="44">
        <f t="shared" si="20"/>
        <v>-3440195.166666667</v>
      </c>
      <c r="J72" s="330">
        <f t="shared" si="21"/>
        <v>-0.99996831675493814</v>
      </c>
      <c r="K72" s="442">
        <f t="shared" si="22"/>
        <v>4128365</v>
      </c>
      <c r="L72" s="424"/>
      <c r="M72" s="38"/>
      <c r="N72" s="38"/>
      <c r="O72" s="38"/>
      <c r="P72" s="38"/>
      <c r="Q72" s="38"/>
      <c r="R72" s="38"/>
      <c r="S72" s="38"/>
      <c r="T72" s="38"/>
      <c r="U72" s="38"/>
      <c r="V72" s="38"/>
      <c r="W72" s="38"/>
    </row>
    <row r="73" spans="1:23" ht="11.25" customHeight="1" x14ac:dyDescent="0.25">
      <c r="A73" s="407" t="str">
        <f>'Org structure'!E80</f>
        <v>7.1 - CORPORATE AND SHARED SERVICES</v>
      </c>
      <c r="B73" s="445"/>
      <c r="C73" s="739">
        <v>250.43</v>
      </c>
      <c r="D73" s="740">
        <v>996</v>
      </c>
      <c r="E73" s="741">
        <v>996</v>
      </c>
      <c r="F73" s="742">
        <v>0</v>
      </c>
      <c r="G73" s="741">
        <v>0</v>
      </c>
      <c r="H73" s="742">
        <f t="shared" ref="H73:H82" si="23">E73/12*10</f>
        <v>830</v>
      </c>
      <c r="I73" s="44">
        <f t="shared" si="20"/>
        <v>-830</v>
      </c>
      <c r="J73" s="330">
        <f t="shared" si="21"/>
        <v>-1</v>
      </c>
      <c r="K73" s="743">
        <f t="shared" ref="K73:K82" si="24">E73</f>
        <v>996</v>
      </c>
      <c r="L73" s="424"/>
      <c r="M73" s="38"/>
      <c r="N73" s="38"/>
      <c r="O73" s="38"/>
      <c r="P73" s="38"/>
      <c r="Q73" s="38"/>
      <c r="R73" s="38"/>
      <c r="S73" s="38"/>
      <c r="T73" s="38"/>
      <c r="U73" s="38"/>
      <c r="V73" s="38"/>
      <c r="W73" s="38"/>
    </row>
    <row r="74" spans="1:23" ht="11.25" customHeight="1" x14ac:dyDescent="0.25">
      <c r="A74" s="407" t="str">
        <f>'Org structure'!E81</f>
        <v>7.2 - CORPORATE SERVICES - INFORMATION COMMUNICATION TECHNOLOGY</v>
      </c>
      <c r="B74" s="445"/>
      <c r="C74" s="739">
        <v>5448.97</v>
      </c>
      <c r="D74" s="740">
        <v>3000</v>
      </c>
      <c r="E74" s="741">
        <v>3000</v>
      </c>
      <c r="F74" s="742">
        <v>0</v>
      </c>
      <c r="G74" s="741">
        <v>0</v>
      </c>
      <c r="H74" s="742">
        <f t="shared" si="23"/>
        <v>2500</v>
      </c>
      <c r="I74" s="44">
        <f t="shared" si="20"/>
        <v>-2500</v>
      </c>
      <c r="J74" s="330">
        <f t="shared" si="21"/>
        <v>-1</v>
      </c>
      <c r="K74" s="743">
        <f t="shared" si="24"/>
        <v>3000</v>
      </c>
      <c r="L74" s="424"/>
      <c r="M74" s="38"/>
      <c r="N74" s="38"/>
      <c r="O74" s="38"/>
      <c r="P74" s="38"/>
      <c r="Q74" s="38"/>
      <c r="R74" s="38"/>
      <c r="S74" s="38"/>
      <c r="T74" s="38"/>
      <c r="U74" s="38"/>
      <c r="V74" s="38"/>
      <c r="W74" s="38"/>
    </row>
    <row r="75" spans="1:23" ht="11.25" customHeight="1" x14ac:dyDescent="0.25">
      <c r="A75" s="407" t="str">
        <f>'Org structure'!E82</f>
        <v>7.3 - HUMAN RESOURCE DEVELOPMENT (ADMINISTRATION)</v>
      </c>
      <c r="B75" s="445"/>
      <c r="C75" s="739">
        <v>0</v>
      </c>
      <c r="D75" s="740">
        <v>18000</v>
      </c>
      <c r="E75" s="741">
        <v>18000</v>
      </c>
      <c r="F75" s="742">
        <v>0</v>
      </c>
      <c r="G75" s="741">
        <v>0</v>
      </c>
      <c r="H75" s="742">
        <f t="shared" si="23"/>
        <v>15000</v>
      </c>
      <c r="I75" s="44">
        <f t="shared" si="20"/>
        <v>-15000</v>
      </c>
      <c r="J75" s="330">
        <f t="shared" si="21"/>
        <v>-1</v>
      </c>
      <c r="K75" s="743">
        <f t="shared" si="24"/>
        <v>18000</v>
      </c>
      <c r="L75" s="424"/>
      <c r="M75" s="38"/>
      <c r="N75" s="38"/>
      <c r="O75" s="38"/>
      <c r="P75" s="38"/>
      <c r="Q75" s="38"/>
      <c r="R75" s="38"/>
      <c r="S75" s="38"/>
      <c r="T75" s="38"/>
      <c r="U75" s="38"/>
      <c r="V75" s="38"/>
      <c r="W75" s="38"/>
    </row>
    <row r="76" spans="1:23" ht="11.25" customHeight="1" x14ac:dyDescent="0.25">
      <c r="A76" s="407" t="str">
        <f>'Org structure'!E83</f>
        <v>7.4 - HUMAN RESOURCES DEVELOPMENT (ORGANISATION DEVELOPMENT)</v>
      </c>
      <c r="B76" s="445"/>
      <c r="C76" s="739">
        <v>0</v>
      </c>
      <c r="D76" s="740">
        <v>1992</v>
      </c>
      <c r="E76" s="741">
        <v>1992</v>
      </c>
      <c r="F76" s="742">
        <v>0</v>
      </c>
      <c r="G76" s="741">
        <v>0</v>
      </c>
      <c r="H76" s="742">
        <f t="shared" si="23"/>
        <v>1660</v>
      </c>
      <c r="I76" s="44">
        <f t="shared" si="20"/>
        <v>-1660</v>
      </c>
      <c r="J76" s="330">
        <f t="shared" si="21"/>
        <v>-1</v>
      </c>
      <c r="K76" s="743">
        <f t="shared" si="24"/>
        <v>1992</v>
      </c>
      <c r="L76" s="424"/>
      <c r="M76" s="38"/>
      <c r="N76" s="38"/>
      <c r="O76" s="38"/>
      <c r="P76" s="38"/>
      <c r="Q76" s="38"/>
      <c r="R76" s="38"/>
      <c r="S76" s="38"/>
      <c r="T76" s="38"/>
      <c r="U76" s="38"/>
      <c r="V76" s="38"/>
      <c r="W76" s="38"/>
    </row>
    <row r="77" spans="1:23" ht="11.25" customHeight="1" x14ac:dyDescent="0.25">
      <c r="A77" s="407" t="str">
        <f>'Org structure'!E84</f>
        <v>7.5 - HUMAN RESOURCES DEVELOPMENT (LEARNING AND DEVELOPMENT)</v>
      </c>
      <c r="B77" s="445"/>
      <c r="C77" s="739">
        <v>0</v>
      </c>
      <c r="D77" s="740">
        <v>1992</v>
      </c>
      <c r="E77" s="741">
        <v>1992</v>
      </c>
      <c r="F77" s="742">
        <v>0</v>
      </c>
      <c r="G77" s="741">
        <v>0</v>
      </c>
      <c r="H77" s="742">
        <f t="shared" si="23"/>
        <v>1660</v>
      </c>
      <c r="I77" s="44">
        <f t="shared" si="20"/>
        <v>-1660</v>
      </c>
      <c r="J77" s="330">
        <f t="shared" si="21"/>
        <v>-1</v>
      </c>
      <c r="K77" s="743">
        <f t="shared" si="24"/>
        <v>1992</v>
      </c>
      <c r="L77" s="424"/>
      <c r="M77" s="38"/>
      <c r="N77" s="38"/>
      <c r="O77" s="38"/>
      <c r="P77" s="38"/>
      <c r="Q77" s="38"/>
      <c r="R77" s="38"/>
      <c r="S77" s="38"/>
      <c r="T77" s="38"/>
      <c r="U77" s="38"/>
      <c r="V77" s="38"/>
      <c r="W77" s="38"/>
    </row>
    <row r="78" spans="1:23" ht="11.25" customHeight="1" x14ac:dyDescent="0.25">
      <c r="A78" s="407" t="str">
        <f>'Org structure'!E94</f>
        <v>7.15 - FLEET MANAGEMENT SERVICES</v>
      </c>
      <c r="B78" s="445"/>
      <c r="C78" s="739">
        <v>0</v>
      </c>
      <c r="D78" s="740">
        <v>1992</v>
      </c>
      <c r="E78" s="741">
        <v>1992</v>
      </c>
      <c r="F78" s="742">
        <v>0</v>
      </c>
      <c r="G78" s="741">
        <v>0</v>
      </c>
      <c r="H78" s="742">
        <f t="shared" si="23"/>
        <v>1660</v>
      </c>
      <c r="I78" s="44">
        <f t="shared" si="20"/>
        <v>-1660</v>
      </c>
      <c r="J78" s="330">
        <f t="shared" si="21"/>
        <v>-1</v>
      </c>
      <c r="K78" s="743">
        <f t="shared" si="24"/>
        <v>1992</v>
      </c>
      <c r="L78" s="446"/>
      <c r="M78" s="40"/>
      <c r="N78" s="40"/>
      <c r="O78" s="40"/>
      <c r="P78" s="40"/>
      <c r="Q78" s="40"/>
      <c r="R78" s="40"/>
      <c r="S78" s="40"/>
      <c r="T78" s="40"/>
      <c r="U78" s="40"/>
      <c r="V78" s="40"/>
      <c r="W78" s="40"/>
    </row>
    <row r="79" spans="1:23" ht="11.25" customHeight="1" x14ac:dyDescent="0.25">
      <c r="A79" s="407">
        <f>'Org structure'!E95</f>
        <v>0</v>
      </c>
      <c r="B79" s="445"/>
      <c r="C79" s="739">
        <v>0</v>
      </c>
      <c r="D79" s="740">
        <v>5979984</v>
      </c>
      <c r="E79" s="741">
        <v>4100393</v>
      </c>
      <c r="F79" s="742">
        <v>0</v>
      </c>
      <c r="G79" s="741">
        <v>109</v>
      </c>
      <c r="H79" s="742">
        <f t="shared" si="23"/>
        <v>3416994.166666667</v>
      </c>
      <c r="I79" s="44">
        <f t="shared" si="20"/>
        <v>-3416885.166666667</v>
      </c>
      <c r="J79" s="330">
        <f t="shared" si="21"/>
        <v>-0.99996810061864805</v>
      </c>
      <c r="K79" s="743">
        <f t="shared" si="24"/>
        <v>4100393</v>
      </c>
      <c r="L79" s="446"/>
      <c r="M79" s="40"/>
      <c r="N79" s="40"/>
      <c r="O79" s="40"/>
      <c r="P79" s="40"/>
      <c r="Q79" s="40"/>
      <c r="R79" s="40"/>
      <c r="S79" s="40"/>
      <c r="T79" s="40"/>
      <c r="U79" s="40"/>
      <c r="V79" s="40"/>
      <c r="W79" s="40"/>
    </row>
    <row r="80" spans="1:23" ht="11.25" customHeight="1" x14ac:dyDescent="0.25">
      <c r="A80" s="407">
        <f>'Org structure'!E96</f>
        <v>0</v>
      </c>
      <c r="B80" s="445"/>
      <c r="C80" s="739">
        <v>0</v>
      </c>
      <c r="D80" s="740">
        <v>0</v>
      </c>
      <c r="E80" s="741">
        <v>0</v>
      </c>
      <c r="F80" s="742">
        <v>0</v>
      </c>
      <c r="G80" s="741">
        <v>0</v>
      </c>
      <c r="H80" s="742">
        <f t="shared" si="23"/>
        <v>0</v>
      </c>
      <c r="I80" s="44">
        <f t="shared" si="20"/>
        <v>0</v>
      </c>
      <c r="J80" s="330" t="str">
        <f t="shared" si="21"/>
        <v/>
      </c>
      <c r="K80" s="743">
        <f t="shared" si="24"/>
        <v>0</v>
      </c>
      <c r="L80" s="446"/>
      <c r="M80" s="40"/>
      <c r="N80" s="40"/>
      <c r="O80" s="40"/>
      <c r="P80" s="40"/>
      <c r="Q80" s="40"/>
      <c r="R80" s="40"/>
      <c r="S80" s="40"/>
      <c r="T80" s="40"/>
      <c r="U80" s="40"/>
      <c r="V80" s="40"/>
      <c r="W80" s="40"/>
    </row>
    <row r="81" spans="1:23" ht="11.25" customHeight="1" x14ac:dyDescent="0.25">
      <c r="A81" s="407">
        <f>'Org structure'!E97</f>
        <v>0</v>
      </c>
      <c r="B81" s="445"/>
      <c r="C81" s="739">
        <v>0</v>
      </c>
      <c r="D81" s="740">
        <v>0</v>
      </c>
      <c r="E81" s="741">
        <v>0</v>
      </c>
      <c r="F81" s="742">
        <v>0</v>
      </c>
      <c r="G81" s="741">
        <v>0</v>
      </c>
      <c r="H81" s="742">
        <f t="shared" si="23"/>
        <v>0</v>
      </c>
      <c r="I81" s="44">
        <f t="shared" si="20"/>
        <v>0</v>
      </c>
      <c r="J81" s="330" t="str">
        <f t="shared" si="21"/>
        <v/>
      </c>
      <c r="K81" s="743">
        <f t="shared" si="24"/>
        <v>0</v>
      </c>
      <c r="L81" s="446"/>
      <c r="M81" s="40"/>
      <c r="N81" s="40"/>
      <c r="O81" s="40"/>
      <c r="P81" s="40"/>
      <c r="Q81" s="40"/>
      <c r="R81" s="40"/>
      <c r="S81" s="40"/>
      <c r="T81" s="40"/>
      <c r="U81" s="40"/>
      <c r="V81" s="40"/>
      <c r="W81" s="40"/>
    </row>
    <row r="82" spans="1:23" ht="11.25" customHeight="1" x14ac:dyDescent="0.25">
      <c r="A82" s="407">
        <f>'Org structure'!E98</f>
        <v>0</v>
      </c>
      <c r="B82" s="445"/>
      <c r="C82" s="739">
        <v>3351461.81</v>
      </c>
      <c r="D82" s="740">
        <v>0</v>
      </c>
      <c r="E82" s="741">
        <v>0</v>
      </c>
      <c r="F82" s="742">
        <v>0</v>
      </c>
      <c r="G82" s="741">
        <v>0</v>
      </c>
      <c r="H82" s="742">
        <f t="shared" si="23"/>
        <v>0</v>
      </c>
      <c r="I82" s="44">
        <f t="shared" si="20"/>
        <v>0</v>
      </c>
      <c r="J82" s="330" t="str">
        <f t="shared" si="21"/>
        <v/>
      </c>
      <c r="K82" s="743">
        <f t="shared" si="24"/>
        <v>0</v>
      </c>
      <c r="L82" s="446"/>
      <c r="M82" s="40"/>
      <c r="N82" s="40"/>
      <c r="O82" s="40"/>
      <c r="P82" s="40"/>
      <c r="Q82" s="40"/>
      <c r="R82" s="40"/>
      <c r="S82" s="40"/>
      <c r="T82" s="40"/>
      <c r="U82" s="40"/>
      <c r="V82" s="40"/>
      <c r="W82" s="40"/>
    </row>
    <row r="83" spans="1:23" ht="11.25" customHeight="1" x14ac:dyDescent="0.25">
      <c r="A83" s="466" t="str">
        <f>'Org structure'!A9</f>
        <v>Vote 8 - PLANNING AND ECONOMIC DEVELOPMENT</v>
      </c>
      <c r="B83" s="445"/>
      <c r="C83" s="503">
        <f>SUM(C84:C93)</f>
        <v>12275861.969999999</v>
      </c>
      <c r="D83" s="444">
        <f t="shared" ref="D83:K83" si="25">SUM(D84:D93)</f>
        <v>55686956</v>
      </c>
      <c r="E83" s="441">
        <f t="shared" si="25"/>
        <v>50403316</v>
      </c>
      <c r="F83" s="443">
        <f t="shared" si="25"/>
        <v>4487779</v>
      </c>
      <c r="G83" s="441">
        <f t="shared" si="25"/>
        <v>17301314</v>
      </c>
      <c r="H83" s="443">
        <f t="shared" si="25"/>
        <v>42002763.333333328</v>
      </c>
      <c r="I83" s="44">
        <f t="shared" si="20"/>
        <v>-24701449.333333328</v>
      </c>
      <c r="J83" s="330">
        <f t="shared" si="21"/>
        <v>-0.58809105337434542</v>
      </c>
      <c r="K83" s="442">
        <f t="shared" si="25"/>
        <v>50403316</v>
      </c>
      <c r="L83" s="446"/>
      <c r="M83" s="40"/>
      <c r="N83" s="40"/>
      <c r="O83" s="40"/>
      <c r="P83" s="40"/>
      <c r="Q83" s="40"/>
      <c r="R83" s="40"/>
      <c r="S83" s="40"/>
      <c r="T83" s="40"/>
      <c r="U83" s="40"/>
      <c r="V83" s="40"/>
      <c r="W83" s="40"/>
    </row>
    <row r="84" spans="1:23" ht="11.25" customHeight="1" x14ac:dyDescent="0.25">
      <c r="A84" s="407" t="str">
        <f>'Org structure'!E100</f>
        <v>8.1 - DIRECTORATE PLANNING AND DEVELOPMENT</v>
      </c>
      <c r="B84" s="445"/>
      <c r="C84" s="739">
        <v>0</v>
      </c>
      <c r="D84" s="740">
        <v>996</v>
      </c>
      <c r="E84" s="741">
        <v>996</v>
      </c>
      <c r="F84" s="742">
        <v>0</v>
      </c>
      <c r="G84" s="742">
        <v>0</v>
      </c>
      <c r="H84" s="742">
        <f t="shared" ref="H84:H93" si="26">E84/12*10</f>
        <v>830</v>
      </c>
      <c r="I84" s="44">
        <f t="shared" si="20"/>
        <v>-830</v>
      </c>
      <c r="J84" s="330">
        <f t="shared" si="21"/>
        <v>-1</v>
      </c>
      <c r="K84" s="743">
        <f t="shared" ref="K84:K93" si="27">E84</f>
        <v>996</v>
      </c>
      <c r="L84" s="446"/>
      <c r="M84" s="40"/>
      <c r="N84" s="40"/>
      <c r="O84" s="40"/>
      <c r="P84" s="40"/>
      <c r="Q84" s="40"/>
      <c r="R84" s="40"/>
      <c r="S84" s="40"/>
      <c r="T84" s="40"/>
      <c r="U84" s="40"/>
      <c r="V84" s="40"/>
      <c r="W84" s="40"/>
    </row>
    <row r="85" spans="1:23" ht="11.25" customHeight="1" x14ac:dyDescent="0.25">
      <c r="A85" s="407" t="str">
        <f>'Org structure'!E101</f>
        <v>8.2 - PROPERTY MANAGEMENT</v>
      </c>
      <c r="B85" s="445"/>
      <c r="C85" s="739">
        <v>0</v>
      </c>
      <c r="D85" s="740">
        <v>2988</v>
      </c>
      <c r="E85" s="741">
        <v>2988</v>
      </c>
      <c r="F85" s="742">
        <v>0</v>
      </c>
      <c r="G85" s="742">
        <v>0</v>
      </c>
      <c r="H85" s="742">
        <f t="shared" si="26"/>
        <v>2490</v>
      </c>
      <c r="I85" s="44">
        <f t="shared" si="20"/>
        <v>-2490</v>
      </c>
      <c r="J85" s="330">
        <f t="shared" si="21"/>
        <v>-1</v>
      </c>
      <c r="K85" s="743">
        <f t="shared" si="27"/>
        <v>2988</v>
      </c>
      <c r="L85" s="446"/>
      <c r="M85" s="40"/>
      <c r="N85" s="40"/>
      <c r="O85" s="40"/>
      <c r="P85" s="40"/>
      <c r="Q85" s="40"/>
      <c r="R85" s="40"/>
      <c r="S85" s="40"/>
      <c r="T85" s="40"/>
      <c r="U85" s="40"/>
      <c r="V85" s="40"/>
      <c r="W85" s="40"/>
    </row>
    <row r="86" spans="1:23" ht="11.25" customHeight="1" x14ac:dyDescent="0.25">
      <c r="A86" s="407" t="str">
        <f>'Org structure'!E102</f>
        <v xml:space="preserve">8.3 - CITY AND REGIONAL PLANNING </v>
      </c>
      <c r="B86" s="445"/>
      <c r="C86" s="739">
        <v>1680295.84</v>
      </c>
      <c r="D86" s="740">
        <v>55640000</v>
      </c>
      <c r="E86" s="741">
        <v>50356360</v>
      </c>
      <c r="F86" s="742">
        <v>4487779</v>
      </c>
      <c r="G86" s="742">
        <v>17301314</v>
      </c>
      <c r="H86" s="742">
        <f t="shared" si="26"/>
        <v>41963633.333333328</v>
      </c>
      <c r="I86" s="44">
        <f t="shared" si="20"/>
        <v>-24662319.333333328</v>
      </c>
      <c r="J86" s="330">
        <f t="shared" si="21"/>
        <v>-0.58770695896208536</v>
      </c>
      <c r="K86" s="743">
        <f t="shared" si="27"/>
        <v>50356360</v>
      </c>
      <c r="L86" s="446"/>
      <c r="M86" s="40"/>
      <c r="N86" s="40"/>
      <c r="O86" s="40"/>
      <c r="P86" s="40"/>
      <c r="Q86" s="40"/>
      <c r="R86" s="40"/>
      <c r="S86" s="40"/>
      <c r="T86" s="40"/>
      <c r="U86" s="40"/>
      <c r="V86" s="40"/>
      <c r="W86" s="40"/>
    </row>
    <row r="87" spans="1:23" ht="11.25" customHeight="1" x14ac:dyDescent="0.25">
      <c r="A87" s="407" t="str">
        <f>'Org structure'!E103</f>
        <v>8.4 - CORPORATE GEO-INFORMATICS</v>
      </c>
      <c r="B87" s="445"/>
      <c r="C87" s="739">
        <v>0</v>
      </c>
      <c r="D87" s="740">
        <v>996</v>
      </c>
      <c r="E87" s="741">
        <v>996</v>
      </c>
      <c r="F87" s="742">
        <v>0</v>
      </c>
      <c r="G87" s="742">
        <v>0</v>
      </c>
      <c r="H87" s="742">
        <f t="shared" si="26"/>
        <v>830</v>
      </c>
      <c r="I87" s="44">
        <f t="shared" si="20"/>
        <v>-830</v>
      </c>
      <c r="J87" s="330">
        <f t="shared" si="21"/>
        <v>-1</v>
      </c>
      <c r="K87" s="743">
        <f t="shared" si="27"/>
        <v>996</v>
      </c>
      <c r="L87" s="446"/>
      <c r="M87" s="40"/>
      <c r="N87" s="40"/>
      <c r="O87" s="40"/>
      <c r="P87" s="40"/>
      <c r="Q87" s="40"/>
      <c r="R87" s="40"/>
      <c r="S87" s="40"/>
      <c r="T87" s="40"/>
      <c r="U87" s="40"/>
      <c r="V87" s="40"/>
      <c r="W87" s="40"/>
    </row>
    <row r="88" spans="1:23" ht="11.25" customHeight="1" x14ac:dyDescent="0.25">
      <c r="A88" s="407" t="str">
        <f>'Org structure'!E104</f>
        <v>8.5 - BUILDING INSPECTIONS (ADMINISTRATION)</v>
      </c>
      <c r="B88" s="445"/>
      <c r="C88" s="739">
        <v>0</v>
      </c>
      <c r="D88" s="740">
        <v>996</v>
      </c>
      <c r="E88" s="741">
        <v>996</v>
      </c>
      <c r="F88" s="742">
        <v>0</v>
      </c>
      <c r="G88" s="742">
        <v>0</v>
      </c>
      <c r="H88" s="742">
        <f t="shared" si="26"/>
        <v>830</v>
      </c>
      <c r="I88" s="44">
        <f t="shared" si="20"/>
        <v>-830</v>
      </c>
      <c r="J88" s="330">
        <f t="shared" si="21"/>
        <v>-1</v>
      </c>
      <c r="K88" s="743">
        <f t="shared" si="27"/>
        <v>996</v>
      </c>
      <c r="L88" s="446"/>
      <c r="M88" s="40"/>
      <c r="N88" s="40"/>
      <c r="O88" s="40"/>
      <c r="P88" s="40"/>
      <c r="Q88" s="40"/>
      <c r="R88" s="40"/>
      <c r="S88" s="40"/>
      <c r="T88" s="40"/>
      <c r="U88" s="40"/>
      <c r="V88" s="40"/>
      <c r="W88" s="40"/>
    </row>
    <row r="89" spans="1:23" ht="11.25" customHeight="1" x14ac:dyDescent="0.25">
      <c r="A89" s="407" t="str">
        <f>'Org structure'!E105</f>
        <v>8.6 - ECONOMIC DEVELOPMENT AND TOURISM</v>
      </c>
      <c r="B89" s="445"/>
      <c r="C89" s="739">
        <v>1025073.12</v>
      </c>
      <c r="D89" s="740">
        <v>996</v>
      </c>
      <c r="E89" s="741">
        <v>996</v>
      </c>
      <c r="F89" s="742">
        <v>0</v>
      </c>
      <c r="G89" s="741">
        <v>0</v>
      </c>
      <c r="H89" s="742">
        <f t="shared" si="26"/>
        <v>830</v>
      </c>
      <c r="I89" s="44">
        <f t="shared" si="20"/>
        <v>-830</v>
      </c>
      <c r="J89" s="330">
        <f t="shared" si="21"/>
        <v>-1</v>
      </c>
      <c r="K89" s="743">
        <f t="shared" si="27"/>
        <v>996</v>
      </c>
      <c r="L89" s="446"/>
      <c r="M89" s="40"/>
      <c r="N89" s="40"/>
      <c r="O89" s="40"/>
      <c r="P89" s="40"/>
      <c r="Q89" s="40"/>
      <c r="R89" s="40"/>
      <c r="S89" s="40"/>
      <c r="T89" s="40"/>
      <c r="U89" s="40"/>
      <c r="V89" s="40"/>
      <c r="W89" s="40"/>
    </row>
    <row r="90" spans="1:23" ht="11.25" customHeight="1" x14ac:dyDescent="0.25">
      <c r="A90" s="407" t="str">
        <f>'Org structure'!E106</f>
        <v>8.7 - LOCAL ECONOMIC DEVELOPMENT</v>
      </c>
      <c r="B90" s="445"/>
      <c r="C90" s="739">
        <v>0</v>
      </c>
      <c r="D90" s="740">
        <v>37992</v>
      </c>
      <c r="E90" s="741">
        <v>37992</v>
      </c>
      <c r="F90" s="742">
        <v>0</v>
      </c>
      <c r="G90" s="741">
        <v>0</v>
      </c>
      <c r="H90" s="742">
        <f t="shared" si="26"/>
        <v>31660</v>
      </c>
      <c r="I90" s="44">
        <f t="shared" si="20"/>
        <v>-31660</v>
      </c>
      <c r="J90" s="330">
        <f t="shared" si="21"/>
        <v>-1</v>
      </c>
      <c r="K90" s="743">
        <f t="shared" si="27"/>
        <v>37992</v>
      </c>
      <c r="L90" s="446"/>
      <c r="M90" s="40"/>
      <c r="N90" s="40"/>
      <c r="O90" s="40"/>
      <c r="P90" s="40"/>
      <c r="Q90" s="40"/>
      <c r="R90" s="40"/>
      <c r="S90" s="40"/>
      <c r="T90" s="40"/>
      <c r="U90" s="40"/>
      <c r="V90" s="40"/>
      <c r="W90" s="40"/>
    </row>
    <row r="91" spans="1:23" ht="11.25" customHeight="1" x14ac:dyDescent="0.25">
      <c r="A91" s="407" t="str">
        <f>'Org structure'!E107</f>
        <v>8.8 - INVESTMENT PROMOTION</v>
      </c>
      <c r="B91" s="445"/>
      <c r="C91" s="739">
        <v>0</v>
      </c>
      <c r="D91" s="740">
        <v>996</v>
      </c>
      <c r="E91" s="741">
        <v>996</v>
      </c>
      <c r="F91" s="742">
        <v>0</v>
      </c>
      <c r="G91" s="741">
        <v>0</v>
      </c>
      <c r="H91" s="742">
        <f t="shared" si="26"/>
        <v>830</v>
      </c>
      <c r="I91" s="44">
        <f t="shared" si="20"/>
        <v>-830</v>
      </c>
      <c r="J91" s="330">
        <f t="shared" si="21"/>
        <v>-1</v>
      </c>
      <c r="K91" s="743">
        <f t="shared" si="27"/>
        <v>996</v>
      </c>
      <c r="L91" s="446"/>
      <c r="M91" s="40"/>
      <c r="N91" s="40"/>
      <c r="O91" s="40"/>
      <c r="P91" s="40"/>
      <c r="Q91" s="40"/>
      <c r="R91" s="40"/>
      <c r="S91" s="40"/>
      <c r="T91" s="40"/>
      <c r="U91" s="40"/>
      <c r="V91" s="40"/>
      <c r="W91" s="40"/>
    </row>
    <row r="92" spans="1:23" ht="11.25" customHeight="1" x14ac:dyDescent="0.25">
      <c r="A92" s="407" t="str">
        <f>'Org structure'!E108</f>
        <v>8.9 - LED (ECONOMIC PLANNING)</v>
      </c>
      <c r="B92" s="445"/>
      <c r="C92" s="739">
        <v>0</v>
      </c>
      <c r="D92" s="740">
        <v>996</v>
      </c>
      <c r="E92" s="741">
        <v>996</v>
      </c>
      <c r="F92" s="742">
        <v>0</v>
      </c>
      <c r="G92" s="741">
        <v>0</v>
      </c>
      <c r="H92" s="742">
        <f t="shared" si="26"/>
        <v>830</v>
      </c>
      <c r="I92" s="44">
        <f t="shared" si="20"/>
        <v>-830</v>
      </c>
      <c r="J92" s="330">
        <f t="shared" si="21"/>
        <v>-1</v>
      </c>
      <c r="K92" s="743">
        <f t="shared" si="27"/>
        <v>996</v>
      </c>
      <c r="L92" s="446"/>
      <c r="M92" s="40"/>
      <c r="N92" s="40"/>
      <c r="O92" s="40"/>
      <c r="P92" s="40"/>
      <c r="Q92" s="40"/>
      <c r="R92" s="40"/>
      <c r="S92" s="40"/>
      <c r="T92" s="40"/>
      <c r="U92" s="40"/>
      <c r="V92" s="40"/>
      <c r="W92" s="40"/>
    </row>
    <row r="93" spans="1:23" ht="11.25" customHeight="1" x14ac:dyDescent="0.25">
      <c r="A93" s="407" t="str">
        <f>'Org structure'!E109</f>
        <v>8.10 - LOCAL ECONOMIC DEVELOPMENT</v>
      </c>
      <c r="B93" s="445"/>
      <c r="C93" s="739">
        <v>9570493.0099999998</v>
      </c>
      <c r="D93" s="740">
        <v>0</v>
      </c>
      <c r="E93" s="741">
        <v>0</v>
      </c>
      <c r="F93" s="742">
        <v>0</v>
      </c>
      <c r="G93" s="741">
        <v>0</v>
      </c>
      <c r="H93" s="742">
        <f t="shared" si="26"/>
        <v>0</v>
      </c>
      <c r="I93" s="44">
        <f t="shared" si="20"/>
        <v>0</v>
      </c>
      <c r="J93" s="330" t="str">
        <f t="shared" si="21"/>
        <v/>
      </c>
      <c r="K93" s="743">
        <f t="shared" si="27"/>
        <v>0</v>
      </c>
      <c r="L93" s="446"/>
      <c r="M93" s="40"/>
      <c r="N93" s="40"/>
      <c r="O93" s="40"/>
      <c r="P93" s="40"/>
      <c r="Q93" s="40"/>
      <c r="R93" s="40"/>
      <c r="S93" s="40"/>
      <c r="T93" s="40"/>
      <c r="U93" s="40"/>
      <c r="V93" s="40"/>
      <c r="W93" s="40"/>
    </row>
    <row r="94" spans="1:23" ht="11.25" customHeight="1" x14ac:dyDescent="0.25">
      <c r="A94" s="466" t="str">
        <f>'Org structure'!A10</f>
        <v xml:space="preserve">Vote 9 - BUDGET AND TREASURY OFFICE </v>
      </c>
      <c r="B94" s="445"/>
      <c r="C94" s="503">
        <f>SUM(C95:C104)</f>
        <v>3463338659.54</v>
      </c>
      <c r="D94" s="444">
        <f t="shared" ref="D94:K94" si="28">SUM(D95:D104)</f>
        <v>2560404235</v>
      </c>
      <c r="E94" s="441">
        <f t="shared" si="28"/>
        <v>2902787222</v>
      </c>
      <c r="F94" s="443">
        <f t="shared" si="28"/>
        <v>134823142.69349998</v>
      </c>
      <c r="G94" s="441">
        <f t="shared" si="28"/>
        <v>2245242313.6418495</v>
      </c>
      <c r="H94" s="443">
        <f t="shared" si="28"/>
        <v>2418989351.6666665</v>
      </c>
      <c r="I94" s="44">
        <f t="shared" si="20"/>
        <v>-173747038.02481699</v>
      </c>
      <c r="J94" s="330">
        <f t="shared" si="21"/>
        <v>-7.1826293036431316E-2</v>
      </c>
      <c r="K94" s="442">
        <f t="shared" si="28"/>
        <v>2902787222</v>
      </c>
      <c r="L94" s="446"/>
      <c r="M94" s="40"/>
      <c r="N94" s="40"/>
      <c r="O94" s="40"/>
      <c r="P94" s="40"/>
      <c r="Q94" s="40"/>
      <c r="R94" s="40"/>
      <c r="S94" s="40"/>
      <c r="T94" s="40"/>
      <c r="U94" s="40"/>
      <c r="V94" s="40"/>
      <c r="W94" s="40"/>
    </row>
    <row r="95" spans="1:23" ht="11.25" customHeight="1" x14ac:dyDescent="0.25">
      <c r="A95" s="407" t="str">
        <f>'Org structure'!E111</f>
        <v>9.1 - BUDGET AND TREASURY OFFICE (ADMINISTRATION)</v>
      </c>
      <c r="B95" s="445"/>
      <c r="C95" s="739">
        <v>235684167.16</v>
      </c>
      <c r="D95" s="740">
        <v>284988</v>
      </c>
      <c r="E95" s="741">
        <v>284988</v>
      </c>
      <c r="F95" s="742">
        <v>22514349</v>
      </c>
      <c r="G95" s="742">
        <v>223529397</v>
      </c>
      <c r="H95" s="742">
        <f t="shared" ref="H95:H104" si="29">E95/12*10</f>
        <v>237490</v>
      </c>
      <c r="I95" s="44">
        <f t="shared" si="20"/>
        <v>223291907</v>
      </c>
      <c r="J95" s="330">
        <f t="shared" si="21"/>
        <v>940.21603857004504</v>
      </c>
      <c r="K95" s="743">
        <f t="shared" ref="K95:K104" si="30">E95</f>
        <v>284988</v>
      </c>
      <c r="L95" s="446"/>
      <c r="M95" s="40"/>
      <c r="N95" s="40"/>
      <c r="O95" s="40"/>
      <c r="P95" s="40"/>
      <c r="Q95" s="40"/>
      <c r="R95" s="40"/>
      <c r="S95" s="40"/>
      <c r="T95" s="40"/>
      <c r="U95" s="40"/>
      <c r="V95" s="40"/>
      <c r="W95" s="40"/>
    </row>
    <row r="96" spans="1:23" ht="11.25" customHeight="1" x14ac:dyDescent="0.25">
      <c r="A96" s="407" t="str">
        <f>'Org structure'!E112</f>
        <v>9.2 - EXPENDITURE MANAGEMENT</v>
      </c>
      <c r="B96" s="445"/>
      <c r="C96" s="739">
        <v>0</v>
      </c>
      <c r="D96" s="740">
        <v>1992</v>
      </c>
      <c r="E96" s="741">
        <v>1992</v>
      </c>
      <c r="F96" s="742">
        <v>0</v>
      </c>
      <c r="G96" s="742">
        <v>127</v>
      </c>
      <c r="H96" s="742">
        <f t="shared" si="29"/>
        <v>1660</v>
      </c>
      <c r="I96" s="44">
        <f t="shared" si="20"/>
        <v>-1533</v>
      </c>
      <c r="J96" s="330">
        <f t="shared" si="21"/>
        <v>-0.92349397590361448</v>
      </c>
      <c r="K96" s="743">
        <f t="shared" si="30"/>
        <v>1992</v>
      </c>
      <c r="L96" s="446"/>
      <c r="M96" s="40"/>
      <c r="N96" s="40"/>
      <c r="O96" s="40"/>
      <c r="P96" s="40"/>
      <c r="Q96" s="40"/>
      <c r="R96" s="40"/>
      <c r="S96" s="40"/>
      <c r="T96" s="40"/>
      <c r="U96" s="40"/>
      <c r="V96" s="40"/>
      <c r="W96" s="40"/>
    </row>
    <row r="97" spans="1:23" ht="11.25" customHeight="1" x14ac:dyDescent="0.25">
      <c r="A97" s="407" t="str">
        <f>'Org structure'!E113</f>
        <v>9.3 - REVENUE MANAGEMENTAND CUSTOMER CARE</v>
      </c>
      <c r="B97" s="445"/>
      <c r="C97" s="739">
        <v>2296421503.4890003</v>
      </c>
      <c r="D97" s="740">
        <v>2560112259.0144005</v>
      </c>
      <c r="E97" s="741">
        <v>2902496258</v>
      </c>
      <c r="F97" s="742">
        <v>112308793.69349998</v>
      </c>
      <c r="G97" s="742">
        <v>2021712789.6418495</v>
      </c>
      <c r="H97" s="472">
        <f t="shared" si="29"/>
        <v>2418746881.6666665</v>
      </c>
      <c r="I97" s="44">
        <f t="shared" si="20"/>
        <v>-397034092.02481699</v>
      </c>
      <c r="J97" s="330">
        <f t="shared" si="21"/>
        <v>-0.16414867344500136</v>
      </c>
      <c r="K97" s="743">
        <f t="shared" si="30"/>
        <v>2902496258</v>
      </c>
      <c r="L97" s="446"/>
      <c r="M97" s="40"/>
      <c r="N97" s="40"/>
      <c r="O97" s="40"/>
      <c r="P97" s="40"/>
      <c r="Q97" s="40"/>
      <c r="R97" s="40"/>
      <c r="S97" s="40"/>
      <c r="T97" s="40"/>
      <c r="U97" s="40"/>
      <c r="V97" s="40"/>
      <c r="W97" s="40"/>
    </row>
    <row r="98" spans="1:23" ht="11.25" customHeight="1" x14ac:dyDescent="0.25">
      <c r="A98" s="407" t="str">
        <f>'Org structure'!E114</f>
        <v>9.4 - SUPPLY CHAIN MANAGEMENT</v>
      </c>
      <c r="B98" s="445"/>
      <c r="C98" s="739">
        <v>2612853.59</v>
      </c>
      <c r="D98" s="740">
        <v>996</v>
      </c>
      <c r="E98" s="741">
        <v>996</v>
      </c>
      <c r="F98" s="742">
        <v>0</v>
      </c>
      <c r="G98" s="742">
        <v>0</v>
      </c>
      <c r="H98" s="742">
        <f t="shared" si="29"/>
        <v>830</v>
      </c>
      <c r="I98" s="44">
        <f t="shared" si="20"/>
        <v>-830</v>
      </c>
      <c r="J98" s="330">
        <f t="shared" si="21"/>
        <v>-1</v>
      </c>
      <c r="K98" s="743">
        <f t="shared" si="30"/>
        <v>996</v>
      </c>
      <c r="L98" s="446"/>
      <c r="M98" s="40"/>
      <c r="N98" s="40"/>
      <c r="O98" s="40"/>
      <c r="P98" s="40"/>
      <c r="Q98" s="40"/>
      <c r="R98" s="40"/>
      <c r="S98" s="40"/>
      <c r="T98" s="40"/>
      <c r="U98" s="40"/>
      <c r="V98" s="40"/>
      <c r="W98" s="40"/>
    </row>
    <row r="99" spans="1:23" ht="11.25" customHeight="1" x14ac:dyDescent="0.25">
      <c r="A99" s="407" t="str">
        <f>'Org structure'!E115</f>
        <v>9.5 - ASSETS MANAGEMENT</v>
      </c>
      <c r="B99" s="445"/>
      <c r="C99" s="739">
        <v>927095005.89099979</v>
      </c>
      <c r="D99" s="740">
        <v>996</v>
      </c>
      <c r="E99" s="741">
        <v>996</v>
      </c>
      <c r="F99" s="742">
        <v>0</v>
      </c>
      <c r="G99" s="742">
        <v>0</v>
      </c>
      <c r="H99" s="742">
        <f t="shared" si="29"/>
        <v>830</v>
      </c>
      <c r="I99" s="44">
        <f t="shared" si="20"/>
        <v>-830</v>
      </c>
      <c r="J99" s="330">
        <f t="shared" si="21"/>
        <v>-1</v>
      </c>
      <c r="K99" s="743">
        <f t="shared" si="30"/>
        <v>996</v>
      </c>
      <c r="L99" s="446"/>
      <c r="M99" s="40"/>
      <c r="N99" s="40"/>
      <c r="O99" s="40"/>
      <c r="P99" s="40"/>
      <c r="Q99" s="40"/>
      <c r="R99" s="40"/>
      <c r="S99" s="40"/>
      <c r="T99" s="40"/>
      <c r="U99" s="40"/>
      <c r="V99" s="40"/>
      <c r="W99" s="40"/>
    </row>
    <row r="100" spans="1:23" ht="11.25" customHeight="1" x14ac:dyDescent="0.25">
      <c r="A100" s="407" t="str">
        <f>'Org structure'!E116</f>
        <v>9.6 - BUDGET AND FINANCIAL REPORTING</v>
      </c>
      <c r="B100" s="445"/>
      <c r="C100" s="739">
        <v>1525129.41</v>
      </c>
      <c r="D100" s="740">
        <v>996</v>
      </c>
      <c r="E100" s="741">
        <v>996</v>
      </c>
      <c r="F100" s="742">
        <v>0</v>
      </c>
      <c r="G100" s="742">
        <v>0</v>
      </c>
      <c r="H100" s="742">
        <f t="shared" si="29"/>
        <v>830</v>
      </c>
      <c r="I100" s="44">
        <f t="shared" si="20"/>
        <v>-830</v>
      </c>
      <c r="J100" s="330">
        <f t="shared" si="21"/>
        <v>-1</v>
      </c>
      <c r="K100" s="743">
        <f t="shared" si="30"/>
        <v>996</v>
      </c>
      <c r="L100" s="446"/>
      <c r="M100" s="40"/>
      <c r="N100" s="40"/>
      <c r="O100" s="40"/>
      <c r="P100" s="40"/>
      <c r="Q100" s="40"/>
      <c r="R100" s="40"/>
      <c r="S100" s="40"/>
      <c r="T100" s="40"/>
      <c r="U100" s="40"/>
      <c r="V100" s="40"/>
      <c r="W100" s="40"/>
    </row>
    <row r="101" spans="1:23" ht="11.25" customHeight="1" x14ac:dyDescent="0.25">
      <c r="A101" s="407" t="str">
        <f>'Org structure'!E117</f>
        <v>9.7 - BUSINESS AND FINANCIAL PLANNING</v>
      </c>
      <c r="B101" s="445"/>
      <c r="C101" s="739">
        <v>0</v>
      </c>
      <c r="D101" s="740">
        <v>996</v>
      </c>
      <c r="E101" s="741">
        <v>996</v>
      </c>
      <c r="F101" s="742">
        <v>0</v>
      </c>
      <c r="G101" s="742">
        <v>0</v>
      </c>
      <c r="H101" s="742">
        <f t="shared" si="29"/>
        <v>830</v>
      </c>
      <c r="I101" s="44">
        <f t="shared" si="20"/>
        <v>-830</v>
      </c>
      <c r="J101" s="330">
        <f t="shared" si="21"/>
        <v>-1</v>
      </c>
      <c r="K101" s="743">
        <f t="shared" si="30"/>
        <v>996</v>
      </c>
      <c r="L101" s="446"/>
      <c r="M101" s="40"/>
      <c r="N101" s="40"/>
      <c r="O101" s="40"/>
      <c r="P101" s="40"/>
      <c r="Q101" s="40"/>
      <c r="R101" s="40"/>
      <c r="S101" s="40"/>
      <c r="T101" s="40"/>
      <c r="U101" s="40"/>
      <c r="V101" s="40"/>
      <c r="W101" s="40"/>
    </row>
    <row r="102" spans="1:23" ht="11.25" customHeight="1" x14ac:dyDescent="0.25">
      <c r="A102" s="407">
        <f>'Org structure'!E118</f>
        <v>0</v>
      </c>
      <c r="B102" s="445"/>
      <c r="C102" s="739">
        <v>0</v>
      </c>
      <c r="D102" s="740">
        <v>15.985599517822266</v>
      </c>
      <c r="E102" s="741">
        <v>0</v>
      </c>
      <c r="F102" s="742">
        <v>0</v>
      </c>
      <c r="G102" s="742">
        <v>0</v>
      </c>
      <c r="H102" s="742">
        <f t="shared" si="29"/>
        <v>0</v>
      </c>
      <c r="I102" s="44">
        <f t="shared" si="20"/>
        <v>0</v>
      </c>
      <c r="J102" s="330" t="str">
        <f t="shared" si="21"/>
        <v/>
      </c>
      <c r="K102" s="743">
        <f t="shared" si="30"/>
        <v>0</v>
      </c>
      <c r="L102" s="446"/>
      <c r="M102" s="40"/>
      <c r="N102" s="40"/>
      <c r="O102" s="40"/>
      <c r="P102" s="40"/>
      <c r="Q102" s="40"/>
      <c r="R102" s="40"/>
      <c r="S102" s="40"/>
      <c r="T102" s="40"/>
      <c r="U102" s="40"/>
      <c r="V102" s="40"/>
      <c r="W102" s="40"/>
    </row>
    <row r="103" spans="1:23" ht="11.25" customHeight="1" x14ac:dyDescent="0.25">
      <c r="A103" s="407">
        <f>'Org structure'!E119</f>
        <v>0</v>
      </c>
      <c r="B103" s="445"/>
      <c r="C103" s="739">
        <v>0</v>
      </c>
      <c r="D103" s="740">
        <v>996</v>
      </c>
      <c r="E103" s="741">
        <v>996</v>
      </c>
      <c r="F103" s="742">
        <v>0</v>
      </c>
      <c r="G103" s="742">
        <v>0</v>
      </c>
      <c r="H103" s="742">
        <f t="shared" si="29"/>
        <v>830</v>
      </c>
      <c r="I103" s="44">
        <f t="shared" si="20"/>
        <v>-830</v>
      </c>
      <c r="J103" s="330">
        <f t="shared" si="21"/>
        <v>-1</v>
      </c>
      <c r="K103" s="743">
        <f t="shared" si="30"/>
        <v>996</v>
      </c>
      <c r="L103" s="446"/>
      <c r="M103" s="40"/>
      <c r="N103" s="40"/>
      <c r="O103" s="40"/>
      <c r="P103" s="40"/>
      <c r="Q103" s="40"/>
      <c r="R103" s="40"/>
      <c r="S103" s="40"/>
      <c r="T103" s="40"/>
      <c r="U103" s="40"/>
      <c r="V103" s="40"/>
      <c r="W103" s="40"/>
    </row>
    <row r="104" spans="1:23" ht="11.25" customHeight="1" x14ac:dyDescent="0.25">
      <c r="A104" s="407">
        <f>'Org structure'!E120</f>
        <v>0</v>
      </c>
      <c r="B104" s="445"/>
      <c r="C104" s="739">
        <v>0</v>
      </c>
      <c r="D104" s="740">
        <v>0</v>
      </c>
      <c r="E104" s="741">
        <v>-996</v>
      </c>
      <c r="F104" s="742">
        <v>0</v>
      </c>
      <c r="G104" s="742">
        <v>0</v>
      </c>
      <c r="H104" s="742">
        <f t="shared" si="29"/>
        <v>-830</v>
      </c>
      <c r="I104" s="44">
        <f t="shared" si="20"/>
        <v>830</v>
      </c>
      <c r="J104" s="330">
        <f t="shared" si="21"/>
        <v>-1</v>
      </c>
      <c r="K104" s="743">
        <f t="shared" si="30"/>
        <v>-996</v>
      </c>
      <c r="L104" s="446"/>
      <c r="M104" s="40"/>
      <c r="N104" s="40"/>
      <c r="O104" s="40"/>
      <c r="P104" s="40"/>
      <c r="Q104" s="40"/>
      <c r="R104" s="40"/>
      <c r="S104" s="40"/>
      <c r="T104" s="40"/>
      <c r="U104" s="40"/>
      <c r="V104" s="40"/>
      <c r="W104" s="40"/>
    </row>
    <row r="105" spans="1:23" ht="11.25" customHeight="1" x14ac:dyDescent="0.25">
      <c r="A105" s="466" t="str">
        <f>'Org structure'!A11</f>
        <v>Vote 10 - TRANSPORT SERVICES</v>
      </c>
      <c r="B105" s="445"/>
      <c r="C105" s="503">
        <f>SUM(C106:C115)</f>
        <v>72629083.069999993</v>
      </c>
      <c r="D105" s="444">
        <f t="shared" ref="D105:K105" si="31">SUM(D106:D115)</f>
        <v>292956</v>
      </c>
      <c r="E105" s="441">
        <f t="shared" si="31"/>
        <v>31087996</v>
      </c>
      <c r="F105" s="443">
        <f t="shared" si="31"/>
        <v>5296842</v>
      </c>
      <c r="G105" s="441">
        <f t="shared" si="31"/>
        <v>80538473</v>
      </c>
      <c r="H105" s="443">
        <f t="shared" si="31"/>
        <v>25906663.333333336</v>
      </c>
      <c r="I105" s="44">
        <f t="shared" si="20"/>
        <v>54631809.666666664</v>
      </c>
      <c r="J105" s="330">
        <f t="shared" si="21"/>
        <v>2.1087937479147896</v>
      </c>
      <c r="K105" s="442">
        <f t="shared" si="31"/>
        <v>31087996</v>
      </c>
      <c r="L105" s="446"/>
      <c r="M105" s="40"/>
      <c r="N105" s="40"/>
      <c r="O105" s="40"/>
      <c r="P105" s="40"/>
      <c r="Q105" s="40"/>
      <c r="R105" s="40"/>
      <c r="S105" s="40"/>
      <c r="T105" s="40"/>
      <c r="U105" s="40"/>
      <c r="V105" s="40"/>
      <c r="W105" s="40"/>
    </row>
    <row r="106" spans="1:23" ht="11.25" customHeight="1" x14ac:dyDescent="0.25">
      <c r="A106" s="407" t="str">
        <f>'Org structure'!E122</f>
        <v>10.1 - TRANSPORT SERVICES</v>
      </c>
      <c r="B106" s="445"/>
      <c r="C106" s="739">
        <v>79478.27</v>
      </c>
      <c r="D106" s="740">
        <v>284988</v>
      </c>
      <c r="E106" s="741">
        <v>31080028</v>
      </c>
      <c r="F106" s="742">
        <v>5296842</v>
      </c>
      <c r="G106" s="742">
        <v>80538473</v>
      </c>
      <c r="H106" s="742">
        <f t="shared" ref="H106:H115" si="32">E106/12*10</f>
        <v>25900023.333333336</v>
      </c>
      <c r="I106" s="44">
        <f t="shared" si="20"/>
        <v>54638449.666666664</v>
      </c>
      <c r="J106" s="330">
        <f t="shared" si="21"/>
        <v>2.109590750690443</v>
      </c>
      <c r="K106" s="743">
        <f t="shared" ref="K106:K115" si="33">E106</f>
        <v>31080028</v>
      </c>
      <c r="L106" s="446"/>
      <c r="M106" s="40"/>
      <c r="N106" s="40"/>
      <c r="O106" s="40"/>
      <c r="P106" s="40"/>
      <c r="Q106" s="40"/>
      <c r="R106" s="40"/>
      <c r="S106" s="40"/>
      <c r="T106" s="40"/>
      <c r="U106" s="40"/>
      <c r="V106" s="40"/>
      <c r="W106" s="40"/>
    </row>
    <row r="107" spans="1:23" ht="11.25" customHeight="1" x14ac:dyDescent="0.25">
      <c r="A107" s="407" t="str">
        <f>'Org structure'!E123</f>
        <v>10.2 - TRANSPORT SERVICES (PLANNING AND OPERATIONS)</v>
      </c>
      <c r="B107" s="445"/>
      <c r="C107" s="739">
        <v>200</v>
      </c>
      <c r="D107" s="740">
        <v>1992</v>
      </c>
      <c r="E107" s="741">
        <v>1992</v>
      </c>
      <c r="F107" s="742">
        <v>0</v>
      </c>
      <c r="G107" s="741">
        <v>0</v>
      </c>
      <c r="H107" s="742">
        <f t="shared" si="32"/>
        <v>1660</v>
      </c>
      <c r="I107" s="44">
        <f t="shared" si="20"/>
        <v>-1660</v>
      </c>
      <c r="J107" s="330">
        <f t="shared" si="21"/>
        <v>-1</v>
      </c>
      <c r="K107" s="743">
        <f t="shared" si="33"/>
        <v>1992</v>
      </c>
      <c r="L107" s="446"/>
      <c r="M107" s="40"/>
      <c r="N107" s="40"/>
      <c r="O107" s="40"/>
      <c r="P107" s="40"/>
      <c r="Q107" s="40"/>
      <c r="R107" s="40"/>
      <c r="S107" s="40"/>
      <c r="T107" s="40"/>
      <c r="U107" s="40"/>
      <c r="V107" s="40"/>
      <c r="W107" s="40"/>
    </row>
    <row r="108" spans="1:23" ht="11.25" customHeight="1" x14ac:dyDescent="0.25">
      <c r="A108" s="407" t="str">
        <f>'Org structure'!E124</f>
        <v xml:space="preserve">10.3 - TRANSPORT SERVICES(INTELLIGENT TRANSPORT SYSTEM MODELLING) </v>
      </c>
      <c r="B108" s="445"/>
      <c r="C108" s="739">
        <v>0</v>
      </c>
      <c r="D108" s="740">
        <v>996</v>
      </c>
      <c r="E108" s="741">
        <v>996</v>
      </c>
      <c r="F108" s="742">
        <v>0</v>
      </c>
      <c r="G108" s="741">
        <v>0</v>
      </c>
      <c r="H108" s="742">
        <f t="shared" si="32"/>
        <v>830</v>
      </c>
      <c r="I108" s="44">
        <f t="shared" si="20"/>
        <v>-830</v>
      </c>
      <c r="J108" s="330">
        <f t="shared" si="21"/>
        <v>-1</v>
      </c>
      <c r="K108" s="743">
        <f t="shared" si="33"/>
        <v>996</v>
      </c>
      <c r="L108" s="446"/>
      <c r="M108" s="40"/>
      <c r="N108" s="40"/>
      <c r="O108" s="40"/>
      <c r="P108" s="40"/>
      <c r="Q108" s="40"/>
      <c r="R108" s="40"/>
      <c r="S108" s="40"/>
      <c r="T108" s="40"/>
      <c r="U108" s="40"/>
      <c r="V108" s="40"/>
      <c r="W108" s="40"/>
    </row>
    <row r="109" spans="1:23" ht="11.25" customHeight="1" x14ac:dyDescent="0.25">
      <c r="A109" s="407" t="str">
        <f>'Org structure'!E125</f>
        <v>10.4 - TRANSPORT SERVICES (PUBLIC TRANSPORT REGULATION AND MONITIRING)</v>
      </c>
      <c r="B109" s="445"/>
      <c r="C109" s="739">
        <v>0</v>
      </c>
      <c r="D109" s="740">
        <v>996</v>
      </c>
      <c r="E109" s="741">
        <v>996</v>
      </c>
      <c r="F109" s="742">
        <v>0</v>
      </c>
      <c r="G109" s="741">
        <v>0</v>
      </c>
      <c r="H109" s="742">
        <f t="shared" si="32"/>
        <v>830</v>
      </c>
      <c r="I109" s="44">
        <f t="shared" si="20"/>
        <v>-830</v>
      </c>
      <c r="J109" s="330">
        <f t="shared" si="21"/>
        <v>-1</v>
      </c>
      <c r="K109" s="743">
        <f t="shared" si="33"/>
        <v>996</v>
      </c>
      <c r="L109" s="446"/>
      <c r="M109" s="40"/>
      <c r="N109" s="40"/>
      <c r="O109" s="40"/>
      <c r="P109" s="40"/>
      <c r="Q109" s="40"/>
      <c r="R109" s="40"/>
      <c r="S109" s="40"/>
      <c r="T109" s="40"/>
      <c r="U109" s="40"/>
      <c r="V109" s="40"/>
      <c r="W109" s="40"/>
    </row>
    <row r="110" spans="1:23" ht="11.25" customHeight="1" x14ac:dyDescent="0.25">
      <c r="A110" s="407" t="str">
        <f>'Org structure'!E126</f>
        <v>10.5 - ROADS AND STORMWATER (ADMINISTRATION)</v>
      </c>
      <c r="B110" s="445"/>
      <c r="C110" s="739">
        <v>72549404.799999997</v>
      </c>
      <c r="D110" s="740">
        <v>996</v>
      </c>
      <c r="E110" s="741">
        <v>996</v>
      </c>
      <c r="F110" s="742">
        <v>0</v>
      </c>
      <c r="G110" s="741">
        <v>0</v>
      </c>
      <c r="H110" s="742">
        <f t="shared" si="32"/>
        <v>830</v>
      </c>
      <c r="I110" s="44">
        <f t="shared" si="20"/>
        <v>-830</v>
      </c>
      <c r="J110" s="330">
        <f t="shared" si="21"/>
        <v>-1</v>
      </c>
      <c r="K110" s="743">
        <f t="shared" si="33"/>
        <v>996</v>
      </c>
      <c r="L110" s="446"/>
      <c r="M110" s="40"/>
      <c r="N110" s="40"/>
      <c r="O110" s="40"/>
      <c r="P110" s="40"/>
      <c r="Q110" s="40"/>
      <c r="R110" s="40"/>
      <c r="S110" s="40"/>
      <c r="T110" s="40"/>
      <c r="U110" s="40"/>
      <c r="V110" s="40"/>
      <c r="W110" s="40"/>
    </row>
    <row r="111" spans="1:23" ht="11.25" customHeight="1" x14ac:dyDescent="0.25">
      <c r="A111" s="407" t="str">
        <f>'Org structure'!E127</f>
        <v xml:space="preserve">10.6 - STORM WATER MANAGEMENT AND TRAFFIC ENGINEERING  </v>
      </c>
      <c r="B111" s="445"/>
      <c r="C111" s="739">
        <v>0</v>
      </c>
      <c r="D111" s="740">
        <v>996</v>
      </c>
      <c r="E111" s="741">
        <v>996</v>
      </c>
      <c r="F111" s="742">
        <v>0</v>
      </c>
      <c r="G111" s="741">
        <v>0</v>
      </c>
      <c r="H111" s="742">
        <f t="shared" si="32"/>
        <v>830</v>
      </c>
      <c r="I111" s="44">
        <f t="shared" si="20"/>
        <v>-830</v>
      </c>
      <c r="J111" s="330">
        <f t="shared" si="21"/>
        <v>-1</v>
      </c>
      <c r="K111" s="743">
        <f t="shared" si="33"/>
        <v>996</v>
      </c>
      <c r="L111" s="446"/>
      <c r="M111" s="40"/>
      <c r="N111" s="40"/>
      <c r="O111" s="40"/>
      <c r="P111" s="40"/>
      <c r="Q111" s="40"/>
      <c r="R111" s="40"/>
      <c r="S111" s="40"/>
      <c r="T111" s="40"/>
      <c r="U111" s="40"/>
      <c r="V111" s="40"/>
      <c r="W111" s="40"/>
    </row>
    <row r="112" spans="1:23" ht="11.25" customHeight="1" x14ac:dyDescent="0.25">
      <c r="A112" s="407" t="str">
        <f>'Org structure'!E128</f>
        <v>10.7 - ROADS AND STORMWATER (ROADS AND STREETS)</v>
      </c>
      <c r="B112" s="445"/>
      <c r="C112" s="739">
        <v>0</v>
      </c>
      <c r="D112" s="740">
        <v>996</v>
      </c>
      <c r="E112" s="741">
        <v>996</v>
      </c>
      <c r="F112" s="742">
        <v>0</v>
      </c>
      <c r="G112" s="741">
        <v>0</v>
      </c>
      <c r="H112" s="742">
        <f t="shared" si="32"/>
        <v>830</v>
      </c>
      <c r="I112" s="44">
        <f t="shared" si="20"/>
        <v>-830</v>
      </c>
      <c r="J112" s="330">
        <f t="shared" si="21"/>
        <v>-1</v>
      </c>
      <c r="K112" s="743">
        <f t="shared" si="33"/>
        <v>996</v>
      </c>
      <c r="L112" s="446"/>
      <c r="M112" s="40"/>
      <c r="N112" s="40"/>
      <c r="O112" s="40"/>
      <c r="P112" s="40"/>
      <c r="Q112" s="40"/>
      <c r="R112" s="40"/>
      <c r="S112" s="40"/>
      <c r="T112" s="40"/>
      <c r="U112" s="40"/>
      <c r="V112" s="40"/>
      <c r="W112" s="40"/>
    </row>
    <row r="113" spans="1:23" ht="11.25" customHeight="1" x14ac:dyDescent="0.25">
      <c r="A113" s="407" t="str">
        <f>'Org structure'!E129</f>
        <v>10.8 - ROADS AND STORMWATER (STORMWATER)</v>
      </c>
      <c r="B113" s="445"/>
      <c r="C113" s="739">
        <v>0</v>
      </c>
      <c r="D113" s="740">
        <v>0</v>
      </c>
      <c r="E113" s="741">
        <v>0</v>
      </c>
      <c r="F113" s="742">
        <v>0</v>
      </c>
      <c r="G113" s="741">
        <v>0</v>
      </c>
      <c r="H113" s="742">
        <f t="shared" si="32"/>
        <v>0</v>
      </c>
      <c r="I113" s="44">
        <f t="shared" si="20"/>
        <v>0</v>
      </c>
      <c r="J113" s="330" t="str">
        <f t="shared" si="21"/>
        <v/>
      </c>
      <c r="K113" s="743">
        <f t="shared" si="33"/>
        <v>0</v>
      </c>
      <c r="L113" s="446"/>
      <c r="M113" s="40"/>
      <c r="N113" s="40"/>
      <c r="O113" s="40"/>
      <c r="P113" s="40"/>
      <c r="Q113" s="40"/>
      <c r="R113" s="40"/>
      <c r="S113" s="40"/>
      <c r="T113" s="40"/>
      <c r="U113" s="40"/>
      <c r="V113" s="40"/>
      <c r="W113" s="40"/>
    </row>
    <row r="114" spans="1:23" ht="11.25" customHeight="1" x14ac:dyDescent="0.25">
      <c r="A114" s="407">
        <f>'Org structure'!E130</f>
        <v>0</v>
      </c>
      <c r="B114" s="445"/>
      <c r="C114" s="739">
        <v>0</v>
      </c>
      <c r="D114" s="740">
        <v>996</v>
      </c>
      <c r="E114" s="741">
        <v>996</v>
      </c>
      <c r="F114" s="742">
        <v>0</v>
      </c>
      <c r="G114" s="741">
        <v>0</v>
      </c>
      <c r="H114" s="742">
        <f t="shared" si="32"/>
        <v>830</v>
      </c>
      <c r="I114" s="44">
        <f t="shared" si="20"/>
        <v>-830</v>
      </c>
      <c r="J114" s="330">
        <f t="shared" si="21"/>
        <v>-1</v>
      </c>
      <c r="K114" s="743">
        <f t="shared" si="33"/>
        <v>996</v>
      </c>
      <c r="L114" s="446"/>
      <c r="M114" s="40"/>
      <c r="N114" s="40"/>
      <c r="O114" s="40"/>
      <c r="P114" s="40"/>
      <c r="Q114" s="40"/>
      <c r="R114" s="40"/>
      <c r="S114" s="40"/>
      <c r="T114" s="40"/>
      <c r="U114" s="40"/>
      <c r="V114" s="40"/>
      <c r="W114" s="40"/>
    </row>
    <row r="115" spans="1:23" ht="11.25" customHeight="1" x14ac:dyDescent="0.25">
      <c r="A115" s="407">
        <f>'Org structure'!E131</f>
        <v>0</v>
      </c>
      <c r="B115" s="445"/>
      <c r="C115" s="739">
        <v>0</v>
      </c>
      <c r="D115" s="740">
        <v>0</v>
      </c>
      <c r="E115" s="741">
        <v>0</v>
      </c>
      <c r="F115" s="742">
        <v>0</v>
      </c>
      <c r="G115" s="741">
        <v>0</v>
      </c>
      <c r="H115" s="742">
        <f t="shared" si="32"/>
        <v>0</v>
      </c>
      <c r="I115" s="44">
        <f t="shared" si="20"/>
        <v>0</v>
      </c>
      <c r="J115" s="330" t="str">
        <f t="shared" si="21"/>
        <v/>
      </c>
      <c r="K115" s="743">
        <f t="shared" si="33"/>
        <v>0</v>
      </c>
      <c r="L115" s="446"/>
      <c r="M115" s="40"/>
      <c r="N115" s="40"/>
      <c r="O115" s="40"/>
      <c r="P115" s="40"/>
      <c r="Q115" s="40"/>
      <c r="R115" s="40"/>
      <c r="S115" s="40"/>
      <c r="T115" s="40"/>
      <c r="U115" s="40"/>
      <c r="V115" s="40"/>
      <c r="W115" s="40"/>
    </row>
    <row r="116" spans="1:23" ht="11.25" customHeight="1" x14ac:dyDescent="0.25">
      <c r="A116" s="810" t="str">
        <f>'Org structure'!A12</f>
        <v>Vote 11 - HUMAN SETTLEMENT</v>
      </c>
      <c r="B116" s="445"/>
      <c r="C116" s="503">
        <f>SUM(C117:C126)</f>
        <v>980551.94</v>
      </c>
      <c r="D116" s="444">
        <f t="shared" ref="D116:K116" si="34">SUM(D117:D126)</f>
        <v>9388992</v>
      </c>
      <c r="E116" s="441">
        <f t="shared" si="34"/>
        <v>519915</v>
      </c>
      <c r="F116" s="443">
        <f t="shared" si="34"/>
        <v>95606</v>
      </c>
      <c r="G116" s="441">
        <f t="shared" si="34"/>
        <v>953466</v>
      </c>
      <c r="H116" s="443">
        <f t="shared" si="34"/>
        <v>433262.5</v>
      </c>
      <c r="I116" s="44">
        <f t="shared" si="20"/>
        <v>520203.5</v>
      </c>
      <c r="J116" s="330">
        <f t="shared" si="21"/>
        <v>1.200665878076224</v>
      </c>
      <c r="K116" s="442">
        <f t="shared" si="34"/>
        <v>519915</v>
      </c>
      <c r="L116" s="446"/>
      <c r="M116" s="40"/>
      <c r="N116" s="40"/>
      <c r="O116" s="40"/>
      <c r="P116" s="40"/>
      <c r="Q116" s="40"/>
      <c r="R116" s="40"/>
      <c r="S116" s="40"/>
      <c r="T116" s="40"/>
      <c r="U116" s="40"/>
      <c r="V116" s="40"/>
      <c r="W116" s="40"/>
    </row>
    <row r="117" spans="1:23" ht="11.25" customHeight="1" x14ac:dyDescent="0.25">
      <c r="A117" s="809" t="str">
        <f>'Org structure'!E133</f>
        <v>11.1 - HUMAN SETTLEMENT</v>
      </c>
      <c r="B117" s="445"/>
      <c r="C117" s="739">
        <v>0</v>
      </c>
      <c r="D117" s="740">
        <v>996</v>
      </c>
      <c r="E117" s="741">
        <v>996</v>
      </c>
      <c r="F117" s="741">
        <v>95606</v>
      </c>
      <c r="G117" s="741">
        <v>953466</v>
      </c>
      <c r="H117" s="741">
        <f t="shared" ref="H117:H126" si="35">E117/12*10</f>
        <v>830</v>
      </c>
      <c r="I117" s="44">
        <f t="shared" si="20"/>
        <v>952636</v>
      </c>
      <c r="J117" s="330">
        <f t="shared" si="21"/>
        <v>1147.7542168674699</v>
      </c>
      <c r="K117" s="743">
        <f t="shared" ref="K117:K126" si="36">E117</f>
        <v>996</v>
      </c>
      <c r="L117" s="446"/>
      <c r="M117" s="40"/>
      <c r="N117" s="40"/>
      <c r="O117" s="40"/>
      <c r="P117" s="40"/>
      <c r="Q117" s="40"/>
      <c r="R117" s="40"/>
      <c r="S117" s="40"/>
      <c r="T117" s="40"/>
      <c r="U117" s="40"/>
      <c r="V117" s="40"/>
      <c r="W117" s="40"/>
    </row>
    <row r="118" spans="1:23" ht="11.25" customHeight="1" x14ac:dyDescent="0.25">
      <c r="A118" s="809" t="str">
        <f>'Org structure'!E134</f>
        <v>11.2 - HUMAN SETTLEMENT - HOUSING ADMINISTRATION</v>
      </c>
      <c r="B118" s="445"/>
      <c r="C118" s="739">
        <v>980551.94</v>
      </c>
      <c r="D118" s="740">
        <v>996</v>
      </c>
      <c r="E118" s="741">
        <v>996</v>
      </c>
      <c r="F118" s="741">
        <v>0</v>
      </c>
      <c r="G118" s="741">
        <v>0</v>
      </c>
      <c r="H118" s="741">
        <f t="shared" si="35"/>
        <v>830</v>
      </c>
      <c r="I118" s="44">
        <f t="shared" si="20"/>
        <v>-830</v>
      </c>
      <c r="J118" s="330">
        <f t="shared" si="21"/>
        <v>-1</v>
      </c>
      <c r="K118" s="743">
        <f t="shared" si="36"/>
        <v>996</v>
      </c>
      <c r="L118" s="446"/>
      <c r="M118" s="40"/>
      <c r="N118" s="40"/>
      <c r="O118" s="40"/>
      <c r="P118" s="40"/>
      <c r="Q118" s="40"/>
      <c r="R118" s="40"/>
      <c r="S118" s="40"/>
      <c r="T118" s="40"/>
      <c r="U118" s="40"/>
      <c r="V118" s="40"/>
      <c r="W118" s="40"/>
    </row>
    <row r="119" spans="1:23" ht="11.25" customHeight="1" x14ac:dyDescent="0.25">
      <c r="A119" s="809" t="str">
        <f>'Org structure'!E135</f>
        <v>11.3 - HUMAN SETTLEMENT RENTAL HOUSING AND PROGRAMME IMPLEMANTATION</v>
      </c>
      <c r="B119" s="445"/>
      <c r="C119" s="739">
        <v>0</v>
      </c>
      <c r="D119" s="740">
        <v>9387000</v>
      </c>
      <c r="E119" s="741">
        <v>517923</v>
      </c>
      <c r="F119" s="741">
        <v>0</v>
      </c>
      <c r="G119" s="741">
        <v>0</v>
      </c>
      <c r="H119" s="741">
        <f t="shared" si="35"/>
        <v>431602.5</v>
      </c>
      <c r="I119" s="44">
        <f t="shared" si="20"/>
        <v>-431602.5</v>
      </c>
      <c r="J119" s="330">
        <f t="shared" si="21"/>
        <v>-1</v>
      </c>
      <c r="K119" s="743">
        <f t="shared" si="36"/>
        <v>517923</v>
      </c>
      <c r="L119" s="446"/>
      <c r="M119" s="40"/>
      <c r="N119" s="40"/>
      <c r="O119" s="40"/>
      <c r="P119" s="40"/>
      <c r="Q119" s="40"/>
      <c r="R119" s="40"/>
      <c r="S119" s="40"/>
      <c r="T119" s="40"/>
      <c r="U119" s="40"/>
      <c r="V119" s="40"/>
      <c r="W119" s="40"/>
    </row>
    <row r="120" spans="1:23" ht="11.25" customHeight="1" x14ac:dyDescent="0.25">
      <c r="A120" s="809">
        <f>'Org structure'!E136</f>
        <v>0</v>
      </c>
      <c r="B120" s="445"/>
      <c r="C120" s="739">
        <v>0</v>
      </c>
      <c r="D120" s="740">
        <v>0</v>
      </c>
      <c r="E120" s="741">
        <v>0</v>
      </c>
      <c r="F120" s="741">
        <v>0</v>
      </c>
      <c r="G120" s="741">
        <v>0</v>
      </c>
      <c r="H120" s="741">
        <f t="shared" si="35"/>
        <v>0</v>
      </c>
      <c r="I120" s="44">
        <f t="shared" si="20"/>
        <v>0</v>
      </c>
      <c r="J120" s="330" t="str">
        <f t="shared" si="21"/>
        <v/>
      </c>
      <c r="K120" s="743">
        <f t="shared" si="36"/>
        <v>0</v>
      </c>
      <c r="L120" s="446"/>
      <c r="M120" s="40"/>
      <c r="N120" s="40"/>
      <c r="O120" s="40"/>
      <c r="P120" s="40"/>
      <c r="Q120" s="40"/>
      <c r="R120" s="40"/>
      <c r="S120" s="40"/>
      <c r="T120" s="40"/>
      <c r="U120" s="40"/>
      <c r="V120" s="40"/>
      <c r="W120" s="40"/>
    </row>
    <row r="121" spans="1:23" ht="11.25" customHeight="1" x14ac:dyDescent="0.25">
      <c r="A121" s="809">
        <f>'Org structure'!E137</f>
        <v>0</v>
      </c>
      <c r="B121" s="445"/>
      <c r="C121" s="739">
        <v>0</v>
      </c>
      <c r="D121" s="740">
        <v>0</v>
      </c>
      <c r="E121" s="741">
        <v>0</v>
      </c>
      <c r="F121" s="741">
        <v>0</v>
      </c>
      <c r="G121" s="741">
        <v>0</v>
      </c>
      <c r="H121" s="741">
        <f t="shared" si="35"/>
        <v>0</v>
      </c>
      <c r="I121" s="44">
        <f t="shared" si="20"/>
        <v>0</v>
      </c>
      <c r="J121" s="330" t="str">
        <f t="shared" si="21"/>
        <v/>
      </c>
      <c r="K121" s="743">
        <f t="shared" si="36"/>
        <v>0</v>
      </c>
      <c r="L121" s="446"/>
      <c r="M121" s="40"/>
      <c r="N121" s="40"/>
      <c r="O121" s="40"/>
      <c r="P121" s="40"/>
      <c r="Q121" s="40"/>
      <c r="R121" s="40"/>
      <c r="S121" s="40"/>
      <c r="T121" s="40"/>
      <c r="U121" s="40"/>
      <c r="V121" s="40"/>
      <c r="W121" s="40"/>
    </row>
    <row r="122" spans="1:23" ht="11.25" customHeight="1" x14ac:dyDescent="0.25">
      <c r="A122" s="809">
        <f>'Org structure'!E138</f>
        <v>0</v>
      </c>
      <c r="B122" s="445"/>
      <c r="C122" s="739">
        <v>0</v>
      </c>
      <c r="D122" s="740">
        <v>0</v>
      </c>
      <c r="E122" s="741">
        <v>0</v>
      </c>
      <c r="F122" s="741">
        <v>0</v>
      </c>
      <c r="G122" s="741">
        <v>0</v>
      </c>
      <c r="H122" s="741">
        <f t="shared" si="35"/>
        <v>0</v>
      </c>
      <c r="I122" s="44">
        <f t="shared" si="20"/>
        <v>0</v>
      </c>
      <c r="J122" s="330" t="str">
        <f t="shared" si="21"/>
        <v/>
      </c>
      <c r="K122" s="743">
        <f t="shared" si="36"/>
        <v>0</v>
      </c>
      <c r="L122" s="446"/>
      <c r="M122" s="40"/>
      <c r="N122" s="40"/>
      <c r="O122" s="40"/>
      <c r="P122" s="40"/>
      <c r="Q122" s="40"/>
      <c r="R122" s="40"/>
      <c r="S122" s="40"/>
      <c r="T122" s="40"/>
      <c r="U122" s="40"/>
      <c r="V122" s="40"/>
      <c r="W122" s="40"/>
    </row>
    <row r="123" spans="1:23" ht="11.25" customHeight="1" x14ac:dyDescent="0.25">
      <c r="A123" s="809">
        <f>'Org structure'!E139</f>
        <v>0</v>
      </c>
      <c r="B123" s="445"/>
      <c r="C123" s="739">
        <v>0</v>
      </c>
      <c r="D123" s="740">
        <v>0</v>
      </c>
      <c r="E123" s="741">
        <v>0</v>
      </c>
      <c r="F123" s="741">
        <v>0</v>
      </c>
      <c r="G123" s="741">
        <v>0</v>
      </c>
      <c r="H123" s="741">
        <f t="shared" si="35"/>
        <v>0</v>
      </c>
      <c r="I123" s="44">
        <f t="shared" si="20"/>
        <v>0</v>
      </c>
      <c r="J123" s="330" t="str">
        <f t="shared" si="21"/>
        <v/>
      </c>
      <c r="K123" s="743">
        <f t="shared" si="36"/>
        <v>0</v>
      </c>
      <c r="L123" s="446"/>
      <c r="M123" s="40"/>
      <c r="N123" s="40"/>
      <c r="O123" s="40"/>
      <c r="P123" s="40"/>
      <c r="Q123" s="40"/>
      <c r="R123" s="40"/>
      <c r="S123" s="40"/>
      <c r="T123" s="40"/>
      <c r="U123" s="40"/>
      <c r="V123" s="40"/>
      <c r="W123" s="40"/>
    </row>
    <row r="124" spans="1:23" ht="11.25" customHeight="1" x14ac:dyDescent="0.25">
      <c r="A124" s="809">
        <f>'Org structure'!E140</f>
        <v>0</v>
      </c>
      <c r="B124" s="445"/>
      <c r="C124" s="739">
        <v>0</v>
      </c>
      <c r="D124" s="740">
        <v>0</v>
      </c>
      <c r="E124" s="741">
        <v>0</v>
      </c>
      <c r="F124" s="741">
        <v>0</v>
      </c>
      <c r="G124" s="741">
        <v>0</v>
      </c>
      <c r="H124" s="741">
        <f t="shared" si="35"/>
        <v>0</v>
      </c>
      <c r="I124" s="44">
        <f t="shared" si="20"/>
        <v>0</v>
      </c>
      <c r="J124" s="330" t="str">
        <f t="shared" si="21"/>
        <v/>
      </c>
      <c r="K124" s="743">
        <f t="shared" si="36"/>
        <v>0</v>
      </c>
      <c r="L124" s="446"/>
      <c r="M124" s="40"/>
      <c r="N124" s="40"/>
      <c r="O124" s="40"/>
      <c r="P124" s="40"/>
      <c r="Q124" s="40"/>
      <c r="R124" s="40"/>
      <c r="S124" s="40"/>
      <c r="T124" s="40"/>
      <c r="U124" s="40"/>
      <c r="V124" s="40"/>
      <c r="W124" s="40"/>
    </row>
    <row r="125" spans="1:23" ht="11.25" customHeight="1" x14ac:dyDescent="0.25">
      <c r="A125" s="809">
        <f>'Org structure'!E141</f>
        <v>0</v>
      </c>
      <c r="B125" s="445"/>
      <c r="C125" s="739">
        <v>0</v>
      </c>
      <c r="D125" s="740">
        <v>0</v>
      </c>
      <c r="E125" s="741">
        <v>0</v>
      </c>
      <c r="F125" s="741">
        <v>0</v>
      </c>
      <c r="G125" s="741">
        <v>0</v>
      </c>
      <c r="H125" s="741">
        <f t="shared" si="35"/>
        <v>0</v>
      </c>
      <c r="I125" s="44">
        <f t="shared" si="20"/>
        <v>0</v>
      </c>
      <c r="J125" s="330" t="str">
        <f t="shared" si="21"/>
        <v/>
      </c>
      <c r="K125" s="743">
        <f t="shared" si="36"/>
        <v>0</v>
      </c>
      <c r="L125" s="446"/>
      <c r="M125" s="40"/>
      <c r="N125" s="40"/>
      <c r="O125" s="40"/>
      <c r="P125" s="40"/>
      <c r="Q125" s="40"/>
      <c r="R125" s="40"/>
      <c r="S125" s="40"/>
      <c r="T125" s="40"/>
      <c r="U125" s="40"/>
      <c r="V125" s="40"/>
      <c r="W125" s="40"/>
    </row>
    <row r="126" spans="1:23" ht="11.25" customHeight="1" x14ac:dyDescent="0.25">
      <c r="A126" s="809">
        <f>'Org structure'!E142</f>
        <v>0</v>
      </c>
      <c r="B126" s="445"/>
      <c r="C126" s="739">
        <v>0</v>
      </c>
      <c r="D126" s="740">
        <v>0</v>
      </c>
      <c r="E126" s="741">
        <v>0</v>
      </c>
      <c r="F126" s="741">
        <v>0</v>
      </c>
      <c r="G126" s="741">
        <v>0</v>
      </c>
      <c r="H126" s="741">
        <f t="shared" si="35"/>
        <v>0</v>
      </c>
      <c r="I126" s="44">
        <f t="shared" si="20"/>
        <v>0</v>
      </c>
      <c r="J126" s="330" t="str">
        <f t="shared" si="21"/>
        <v/>
      </c>
      <c r="K126" s="743">
        <f t="shared" si="36"/>
        <v>0</v>
      </c>
      <c r="L126" s="446"/>
      <c r="M126" s="40"/>
      <c r="N126" s="40"/>
      <c r="O126" s="40"/>
      <c r="P126" s="40"/>
      <c r="Q126" s="40"/>
      <c r="R126" s="40"/>
      <c r="S126" s="40"/>
      <c r="T126" s="40"/>
      <c r="U126" s="40"/>
      <c r="V126" s="40"/>
      <c r="W126" s="40"/>
    </row>
    <row r="127" spans="1:23" ht="11.25" customHeight="1" x14ac:dyDescent="0.25">
      <c r="A127" s="810" t="str">
        <f>'Org structure'!A13</f>
        <v>Vote 12 - [NAME OF VOTE 12]</v>
      </c>
      <c r="B127" s="445"/>
      <c r="C127" s="503">
        <f>SUM(C128:C137)</f>
        <v>0</v>
      </c>
      <c r="D127" s="444">
        <f t="shared" ref="D127:K127" si="37">SUM(D128:D137)</f>
        <v>0</v>
      </c>
      <c r="E127" s="441">
        <f t="shared" si="37"/>
        <v>0</v>
      </c>
      <c r="F127" s="443">
        <f t="shared" si="37"/>
        <v>0</v>
      </c>
      <c r="G127" s="441">
        <f t="shared" si="37"/>
        <v>0</v>
      </c>
      <c r="H127" s="443">
        <f t="shared" si="37"/>
        <v>0</v>
      </c>
      <c r="I127" s="44">
        <f t="shared" si="20"/>
        <v>0</v>
      </c>
      <c r="J127" s="330" t="str">
        <f t="shared" si="21"/>
        <v/>
      </c>
      <c r="K127" s="442">
        <f t="shared" si="37"/>
        <v>0</v>
      </c>
      <c r="L127" s="446"/>
      <c r="M127" s="40"/>
      <c r="N127" s="40"/>
      <c r="O127" s="40"/>
      <c r="P127" s="40"/>
      <c r="Q127" s="40"/>
      <c r="R127" s="40"/>
      <c r="S127" s="40"/>
      <c r="T127" s="40"/>
      <c r="U127" s="40"/>
      <c r="V127" s="40"/>
      <c r="W127" s="40"/>
    </row>
    <row r="128" spans="1:23" ht="11.25" customHeight="1" x14ac:dyDescent="0.25">
      <c r="A128" s="809" t="str">
        <f>'Org structure'!E144</f>
        <v>12.1 - [Name of sub-vote]</v>
      </c>
      <c r="B128" s="445"/>
      <c r="C128" s="739"/>
      <c r="D128" s="740">
        <v>0</v>
      </c>
      <c r="E128" s="741">
        <v>0</v>
      </c>
      <c r="F128" s="742">
        <v>0</v>
      </c>
      <c r="G128" s="741">
        <v>0</v>
      </c>
      <c r="H128" s="742">
        <f t="shared" ref="H128:H137" si="38">E128/12*10</f>
        <v>0</v>
      </c>
      <c r="I128" s="44">
        <f t="shared" si="20"/>
        <v>0</v>
      </c>
      <c r="J128" s="330" t="str">
        <f t="shared" si="21"/>
        <v/>
      </c>
      <c r="K128" s="743"/>
      <c r="L128" s="446"/>
      <c r="M128" s="40"/>
      <c r="N128" s="40"/>
      <c r="O128" s="40"/>
      <c r="P128" s="40"/>
      <c r="Q128" s="40"/>
      <c r="R128" s="40"/>
      <c r="S128" s="40"/>
      <c r="T128" s="40"/>
      <c r="U128" s="40"/>
      <c r="V128" s="40"/>
      <c r="W128" s="40"/>
    </row>
    <row r="129" spans="1:23" ht="11.25" customHeight="1" x14ac:dyDescent="0.25">
      <c r="A129" s="809">
        <f>'Org structure'!E145</f>
        <v>0</v>
      </c>
      <c r="B129" s="445"/>
      <c r="C129" s="739"/>
      <c r="D129" s="740">
        <v>0</v>
      </c>
      <c r="E129" s="741">
        <v>0</v>
      </c>
      <c r="F129" s="742">
        <v>0</v>
      </c>
      <c r="G129" s="741">
        <v>0</v>
      </c>
      <c r="H129" s="742">
        <f t="shared" si="38"/>
        <v>0</v>
      </c>
      <c r="I129" s="44">
        <f t="shared" si="20"/>
        <v>0</v>
      </c>
      <c r="J129" s="330" t="str">
        <f t="shared" si="21"/>
        <v/>
      </c>
      <c r="K129" s="743"/>
      <c r="L129" s="446"/>
      <c r="M129" s="40"/>
      <c r="N129" s="40"/>
      <c r="O129" s="40"/>
      <c r="P129" s="40"/>
      <c r="Q129" s="40"/>
      <c r="R129" s="40"/>
      <c r="S129" s="40"/>
      <c r="T129" s="40"/>
      <c r="U129" s="40"/>
      <c r="V129" s="40"/>
      <c r="W129" s="40"/>
    </row>
    <row r="130" spans="1:23" ht="11.25" customHeight="1" x14ac:dyDescent="0.25">
      <c r="A130" s="809">
        <f>'Org structure'!E146</f>
        <v>0</v>
      </c>
      <c r="B130" s="445"/>
      <c r="C130" s="739"/>
      <c r="D130" s="740">
        <v>0</v>
      </c>
      <c r="E130" s="741">
        <v>0</v>
      </c>
      <c r="F130" s="742">
        <v>0</v>
      </c>
      <c r="G130" s="741">
        <v>0</v>
      </c>
      <c r="H130" s="742">
        <f t="shared" si="38"/>
        <v>0</v>
      </c>
      <c r="I130" s="44">
        <f t="shared" si="20"/>
        <v>0</v>
      </c>
      <c r="J130" s="330" t="str">
        <f t="shared" si="21"/>
        <v/>
      </c>
      <c r="K130" s="743"/>
      <c r="L130" s="446"/>
      <c r="M130" s="40"/>
      <c r="N130" s="40"/>
      <c r="O130" s="40"/>
      <c r="P130" s="40"/>
      <c r="Q130" s="40"/>
      <c r="R130" s="40"/>
      <c r="S130" s="40"/>
      <c r="T130" s="40"/>
      <c r="U130" s="40"/>
      <c r="V130" s="40"/>
      <c r="W130" s="40"/>
    </row>
    <row r="131" spans="1:23" ht="11.25" customHeight="1" x14ac:dyDescent="0.25">
      <c r="A131" s="809">
        <f>'Org structure'!E147</f>
        <v>0</v>
      </c>
      <c r="B131" s="445"/>
      <c r="C131" s="739"/>
      <c r="D131" s="740">
        <v>0</v>
      </c>
      <c r="E131" s="741">
        <v>0</v>
      </c>
      <c r="F131" s="742">
        <v>0</v>
      </c>
      <c r="G131" s="741">
        <v>0</v>
      </c>
      <c r="H131" s="742">
        <f t="shared" si="38"/>
        <v>0</v>
      </c>
      <c r="I131" s="44">
        <f t="shared" si="20"/>
        <v>0</v>
      </c>
      <c r="J131" s="330" t="str">
        <f t="shared" si="21"/>
        <v/>
      </c>
      <c r="K131" s="743"/>
      <c r="L131" s="446"/>
      <c r="M131" s="40"/>
      <c r="N131" s="40"/>
      <c r="O131" s="40"/>
      <c r="P131" s="40"/>
      <c r="Q131" s="40"/>
      <c r="R131" s="40"/>
      <c r="S131" s="40"/>
      <c r="T131" s="40"/>
      <c r="U131" s="40"/>
      <c r="V131" s="40"/>
      <c r="W131" s="40"/>
    </row>
    <row r="132" spans="1:23" ht="11.25" customHeight="1" x14ac:dyDescent="0.25">
      <c r="A132" s="809">
        <f>'Org structure'!E148</f>
        <v>0</v>
      </c>
      <c r="B132" s="445"/>
      <c r="C132" s="739"/>
      <c r="D132" s="740">
        <v>0</v>
      </c>
      <c r="E132" s="741">
        <v>0</v>
      </c>
      <c r="F132" s="742">
        <v>0</v>
      </c>
      <c r="G132" s="741">
        <v>0</v>
      </c>
      <c r="H132" s="742">
        <f t="shared" si="38"/>
        <v>0</v>
      </c>
      <c r="I132" s="44">
        <f t="shared" si="20"/>
        <v>0</v>
      </c>
      <c r="J132" s="330" t="str">
        <f t="shared" si="21"/>
        <v/>
      </c>
      <c r="K132" s="743"/>
      <c r="L132" s="446"/>
      <c r="M132" s="40"/>
      <c r="N132" s="40"/>
      <c r="O132" s="40"/>
      <c r="P132" s="40"/>
      <c r="Q132" s="40"/>
      <c r="R132" s="40"/>
      <c r="S132" s="40"/>
      <c r="T132" s="40"/>
      <c r="U132" s="40"/>
      <c r="V132" s="40"/>
      <c r="W132" s="40"/>
    </row>
    <row r="133" spans="1:23" ht="11.25" customHeight="1" x14ac:dyDescent="0.25">
      <c r="A133" s="809">
        <f>'Org structure'!E149</f>
        <v>0</v>
      </c>
      <c r="B133" s="445"/>
      <c r="C133" s="739"/>
      <c r="D133" s="740">
        <v>0</v>
      </c>
      <c r="E133" s="741">
        <v>0</v>
      </c>
      <c r="F133" s="742">
        <v>0</v>
      </c>
      <c r="G133" s="741">
        <v>0</v>
      </c>
      <c r="H133" s="742">
        <f t="shared" si="38"/>
        <v>0</v>
      </c>
      <c r="I133" s="44">
        <f t="shared" si="20"/>
        <v>0</v>
      </c>
      <c r="J133" s="330" t="str">
        <f t="shared" si="21"/>
        <v/>
      </c>
      <c r="K133" s="743"/>
      <c r="L133" s="446"/>
      <c r="M133" s="40"/>
      <c r="N133" s="40"/>
      <c r="O133" s="40"/>
      <c r="P133" s="40"/>
      <c r="Q133" s="40"/>
      <c r="R133" s="40"/>
      <c r="S133" s="40"/>
      <c r="T133" s="40"/>
      <c r="U133" s="40"/>
      <c r="V133" s="40"/>
      <c r="W133" s="40"/>
    </row>
    <row r="134" spans="1:23" ht="11.25" customHeight="1" x14ac:dyDescent="0.25">
      <c r="A134" s="809">
        <f>'Org structure'!E150</f>
        <v>0</v>
      </c>
      <c r="B134" s="445"/>
      <c r="C134" s="739"/>
      <c r="D134" s="740">
        <v>0</v>
      </c>
      <c r="E134" s="741">
        <v>0</v>
      </c>
      <c r="F134" s="742">
        <v>0</v>
      </c>
      <c r="G134" s="741">
        <v>0</v>
      </c>
      <c r="H134" s="742">
        <f t="shared" si="38"/>
        <v>0</v>
      </c>
      <c r="I134" s="44">
        <f t="shared" ref="I134:I197" si="39">G134-H134</f>
        <v>0</v>
      </c>
      <c r="J134" s="330" t="str">
        <f t="shared" ref="J134:J197" si="40">IF(I134=0,"",I134/H134)</f>
        <v/>
      </c>
      <c r="K134" s="743"/>
      <c r="L134" s="446"/>
      <c r="M134" s="40"/>
      <c r="N134" s="40"/>
      <c r="O134" s="40"/>
      <c r="P134" s="40"/>
      <c r="Q134" s="40"/>
      <c r="R134" s="40"/>
      <c r="S134" s="40"/>
      <c r="T134" s="40"/>
      <c r="U134" s="40"/>
      <c r="V134" s="40"/>
      <c r="W134" s="40"/>
    </row>
    <row r="135" spans="1:23" ht="11.25" customHeight="1" x14ac:dyDescent="0.25">
      <c r="A135" s="809">
        <f>'Org structure'!E151</f>
        <v>0</v>
      </c>
      <c r="B135" s="445"/>
      <c r="C135" s="739"/>
      <c r="D135" s="740">
        <v>0</v>
      </c>
      <c r="E135" s="741">
        <v>0</v>
      </c>
      <c r="F135" s="742">
        <v>0</v>
      </c>
      <c r="G135" s="741">
        <v>0</v>
      </c>
      <c r="H135" s="742">
        <f t="shared" si="38"/>
        <v>0</v>
      </c>
      <c r="I135" s="44">
        <f t="shared" si="39"/>
        <v>0</v>
      </c>
      <c r="J135" s="330" t="str">
        <f t="shared" si="40"/>
        <v/>
      </c>
      <c r="K135" s="743"/>
      <c r="L135" s="446"/>
      <c r="M135" s="40"/>
      <c r="N135" s="40"/>
      <c r="O135" s="40"/>
      <c r="P135" s="40"/>
      <c r="Q135" s="40"/>
      <c r="R135" s="40"/>
      <c r="S135" s="40"/>
      <c r="T135" s="40"/>
      <c r="U135" s="40"/>
      <c r="V135" s="40"/>
      <c r="W135" s="40"/>
    </row>
    <row r="136" spans="1:23" ht="11.25" customHeight="1" x14ac:dyDescent="0.25">
      <c r="A136" s="809">
        <f>'Org structure'!E152</f>
        <v>0</v>
      </c>
      <c r="B136" s="445"/>
      <c r="C136" s="739"/>
      <c r="D136" s="740">
        <v>0</v>
      </c>
      <c r="E136" s="741">
        <v>0</v>
      </c>
      <c r="F136" s="742">
        <v>0</v>
      </c>
      <c r="G136" s="741">
        <v>0</v>
      </c>
      <c r="H136" s="742">
        <f t="shared" si="38"/>
        <v>0</v>
      </c>
      <c r="I136" s="44">
        <f t="shared" si="39"/>
        <v>0</v>
      </c>
      <c r="J136" s="330" t="str">
        <f t="shared" si="40"/>
        <v/>
      </c>
      <c r="K136" s="743"/>
      <c r="L136" s="446"/>
      <c r="M136" s="40"/>
      <c r="N136" s="40"/>
      <c r="O136" s="40"/>
      <c r="P136" s="40"/>
      <c r="Q136" s="40"/>
      <c r="R136" s="40"/>
      <c r="S136" s="40"/>
      <c r="T136" s="40"/>
      <c r="U136" s="40"/>
      <c r="V136" s="40"/>
      <c r="W136" s="40"/>
    </row>
    <row r="137" spans="1:23" ht="11.25" customHeight="1" x14ac:dyDescent="0.25">
      <c r="A137" s="809">
        <f>'Org structure'!E153</f>
        <v>0</v>
      </c>
      <c r="B137" s="445"/>
      <c r="C137" s="739"/>
      <c r="D137" s="740">
        <v>0</v>
      </c>
      <c r="E137" s="741">
        <v>0</v>
      </c>
      <c r="F137" s="742">
        <v>0</v>
      </c>
      <c r="G137" s="741">
        <v>0</v>
      </c>
      <c r="H137" s="742">
        <f t="shared" si="38"/>
        <v>0</v>
      </c>
      <c r="I137" s="44">
        <f t="shared" si="39"/>
        <v>0</v>
      </c>
      <c r="J137" s="330" t="str">
        <f t="shared" si="40"/>
        <v/>
      </c>
      <c r="K137" s="743"/>
      <c r="L137" s="446"/>
      <c r="M137" s="40"/>
      <c r="N137" s="40"/>
      <c r="O137" s="40"/>
      <c r="P137" s="40"/>
      <c r="Q137" s="40"/>
      <c r="R137" s="40"/>
      <c r="S137" s="40"/>
      <c r="T137" s="40"/>
      <c r="U137" s="40"/>
      <c r="V137" s="40"/>
      <c r="W137" s="40"/>
    </row>
    <row r="138" spans="1:23" ht="11.25" customHeight="1" x14ac:dyDescent="0.25">
      <c r="A138" s="810" t="str">
        <f>'Org structure'!A14</f>
        <v>Vote 13 - [NAME OF VOTE 13]</v>
      </c>
      <c r="B138" s="445"/>
      <c r="C138" s="503">
        <f>SUM(C139:C148)</f>
        <v>0</v>
      </c>
      <c r="D138" s="444">
        <f t="shared" ref="D138:K138" si="41">SUM(D139:D148)</f>
        <v>0</v>
      </c>
      <c r="E138" s="441">
        <f t="shared" si="41"/>
        <v>0</v>
      </c>
      <c r="F138" s="443">
        <f t="shared" si="41"/>
        <v>0</v>
      </c>
      <c r="G138" s="441">
        <f t="shared" si="41"/>
        <v>0</v>
      </c>
      <c r="H138" s="443">
        <f t="shared" si="41"/>
        <v>0</v>
      </c>
      <c r="I138" s="44">
        <f t="shared" si="39"/>
        <v>0</v>
      </c>
      <c r="J138" s="330" t="str">
        <f t="shared" si="40"/>
        <v/>
      </c>
      <c r="K138" s="442">
        <f t="shared" si="41"/>
        <v>0</v>
      </c>
      <c r="L138" s="446"/>
      <c r="M138" s="40"/>
      <c r="N138" s="40"/>
      <c r="O138" s="40"/>
      <c r="P138" s="40"/>
      <c r="Q138" s="40"/>
      <c r="R138" s="40"/>
      <c r="S138" s="40"/>
      <c r="T138" s="40"/>
      <c r="U138" s="40"/>
      <c r="V138" s="40"/>
      <c r="W138" s="40"/>
    </row>
    <row r="139" spans="1:23" ht="11.25" customHeight="1" x14ac:dyDescent="0.25">
      <c r="A139" s="809" t="str">
        <f>'Org structure'!E155</f>
        <v>13.1 - [Name of sub-vote]</v>
      </c>
      <c r="B139" s="445"/>
      <c r="C139" s="739"/>
      <c r="D139" s="740">
        <v>0</v>
      </c>
      <c r="E139" s="741">
        <v>0</v>
      </c>
      <c r="F139" s="742">
        <v>0</v>
      </c>
      <c r="G139" s="741">
        <v>0</v>
      </c>
      <c r="H139" s="742">
        <f t="shared" ref="H139:H148" si="42">E139/12*10</f>
        <v>0</v>
      </c>
      <c r="I139" s="44">
        <f t="shared" si="39"/>
        <v>0</v>
      </c>
      <c r="J139" s="330" t="str">
        <f t="shared" si="40"/>
        <v/>
      </c>
      <c r="K139" s="743"/>
      <c r="L139" s="446"/>
      <c r="M139" s="40"/>
      <c r="N139" s="40"/>
      <c r="O139" s="40"/>
      <c r="P139" s="40"/>
      <c r="Q139" s="40"/>
      <c r="R139" s="40"/>
      <c r="S139" s="40"/>
      <c r="T139" s="40"/>
      <c r="U139" s="40"/>
      <c r="V139" s="40"/>
      <c r="W139" s="40"/>
    </row>
    <row r="140" spans="1:23" ht="11.25" customHeight="1" x14ac:dyDescent="0.25">
      <c r="A140" s="809">
        <f>'Org structure'!E156</f>
        <v>0</v>
      </c>
      <c r="B140" s="445"/>
      <c r="C140" s="739"/>
      <c r="D140" s="740">
        <v>0</v>
      </c>
      <c r="E140" s="741">
        <v>0</v>
      </c>
      <c r="F140" s="742">
        <v>0</v>
      </c>
      <c r="G140" s="741">
        <v>0</v>
      </c>
      <c r="H140" s="742">
        <f t="shared" si="42"/>
        <v>0</v>
      </c>
      <c r="I140" s="44">
        <f t="shared" si="39"/>
        <v>0</v>
      </c>
      <c r="J140" s="330" t="str">
        <f t="shared" si="40"/>
        <v/>
      </c>
      <c r="K140" s="743"/>
      <c r="L140" s="446"/>
      <c r="M140" s="40"/>
      <c r="N140" s="40"/>
      <c r="O140" s="40"/>
      <c r="P140" s="40"/>
      <c r="Q140" s="40"/>
      <c r="R140" s="40"/>
      <c r="S140" s="40"/>
      <c r="T140" s="40"/>
      <c r="U140" s="40"/>
      <c r="V140" s="40"/>
      <c r="W140" s="40"/>
    </row>
    <row r="141" spans="1:23" ht="11.25" customHeight="1" x14ac:dyDescent="0.25">
      <c r="A141" s="809">
        <f>'Org structure'!E157</f>
        <v>0</v>
      </c>
      <c r="B141" s="445"/>
      <c r="C141" s="739"/>
      <c r="D141" s="740">
        <v>0</v>
      </c>
      <c r="E141" s="741">
        <v>0</v>
      </c>
      <c r="F141" s="742">
        <v>0</v>
      </c>
      <c r="G141" s="741">
        <v>0</v>
      </c>
      <c r="H141" s="742">
        <f t="shared" si="42"/>
        <v>0</v>
      </c>
      <c r="I141" s="44">
        <f t="shared" si="39"/>
        <v>0</v>
      </c>
      <c r="J141" s="330" t="str">
        <f t="shared" si="40"/>
        <v/>
      </c>
      <c r="K141" s="743"/>
      <c r="L141" s="446"/>
      <c r="M141" s="40"/>
      <c r="N141" s="40"/>
      <c r="O141" s="40"/>
      <c r="P141" s="40"/>
      <c r="Q141" s="40"/>
      <c r="R141" s="40"/>
      <c r="S141" s="40"/>
      <c r="T141" s="40"/>
      <c r="U141" s="40"/>
      <c r="V141" s="40"/>
      <c r="W141" s="40"/>
    </row>
    <row r="142" spans="1:23" ht="11.25" customHeight="1" x14ac:dyDescent="0.25">
      <c r="A142" s="809">
        <f>'Org structure'!E158</f>
        <v>0</v>
      </c>
      <c r="B142" s="445"/>
      <c r="C142" s="739"/>
      <c r="D142" s="740">
        <v>0</v>
      </c>
      <c r="E142" s="741">
        <v>0</v>
      </c>
      <c r="F142" s="742">
        <v>0</v>
      </c>
      <c r="G142" s="741">
        <v>0</v>
      </c>
      <c r="H142" s="742">
        <f t="shared" si="42"/>
        <v>0</v>
      </c>
      <c r="I142" s="44">
        <f t="shared" si="39"/>
        <v>0</v>
      </c>
      <c r="J142" s="330" t="str">
        <f t="shared" si="40"/>
        <v/>
      </c>
      <c r="K142" s="743"/>
      <c r="L142" s="446"/>
      <c r="M142" s="40"/>
      <c r="N142" s="40"/>
      <c r="O142" s="40"/>
      <c r="P142" s="40"/>
      <c r="Q142" s="40"/>
      <c r="R142" s="40"/>
      <c r="S142" s="40"/>
      <c r="T142" s="40"/>
      <c r="U142" s="40"/>
      <c r="V142" s="40"/>
      <c r="W142" s="40"/>
    </row>
    <row r="143" spans="1:23" ht="11.25" customHeight="1" x14ac:dyDescent="0.25">
      <c r="A143" s="809">
        <f>'Org structure'!E159</f>
        <v>0</v>
      </c>
      <c r="B143" s="445"/>
      <c r="C143" s="739"/>
      <c r="D143" s="740">
        <v>0</v>
      </c>
      <c r="E143" s="741">
        <v>0</v>
      </c>
      <c r="F143" s="742">
        <v>0</v>
      </c>
      <c r="G143" s="741">
        <v>0</v>
      </c>
      <c r="H143" s="742">
        <f t="shared" si="42"/>
        <v>0</v>
      </c>
      <c r="I143" s="44">
        <f t="shared" si="39"/>
        <v>0</v>
      </c>
      <c r="J143" s="330" t="str">
        <f t="shared" si="40"/>
        <v/>
      </c>
      <c r="K143" s="743"/>
      <c r="L143" s="446"/>
      <c r="M143" s="40"/>
      <c r="N143" s="40"/>
      <c r="O143" s="40"/>
      <c r="P143" s="40"/>
      <c r="Q143" s="40"/>
      <c r="R143" s="40"/>
      <c r="S143" s="40"/>
      <c r="T143" s="40"/>
      <c r="U143" s="40"/>
      <c r="V143" s="40"/>
      <c r="W143" s="40"/>
    </row>
    <row r="144" spans="1:23" ht="11.25" customHeight="1" x14ac:dyDescent="0.25">
      <c r="A144" s="809">
        <f>'Org structure'!E160</f>
        <v>0</v>
      </c>
      <c r="B144" s="445"/>
      <c r="C144" s="739"/>
      <c r="D144" s="740">
        <v>0</v>
      </c>
      <c r="E144" s="741">
        <v>0</v>
      </c>
      <c r="F144" s="742">
        <v>0</v>
      </c>
      <c r="G144" s="741">
        <v>0</v>
      </c>
      <c r="H144" s="742">
        <f t="shared" si="42"/>
        <v>0</v>
      </c>
      <c r="I144" s="44">
        <f t="shared" si="39"/>
        <v>0</v>
      </c>
      <c r="J144" s="330" t="str">
        <f t="shared" si="40"/>
        <v/>
      </c>
      <c r="K144" s="743"/>
      <c r="L144" s="446"/>
      <c r="M144" s="40"/>
      <c r="N144" s="40"/>
      <c r="O144" s="40"/>
      <c r="P144" s="40"/>
      <c r="Q144" s="40"/>
      <c r="R144" s="40"/>
      <c r="S144" s="40"/>
      <c r="T144" s="40"/>
      <c r="U144" s="40"/>
      <c r="V144" s="40"/>
      <c r="W144" s="40"/>
    </row>
    <row r="145" spans="1:23" ht="11.25" customHeight="1" x14ac:dyDescent="0.25">
      <c r="A145" s="809">
        <f>'Org structure'!E161</f>
        <v>0</v>
      </c>
      <c r="B145" s="445"/>
      <c r="C145" s="739"/>
      <c r="D145" s="740">
        <v>0</v>
      </c>
      <c r="E145" s="741">
        <v>0</v>
      </c>
      <c r="F145" s="742">
        <v>0</v>
      </c>
      <c r="G145" s="741">
        <v>0</v>
      </c>
      <c r="H145" s="742">
        <f t="shared" si="42"/>
        <v>0</v>
      </c>
      <c r="I145" s="44">
        <f t="shared" si="39"/>
        <v>0</v>
      </c>
      <c r="J145" s="330" t="str">
        <f t="shared" si="40"/>
        <v/>
      </c>
      <c r="K145" s="743"/>
      <c r="L145" s="446"/>
      <c r="M145" s="40"/>
      <c r="N145" s="40"/>
      <c r="O145" s="40"/>
      <c r="P145" s="40"/>
      <c r="Q145" s="40"/>
      <c r="R145" s="40"/>
      <c r="S145" s="40"/>
      <c r="T145" s="40"/>
      <c r="U145" s="40"/>
      <c r="V145" s="40"/>
      <c r="W145" s="40"/>
    </row>
    <row r="146" spans="1:23" ht="11.25" customHeight="1" x14ac:dyDescent="0.25">
      <c r="A146" s="809">
        <f>'Org structure'!E162</f>
        <v>0</v>
      </c>
      <c r="B146" s="445"/>
      <c r="C146" s="739"/>
      <c r="D146" s="740">
        <v>0</v>
      </c>
      <c r="E146" s="741">
        <v>0</v>
      </c>
      <c r="F146" s="742">
        <v>0</v>
      </c>
      <c r="G146" s="741">
        <v>0</v>
      </c>
      <c r="H146" s="742">
        <f t="shared" si="42"/>
        <v>0</v>
      </c>
      <c r="I146" s="44">
        <f t="shared" si="39"/>
        <v>0</v>
      </c>
      <c r="J146" s="330" t="str">
        <f t="shared" si="40"/>
        <v/>
      </c>
      <c r="K146" s="743"/>
      <c r="L146" s="446"/>
      <c r="M146" s="40"/>
      <c r="N146" s="40"/>
      <c r="O146" s="40"/>
      <c r="P146" s="40"/>
      <c r="Q146" s="40"/>
      <c r="R146" s="40"/>
      <c r="S146" s="40"/>
      <c r="T146" s="40"/>
      <c r="U146" s="40"/>
      <c r="V146" s="40"/>
      <c r="W146" s="40"/>
    </row>
    <row r="147" spans="1:23" ht="11.25" customHeight="1" x14ac:dyDescent="0.25">
      <c r="A147" s="809">
        <f>'Org structure'!E163</f>
        <v>0</v>
      </c>
      <c r="B147" s="445"/>
      <c r="C147" s="739"/>
      <c r="D147" s="740">
        <v>0</v>
      </c>
      <c r="E147" s="741">
        <v>0</v>
      </c>
      <c r="F147" s="742">
        <v>0</v>
      </c>
      <c r="G147" s="741">
        <v>0</v>
      </c>
      <c r="H147" s="742">
        <f t="shared" si="42"/>
        <v>0</v>
      </c>
      <c r="I147" s="44">
        <f t="shared" si="39"/>
        <v>0</v>
      </c>
      <c r="J147" s="330" t="str">
        <f t="shared" si="40"/>
        <v/>
      </c>
      <c r="K147" s="743"/>
      <c r="L147" s="446"/>
      <c r="M147" s="40"/>
      <c r="N147" s="40"/>
      <c r="O147" s="40"/>
      <c r="P147" s="40"/>
      <c r="Q147" s="40"/>
      <c r="R147" s="40"/>
      <c r="S147" s="40"/>
      <c r="T147" s="40"/>
      <c r="U147" s="40"/>
      <c r="V147" s="40"/>
      <c r="W147" s="40"/>
    </row>
    <row r="148" spans="1:23" ht="11.25" customHeight="1" x14ac:dyDescent="0.25">
      <c r="A148" s="809">
        <f>'Org structure'!E164</f>
        <v>0</v>
      </c>
      <c r="B148" s="445"/>
      <c r="C148" s="739"/>
      <c r="D148" s="740">
        <v>0</v>
      </c>
      <c r="E148" s="741">
        <v>0</v>
      </c>
      <c r="F148" s="742">
        <v>0</v>
      </c>
      <c r="G148" s="741">
        <v>0</v>
      </c>
      <c r="H148" s="742">
        <f t="shared" si="42"/>
        <v>0</v>
      </c>
      <c r="I148" s="44">
        <f t="shared" si="39"/>
        <v>0</v>
      </c>
      <c r="J148" s="330" t="str">
        <f t="shared" si="40"/>
        <v/>
      </c>
      <c r="K148" s="743"/>
      <c r="L148" s="446"/>
      <c r="M148" s="40"/>
      <c r="N148" s="40"/>
      <c r="O148" s="40"/>
      <c r="P148" s="40"/>
      <c r="Q148" s="40"/>
      <c r="R148" s="40"/>
      <c r="S148" s="40"/>
      <c r="T148" s="40"/>
      <c r="U148" s="40"/>
      <c r="V148" s="40"/>
      <c r="W148" s="40"/>
    </row>
    <row r="149" spans="1:23" ht="11.25" customHeight="1" x14ac:dyDescent="0.25">
      <c r="A149" s="810" t="str">
        <f>'Org structure'!A15</f>
        <v>Vote 14 - [NAME OF VOTE 14]</v>
      </c>
      <c r="B149" s="445"/>
      <c r="C149" s="503">
        <f>SUM(C150:C159)</f>
        <v>0</v>
      </c>
      <c r="D149" s="444">
        <f t="shared" ref="D149:K149" si="43">SUM(D150:D159)</f>
        <v>0</v>
      </c>
      <c r="E149" s="441">
        <f t="shared" si="43"/>
        <v>0</v>
      </c>
      <c r="F149" s="443">
        <f t="shared" si="43"/>
        <v>0</v>
      </c>
      <c r="G149" s="441">
        <f t="shared" si="43"/>
        <v>0</v>
      </c>
      <c r="H149" s="443">
        <f t="shared" si="43"/>
        <v>0</v>
      </c>
      <c r="I149" s="44">
        <f t="shared" si="39"/>
        <v>0</v>
      </c>
      <c r="J149" s="330" t="str">
        <f t="shared" si="40"/>
        <v/>
      </c>
      <c r="K149" s="442">
        <f t="shared" si="43"/>
        <v>0</v>
      </c>
      <c r="L149" s="446"/>
      <c r="M149" s="40"/>
      <c r="N149" s="40"/>
      <c r="O149" s="40"/>
      <c r="P149" s="40"/>
      <c r="Q149" s="40"/>
      <c r="R149" s="40"/>
      <c r="S149" s="40"/>
      <c r="T149" s="40"/>
      <c r="U149" s="40"/>
      <c r="V149" s="40"/>
      <c r="W149" s="40"/>
    </row>
    <row r="150" spans="1:23" ht="11.25" customHeight="1" x14ac:dyDescent="0.25">
      <c r="A150" s="809" t="str">
        <f>'Org structure'!E166</f>
        <v>14.1 - [Name of sub-vote]</v>
      </c>
      <c r="B150" s="445"/>
      <c r="C150" s="739"/>
      <c r="D150" s="740"/>
      <c r="E150" s="741"/>
      <c r="F150" s="742"/>
      <c r="G150" s="741"/>
      <c r="H150" s="742">
        <f t="shared" ref="H150:H159" si="44">E150/12*10</f>
        <v>0</v>
      </c>
      <c r="I150" s="44">
        <f t="shared" si="39"/>
        <v>0</v>
      </c>
      <c r="J150" s="330" t="str">
        <f t="shared" si="40"/>
        <v/>
      </c>
      <c r="K150" s="743"/>
      <c r="L150" s="446"/>
      <c r="M150" s="40"/>
      <c r="N150" s="40"/>
      <c r="O150" s="40"/>
      <c r="P150" s="40"/>
      <c r="Q150" s="40"/>
      <c r="R150" s="40"/>
      <c r="S150" s="40"/>
      <c r="T150" s="40"/>
      <c r="U150" s="40"/>
      <c r="V150" s="40"/>
      <c r="W150" s="40"/>
    </row>
    <row r="151" spans="1:23" ht="11.25" customHeight="1" x14ac:dyDescent="0.25">
      <c r="A151" s="809">
        <f>'Org structure'!E167</f>
        <v>0</v>
      </c>
      <c r="B151" s="445"/>
      <c r="C151" s="739"/>
      <c r="D151" s="740"/>
      <c r="E151" s="741"/>
      <c r="F151" s="742"/>
      <c r="G151" s="741"/>
      <c r="H151" s="742">
        <f t="shared" si="44"/>
        <v>0</v>
      </c>
      <c r="I151" s="44">
        <f t="shared" si="39"/>
        <v>0</v>
      </c>
      <c r="J151" s="330" t="str">
        <f t="shared" si="40"/>
        <v/>
      </c>
      <c r="K151" s="743"/>
      <c r="L151" s="446"/>
      <c r="M151" s="40"/>
      <c r="N151" s="40"/>
      <c r="O151" s="40"/>
      <c r="P151" s="40"/>
      <c r="Q151" s="40"/>
      <c r="R151" s="40"/>
      <c r="S151" s="40"/>
      <c r="T151" s="40"/>
      <c r="U151" s="40"/>
      <c r="V151" s="40"/>
      <c r="W151" s="40"/>
    </row>
    <row r="152" spans="1:23" ht="11.25" customHeight="1" x14ac:dyDescent="0.25">
      <c r="A152" s="809">
        <f>'Org structure'!E168</f>
        <v>0</v>
      </c>
      <c r="B152" s="445"/>
      <c r="C152" s="739"/>
      <c r="D152" s="740"/>
      <c r="E152" s="741"/>
      <c r="F152" s="742"/>
      <c r="G152" s="741"/>
      <c r="H152" s="742">
        <f t="shared" si="44"/>
        <v>0</v>
      </c>
      <c r="I152" s="44">
        <f t="shared" si="39"/>
        <v>0</v>
      </c>
      <c r="J152" s="330" t="str">
        <f t="shared" si="40"/>
        <v/>
      </c>
      <c r="K152" s="743"/>
      <c r="L152" s="446"/>
      <c r="M152" s="40"/>
      <c r="N152" s="40"/>
      <c r="O152" s="40"/>
      <c r="P152" s="40"/>
      <c r="Q152" s="40"/>
      <c r="R152" s="40"/>
      <c r="S152" s="40"/>
      <c r="T152" s="40"/>
      <c r="U152" s="40"/>
      <c r="V152" s="40"/>
      <c r="W152" s="40"/>
    </row>
    <row r="153" spans="1:23" ht="11.25" customHeight="1" x14ac:dyDescent="0.25">
      <c r="A153" s="809">
        <f>'Org structure'!E169</f>
        <v>0</v>
      </c>
      <c r="B153" s="445"/>
      <c r="C153" s="739"/>
      <c r="D153" s="740"/>
      <c r="E153" s="741"/>
      <c r="F153" s="742"/>
      <c r="G153" s="741"/>
      <c r="H153" s="742">
        <f t="shared" si="44"/>
        <v>0</v>
      </c>
      <c r="I153" s="44">
        <f t="shared" si="39"/>
        <v>0</v>
      </c>
      <c r="J153" s="330" t="str">
        <f t="shared" si="40"/>
        <v/>
      </c>
      <c r="K153" s="743"/>
      <c r="L153" s="446"/>
      <c r="M153" s="40"/>
      <c r="N153" s="40"/>
      <c r="O153" s="40"/>
      <c r="P153" s="40"/>
      <c r="Q153" s="40"/>
      <c r="R153" s="40"/>
      <c r="S153" s="40"/>
      <c r="T153" s="40"/>
      <c r="U153" s="40"/>
      <c r="V153" s="40"/>
      <c r="W153" s="40"/>
    </row>
    <row r="154" spans="1:23" ht="11.25" customHeight="1" x14ac:dyDescent="0.25">
      <c r="A154" s="809">
        <f>'Org structure'!E170</f>
        <v>0</v>
      </c>
      <c r="B154" s="445"/>
      <c r="C154" s="739"/>
      <c r="D154" s="740"/>
      <c r="E154" s="741"/>
      <c r="F154" s="742"/>
      <c r="G154" s="741"/>
      <c r="H154" s="742">
        <f t="shared" si="44"/>
        <v>0</v>
      </c>
      <c r="I154" s="44">
        <f t="shared" si="39"/>
        <v>0</v>
      </c>
      <c r="J154" s="330" t="str">
        <f t="shared" si="40"/>
        <v/>
      </c>
      <c r="K154" s="743"/>
      <c r="L154" s="446"/>
      <c r="M154" s="40"/>
      <c r="N154" s="40"/>
      <c r="O154" s="40"/>
      <c r="P154" s="40"/>
      <c r="Q154" s="40"/>
      <c r="R154" s="40"/>
      <c r="S154" s="40"/>
      <c r="T154" s="40"/>
      <c r="U154" s="40"/>
      <c r="V154" s="40"/>
      <c r="W154" s="40"/>
    </row>
    <row r="155" spans="1:23" ht="11.25" customHeight="1" x14ac:dyDescent="0.25">
      <c r="A155" s="809">
        <f>'Org structure'!E171</f>
        <v>0</v>
      </c>
      <c r="B155" s="445"/>
      <c r="C155" s="739"/>
      <c r="D155" s="740"/>
      <c r="E155" s="741"/>
      <c r="F155" s="742"/>
      <c r="G155" s="741"/>
      <c r="H155" s="742">
        <f t="shared" si="44"/>
        <v>0</v>
      </c>
      <c r="I155" s="44">
        <f t="shared" si="39"/>
        <v>0</v>
      </c>
      <c r="J155" s="330" t="str">
        <f t="shared" si="40"/>
        <v/>
      </c>
      <c r="K155" s="743"/>
      <c r="L155" s="446"/>
      <c r="M155" s="40"/>
      <c r="N155" s="40"/>
      <c r="O155" s="40"/>
      <c r="P155" s="40"/>
      <c r="Q155" s="40"/>
      <c r="R155" s="40"/>
      <c r="S155" s="40"/>
      <c r="T155" s="40"/>
      <c r="U155" s="40"/>
      <c r="V155" s="40"/>
      <c r="W155" s="40"/>
    </row>
    <row r="156" spans="1:23" ht="11.25" customHeight="1" x14ac:dyDescent="0.25">
      <c r="A156" s="809">
        <f>'Org structure'!E172</f>
        <v>0</v>
      </c>
      <c r="B156" s="445"/>
      <c r="C156" s="739"/>
      <c r="D156" s="740"/>
      <c r="E156" s="741"/>
      <c r="F156" s="742"/>
      <c r="G156" s="741"/>
      <c r="H156" s="742">
        <f t="shared" si="44"/>
        <v>0</v>
      </c>
      <c r="I156" s="44">
        <f t="shared" si="39"/>
        <v>0</v>
      </c>
      <c r="J156" s="330" t="str">
        <f t="shared" si="40"/>
        <v/>
      </c>
      <c r="K156" s="743"/>
      <c r="L156" s="446"/>
      <c r="M156" s="40"/>
      <c r="N156" s="40"/>
      <c r="O156" s="40"/>
      <c r="P156" s="40"/>
      <c r="Q156" s="40"/>
      <c r="R156" s="40"/>
      <c r="S156" s="40"/>
      <c r="T156" s="40"/>
      <c r="U156" s="40"/>
      <c r="V156" s="40"/>
      <c r="W156" s="40"/>
    </row>
    <row r="157" spans="1:23" ht="11.25" customHeight="1" x14ac:dyDescent="0.25">
      <c r="A157" s="809">
        <f>'Org structure'!E173</f>
        <v>0</v>
      </c>
      <c r="B157" s="445"/>
      <c r="C157" s="739"/>
      <c r="D157" s="740"/>
      <c r="E157" s="741"/>
      <c r="F157" s="742"/>
      <c r="G157" s="741"/>
      <c r="H157" s="742">
        <f t="shared" si="44"/>
        <v>0</v>
      </c>
      <c r="I157" s="44">
        <f t="shared" si="39"/>
        <v>0</v>
      </c>
      <c r="J157" s="330" t="str">
        <f t="shared" si="40"/>
        <v/>
      </c>
      <c r="K157" s="743"/>
      <c r="L157" s="446"/>
      <c r="M157" s="40"/>
      <c r="N157" s="40"/>
      <c r="O157" s="40"/>
      <c r="P157" s="40"/>
      <c r="Q157" s="40"/>
      <c r="R157" s="40"/>
      <c r="S157" s="40"/>
      <c r="T157" s="40"/>
      <c r="U157" s="40"/>
      <c r="V157" s="40"/>
      <c r="W157" s="40"/>
    </row>
    <row r="158" spans="1:23" ht="11.25" customHeight="1" x14ac:dyDescent="0.25">
      <c r="A158" s="809">
        <f>'Org structure'!E174</f>
        <v>0</v>
      </c>
      <c r="B158" s="445"/>
      <c r="C158" s="739"/>
      <c r="D158" s="740"/>
      <c r="E158" s="741"/>
      <c r="F158" s="742"/>
      <c r="G158" s="741"/>
      <c r="H158" s="742">
        <f t="shared" si="44"/>
        <v>0</v>
      </c>
      <c r="I158" s="44">
        <f t="shared" si="39"/>
        <v>0</v>
      </c>
      <c r="J158" s="330" t="str">
        <f t="shared" si="40"/>
        <v/>
      </c>
      <c r="K158" s="743"/>
      <c r="L158" s="446"/>
      <c r="M158" s="40"/>
      <c r="N158" s="40"/>
      <c r="O158" s="40"/>
      <c r="P158" s="40"/>
      <c r="Q158" s="40"/>
      <c r="R158" s="40"/>
      <c r="S158" s="40"/>
      <c r="T158" s="40"/>
      <c r="U158" s="40"/>
      <c r="V158" s="40"/>
      <c r="W158" s="40"/>
    </row>
    <row r="159" spans="1:23" ht="11.25" customHeight="1" x14ac:dyDescent="0.25">
      <c r="A159" s="809">
        <f>'Org structure'!E175</f>
        <v>0</v>
      </c>
      <c r="B159" s="445"/>
      <c r="C159" s="739"/>
      <c r="D159" s="740"/>
      <c r="E159" s="741"/>
      <c r="F159" s="742"/>
      <c r="G159" s="741"/>
      <c r="H159" s="742">
        <f t="shared" si="44"/>
        <v>0</v>
      </c>
      <c r="I159" s="44">
        <f t="shared" si="39"/>
        <v>0</v>
      </c>
      <c r="J159" s="330" t="str">
        <f t="shared" si="40"/>
        <v/>
      </c>
      <c r="K159" s="743"/>
      <c r="L159" s="446"/>
      <c r="M159" s="40"/>
      <c r="N159" s="40"/>
      <c r="O159" s="40"/>
      <c r="P159" s="40"/>
      <c r="Q159" s="40"/>
      <c r="R159" s="40"/>
      <c r="S159" s="40"/>
      <c r="T159" s="40"/>
      <c r="U159" s="40"/>
      <c r="V159" s="40"/>
      <c r="W159" s="40"/>
    </row>
    <row r="160" spans="1:23" ht="11.25" customHeight="1" x14ac:dyDescent="0.25">
      <c r="A160" s="810" t="str">
        <f>'Org structure'!A16</f>
        <v>Vote 15 - [NAME OF VOTE 15]</v>
      </c>
      <c r="B160" s="445"/>
      <c r="C160" s="503">
        <f>SUM(C161:C170)</f>
        <v>0</v>
      </c>
      <c r="D160" s="444">
        <f t="shared" ref="D160:K160" si="45">SUM(D161:D170)</f>
        <v>0</v>
      </c>
      <c r="E160" s="441">
        <f t="shared" si="45"/>
        <v>0</v>
      </c>
      <c r="F160" s="443">
        <f t="shared" si="45"/>
        <v>0</v>
      </c>
      <c r="G160" s="441">
        <f t="shared" si="45"/>
        <v>0</v>
      </c>
      <c r="H160" s="443">
        <f t="shared" si="45"/>
        <v>0</v>
      </c>
      <c r="I160" s="44">
        <f t="shared" si="39"/>
        <v>0</v>
      </c>
      <c r="J160" s="330" t="str">
        <f t="shared" si="40"/>
        <v/>
      </c>
      <c r="K160" s="442">
        <f t="shared" si="45"/>
        <v>0</v>
      </c>
      <c r="L160" s="446"/>
      <c r="M160" s="40"/>
      <c r="N160" s="40"/>
      <c r="O160" s="40"/>
      <c r="P160" s="40"/>
      <c r="Q160" s="40"/>
      <c r="R160" s="40"/>
      <c r="S160" s="40"/>
      <c r="T160" s="40"/>
      <c r="U160" s="40"/>
      <c r="V160" s="40"/>
      <c r="W160" s="40"/>
    </row>
    <row r="161" spans="1:23" ht="11.25" customHeight="1" x14ac:dyDescent="0.25">
      <c r="A161" s="809" t="str">
        <f>'Org structure'!E177</f>
        <v>15.1 - [Name of sub-vote]</v>
      </c>
      <c r="B161" s="445"/>
      <c r="C161" s="739"/>
      <c r="D161" s="740"/>
      <c r="E161" s="741"/>
      <c r="F161" s="742"/>
      <c r="G161" s="741"/>
      <c r="H161" s="742">
        <f t="shared" ref="H161:H170" si="46">E161/12*10</f>
        <v>0</v>
      </c>
      <c r="I161" s="44">
        <f t="shared" si="39"/>
        <v>0</v>
      </c>
      <c r="J161" s="330" t="str">
        <f t="shared" si="40"/>
        <v/>
      </c>
      <c r="K161" s="743"/>
      <c r="L161" s="446"/>
      <c r="M161" s="40"/>
      <c r="N161" s="40"/>
      <c r="O161" s="40"/>
      <c r="P161" s="40"/>
      <c r="Q161" s="40"/>
      <c r="R161" s="40"/>
      <c r="S161" s="40"/>
      <c r="T161" s="40"/>
      <c r="U161" s="40"/>
      <c r="V161" s="40"/>
      <c r="W161" s="40"/>
    </row>
    <row r="162" spans="1:23" ht="11.25" customHeight="1" x14ac:dyDescent="0.25">
      <c r="A162" s="809">
        <f>'Org structure'!E178</f>
        <v>0</v>
      </c>
      <c r="B162" s="445"/>
      <c r="C162" s="739"/>
      <c r="D162" s="740"/>
      <c r="E162" s="741"/>
      <c r="F162" s="742"/>
      <c r="G162" s="741"/>
      <c r="H162" s="742">
        <f t="shared" si="46"/>
        <v>0</v>
      </c>
      <c r="I162" s="44">
        <f t="shared" si="39"/>
        <v>0</v>
      </c>
      <c r="J162" s="330" t="str">
        <f t="shared" si="40"/>
        <v/>
      </c>
      <c r="K162" s="743"/>
      <c r="L162" s="446"/>
      <c r="M162" s="40"/>
      <c r="N162" s="40"/>
      <c r="O162" s="40"/>
      <c r="P162" s="40"/>
      <c r="Q162" s="40"/>
      <c r="R162" s="40"/>
      <c r="S162" s="40"/>
      <c r="T162" s="40"/>
      <c r="U162" s="40"/>
      <c r="V162" s="40"/>
      <c r="W162" s="40"/>
    </row>
    <row r="163" spans="1:23" ht="11.25" customHeight="1" x14ac:dyDescent="0.25">
      <c r="A163" s="809">
        <f>'Org structure'!E179</f>
        <v>0</v>
      </c>
      <c r="B163" s="445"/>
      <c r="C163" s="739"/>
      <c r="D163" s="740"/>
      <c r="E163" s="741"/>
      <c r="F163" s="742"/>
      <c r="G163" s="741"/>
      <c r="H163" s="742">
        <f t="shared" si="46"/>
        <v>0</v>
      </c>
      <c r="I163" s="44">
        <f t="shared" si="39"/>
        <v>0</v>
      </c>
      <c r="J163" s="330" t="str">
        <f t="shared" si="40"/>
        <v/>
      </c>
      <c r="K163" s="743"/>
      <c r="L163" s="446"/>
      <c r="M163" s="40"/>
      <c r="N163" s="40"/>
      <c r="O163" s="40"/>
      <c r="P163" s="40"/>
      <c r="Q163" s="40"/>
      <c r="R163" s="40"/>
      <c r="S163" s="40"/>
      <c r="T163" s="40"/>
      <c r="U163" s="40"/>
      <c r="V163" s="40"/>
      <c r="W163" s="40"/>
    </row>
    <row r="164" spans="1:23" ht="11.25" customHeight="1" x14ac:dyDescent="0.25">
      <c r="A164" s="809">
        <f>'Org structure'!E180</f>
        <v>0</v>
      </c>
      <c r="B164" s="445"/>
      <c r="C164" s="739"/>
      <c r="D164" s="740"/>
      <c r="E164" s="741"/>
      <c r="F164" s="742"/>
      <c r="G164" s="741"/>
      <c r="H164" s="742">
        <f t="shared" si="46"/>
        <v>0</v>
      </c>
      <c r="I164" s="44">
        <f t="shared" si="39"/>
        <v>0</v>
      </c>
      <c r="J164" s="330" t="str">
        <f t="shared" si="40"/>
        <v/>
      </c>
      <c r="K164" s="743"/>
      <c r="L164" s="446"/>
      <c r="M164" s="40"/>
      <c r="N164" s="40"/>
      <c r="O164" s="40"/>
      <c r="P164" s="40"/>
      <c r="Q164" s="40"/>
      <c r="R164" s="40"/>
      <c r="S164" s="40"/>
      <c r="T164" s="40"/>
      <c r="U164" s="40"/>
      <c r="V164" s="40"/>
      <c r="W164" s="40"/>
    </row>
    <row r="165" spans="1:23" ht="11.25" customHeight="1" x14ac:dyDescent="0.25">
      <c r="A165" s="809">
        <f>'Org structure'!E181</f>
        <v>0</v>
      </c>
      <c r="B165" s="445"/>
      <c r="C165" s="739"/>
      <c r="D165" s="740"/>
      <c r="E165" s="741"/>
      <c r="F165" s="742"/>
      <c r="G165" s="741"/>
      <c r="H165" s="742">
        <f t="shared" si="46"/>
        <v>0</v>
      </c>
      <c r="I165" s="44">
        <f t="shared" si="39"/>
        <v>0</v>
      </c>
      <c r="J165" s="330" t="str">
        <f t="shared" si="40"/>
        <v/>
      </c>
      <c r="K165" s="743"/>
      <c r="L165" s="446"/>
      <c r="M165" s="40"/>
      <c r="N165" s="40"/>
      <c r="O165" s="40"/>
      <c r="P165" s="40"/>
      <c r="Q165" s="40"/>
      <c r="R165" s="40"/>
      <c r="S165" s="40"/>
      <c r="T165" s="40"/>
      <c r="U165" s="40"/>
      <c r="V165" s="40"/>
      <c r="W165" s="40"/>
    </row>
    <row r="166" spans="1:23" ht="11.25" customHeight="1" x14ac:dyDescent="0.25">
      <c r="A166" s="809">
        <f>'Org structure'!E182</f>
        <v>0</v>
      </c>
      <c r="B166" s="445"/>
      <c r="C166" s="739"/>
      <c r="D166" s="740"/>
      <c r="E166" s="741"/>
      <c r="F166" s="742"/>
      <c r="G166" s="741"/>
      <c r="H166" s="742">
        <f t="shared" si="46"/>
        <v>0</v>
      </c>
      <c r="I166" s="44">
        <f t="shared" si="39"/>
        <v>0</v>
      </c>
      <c r="J166" s="330" t="str">
        <f t="shared" si="40"/>
        <v/>
      </c>
      <c r="K166" s="743"/>
      <c r="L166" s="446"/>
      <c r="M166" s="40"/>
      <c r="N166" s="40"/>
      <c r="O166" s="40"/>
      <c r="P166" s="40"/>
      <c r="Q166" s="40"/>
      <c r="R166" s="40"/>
      <c r="S166" s="40"/>
      <c r="T166" s="40"/>
      <c r="U166" s="40"/>
      <c r="V166" s="40"/>
      <c r="W166" s="40"/>
    </row>
    <row r="167" spans="1:23" ht="11.25" customHeight="1" x14ac:dyDescent="0.25">
      <c r="A167" s="809">
        <f>'Org structure'!E183</f>
        <v>0</v>
      </c>
      <c r="B167" s="445"/>
      <c r="C167" s="739"/>
      <c r="D167" s="740"/>
      <c r="E167" s="741"/>
      <c r="F167" s="742"/>
      <c r="G167" s="741"/>
      <c r="H167" s="742">
        <f t="shared" si="46"/>
        <v>0</v>
      </c>
      <c r="I167" s="44">
        <f t="shared" si="39"/>
        <v>0</v>
      </c>
      <c r="J167" s="330" t="str">
        <f t="shared" si="40"/>
        <v/>
      </c>
      <c r="K167" s="743"/>
      <c r="L167" s="446"/>
      <c r="M167" s="40"/>
      <c r="N167" s="40"/>
      <c r="O167" s="40"/>
      <c r="P167" s="40"/>
      <c r="Q167" s="40"/>
      <c r="R167" s="40"/>
      <c r="S167" s="40"/>
      <c r="T167" s="40"/>
      <c r="U167" s="40"/>
      <c r="V167" s="40"/>
      <c r="W167" s="40"/>
    </row>
    <row r="168" spans="1:23" ht="11.25" customHeight="1" x14ac:dyDescent="0.25">
      <c r="A168" s="809">
        <f>'Org structure'!E184</f>
        <v>0</v>
      </c>
      <c r="B168" s="445"/>
      <c r="C168" s="739"/>
      <c r="D168" s="740"/>
      <c r="E168" s="741"/>
      <c r="F168" s="742"/>
      <c r="G168" s="741"/>
      <c r="H168" s="742">
        <f t="shared" si="46"/>
        <v>0</v>
      </c>
      <c r="I168" s="44">
        <f t="shared" si="39"/>
        <v>0</v>
      </c>
      <c r="J168" s="330" t="str">
        <f t="shared" si="40"/>
        <v/>
      </c>
      <c r="K168" s="743"/>
      <c r="L168" s="446"/>
      <c r="M168" s="40"/>
      <c r="N168" s="40"/>
      <c r="O168" s="40"/>
      <c r="P168" s="40"/>
      <c r="Q168" s="40"/>
      <c r="R168" s="40"/>
      <c r="S168" s="40"/>
      <c r="T168" s="40"/>
      <c r="U168" s="40"/>
      <c r="V168" s="40"/>
      <c r="W168" s="40"/>
    </row>
    <row r="169" spans="1:23" ht="11.25" customHeight="1" x14ac:dyDescent="0.25">
      <c r="A169" s="809">
        <f>'Org structure'!E185</f>
        <v>0</v>
      </c>
      <c r="B169" s="445"/>
      <c r="C169" s="739"/>
      <c r="D169" s="740"/>
      <c r="E169" s="741"/>
      <c r="F169" s="742"/>
      <c r="G169" s="741"/>
      <c r="H169" s="742">
        <f t="shared" si="46"/>
        <v>0</v>
      </c>
      <c r="I169" s="44">
        <f t="shared" si="39"/>
        <v>0</v>
      </c>
      <c r="J169" s="330" t="str">
        <f t="shared" si="40"/>
        <v/>
      </c>
      <c r="K169" s="743"/>
      <c r="L169" s="446"/>
      <c r="M169" s="40"/>
      <c r="N169" s="40"/>
      <c r="O169" s="40"/>
      <c r="P169" s="40"/>
      <c r="Q169" s="40"/>
      <c r="R169" s="40"/>
      <c r="S169" s="40"/>
      <c r="T169" s="40"/>
      <c r="U169" s="40"/>
      <c r="V169" s="40"/>
      <c r="W169" s="40"/>
    </row>
    <row r="170" spans="1:23" ht="11.25" customHeight="1" x14ac:dyDescent="0.25">
      <c r="A170" s="809">
        <f>'Org structure'!E186</f>
        <v>0</v>
      </c>
      <c r="B170" s="445"/>
      <c r="C170" s="739"/>
      <c r="D170" s="740"/>
      <c r="E170" s="741"/>
      <c r="F170" s="742"/>
      <c r="G170" s="741"/>
      <c r="H170" s="742">
        <f t="shared" si="46"/>
        <v>0</v>
      </c>
      <c r="I170" s="44">
        <f t="shared" si="39"/>
        <v>0</v>
      </c>
      <c r="J170" s="330" t="str">
        <f t="shared" si="40"/>
        <v/>
      </c>
      <c r="K170" s="743"/>
      <c r="L170" s="452">
        <f t="shared" ref="L170:W170" si="47">SUM(L78:L81)</f>
        <v>0</v>
      </c>
      <c r="M170" s="453">
        <f t="shared" si="47"/>
        <v>0</v>
      </c>
      <c r="N170" s="453">
        <f t="shared" si="47"/>
        <v>0</v>
      </c>
      <c r="O170" s="453">
        <f t="shared" si="47"/>
        <v>0</v>
      </c>
      <c r="P170" s="453">
        <f t="shared" si="47"/>
        <v>0</v>
      </c>
      <c r="Q170" s="453">
        <f t="shared" si="47"/>
        <v>0</v>
      </c>
      <c r="R170" s="453">
        <f t="shared" si="47"/>
        <v>0</v>
      </c>
      <c r="S170" s="453">
        <f t="shared" si="47"/>
        <v>0</v>
      </c>
      <c r="T170" s="453">
        <f t="shared" si="47"/>
        <v>0</v>
      </c>
      <c r="U170" s="453">
        <f t="shared" si="47"/>
        <v>0</v>
      </c>
      <c r="V170" s="453">
        <f t="shared" si="47"/>
        <v>0</v>
      </c>
      <c r="W170" s="453">
        <f t="shared" si="47"/>
        <v>0</v>
      </c>
    </row>
    <row r="171" spans="1:23" ht="12.75" customHeight="1" x14ac:dyDescent="0.25">
      <c r="A171" s="447" t="s">
        <v>637</v>
      </c>
      <c r="B171" s="415">
        <v>2</v>
      </c>
      <c r="C171" s="504">
        <f>C6+C17+C28+C39+C50+C61+C72+C83+C94+C105+C116+C127+C138+C149+C160</f>
        <v>4935069794.999999</v>
      </c>
      <c r="D171" s="451">
        <f t="shared" ref="D171:K171" si="48">D6+D17+D28+D39+D50+D61+D72+D83+D94+D105+D116+D127+D138+D149+D160</f>
        <v>4682577927</v>
      </c>
      <c r="E171" s="448">
        <f t="shared" si="48"/>
        <v>4794598460</v>
      </c>
      <c r="F171" s="450">
        <f t="shared" si="48"/>
        <v>304958862.69349998</v>
      </c>
      <c r="G171" s="448">
        <f t="shared" si="48"/>
        <v>3616001874.6418495</v>
      </c>
      <c r="H171" s="450">
        <f t="shared" si="48"/>
        <v>3995498716.6666665</v>
      </c>
      <c r="I171" s="514">
        <f t="shared" si="39"/>
        <v>-379496842.02481699</v>
      </c>
      <c r="J171" s="515">
        <f t="shared" si="40"/>
        <v>-9.4981094710855182E-2</v>
      </c>
      <c r="K171" s="449">
        <f t="shared" si="48"/>
        <v>4794598460</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39"/>
        <v>0</v>
      </c>
      <c r="J172" s="133" t="str">
        <f t="shared" si="40"/>
        <v/>
      </c>
      <c r="K172" s="457"/>
      <c r="L172" s="446"/>
      <c r="M172" s="40"/>
      <c r="N172" s="40"/>
      <c r="O172" s="40"/>
      <c r="P172" s="40"/>
      <c r="Q172" s="40"/>
      <c r="R172" s="40"/>
      <c r="S172" s="40"/>
      <c r="T172" s="40"/>
      <c r="U172" s="40"/>
      <c r="V172" s="40"/>
      <c r="W172" s="40"/>
    </row>
    <row r="173" spans="1:23" ht="11.25" customHeight="1" x14ac:dyDescent="0.25">
      <c r="A173" s="460" t="s">
        <v>752</v>
      </c>
      <c r="B173" s="461">
        <v>1</v>
      </c>
      <c r="C173" s="506"/>
      <c r="D173" s="465"/>
      <c r="E173" s="462"/>
      <c r="F173" s="464"/>
      <c r="G173" s="462"/>
      <c r="H173" s="464"/>
      <c r="I173" s="44">
        <f t="shared" si="39"/>
        <v>0</v>
      </c>
      <c r="J173" s="330" t="str">
        <f t="shared" si="40"/>
        <v/>
      </c>
      <c r="K173" s="463"/>
      <c r="L173" s="446"/>
      <c r="M173" s="40"/>
      <c r="N173" s="40"/>
      <c r="O173" s="40"/>
      <c r="P173" s="40"/>
      <c r="Q173" s="40"/>
      <c r="R173" s="40"/>
      <c r="S173" s="40"/>
      <c r="T173" s="40"/>
      <c r="U173" s="40"/>
      <c r="V173" s="40"/>
      <c r="W173" s="40"/>
    </row>
    <row r="174" spans="1:23" ht="11.25" customHeight="1" x14ac:dyDescent="0.25">
      <c r="A174" s="466" t="str">
        <f>'Org structure'!A2</f>
        <v>Vote 1 - CHIEF OPERATION OFFICE</v>
      </c>
      <c r="B174" s="467"/>
      <c r="C174" s="507">
        <f t="shared" ref="C174:K174" si="49">SUM(C175:C184)</f>
        <v>158525910.52999997</v>
      </c>
      <c r="D174" s="471">
        <f t="shared" si="49"/>
        <v>165657857</v>
      </c>
      <c r="E174" s="470">
        <f t="shared" si="49"/>
        <v>141399553</v>
      </c>
      <c r="F174" s="470">
        <f t="shared" si="49"/>
        <v>1982755</v>
      </c>
      <c r="G174" s="468">
        <f t="shared" si="49"/>
        <v>33141222</v>
      </c>
      <c r="H174" s="470">
        <f t="shared" si="49"/>
        <v>117832960.83333334</v>
      </c>
      <c r="I174" s="44">
        <f t="shared" si="39"/>
        <v>-84691738.833333343</v>
      </c>
      <c r="J174" s="330">
        <f t="shared" si="40"/>
        <v>-0.71874404440302586</v>
      </c>
      <c r="K174" s="469">
        <f t="shared" si="49"/>
        <v>141399553</v>
      </c>
      <c r="L174" s="446"/>
      <c r="M174" s="40"/>
      <c r="N174" s="40"/>
      <c r="O174" s="40"/>
      <c r="P174" s="40"/>
      <c r="Q174" s="40"/>
      <c r="R174" s="40"/>
      <c r="S174" s="40"/>
      <c r="T174" s="40"/>
      <c r="U174" s="40"/>
      <c r="V174" s="40"/>
      <c r="W174" s="40"/>
    </row>
    <row r="175" spans="1:23" ht="11.25" customHeight="1" x14ac:dyDescent="0.25">
      <c r="A175" s="407" t="str">
        <f>'Org structure'!E3</f>
        <v>1.1 - CHIEF OPERATIONS OFFICE(ADMINISTRATION)</v>
      </c>
      <c r="B175" s="445"/>
      <c r="C175" s="744">
        <v>158525910.52999997</v>
      </c>
      <c r="D175" s="745">
        <v>6360900</v>
      </c>
      <c r="E175" s="733">
        <v>2193739</v>
      </c>
      <c r="F175" s="746">
        <v>1224699</v>
      </c>
      <c r="G175" s="746">
        <v>27307495</v>
      </c>
      <c r="H175" s="746">
        <f t="shared" ref="H175:H184" si="50">E175/12*10</f>
        <v>1828115.8333333335</v>
      </c>
      <c r="I175" s="44">
        <f t="shared" si="39"/>
        <v>25479379.166666668</v>
      </c>
      <c r="J175" s="330">
        <f t="shared" si="40"/>
        <v>13.937508062718491</v>
      </c>
      <c r="K175" s="747">
        <f>E175</f>
        <v>2193739</v>
      </c>
      <c r="L175" s="446"/>
      <c r="M175" s="40"/>
      <c r="N175" s="40"/>
      <c r="O175" s="40"/>
      <c r="P175" s="40"/>
      <c r="Q175" s="40"/>
      <c r="R175" s="40"/>
      <c r="S175" s="40"/>
      <c r="T175" s="40"/>
      <c r="U175" s="40"/>
      <c r="V175" s="40"/>
      <c r="W175" s="40"/>
    </row>
    <row r="176" spans="1:23" ht="11.25" customHeight="1" x14ac:dyDescent="0.25">
      <c r="A176" s="407" t="str">
        <f>'Org structure'!E4</f>
        <v>1.2 - LEGISLATIVE SUPPORT</v>
      </c>
      <c r="B176" s="445"/>
      <c r="C176" s="744">
        <v>0</v>
      </c>
      <c r="D176" s="745">
        <v>21163872</v>
      </c>
      <c r="E176" s="733">
        <v>24818525</v>
      </c>
      <c r="F176" s="746">
        <v>758056</v>
      </c>
      <c r="G176" s="746">
        <v>5833727</v>
      </c>
      <c r="H176" s="746">
        <f t="shared" si="50"/>
        <v>20682104.166666668</v>
      </c>
      <c r="I176" s="44">
        <f t="shared" si="39"/>
        <v>-14848377.166666668</v>
      </c>
      <c r="J176" s="330">
        <f t="shared" si="40"/>
        <v>-0.71793358388542428</v>
      </c>
      <c r="K176" s="747">
        <f t="shared" ref="K176:K184" si="51">E176</f>
        <v>24818525</v>
      </c>
      <c r="L176" s="446"/>
      <c r="M176" s="40"/>
      <c r="N176" s="40"/>
      <c r="O176" s="40"/>
      <c r="P176" s="40"/>
      <c r="Q176" s="40"/>
      <c r="R176" s="40"/>
      <c r="S176" s="40"/>
      <c r="T176" s="40"/>
      <c r="U176" s="40"/>
      <c r="V176" s="40"/>
      <c r="W176" s="40"/>
    </row>
    <row r="177" spans="1:23" ht="11.25" customHeight="1" x14ac:dyDescent="0.25">
      <c r="A177" s="407" t="str">
        <f>'Org structure'!E5</f>
        <v>1.3 - LEGAL SERVICES</v>
      </c>
      <c r="B177" s="445"/>
      <c r="C177" s="744">
        <v>0</v>
      </c>
      <c r="D177" s="745">
        <v>32893968</v>
      </c>
      <c r="E177" s="733">
        <v>32516935</v>
      </c>
      <c r="F177" s="746">
        <v>0</v>
      </c>
      <c r="G177" s="733">
        <v>0</v>
      </c>
      <c r="H177" s="746">
        <f t="shared" si="50"/>
        <v>27097445.833333336</v>
      </c>
      <c r="I177" s="44">
        <f t="shared" si="39"/>
        <v>-27097445.833333336</v>
      </c>
      <c r="J177" s="330">
        <f t="shared" si="40"/>
        <v>-1</v>
      </c>
      <c r="K177" s="747">
        <f t="shared" si="51"/>
        <v>32516935</v>
      </c>
      <c r="L177" s="446"/>
      <c r="M177" s="40"/>
      <c r="N177" s="40"/>
      <c r="O177" s="40"/>
      <c r="P177" s="40"/>
      <c r="Q177" s="40"/>
      <c r="R177" s="40"/>
      <c r="S177" s="40"/>
      <c r="T177" s="40"/>
      <c r="U177" s="40"/>
      <c r="V177" s="40"/>
      <c r="W177" s="40"/>
    </row>
    <row r="178" spans="1:23" ht="11.25" customHeight="1" x14ac:dyDescent="0.25">
      <c r="A178" s="407" t="str">
        <f>'Org structure'!E6</f>
        <v xml:space="preserve">1.4 - INTERGRATED DEVELOPMENT PLAN </v>
      </c>
      <c r="B178" s="445"/>
      <c r="C178" s="744">
        <v>0</v>
      </c>
      <c r="D178" s="745">
        <v>19047180</v>
      </c>
      <c r="E178" s="733">
        <v>0</v>
      </c>
      <c r="F178" s="746">
        <v>0</v>
      </c>
      <c r="G178" s="733">
        <v>0</v>
      </c>
      <c r="H178" s="746">
        <f t="shared" si="50"/>
        <v>0</v>
      </c>
      <c r="I178" s="44">
        <f t="shared" si="39"/>
        <v>0</v>
      </c>
      <c r="J178" s="330" t="str">
        <f t="shared" si="40"/>
        <v/>
      </c>
      <c r="K178" s="747">
        <f t="shared" si="51"/>
        <v>0</v>
      </c>
      <c r="L178" s="446"/>
      <c r="M178" s="40"/>
      <c r="N178" s="40"/>
      <c r="O178" s="40"/>
      <c r="P178" s="40"/>
      <c r="Q178" s="40"/>
      <c r="R178" s="40"/>
      <c r="S178" s="40"/>
      <c r="T178" s="40"/>
      <c r="U178" s="40"/>
      <c r="V178" s="40"/>
      <c r="W178" s="40"/>
    </row>
    <row r="179" spans="1:23" ht="11.25" customHeight="1" x14ac:dyDescent="0.25">
      <c r="A179" s="407" t="str">
        <f>'Org structure'!E7</f>
        <v>1.5 - COMMUNICATIONS AND MARKETING</v>
      </c>
      <c r="B179" s="445"/>
      <c r="C179" s="744">
        <v>0</v>
      </c>
      <c r="D179" s="745">
        <v>17043588</v>
      </c>
      <c r="E179" s="733">
        <v>12577753</v>
      </c>
      <c r="F179" s="746">
        <v>0</v>
      </c>
      <c r="G179" s="733">
        <v>0</v>
      </c>
      <c r="H179" s="746">
        <f t="shared" si="50"/>
        <v>10481460.833333334</v>
      </c>
      <c r="I179" s="44">
        <f t="shared" si="39"/>
        <v>-10481460.833333334</v>
      </c>
      <c r="J179" s="330">
        <f t="shared" si="40"/>
        <v>-1</v>
      </c>
      <c r="K179" s="747">
        <f t="shared" si="51"/>
        <v>12577753</v>
      </c>
      <c r="L179" s="446"/>
      <c r="M179" s="40"/>
      <c r="N179" s="40"/>
      <c r="O179" s="40"/>
      <c r="P179" s="40"/>
      <c r="Q179" s="40"/>
      <c r="R179" s="40"/>
      <c r="S179" s="40"/>
      <c r="T179" s="40"/>
      <c r="U179" s="40"/>
      <c r="V179" s="40"/>
      <c r="W179" s="40"/>
    </row>
    <row r="180" spans="1:23" ht="11.25" customHeight="1" x14ac:dyDescent="0.25">
      <c r="A180" s="407" t="str">
        <f>'Org structure'!E8</f>
        <v>1.6 - PROJECT MANAGEMENT UNIT</v>
      </c>
      <c r="B180" s="445"/>
      <c r="C180" s="744">
        <v>0</v>
      </c>
      <c r="D180" s="745">
        <v>31805380</v>
      </c>
      <c r="E180" s="733">
        <v>31999806</v>
      </c>
      <c r="F180" s="746">
        <v>0</v>
      </c>
      <c r="G180" s="733">
        <v>0</v>
      </c>
      <c r="H180" s="746">
        <f t="shared" si="50"/>
        <v>26666505</v>
      </c>
      <c r="I180" s="44">
        <f t="shared" si="39"/>
        <v>-26666505</v>
      </c>
      <c r="J180" s="330">
        <f t="shared" si="40"/>
        <v>-1</v>
      </c>
      <c r="K180" s="747">
        <f t="shared" si="51"/>
        <v>31999806</v>
      </c>
      <c r="L180" s="446"/>
      <c r="M180" s="40"/>
      <c r="N180" s="40"/>
      <c r="O180" s="40"/>
      <c r="P180" s="40"/>
      <c r="Q180" s="40"/>
      <c r="R180" s="40"/>
      <c r="S180" s="40"/>
      <c r="T180" s="40"/>
      <c r="U180" s="40"/>
      <c r="V180" s="40"/>
      <c r="W180" s="40"/>
    </row>
    <row r="181" spans="1:23" ht="11.25" customHeight="1" x14ac:dyDescent="0.25">
      <c r="A181" s="407" t="str">
        <f>'Org structure'!E9</f>
        <v>1.7 - PERFORMANCE MANAGEMENT</v>
      </c>
      <c r="B181" s="445"/>
      <c r="C181" s="744">
        <v>0</v>
      </c>
      <c r="D181" s="745">
        <v>4044780</v>
      </c>
      <c r="E181" s="733">
        <v>3520231</v>
      </c>
      <c r="F181" s="746">
        <v>0</v>
      </c>
      <c r="G181" s="733">
        <v>0</v>
      </c>
      <c r="H181" s="746">
        <f t="shared" si="50"/>
        <v>2933525.833333333</v>
      </c>
      <c r="I181" s="44">
        <f t="shared" si="39"/>
        <v>-2933525.833333333</v>
      </c>
      <c r="J181" s="330">
        <f t="shared" si="40"/>
        <v>-1</v>
      </c>
      <c r="K181" s="747">
        <f t="shared" si="51"/>
        <v>3520231</v>
      </c>
      <c r="L181" s="446"/>
      <c r="M181" s="40"/>
      <c r="N181" s="40"/>
      <c r="O181" s="40"/>
      <c r="P181" s="40"/>
      <c r="Q181" s="40"/>
      <c r="R181" s="40"/>
      <c r="S181" s="40"/>
      <c r="T181" s="40"/>
      <c r="U181" s="40"/>
      <c r="V181" s="40"/>
      <c r="W181" s="40"/>
    </row>
    <row r="182" spans="1:23" ht="11.25" customHeight="1" x14ac:dyDescent="0.25">
      <c r="A182" s="407" t="str">
        <f>'Org structure'!E10</f>
        <v>1.8 - CLUSTER</v>
      </c>
      <c r="B182" s="445"/>
      <c r="C182" s="744">
        <v>0</v>
      </c>
      <c r="D182" s="745">
        <v>13164480</v>
      </c>
      <c r="E182" s="733">
        <v>13301855</v>
      </c>
      <c r="F182" s="746">
        <v>0</v>
      </c>
      <c r="G182" s="733">
        <v>0</v>
      </c>
      <c r="H182" s="746">
        <f t="shared" si="50"/>
        <v>11084879.166666668</v>
      </c>
      <c r="I182" s="44">
        <f t="shared" si="39"/>
        <v>-11084879.166666668</v>
      </c>
      <c r="J182" s="330">
        <f t="shared" si="40"/>
        <v>-1</v>
      </c>
      <c r="K182" s="747">
        <f t="shared" si="51"/>
        <v>13301855</v>
      </c>
      <c r="L182" s="446"/>
      <c r="M182" s="40"/>
      <c r="N182" s="40"/>
      <c r="O182" s="40"/>
      <c r="P182" s="40"/>
      <c r="Q182" s="40"/>
      <c r="R182" s="40"/>
      <c r="S182" s="40"/>
      <c r="T182" s="40"/>
      <c r="U182" s="40"/>
      <c r="V182" s="40"/>
      <c r="W182" s="40"/>
    </row>
    <row r="183" spans="1:23" ht="11.25" customHeight="1" x14ac:dyDescent="0.25">
      <c r="A183" s="407" t="str">
        <f>'Org structure'!E11</f>
        <v>1.9 - EXECUTIVE SUPPORT</v>
      </c>
      <c r="B183" s="445"/>
      <c r="C183" s="744">
        <v>0</v>
      </c>
      <c r="D183" s="745">
        <v>20538396</v>
      </c>
      <c r="E183" s="733">
        <v>20470709</v>
      </c>
      <c r="F183" s="746">
        <v>0</v>
      </c>
      <c r="G183" s="733">
        <v>0</v>
      </c>
      <c r="H183" s="746">
        <f t="shared" si="50"/>
        <v>17058924.166666668</v>
      </c>
      <c r="I183" s="44">
        <f t="shared" si="39"/>
        <v>-17058924.166666668</v>
      </c>
      <c r="J183" s="330">
        <f t="shared" si="40"/>
        <v>-1</v>
      </c>
      <c r="K183" s="747">
        <f t="shared" si="51"/>
        <v>20470709</v>
      </c>
      <c r="L183" s="446"/>
      <c r="M183" s="40"/>
      <c r="N183" s="40"/>
      <c r="O183" s="40"/>
      <c r="P183" s="40"/>
      <c r="Q183" s="40"/>
      <c r="R183" s="40"/>
      <c r="S183" s="40"/>
      <c r="T183" s="40"/>
      <c r="U183" s="40"/>
      <c r="V183" s="40"/>
      <c r="W183" s="40"/>
    </row>
    <row r="184" spans="1:23" ht="11.25" customHeight="1" x14ac:dyDescent="0.25">
      <c r="A184" s="407">
        <f>'Org structure'!E12</f>
        <v>0</v>
      </c>
      <c r="B184" s="445"/>
      <c r="C184" s="744">
        <v>0</v>
      </c>
      <c r="D184" s="745">
        <v>-404687</v>
      </c>
      <c r="E184" s="733">
        <v>0</v>
      </c>
      <c r="F184" s="746">
        <v>0</v>
      </c>
      <c r="G184" s="733">
        <v>0</v>
      </c>
      <c r="H184" s="746">
        <f t="shared" si="50"/>
        <v>0</v>
      </c>
      <c r="I184" s="44">
        <f t="shared" si="39"/>
        <v>0</v>
      </c>
      <c r="J184" s="330" t="str">
        <f t="shared" si="40"/>
        <v/>
      </c>
      <c r="K184" s="747">
        <f t="shared" si="51"/>
        <v>0</v>
      </c>
      <c r="L184" s="48"/>
      <c r="M184" s="473"/>
      <c r="N184" s="473"/>
      <c r="O184" s="473"/>
      <c r="P184" s="473"/>
      <c r="Q184" s="473"/>
      <c r="R184" s="473"/>
      <c r="S184" s="473"/>
      <c r="T184" s="473"/>
      <c r="U184" s="473"/>
      <c r="V184" s="473"/>
      <c r="W184" s="473"/>
    </row>
    <row r="185" spans="1:23" ht="11.25" customHeight="1" x14ac:dyDescent="0.25">
      <c r="A185" s="466" t="str">
        <f>'Org structure'!A3</f>
        <v>Vote 2 - MUNICIPAL MANAGER'S OFFICE</v>
      </c>
      <c r="B185" s="440"/>
      <c r="C185" s="503">
        <f>SUM(C186:C195)</f>
        <v>79019172.25999999</v>
      </c>
      <c r="D185" s="444">
        <f>SUM(D186:D195)</f>
        <v>357910903</v>
      </c>
      <c r="E185" s="443">
        <f t="shared" ref="E185:K185" si="52">SUM(E186:E195)</f>
        <v>375154879</v>
      </c>
      <c r="F185" s="443">
        <f t="shared" si="52"/>
        <v>24877731</v>
      </c>
      <c r="G185" s="441">
        <f t="shared" si="52"/>
        <v>128704868</v>
      </c>
      <c r="H185" s="443">
        <f t="shared" si="52"/>
        <v>312629065.83333325</v>
      </c>
      <c r="I185" s="44">
        <f t="shared" si="39"/>
        <v>-183924197.83333325</v>
      </c>
      <c r="J185" s="330">
        <f t="shared" si="40"/>
        <v>-0.58831445292225548</v>
      </c>
      <c r="K185" s="442">
        <f t="shared" si="52"/>
        <v>375154879</v>
      </c>
      <c r="L185" s="48"/>
      <c r="M185" s="473"/>
      <c r="N185" s="473"/>
      <c r="O185" s="473"/>
      <c r="P185" s="473"/>
      <c r="Q185" s="473"/>
      <c r="R185" s="473"/>
      <c r="S185" s="473"/>
      <c r="T185" s="473"/>
      <c r="U185" s="473"/>
      <c r="V185" s="473"/>
      <c r="W185" s="473"/>
    </row>
    <row r="186" spans="1:23" ht="11.25" customHeight="1" x14ac:dyDescent="0.25">
      <c r="A186" s="407" t="str">
        <f>'Org structure'!E14</f>
        <v>2.1 - COUNCILLORS</v>
      </c>
      <c r="B186" s="445"/>
      <c r="C186" s="744">
        <v>79019172.25999999</v>
      </c>
      <c r="D186" s="745">
        <v>318391368</v>
      </c>
      <c r="E186" s="733">
        <v>341316103</v>
      </c>
      <c r="F186" s="746">
        <v>993336</v>
      </c>
      <c r="G186" s="746">
        <v>4825637</v>
      </c>
      <c r="H186" s="746">
        <f t="shared" ref="H186:H195" si="53">E186/12*10</f>
        <v>284430085.83333331</v>
      </c>
      <c r="I186" s="44">
        <f t="shared" si="39"/>
        <v>-279604448.83333331</v>
      </c>
      <c r="J186" s="330">
        <f t="shared" si="40"/>
        <v>-0.98303401348749142</v>
      </c>
      <c r="K186" s="747">
        <f>E186</f>
        <v>341316103</v>
      </c>
      <c r="L186" s="48"/>
      <c r="M186" s="473"/>
      <c r="N186" s="473"/>
      <c r="O186" s="473"/>
      <c r="P186" s="473"/>
      <c r="Q186" s="473"/>
      <c r="R186" s="473"/>
      <c r="S186" s="473"/>
      <c r="T186" s="473"/>
      <c r="U186" s="473"/>
      <c r="V186" s="473"/>
      <c r="W186" s="473"/>
    </row>
    <row r="187" spans="1:23" ht="11.25" customHeight="1" x14ac:dyDescent="0.25">
      <c r="A187" s="407" t="str">
        <f>'Org structure'!E15</f>
        <v>2.2 - MUNICIPAL MANAGER</v>
      </c>
      <c r="B187" s="445"/>
      <c r="C187" s="744">
        <v>0</v>
      </c>
      <c r="D187" s="745">
        <v>28173876</v>
      </c>
      <c r="E187" s="733">
        <v>17122774</v>
      </c>
      <c r="F187" s="746">
        <v>795637</v>
      </c>
      <c r="G187" s="746">
        <v>8707412</v>
      </c>
      <c r="H187" s="746">
        <f t="shared" si="53"/>
        <v>14268978.333333332</v>
      </c>
      <c r="I187" s="44">
        <f t="shared" si="39"/>
        <v>-5561566.3333333321</v>
      </c>
      <c r="J187" s="330">
        <f t="shared" si="40"/>
        <v>-0.38976626100420403</v>
      </c>
      <c r="K187" s="747">
        <f t="shared" ref="K187:K192" si="54">E187</f>
        <v>17122774</v>
      </c>
      <c r="L187" s="48"/>
      <c r="M187" s="473"/>
      <c r="N187" s="473"/>
      <c r="O187" s="473"/>
      <c r="P187" s="473"/>
      <c r="Q187" s="473"/>
      <c r="R187" s="473"/>
      <c r="S187" s="473"/>
      <c r="T187" s="473"/>
      <c r="U187" s="473"/>
      <c r="V187" s="473"/>
      <c r="W187" s="473"/>
    </row>
    <row r="188" spans="1:23" ht="11.25" customHeight="1" x14ac:dyDescent="0.25">
      <c r="A188" s="407" t="str">
        <f>'Org structure'!E16</f>
        <v>2.3 - RISK MANAGEMENT</v>
      </c>
      <c r="B188" s="445"/>
      <c r="C188" s="744">
        <v>0</v>
      </c>
      <c r="D188" s="745">
        <v>3415176</v>
      </c>
      <c r="E188" s="733">
        <v>4968139</v>
      </c>
      <c r="F188" s="746">
        <v>22228152</v>
      </c>
      <c r="G188" s="733">
        <v>104920526</v>
      </c>
      <c r="H188" s="746">
        <f t="shared" si="53"/>
        <v>4140115.833333333</v>
      </c>
      <c r="I188" s="44">
        <f t="shared" si="39"/>
        <v>100780410.16666667</v>
      </c>
      <c r="J188" s="330">
        <f t="shared" si="40"/>
        <v>24.342413165171106</v>
      </c>
      <c r="K188" s="747">
        <f t="shared" si="54"/>
        <v>4968139</v>
      </c>
      <c r="L188" s="48"/>
      <c r="M188" s="473"/>
      <c r="N188" s="473"/>
      <c r="O188" s="473"/>
      <c r="P188" s="473"/>
      <c r="Q188" s="473"/>
      <c r="R188" s="473"/>
      <c r="S188" s="473"/>
      <c r="T188" s="473"/>
      <c r="U188" s="473"/>
      <c r="V188" s="473"/>
      <c r="W188" s="473"/>
    </row>
    <row r="189" spans="1:23" ht="11.25" customHeight="1" x14ac:dyDescent="0.25">
      <c r="A189" s="407" t="str">
        <f>'Org structure'!E17</f>
        <v xml:space="preserve">2.4 - INTERNAL AUDIT </v>
      </c>
      <c r="B189" s="445"/>
      <c r="C189" s="744">
        <v>0</v>
      </c>
      <c r="D189" s="745">
        <v>11812584</v>
      </c>
      <c r="E189" s="733">
        <v>11747863</v>
      </c>
      <c r="F189" s="746">
        <v>143857</v>
      </c>
      <c r="G189" s="733">
        <v>2132890</v>
      </c>
      <c r="H189" s="746">
        <f t="shared" si="53"/>
        <v>9789885.833333334</v>
      </c>
      <c r="I189" s="44">
        <f t="shared" si="39"/>
        <v>-7656995.833333334</v>
      </c>
      <c r="J189" s="330">
        <f t="shared" si="40"/>
        <v>-0.78213331224581017</v>
      </c>
      <c r="K189" s="747">
        <f t="shared" si="54"/>
        <v>11747863</v>
      </c>
      <c r="L189" s="48"/>
      <c r="M189" s="473"/>
      <c r="N189" s="473"/>
      <c r="O189" s="473"/>
      <c r="P189" s="473"/>
      <c r="Q189" s="473"/>
      <c r="R189" s="473"/>
      <c r="S189" s="473"/>
      <c r="T189" s="473"/>
      <c r="U189" s="473"/>
      <c r="V189" s="473"/>
      <c r="W189" s="473"/>
    </row>
    <row r="190" spans="1:23" ht="11.25" customHeight="1" x14ac:dyDescent="0.25">
      <c r="A190" s="407">
        <f>'Org structure'!E18</f>
        <v>0</v>
      </c>
      <c r="B190" s="445"/>
      <c r="C190" s="744">
        <v>0</v>
      </c>
      <c r="D190" s="745">
        <v>-3882101</v>
      </c>
      <c r="E190" s="733">
        <v>0</v>
      </c>
      <c r="F190" s="746">
        <v>716749</v>
      </c>
      <c r="G190" s="733">
        <v>8118403</v>
      </c>
      <c r="H190" s="746">
        <f t="shared" si="53"/>
        <v>0</v>
      </c>
      <c r="I190" s="44">
        <f t="shared" si="39"/>
        <v>8118403</v>
      </c>
      <c r="J190" s="330" t="e">
        <f t="shared" si="40"/>
        <v>#DIV/0!</v>
      </c>
      <c r="K190" s="747">
        <f t="shared" si="54"/>
        <v>0</v>
      </c>
      <c r="L190" s="48"/>
      <c r="M190" s="473"/>
      <c r="N190" s="473"/>
      <c r="O190" s="473"/>
      <c r="P190" s="473"/>
      <c r="Q190" s="473"/>
      <c r="R190" s="473"/>
      <c r="S190" s="473"/>
      <c r="T190" s="473"/>
      <c r="U190" s="473"/>
      <c r="V190" s="473"/>
      <c r="W190" s="473"/>
    </row>
    <row r="191" spans="1:23" ht="11.25" customHeight="1" x14ac:dyDescent="0.25">
      <c r="A191" s="407">
        <f>'Org structure'!E19</f>
        <v>0</v>
      </c>
      <c r="B191" s="445"/>
      <c r="C191" s="744">
        <v>0</v>
      </c>
      <c r="D191" s="745">
        <v>0</v>
      </c>
      <c r="E191" s="733">
        <v>0</v>
      </c>
      <c r="F191" s="746">
        <v>0</v>
      </c>
      <c r="G191" s="733">
        <v>0</v>
      </c>
      <c r="H191" s="746">
        <f t="shared" si="53"/>
        <v>0</v>
      </c>
      <c r="I191" s="44">
        <f t="shared" si="39"/>
        <v>0</v>
      </c>
      <c r="J191" s="330" t="str">
        <f t="shared" si="40"/>
        <v/>
      </c>
      <c r="K191" s="747">
        <f t="shared" si="54"/>
        <v>0</v>
      </c>
      <c r="L191" s="48"/>
      <c r="M191" s="473"/>
      <c r="N191" s="473"/>
      <c r="O191" s="473"/>
      <c r="P191" s="473"/>
      <c r="Q191" s="473"/>
      <c r="R191" s="473"/>
      <c r="S191" s="473"/>
      <c r="T191" s="473"/>
      <c r="U191" s="473"/>
      <c r="V191" s="473"/>
      <c r="W191" s="473"/>
    </row>
    <row r="192" spans="1:23" ht="11.25" customHeight="1" x14ac:dyDescent="0.25">
      <c r="A192" s="407">
        <f>'Org structure'!E20</f>
        <v>0</v>
      </c>
      <c r="B192" s="445"/>
      <c r="C192" s="744">
        <v>0</v>
      </c>
      <c r="D192" s="745">
        <v>0</v>
      </c>
      <c r="E192" s="733">
        <v>0</v>
      </c>
      <c r="F192" s="746">
        <v>0</v>
      </c>
      <c r="G192" s="733">
        <v>0</v>
      </c>
      <c r="H192" s="746">
        <f t="shared" si="53"/>
        <v>0</v>
      </c>
      <c r="I192" s="44">
        <f t="shared" si="39"/>
        <v>0</v>
      </c>
      <c r="J192" s="330" t="str">
        <f t="shared" si="40"/>
        <v/>
      </c>
      <c r="K192" s="747">
        <f t="shared" si="54"/>
        <v>0</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4">
        <v>0</v>
      </c>
      <c r="D193" s="745">
        <v>0</v>
      </c>
      <c r="E193" s="733">
        <v>0</v>
      </c>
      <c r="F193" s="746">
        <v>0</v>
      </c>
      <c r="G193" s="733">
        <v>0</v>
      </c>
      <c r="H193" s="746">
        <f t="shared" si="53"/>
        <v>0</v>
      </c>
      <c r="I193" s="44">
        <f t="shared" si="39"/>
        <v>0</v>
      </c>
      <c r="J193" s="330" t="str">
        <f t="shared" si="40"/>
        <v/>
      </c>
      <c r="K193" s="747">
        <v>0</v>
      </c>
      <c r="L193" s="48"/>
      <c r="M193" s="473"/>
      <c r="N193" s="473"/>
      <c r="O193" s="473"/>
      <c r="P193" s="473"/>
      <c r="Q193" s="473"/>
      <c r="R193" s="473"/>
      <c r="S193" s="473"/>
      <c r="T193" s="473"/>
      <c r="U193" s="473"/>
      <c r="V193" s="473"/>
      <c r="W193" s="473"/>
    </row>
    <row r="194" spans="1:23" ht="11.25" customHeight="1" x14ac:dyDescent="0.25">
      <c r="A194" s="407">
        <f>'Org structure'!E22</f>
        <v>0</v>
      </c>
      <c r="B194" s="445"/>
      <c r="C194" s="744">
        <v>0</v>
      </c>
      <c r="D194" s="745">
        <v>0</v>
      </c>
      <c r="E194" s="733">
        <v>0</v>
      </c>
      <c r="F194" s="746">
        <v>0</v>
      </c>
      <c r="G194" s="733">
        <v>0</v>
      </c>
      <c r="H194" s="746">
        <f t="shared" si="53"/>
        <v>0</v>
      </c>
      <c r="I194" s="44">
        <f t="shared" si="39"/>
        <v>0</v>
      </c>
      <c r="J194" s="330" t="str">
        <f t="shared" si="40"/>
        <v/>
      </c>
      <c r="K194" s="747">
        <v>0</v>
      </c>
      <c r="L194" s="48"/>
      <c r="M194" s="473"/>
      <c r="N194" s="473"/>
      <c r="O194" s="473"/>
      <c r="P194" s="473"/>
      <c r="Q194" s="473"/>
      <c r="R194" s="473"/>
      <c r="S194" s="473"/>
      <c r="T194" s="473"/>
      <c r="U194" s="473"/>
      <c r="V194" s="473"/>
      <c r="W194" s="473"/>
    </row>
    <row r="195" spans="1:23" ht="11.25" customHeight="1" x14ac:dyDescent="0.25">
      <c r="A195" s="407">
        <f>'Org structure'!E23</f>
        <v>0</v>
      </c>
      <c r="B195" s="445"/>
      <c r="C195" s="744">
        <v>0</v>
      </c>
      <c r="D195" s="745">
        <v>0</v>
      </c>
      <c r="E195" s="733">
        <v>0</v>
      </c>
      <c r="F195" s="746">
        <v>0</v>
      </c>
      <c r="G195" s="733">
        <v>0</v>
      </c>
      <c r="H195" s="746">
        <f t="shared" si="53"/>
        <v>0</v>
      </c>
      <c r="I195" s="44">
        <f t="shared" si="39"/>
        <v>0</v>
      </c>
      <c r="J195" s="330" t="str">
        <f t="shared" si="40"/>
        <v/>
      </c>
      <c r="K195" s="747">
        <v>0</v>
      </c>
      <c r="L195" s="48"/>
      <c r="M195" s="473"/>
      <c r="N195" s="473"/>
      <c r="O195" s="473"/>
      <c r="P195" s="473"/>
      <c r="Q195" s="473"/>
      <c r="R195" s="473"/>
      <c r="S195" s="473"/>
      <c r="T195" s="473"/>
      <c r="U195" s="473"/>
      <c r="V195" s="473"/>
      <c r="W195" s="473"/>
    </row>
    <row r="196" spans="1:23" ht="11.25" customHeight="1" x14ac:dyDescent="0.25">
      <c r="A196" s="466" t="str">
        <f>'Org structure'!A4</f>
        <v>Vote 3 - WATER AND SANITATION</v>
      </c>
      <c r="B196" s="440"/>
      <c r="C196" s="503">
        <f t="shared" ref="C196:K196" si="55">SUM(C197:C206)</f>
        <v>506865600.25000012</v>
      </c>
      <c r="D196" s="444">
        <f t="shared" si="55"/>
        <v>446538856</v>
      </c>
      <c r="E196" s="441">
        <f t="shared" si="55"/>
        <v>596051719</v>
      </c>
      <c r="F196" s="441">
        <f t="shared" si="55"/>
        <v>70754283</v>
      </c>
      <c r="G196" s="441">
        <f t="shared" si="55"/>
        <v>451640610</v>
      </c>
      <c r="H196" s="443">
        <f t="shared" si="55"/>
        <v>496709765.83333331</v>
      </c>
      <c r="I196" s="44">
        <f t="shared" si="39"/>
        <v>-45069155.833333313</v>
      </c>
      <c r="J196" s="330">
        <f t="shared" si="40"/>
        <v>-9.0735393047327126E-2</v>
      </c>
      <c r="K196" s="442">
        <f t="shared" si="55"/>
        <v>596051719</v>
      </c>
      <c r="L196" s="48"/>
      <c r="M196" s="473"/>
      <c r="N196" s="473"/>
      <c r="O196" s="473"/>
      <c r="P196" s="473"/>
      <c r="Q196" s="473"/>
      <c r="R196" s="473"/>
      <c r="S196" s="473"/>
      <c r="T196" s="473"/>
      <c r="U196" s="473"/>
      <c r="V196" s="473"/>
      <c r="W196" s="473"/>
    </row>
    <row r="197" spans="1:23" ht="11.25" customHeight="1" x14ac:dyDescent="0.25">
      <c r="A197" s="407" t="str">
        <f>'Org structure'!E25</f>
        <v>3.1 - WATER AND SANITATION ADMIN</v>
      </c>
      <c r="B197" s="445"/>
      <c r="C197" s="744">
        <v>506865600.25000012</v>
      </c>
      <c r="D197" s="745">
        <v>30327996</v>
      </c>
      <c r="E197" s="733">
        <v>154928159</v>
      </c>
      <c r="F197" s="746">
        <v>64090869</v>
      </c>
      <c r="G197" s="746">
        <v>384084844</v>
      </c>
      <c r="H197" s="746">
        <f t="shared" ref="H197:H206" si="56">E197/12*10</f>
        <v>129106799.16666666</v>
      </c>
      <c r="I197" s="44">
        <f t="shared" si="39"/>
        <v>254978044.83333334</v>
      </c>
      <c r="J197" s="330">
        <f t="shared" si="40"/>
        <v>1.9749389379886715</v>
      </c>
      <c r="K197" s="747">
        <f>E197</f>
        <v>154928159</v>
      </c>
      <c r="L197" s="48"/>
      <c r="M197" s="473"/>
      <c r="N197" s="473"/>
      <c r="O197" s="473"/>
      <c r="P197" s="473"/>
      <c r="Q197" s="473"/>
      <c r="R197" s="473"/>
      <c r="S197" s="473"/>
      <c r="T197" s="473"/>
      <c r="U197" s="473"/>
      <c r="V197" s="473"/>
      <c r="W197" s="473"/>
    </row>
    <row r="198" spans="1:23" ht="11.25" customHeight="1" x14ac:dyDescent="0.25">
      <c r="A198" s="407" t="str">
        <f>'Org structure'!E26</f>
        <v>3.2 - RETICULATION, DISTRIBUTIION AND MAITENANCE, WATER DEMAND AND COSERVATION</v>
      </c>
      <c r="B198" s="445"/>
      <c r="C198" s="744">
        <v>0</v>
      </c>
      <c r="D198" s="745">
        <v>300939216</v>
      </c>
      <c r="E198" s="733">
        <v>352139227</v>
      </c>
      <c r="F198" s="746">
        <v>4474479</v>
      </c>
      <c r="G198" s="746">
        <v>43032673</v>
      </c>
      <c r="H198" s="746">
        <f t="shared" si="56"/>
        <v>293449355.83333331</v>
      </c>
      <c r="I198" s="44">
        <f t="shared" ref="I198:I261" si="57">G198-H198</f>
        <v>-250416682.83333331</v>
      </c>
      <c r="J198" s="330">
        <f t="shared" ref="J198:J261" si="58">IF(I198=0,"",I198/H198)</f>
        <v>-0.85335570808190586</v>
      </c>
      <c r="K198" s="747">
        <f t="shared" ref="K198:K205" si="59">E198</f>
        <v>352139227</v>
      </c>
      <c r="L198" s="48"/>
      <c r="M198" s="473"/>
      <c r="N198" s="473"/>
      <c r="O198" s="473"/>
      <c r="P198" s="473"/>
      <c r="Q198" s="473"/>
      <c r="R198" s="473"/>
      <c r="S198" s="473"/>
      <c r="T198" s="473"/>
      <c r="U198" s="473"/>
      <c r="V198" s="473"/>
      <c r="W198" s="473"/>
    </row>
    <row r="199" spans="1:23" ht="11.25" customHeight="1" x14ac:dyDescent="0.25">
      <c r="A199" s="407" t="str">
        <f>'Org structure'!E27</f>
        <v>3.3 - OPERATIONS, WATER AND WASTE WATER, QUALITY MANAGEMENT AND LABORATORY SERVICES</v>
      </c>
      <c r="B199" s="445"/>
      <c r="C199" s="744">
        <v>0</v>
      </c>
      <c r="D199" s="745">
        <v>82121292</v>
      </c>
      <c r="E199" s="733">
        <v>56041267</v>
      </c>
      <c r="F199" s="746">
        <v>0</v>
      </c>
      <c r="G199" s="746">
        <v>0</v>
      </c>
      <c r="H199" s="746">
        <f t="shared" si="56"/>
        <v>46701055.833333328</v>
      </c>
      <c r="I199" s="44">
        <f t="shared" si="57"/>
        <v>-46701055.833333328</v>
      </c>
      <c r="J199" s="330">
        <f t="shared" si="58"/>
        <v>-1</v>
      </c>
      <c r="K199" s="747">
        <f t="shared" si="59"/>
        <v>56041267</v>
      </c>
      <c r="L199" s="48"/>
      <c r="M199" s="473"/>
      <c r="N199" s="473"/>
      <c r="O199" s="473"/>
      <c r="P199" s="473"/>
      <c r="Q199" s="473"/>
      <c r="R199" s="473"/>
      <c r="S199" s="473"/>
      <c r="T199" s="473"/>
      <c r="U199" s="473"/>
      <c r="V199" s="473"/>
      <c r="W199" s="473"/>
    </row>
    <row r="200" spans="1:23" ht="11.25" customHeight="1" x14ac:dyDescent="0.25">
      <c r="A200" s="407" t="str">
        <f>'Org structure'!E28</f>
        <v>3.4 - QUALITY MONITORING SERVICES</v>
      </c>
      <c r="B200" s="445"/>
      <c r="C200" s="744">
        <v>0</v>
      </c>
      <c r="D200" s="745">
        <v>14509692</v>
      </c>
      <c r="E200" s="733">
        <v>24002241</v>
      </c>
      <c r="F200" s="746">
        <v>0</v>
      </c>
      <c r="G200" s="746">
        <v>0</v>
      </c>
      <c r="H200" s="746">
        <f t="shared" si="56"/>
        <v>20001867.5</v>
      </c>
      <c r="I200" s="44">
        <f t="shared" si="57"/>
        <v>-20001867.5</v>
      </c>
      <c r="J200" s="330">
        <f t="shared" si="58"/>
        <v>-1</v>
      </c>
      <c r="K200" s="747">
        <f t="shared" si="59"/>
        <v>24002241</v>
      </c>
      <c r="L200" s="48"/>
      <c r="M200" s="473"/>
      <c r="N200" s="473"/>
      <c r="O200" s="473"/>
      <c r="P200" s="473"/>
      <c r="Q200" s="473"/>
      <c r="R200" s="473"/>
      <c r="S200" s="473"/>
      <c r="T200" s="473"/>
      <c r="U200" s="473"/>
      <c r="V200" s="473"/>
      <c r="W200" s="473"/>
    </row>
    <row r="201" spans="1:23" ht="11.25" customHeight="1" x14ac:dyDescent="0.25">
      <c r="A201" s="407" t="str">
        <f>'Org structure'!E29</f>
        <v>3.5 - RETICULATION, DISTRIBUTIION AND MAITENANCE, WATER DEMAND AND COSERVATION</v>
      </c>
      <c r="B201" s="445"/>
      <c r="C201" s="744">
        <v>0</v>
      </c>
      <c r="D201" s="383">
        <v>8859084</v>
      </c>
      <c r="E201" s="384">
        <v>0</v>
      </c>
      <c r="F201" s="746">
        <v>2188935</v>
      </c>
      <c r="G201" s="746">
        <v>24523093</v>
      </c>
      <c r="H201" s="746">
        <f t="shared" si="56"/>
        <v>0</v>
      </c>
      <c r="I201" s="44">
        <f t="shared" si="57"/>
        <v>24523093</v>
      </c>
      <c r="J201" s="330" t="e">
        <f t="shared" si="58"/>
        <v>#DIV/0!</v>
      </c>
      <c r="K201" s="747">
        <f t="shared" si="59"/>
        <v>0</v>
      </c>
      <c r="L201" s="48"/>
      <c r="M201" s="473"/>
      <c r="N201" s="473"/>
      <c r="O201" s="473"/>
      <c r="P201" s="473"/>
      <c r="Q201" s="473"/>
      <c r="R201" s="473"/>
      <c r="S201" s="473"/>
      <c r="T201" s="473"/>
      <c r="U201" s="473"/>
      <c r="V201" s="473"/>
      <c r="W201" s="473"/>
    </row>
    <row r="202" spans="1:23" ht="11.25" customHeight="1" x14ac:dyDescent="0.25">
      <c r="A202" s="407" t="str">
        <f>'Org structure'!E30</f>
        <v>3.6 - RETICULATION, DISTRIBUTIION AND MAITENANCE, WATER DEMAND AND COSERVATION</v>
      </c>
      <c r="B202" s="445"/>
      <c r="C202" s="744">
        <v>0</v>
      </c>
      <c r="D202" s="383">
        <v>9781576</v>
      </c>
      <c r="E202" s="384">
        <v>0</v>
      </c>
      <c r="F202" s="472">
        <v>0</v>
      </c>
      <c r="G202" s="384">
        <v>0</v>
      </c>
      <c r="H202" s="746">
        <f t="shared" si="56"/>
        <v>0</v>
      </c>
      <c r="I202" s="44">
        <f t="shared" si="57"/>
        <v>0</v>
      </c>
      <c r="J202" s="330" t="str">
        <f t="shared" si="58"/>
        <v/>
      </c>
      <c r="K202" s="747">
        <f t="shared" si="59"/>
        <v>0</v>
      </c>
      <c r="L202" s="48"/>
      <c r="M202" s="473"/>
      <c r="N202" s="473"/>
      <c r="O202" s="473"/>
      <c r="P202" s="473"/>
      <c r="Q202" s="473"/>
      <c r="R202" s="473"/>
      <c r="S202" s="473"/>
      <c r="T202" s="473"/>
      <c r="U202" s="473"/>
      <c r="V202" s="473"/>
      <c r="W202" s="473"/>
    </row>
    <row r="203" spans="1:23" ht="11.25" customHeight="1" x14ac:dyDescent="0.25">
      <c r="A203" s="407" t="str">
        <f>'Org structure'!E31</f>
        <v>3.7 - INFRASTRUCTURE DEVELOPMENT, PLANNING AND RETICULATION DESIGN</v>
      </c>
      <c r="B203" s="445"/>
      <c r="C203" s="744">
        <v>0</v>
      </c>
      <c r="D203" s="383">
        <v>0</v>
      </c>
      <c r="E203" s="384">
        <v>8940825</v>
      </c>
      <c r="F203" s="472">
        <v>0</v>
      </c>
      <c r="G203" s="384">
        <v>0</v>
      </c>
      <c r="H203" s="746">
        <f t="shared" si="56"/>
        <v>7450687.5</v>
      </c>
      <c r="I203" s="44">
        <f t="shared" si="57"/>
        <v>-7450687.5</v>
      </c>
      <c r="J203" s="330">
        <f t="shared" si="58"/>
        <v>-1</v>
      </c>
      <c r="K203" s="747">
        <f t="shared" si="59"/>
        <v>8940825</v>
      </c>
      <c r="L203" s="48"/>
      <c r="M203" s="473"/>
      <c r="N203" s="473"/>
      <c r="O203" s="473"/>
      <c r="P203" s="473"/>
      <c r="Q203" s="473"/>
      <c r="R203" s="473"/>
      <c r="S203" s="473"/>
      <c r="T203" s="473"/>
      <c r="U203" s="473"/>
      <c r="V203" s="473"/>
      <c r="W203" s="473"/>
    </row>
    <row r="204" spans="1:23" ht="11.25" customHeight="1" x14ac:dyDescent="0.25">
      <c r="A204" s="407">
        <f>'Org structure'!E32</f>
        <v>0</v>
      </c>
      <c r="B204" s="445"/>
      <c r="C204" s="744">
        <v>0</v>
      </c>
      <c r="D204" s="383">
        <v>0</v>
      </c>
      <c r="E204" s="384">
        <v>0</v>
      </c>
      <c r="F204" s="472">
        <v>0</v>
      </c>
      <c r="G204" s="384">
        <v>0</v>
      </c>
      <c r="H204" s="746">
        <f t="shared" si="56"/>
        <v>0</v>
      </c>
      <c r="I204" s="44">
        <f t="shared" si="57"/>
        <v>0</v>
      </c>
      <c r="J204" s="330" t="str">
        <f t="shared" si="58"/>
        <v/>
      </c>
      <c r="K204" s="747">
        <f t="shared" si="59"/>
        <v>0</v>
      </c>
      <c r="L204" s="48"/>
      <c r="M204" s="473"/>
      <c r="N204" s="473"/>
      <c r="O204" s="473"/>
      <c r="P204" s="473"/>
      <c r="Q204" s="473"/>
      <c r="R204" s="473"/>
      <c r="S204" s="473"/>
      <c r="T204" s="473"/>
      <c r="U204" s="473"/>
      <c r="V204" s="473"/>
      <c r="W204" s="473"/>
    </row>
    <row r="205" spans="1:23" ht="11.25" customHeight="1" x14ac:dyDescent="0.25">
      <c r="A205" s="407">
        <f>'Org structure'!E33</f>
        <v>0</v>
      </c>
      <c r="B205" s="445"/>
      <c r="C205" s="744">
        <v>0</v>
      </c>
      <c r="D205" s="383">
        <v>0</v>
      </c>
      <c r="E205" s="384">
        <v>0</v>
      </c>
      <c r="F205" s="472">
        <v>0</v>
      </c>
      <c r="G205" s="384">
        <v>0</v>
      </c>
      <c r="H205" s="746">
        <f t="shared" si="56"/>
        <v>0</v>
      </c>
      <c r="I205" s="44">
        <f t="shared" si="57"/>
        <v>0</v>
      </c>
      <c r="J205" s="330" t="str">
        <f t="shared" si="58"/>
        <v/>
      </c>
      <c r="K205" s="747">
        <f t="shared" si="59"/>
        <v>0</v>
      </c>
      <c r="L205" s="48"/>
      <c r="M205" s="473"/>
      <c r="N205" s="473"/>
      <c r="O205" s="473"/>
      <c r="P205" s="473"/>
      <c r="Q205" s="473"/>
      <c r="R205" s="473"/>
      <c r="S205" s="473"/>
      <c r="T205" s="473"/>
      <c r="U205" s="473"/>
      <c r="V205" s="473"/>
      <c r="W205" s="473"/>
    </row>
    <row r="206" spans="1:23" ht="11.25" customHeight="1" x14ac:dyDescent="0.25">
      <c r="A206" s="407">
        <f>'Org structure'!E34</f>
        <v>0</v>
      </c>
      <c r="B206" s="445"/>
      <c r="C206" s="744">
        <v>0</v>
      </c>
      <c r="D206" s="383">
        <v>0</v>
      </c>
      <c r="E206" s="384">
        <v>0</v>
      </c>
      <c r="F206" s="472">
        <v>0</v>
      </c>
      <c r="G206" s="384">
        <v>0</v>
      </c>
      <c r="H206" s="746">
        <f t="shared" si="56"/>
        <v>0</v>
      </c>
      <c r="I206" s="44">
        <f t="shared" si="57"/>
        <v>0</v>
      </c>
      <c r="J206" s="330" t="str">
        <f t="shared" si="58"/>
        <v/>
      </c>
      <c r="K206" s="395">
        <v>0</v>
      </c>
      <c r="L206" s="48"/>
      <c r="M206" s="473"/>
      <c r="N206" s="473"/>
      <c r="O206" s="473"/>
      <c r="P206" s="473"/>
      <c r="Q206" s="473"/>
      <c r="R206" s="473"/>
      <c r="S206" s="473"/>
      <c r="T206" s="473"/>
      <c r="U206" s="473"/>
      <c r="V206" s="473"/>
      <c r="W206" s="473"/>
    </row>
    <row r="207" spans="1:23" ht="11.25" customHeight="1" x14ac:dyDescent="0.25">
      <c r="A207" s="466" t="str">
        <f>'Org structure'!A5</f>
        <v>Vote 4 - ENERGY</v>
      </c>
      <c r="B207" s="440"/>
      <c r="C207" s="503">
        <f t="shared" ref="C207:K207" si="60">SUM(C208:C217)</f>
        <v>877062179.01999986</v>
      </c>
      <c r="D207" s="444">
        <f t="shared" si="60"/>
        <v>924808134.39999998</v>
      </c>
      <c r="E207" s="443">
        <f t="shared" si="60"/>
        <v>963332114</v>
      </c>
      <c r="F207" s="443">
        <f t="shared" si="60"/>
        <v>74090268</v>
      </c>
      <c r="G207" s="441">
        <f t="shared" si="60"/>
        <v>751470460</v>
      </c>
      <c r="H207" s="443">
        <f t="shared" si="60"/>
        <v>802776761.66666651</v>
      </c>
      <c r="I207" s="44">
        <f t="shared" si="57"/>
        <v>-51306301.666666508</v>
      </c>
      <c r="J207" s="330">
        <f t="shared" si="58"/>
        <v>-6.3911044908858738E-2</v>
      </c>
      <c r="K207" s="442">
        <f t="shared" si="60"/>
        <v>963332114</v>
      </c>
      <c r="L207" s="48"/>
      <c r="M207" s="473"/>
      <c r="N207" s="473"/>
      <c r="O207" s="473"/>
      <c r="P207" s="473"/>
      <c r="Q207" s="473"/>
      <c r="R207" s="473"/>
      <c r="S207" s="473"/>
      <c r="T207" s="473"/>
      <c r="U207" s="473"/>
      <c r="V207" s="473"/>
      <c r="W207" s="473"/>
    </row>
    <row r="208" spans="1:23" ht="11.25" customHeight="1" x14ac:dyDescent="0.25">
      <c r="A208" s="407" t="str">
        <f>'Org structure'!E36</f>
        <v>4.1 - ENERGY SERVICES ADMIN</v>
      </c>
      <c r="B208" s="445"/>
      <c r="C208" s="394">
        <v>877062179.01999986</v>
      </c>
      <c r="D208" s="383">
        <v>6545412</v>
      </c>
      <c r="E208" s="384">
        <v>3949356</v>
      </c>
      <c r="F208" s="472">
        <v>74090268</v>
      </c>
      <c r="G208" s="384">
        <v>751470460</v>
      </c>
      <c r="H208" s="472">
        <f t="shared" ref="H208:H217" si="61">E208/12*10</f>
        <v>3291130</v>
      </c>
      <c r="I208" s="44">
        <f t="shared" si="57"/>
        <v>748179330</v>
      </c>
      <c r="J208" s="330">
        <f t="shared" si="58"/>
        <v>227.33205008614064</v>
      </c>
      <c r="K208" s="395">
        <f t="shared" ref="K208:K214" si="62">E208</f>
        <v>3949356</v>
      </c>
      <c r="L208" s="48"/>
      <c r="M208" s="473"/>
      <c r="N208" s="473"/>
      <c r="O208" s="473"/>
      <c r="P208" s="473"/>
      <c r="Q208" s="473"/>
      <c r="R208" s="473"/>
      <c r="S208" s="473"/>
      <c r="T208" s="473"/>
      <c r="U208" s="473"/>
      <c r="V208" s="473"/>
      <c r="W208" s="473"/>
    </row>
    <row r="209" spans="1:23" ht="11.25" customHeight="1" x14ac:dyDescent="0.25">
      <c r="A209" s="407" t="str">
        <f>'Org structure'!E37</f>
        <v>4.2 - ENERGY OPERATIONS AND MAITENANCE ADMINISTRATION</v>
      </c>
      <c r="B209" s="445"/>
      <c r="C209" s="394">
        <v>0</v>
      </c>
      <c r="D209" s="383">
        <v>30207276</v>
      </c>
      <c r="E209" s="384">
        <v>30735635</v>
      </c>
      <c r="F209" s="472">
        <v>0</v>
      </c>
      <c r="G209" s="384">
        <v>0</v>
      </c>
      <c r="H209" s="472">
        <f t="shared" si="61"/>
        <v>25613029.166666664</v>
      </c>
      <c r="I209" s="44">
        <f t="shared" si="57"/>
        <v>-25613029.166666664</v>
      </c>
      <c r="J209" s="330">
        <f t="shared" si="58"/>
        <v>-1</v>
      </c>
      <c r="K209" s="395">
        <f t="shared" si="62"/>
        <v>30735635</v>
      </c>
      <c r="L209" s="48"/>
      <c r="M209" s="473"/>
      <c r="N209" s="473"/>
      <c r="O209" s="473"/>
      <c r="P209" s="473"/>
      <c r="Q209" s="473"/>
      <c r="R209" s="473"/>
      <c r="S209" s="473"/>
      <c r="T209" s="473"/>
      <c r="U209" s="473"/>
      <c r="V209" s="473"/>
      <c r="W209" s="473"/>
    </row>
    <row r="210" spans="1:23" ht="11.25" customHeight="1" x14ac:dyDescent="0.25">
      <c r="A210" s="407" t="str">
        <f>'Org structure'!E38</f>
        <v>4.3 - ENERGY SERVICES: 66KV OPERATIONS, MAITENANCE. SCADA AND PROTECTION</v>
      </c>
      <c r="B210" s="445"/>
      <c r="C210" s="394">
        <v>0</v>
      </c>
      <c r="D210" s="383">
        <v>33464280</v>
      </c>
      <c r="E210" s="384">
        <v>31830798</v>
      </c>
      <c r="F210" s="472">
        <v>0</v>
      </c>
      <c r="G210" s="384">
        <v>0</v>
      </c>
      <c r="H210" s="472">
        <f t="shared" si="61"/>
        <v>26525665</v>
      </c>
      <c r="I210" s="44">
        <f t="shared" si="57"/>
        <v>-26525665</v>
      </c>
      <c r="J210" s="330">
        <f t="shared" si="58"/>
        <v>-1</v>
      </c>
      <c r="K210" s="395">
        <f t="shared" si="62"/>
        <v>31830798</v>
      </c>
      <c r="L210" s="48"/>
      <c r="M210" s="473"/>
      <c r="N210" s="473"/>
      <c r="O210" s="473"/>
      <c r="P210" s="473"/>
      <c r="Q210" s="473"/>
      <c r="R210" s="473"/>
      <c r="S210" s="473"/>
      <c r="T210" s="473"/>
      <c r="U210" s="473"/>
      <c r="V210" s="473"/>
      <c r="W210" s="473"/>
    </row>
    <row r="211" spans="1:23" ht="11.25" customHeight="1" x14ac:dyDescent="0.25">
      <c r="A211" s="407" t="str">
        <f>'Org structure'!E39</f>
        <v>4.4 - ENERGY SERVICES: 11KV OPERATIONS, MAITENANCE. AND CONSTRUCTION</v>
      </c>
      <c r="B211" s="445"/>
      <c r="C211" s="394">
        <v>0</v>
      </c>
      <c r="D211" s="383">
        <v>877253576.39999998</v>
      </c>
      <c r="E211" s="384">
        <v>895669597</v>
      </c>
      <c r="F211" s="472">
        <v>0</v>
      </c>
      <c r="G211" s="384">
        <v>0</v>
      </c>
      <c r="H211" s="472">
        <f t="shared" si="61"/>
        <v>746391330.83333325</v>
      </c>
      <c r="I211" s="44">
        <f t="shared" si="57"/>
        <v>-746391330.83333325</v>
      </c>
      <c r="J211" s="330">
        <f t="shared" si="58"/>
        <v>-1</v>
      </c>
      <c r="K211" s="395">
        <f t="shared" si="62"/>
        <v>895669597</v>
      </c>
      <c r="L211" s="48"/>
      <c r="M211" s="473"/>
      <c r="N211" s="473"/>
      <c r="O211" s="473"/>
      <c r="P211" s="473"/>
      <c r="Q211" s="473"/>
      <c r="R211" s="473"/>
      <c r="S211" s="473"/>
      <c r="T211" s="473"/>
      <c r="U211" s="473"/>
      <c r="V211" s="473"/>
      <c r="W211" s="473"/>
    </row>
    <row r="212" spans="1:23" ht="11.25" customHeight="1" x14ac:dyDescent="0.25">
      <c r="A212" s="407" t="str">
        <f>'Org structure'!E40</f>
        <v>4.5 - ENERGY SERVICES : PLANNING AND DEVELOPMENT</v>
      </c>
      <c r="B212" s="445"/>
      <c r="C212" s="394">
        <v>0</v>
      </c>
      <c r="D212" s="383">
        <v>14388588</v>
      </c>
      <c r="E212" s="384">
        <v>1146728</v>
      </c>
      <c r="F212" s="472">
        <v>0</v>
      </c>
      <c r="G212" s="384">
        <v>0</v>
      </c>
      <c r="H212" s="472">
        <f t="shared" si="61"/>
        <v>955606.66666666674</v>
      </c>
      <c r="I212" s="44">
        <f t="shared" si="57"/>
        <v>-955606.66666666674</v>
      </c>
      <c r="J212" s="330">
        <f t="shared" si="58"/>
        <v>-1</v>
      </c>
      <c r="K212" s="395">
        <f t="shared" si="62"/>
        <v>1146728</v>
      </c>
      <c r="L212" s="48"/>
      <c r="M212" s="473"/>
      <c r="N212" s="473"/>
      <c r="O212" s="473"/>
      <c r="P212" s="473"/>
      <c r="Q212" s="473"/>
      <c r="R212" s="473"/>
      <c r="S212" s="473"/>
      <c r="T212" s="473"/>
      <c r="U212" s="473"/>
      <c r="V212" s="473"/>
      <c r="W212" s="473"/>
    </row>
    <row r="213" spans="1:23" ht="11.25" customHeight="1" x14ac:dyDescent="0.25">
      <c r="A213" s="407">
        <f>'Org structure'!E41</f>
        <v>0</v>
      </c>
      <c r="B213" s="445"/>
      <c r="C213" s="394">
        <v>0</v>
      </c>
      <c r="D213" s="383">
        <v>-37050998</v>
      </c>
      <c r="E213" s="384"/>
      <c r="F213" s="472">
        <v>0</v>
      </c>
      <c r="G213" s="384">
        <v>0</v>
      </c>
      <c r="H213" s="472">
        <f t="shared" si="61"/>
        <v>0</v>
      </c>
      <c r="I213" s="44">
        <f t="shared" si="57"/>
        <v>0</v>
      </c>
      <c r="J213" s="330" t="str">
        <f t="shared" si="58"/>
        <v/>
      </c>
      <c r="K213" s="395">
        <f t="shared" si="62"/>
        <v>0</v>
      </c>
      <c r="L213" s="48"/>
      <c r="M213" s="473"/>
      <c r="N213" s="473"/>
      <c r="O213" s="473"/>
      <c r="P213" s="473"/>
      <c r="Q213" s="473"/>
      <c r="R213" s="473"/>
      <c r="S213" s="473"/>
      <c r="T213" s="473"/>
      <c r="U213" s="473"/>
      <c r="V213" s="473"/>
      <c r="W213" s="473"/>
    </row>
    <row r="214" spans="1:23" ht="11.25" customHeight="1" x14ac:dyDescent="0.25">
      <c r="A214" s="407">
        <f>'Org structure'!E42</f>
        <v>0</v>
      </c>
      <c r="B214" s="445"/>
      <c r="C214" s="394">
        <v>0</v>
      </c>
      <c r="D214" s="383">
        <v>0</v>
      </c>
      <c r="E214" s="384">
        <v>0</v>
      </c>
      <c r="F214" s="472">
        <v>0</v>
      </c>
      <c r="G214" s="384">
        <v>0</v>
      </c>
      <c r="H214" s="472">
        <f t="shared" si="61"/>
        <v>0</v>
      </c>
      <c r="I214" s="44">
        <f t="shared" si="57"/>
        <v>0</v>
      </c>
      <c r="J214" s="330" t="str">
        <f t="shared" si="58"/>
        <v/>
      </c>
      <c r="K214" s="395">
        <f t="shared" si="62"/>
        <v>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v>0</v>
      </c>
      <c r="D215" s="383">
        <v>0</v>
      </c>
      <c r="E215" s="384">
        <v>0</v>
      </c>
      <c r="F215" s="472">
        <v>0</v>
      </c>
      <c r="G215" s="384">
        <v>0</v>
      </c>
      <c r="H215" s="472">
        <f t="shared" si="61"/>
        <v>0</v>
      </c>
      <c r="I215" s="44">
        <f t="shared" si="57"/>
        <v>0</v>
      </c>
      <c r="J215" s="330" t="str">
        <f t="shared" si="58"/>
        <v/>
      </c>
      <c r="K215" s="395">
        <v>0</v>
      </c>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v>0</v>
      </c>
      <c r="D216" s="383">
        <v>0</v>
      </c>
      <c r="E216" s="384">
        <v>0</v>
      </c>
      <c r="F216" s="472">
        <v>0</v>
      </c>
      <c r="G216" s="384">
        <v>0</v>
      </c>
      <c r="H216" s="472">
        <f t="shared" si="61"/>
        <v>0</v>
      </c>
      <c r="I216" s="44">
        <f t="shared" si="57"/>
        <v>0</v>
      </c>
      <c r="J216" s="330" t="str">
        <f t="shared" si="58"/>
        <v/>
      </c>
      <c r="K216" s="395">
        <v>0</v>
      </c>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v>0</v>
      </c>
      <c r="D217" s="383">
        <v>0</v>
      </c>
      <c r="E217" s="384">
        <v>0</v>
      </c>
      <c r="F217" s="472">
        <v>0</v>
      </c>
      <c r="G217" s="384">
        <v>0</v>
      </c>
      <c r="H217" s="472">
        <f t="shared" si="61"/>
        <v>0</v>
      </c>
      <c r="I217" s="44">
        <f t="shared" si="57"/>
        <v>0</v>
      </c>
      <c r="J217" s="330" t="str">
        <f t="shared" si="58"/>
        <v/>
      </c>
      <c r="K217" s="395">
        <v>0</v>
      </c>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63">SUM(C219:C228)</f>
        <v>250557958.42999995</v>
      </c>
      <c r="D218" s="444">
        <f t="shared" si="63"/>
        <v>336592492.39999998</v>
      </c>
      <c r="E218" s="443">
        <f t="shared" si="63"/>
        <v>338204111</v>
      </c>
      <c r="F218" s="443">
        <f t="shared" si="63"/>
        <v>32152587</v>
      </c>
      <c r="G218" s="441">
        <f t="shared" si="63"/>
        <v>297606156</v>
      </c>
      <c r="H218" s="443">
        <f t="shared" si="63"/>
        <v>281836759.16666669</v>
      </c>
      <c r="I218" s="44">
        <f t="shared" si="57"/>
        <v>15769396.833333313</v>
      </c>
      <c r="J218" s="330">
        <f t="shared" si="58"/>
        <v>5.5952235896978716E-2</v>
      </c>
      <c r="K218" s="442">
        <f t="shared" si="63"/>
        <v>338204111</v>
      </c>
      <c r="L218" s="48"/>
      <c r="M218" s="473"/>
      <c r="N218" s="473"/>
      <c r="O218" s="473"/>
      <c r="P218" s="473"/>
      <c r="Q218" s="473"/>
      <c r="R218" s="473"/>
      <c r="S218" s="473"/>
      <c r="T218" s="473"/>
      <c r="U218" s="473"/>
      <c r="V218" s="473"/>
      <c r="W218" s="473"/>
    </row>
    <row r="219" spans="1:23" ht="11.25" customHeight="1" x14ac:dyDescent="0.25">
      <c r="A219" s="407" t="str">
        <f>'Org structure'!E47</f>
        <v>5.1 - DIRECTORATE COMMUNITY SERVICES</v>
      </c>
      <c r="B219" s="445"/>
      <c r="C219" s="394"/>
      <c r="D219" s="383">
        <v>6509954</v>
      </c>
      <c r="E219" s="384">
        <v>0</v>
      </c>
      <c r="F219" s="472">
        <v>0</v>
      </c>
      <c r="G219" s="384">
        <v>0</v>
      </c>
      <c r="H219" s="472">
        <f t="shared" ref="H219:H228" si="64">E219/12*10</f>
        <v>0</v>
      </c>
      <c r="I219" s="44">
        <f t="shared" si="57"/>
        <v>0</v>
      </c>
      <c r="J219" s="330" t="str">
        <f t="shared" si="58"/>
        <v/>
      </c>
      <c r="K219" s="395">
        <f>E219</f>
        <v>0</v>
      </c>
      <c r="L219" s="48"/>
      <c r="M219" s="473"/>
      <c r="N219" s="473"/>
      <c r="O219" s="473"/>
      <c r="P219" s="473"/>
      <c r="Q219" s="473"/>
      <c r="R219" s="473"/>
      <c r="S219" s="473"/>
      <c r="T219" s="473"/>
      <c r="U219" s="473"/>
      <c r="V219" s="473"/>
      <c r="W219" s="473"/>
    </row>
    <row r="220" spans="1:23" ht="11.25" customHeight="1" x14ac:dyDescent="0.25">
      <c r="A220" s="407" t="str">
        <f>'Org structure'!E48</f>
        <v>5.2 - SPORT AND RECREATION (ADMINISTRATION)</v>
      </c>
      <c r="B220" s="445"/>
      <c r="C220" s="394">
        <v>250557958.42999995</v>
      </c>
      <c r="D220" s="383">
        <v>18081084</v>
      </c>
      <c r="E220" s="384">
        <v>45727096</v>
      </c>
      <c r="F220" s="472">
        <v>9826283</v>
      </c>
      <c r="G220" s="384">
        <v>106982178</v>
      </c>
      <c r="H220" s="472">
        <f t="shared" si="64"/>
        <v>38105913.333333336</v>
      </c>
      <c r="I220" s="44">
        <f t="shared" si="57"/>
        <v>68876264.666666657</v>
      </c>
      <c r="J220" s="330">
        <f t="shared" si="58"/>
        <v>1.80749544208974</v>
      </c>
      <c r="K220" s="395">
        <f t="shared" ref="K220:K228" si="65">E220</f>
        <v>45727096</v>
      </c>
      <c r="L220" s="48"/>
      <c r="M220" s="473"/>
      <c r="N220" s="473"/>
      <c r="O220" s="473"/>
      <c r="P220" s="473"/>
      <c r="Q220" s="473"/>
      <c r="R220" s="473"/>
      <c r="S220" s="473"/>
      <c r="T220" s="473"/>
      <c r="U220" s="473"/>
      <c r="V220" s="473"/>
      <c r="W220" s="473"/>
    </row>
    <row r="221" spans="1:23" ht="11.25" customHeight="1" x14ac:dyDescent="0.25">
      <c r="A221" s="407" t="str">
        <f>'Org structure'!E49</f>
        <v>5.3 - SPORTS FACILITIES MAINTENANCE(NEW)</v>
      </c>
      <c r="B221" s="445"/>
      <c r="C221" s="394"/>
      <c r="D221" s="383">
        <v>79635132</v>
      </c>
      <c r="E221" s="384">
        <v>76383981</v>
      </c>
      <c r="F221" s="472">
        <v>443645</v>
      </c>
      <c r="G221" s="384">
        <v>4141485</v>
      </c>
      <c r="H221" s="472">
        <f t="shared" si="64"/>
        <v>63653317.5</v>
      </c>
      <c r="I221" s="44">
        <f t="shared" si="57"/>
        <v>-59511832.5</v>
      </c>
      <c r="J221" s="330">
        <f t="shared" si="58"/>
        <v>-0.93493685541213145</v>
      </c>
      <c r="K221" s="395">
        <f t="shared" si="65"/>
        <v>76383981</v>
      </c>
      <c r="L221" s="48"/>
      <c r="M221" s="473"/>
      <c r="N221" s="473"/>
      <c r="O221" s="473"/>
      <c r="P221" s="473"/>
      <c r="Q221" s="473"/>
      <c r="R221" s="473"/>
      <c r="S221" s="473"/>
      <c r="T221" s="473"/>
      <c r="U221" s="473"/>
      <c r="V221" s="473"/>
      <c r="W221" s="473"/>
    </row>
    <row r="222" spans="1:23" ht="11.25" customHeight="1" x14ac:dyDescent="0.25">
      <c r="A222" s="407" t="str">
        <f>'Org structure'!E50</f>
        <v>5.4 - RECREATION SERVICES (SWIMMING POOLS)</v>
      </c>
      <c r="B222" s="445"/>
      <c r="C222" s="394"/>
      <c r="D222" s="383">
        <v>7740780</v>
      </c>
      <c r="E222" s="384">
        <v>7472800</v>
      </c>
      <c r="F222" s="472">
        <v>2824260</v>
      </c>
      <c r="G222" s="384">
        <v>31738033</v>
      </c>
      <c r="H222" s="472">
        <f t="shared" si="64"/>
        <v>6227333.333333334</v>
      </c>
      <c r="I222" s="44">
        <f t="shared" si="57"/>
        <v>25510699.666666664</v>
      </c>
      <c r="J222" s="330">
        <f t="shared" si="58"/>
        <v>4.0965688363130282</v>
      </c>
      <c r="K222" s="395">
        <f t="shared" si="65"/>
        <v>7472800</v>
      </c>
      <c r="L222" s="48"/>
      <c r="M222" s="473"/>
      <c r="N222" s="473"/>
      <c r="O222" s="473"/>
      <c r="P222" s="473"/>
      <c r="Q222" s="473"/>
      <c r="R222" s="473"/>
      <c r="S222" s="473"/>
      <c r="T222" s="473"/>
      <c r="U222" s="473"/>
      <c r="V222" s="473"/>
      <c r="W222" s="473"/>
    </row>
    <row r="223" spans="1:23" ht="11.25" customHeight="1" x14ac:dyDescent="0.25">
      <c r="A223" s="407" t="str">
        <f>'Org structure'!E51</f>
        <v>5.5 - SPORTS FACILITIES MAINTENANCE(HORTICULTURAL SERVICES)</v>
      </c>
      <c r="B223" s="445"/>
      <c r="C223" s="394"/>
      <c r="D223" s="383">
        <v>11983944</v>
      </c>
      <c r="E223" s="384"/>
      <c r="F223" s="472">
        <v>1776640</v>
      </c>
      <c r="G223" s="384">
        <v>16253900</v>
      </c>
      <c r="H223" s="472">
        <f t="shared" si="64"/>
        <v>0</v>
      </c>
      <c r="I223" s="44">
        <f t="shared" si="57"/>
        <v>16253900</v>
      </c>
      <c r="J223" s="330" t="e">
        <f t="shared" si="58"/>
        <v>#DIV/0!</v>
      </c>
      <c r="K223" s="395">
        <f t="shared" si="65"/>
        <v>0</v>
      </c>
      <c r="L223" s="48"/>
      <c r="M223" s="473"/>
      <c r="N223" s="473"/>
      <c r="O223" s="473"/>
      <c r="P223" s="473"/>
      <c r="Q223" s="473"/>
      <c r="R223" s="473"/>
      <c r="S223" s="473"/>
      <c r="T223" s="473"/>
      <c r="U223" s="473"/>
      <c r="V223" s="473"/>
      <c r="W223" s="473"/>
    </row>
    <row r="224" spans="1:23" ht="11.25" customHeight="1" x14ac:dyDescent="0.25">
      <c r="A224" s="407" t="str">
        <f>'Org structure'!E57</f>
        <v>5.11 - ENVIRONMENTAL MANAGEMENT (ADMINISTRATION)</v>
      </c>
      <c r="B224" s="445"/>
      <c r="C224" s="394"/>
      <c r="D224" s="383">
        <v>22588104</v>
      </c>
      <c r="E224" s="384">
        <v>2079564</v>
      </c>
      <c r="F224" s="472">
        <v>650406</v>
      </c>
      <c r="G224" s="384">
        <v>6623182</v>
      </c>
      <c r="H224" s="472">
        <f t="shared" si="64"/>
        <v>1732970</v>
      </c>
      <c r="I224" s="44">
        <f t="shared" si="57"/>
        <v>4890212</v>
      </c>
      <c r="J224" s="330">
        <f t="shared" si="58"/>
        <v>2.8218676607211894</v>
      </c>
      <c r="K224" s="395">
        <f t="shared" si="65"/>
        <v>2079564</v>
      </c>
      <c r="L224" s="48"/>
      <c r="M224" s="473"/>
      <c r="N224" s="473"/>
      <c r="O224" s="473"/>
      <c r="P224" s="473"/>
      <c r="Q224" s="473"/>
      <c r="R224" s="473"/>
      <c r="S224" s="473"/>
      <c r="T224" s="473"/>
      <c r="U224" s="473"/>
      <c r="V224" s="473"/>
      <c r="W224" s="473"/>
    </row>
    <row r="225" spans="1:23" ht="11.25" customHeight="1" x14ac:dyDescent="0.25">
      <c r="A225" s="407" t="str">
        <f>'Org structure'!E62</f>
        <v>5.16 - WASTE MANAGEMENT (EDUCATION AND AWARENESS)</v>
      </c>
      <c r="B225" s="445"/>
      <c r="C225" s="394"/>
      <c r="D225" s="383">
        <v>5405976</v>
      </c>
      <c r="E225" s="384">
        <v>1225810</v>
      </c>
      <c r="F225" s="472">
        <v>5185724</v>
      </c>
      <c r="G225" s="384">
        <v>45324322</v>
      </c>
      <c r="H225" s="472">
        <f t="shared" si="64"/>
        <v>1021508.3333333333</v>
      </c>
      <c r="I225" s="44">
        <f t="shared" si="57"/>
        <v>44302813.666666664</v>
      </c>
      <c r="J225" s="330">
        <f t="shared" si="58"/>
        <v>43.36999730790253</v>
      </c>
      <c r="K225" s="395">
        <f t="shared" si="65"/>
        <v>1225810</v>
      </c>
      <c r="L225" s="48"/>
      <c r="M225" s="473"/>
      <c r="N225" s="473"/>
      <c r="O225" s="473"/>
      <c r="P225" s="473"/>
      <c r="Q225" s="473"/>
      <c r="R225" s="473"/>
      <c r="S225" s="473"/>
      <c r="T225" s="473"/>
      <c r="U225" s="473"/>
      <c r="V225" s="473"/>
      <c r="W225" s="473"/>
    </row>
    <row r="226" spans="1:23" ht="11.25" customHeight="1" x14ac:dyDescent="0.25">
      <c r="A226" s="407" t="e">
        <f>'Org structure'!#REF!</f>
        <v>#REF!</v>
      </c>
      <c r="B226" s="445"/>
      <c r="C226" s="394"/>
      <c r="D226" s="383">
        <v>7497480</v>
      </c>
      <c r="E226" s="384">
        <v>24580580</v>
      </c>
      <c r="F226" s="472">
        <v>11445629</v>
      </c>
      <c r="G226" s="384">
        <v>86543056</v>
      </c>
      <c r="H226" s="472">
        <f t="shared" si="64"/>
        <v>20483816.666666668</v>
      </c>
      <c r="I226" s="44">
        <f t="shared" si="57"/>
        <v>66059239.333333328</v>
      </c>
      <c r="J226" s="330">
        <f t="shared" si="58"/>
        <v>3.2249477921188188</v>
      </c>
      <c r="K226" s="395">
        <f t="shared" si="65"/>
        <v>24580580</v>
      </c>
      <c r="L226" s="48"/>
      <c r="M226" s="473"/>
      <c r="N226" s="473"/>
      <c r="O226" s="473"/>
      <c r="P226" s="473"/>
      <c r="Q226" s="473"/>
      <c r="R226" s="473"/>
      <c r="S226" s="473"/>
      <c r="T226" s="473"/>
      <c r="U226" s="473"/>
      <c r="V226" s="473"/>
      <c r="W226" s="473"/>
    </row>
    <row r="227" spans="1:23" ht="11.25" customHeight="1" x14ac:dyDescent="0.25">
      <c r="A227" s="407" t="e">
        <f>'Org structure'!#REF!</f>
        <v>#REF!</v>
      </c>
      <c r="B227" s="445"/>
      <c r="C227" s="394"/>
      <c r="D227" s="383">
        <v>109987190.40000001</v>
      </c>
      <c r="E227" s="384">
        <v>9394391</v>
      </c>
      <c r="F227" s="472">
        <v>0</v>
      </c>
      <c r="G227" s="384">
        <v>0</v>
      </c>
      <c r="H227" s="472">
        <f t="shared" si="64"/>
        <v>7828659.166666666</v>
      </c>
      <c r="I227" s="44">
        <f t="shared" si="57"/>
        <v>-7828659.166666666</v>
      </c>
      <c r="J227" s="330">
        <f t="shared" si="58"/>
        <v>-1</v>
      </c>
      <c r="K227" s="395">
        <f t="shared" si="65"/>
        <v>9394391</v>
      </c>
      <c r="L227" s="48"/>
      <c r="M227" s="473"/>
      <c r="N227" s="473"/>
      <c r="O227" s="473"/>
      <c r="P227" s="473"/>
      <c r="Q227" s="473"/>
      <c r="R227" s="473"/>
      <c r="S227" s="473"/>
      <c r="T227" s="473"/>
      <c r="U227" s="473"/>
      <c r="V227" s="473"/>
      <c r="W227" s="473"/>
    </row>
    <row r="228" spans="1:23" ht="11.25" customHeight="1" x14ac:dyDescent="0.25">
      <c r="A228" s="407" t="e">
        <f>'Org structure'!#REF!</f>
        <v>#REF!</v>
      </c>
      <c r="B228" s="445"/>
      <c r="C228" s="394"/>
      <c r="D228" s="383">
        <v>67162848</v>
      </c>
      <c r="E228" s="384">
        <v>171339889</v>
      </c>
      <c r="F228" s="472">
        <v>0</v>
      </c>
      <c r="G228" s="384">
        <v>0</v>
      </c>
      <c r="H228" s="472">
        <f t="shared" si="64"/>
        <v>142783240.83333334</v>
      </c>
      <c r="I228" s="44">
        <f t="shared" si="57"/>
        <v>-142783240.83333334</v>
      </c>
      <c r="J228" s="330">
        <f t="shared" si="58"/>
        <v>-1</v>
      </c>
      <c r="K228" s="395">
        <f t="shared" si="65"/>
        <v>171339889</v>
      </c>
      <c r="L228" s="48"/>
      <c r="M228" s="473"/>
      <c r="N228" s="473"/>
      <c r="O228" s="473"/>
      <c r="P228" s="473"/>
      <c r="Q228" s="473"/>
      <c r="R228" s="473"/>
      <c r="S228" s="473"/>
      <c r="T228" s="473"/>
      <c r="U228" s="473"/>
      <c r="V228" s="473"/>
      <c r="W228" s="473"/>
    </row>
    <row r="229" spans="1:23" ht="11.25" customHeight="1" x14ac:dyDescent="0.25">
      <c r="A229" s="466" t="str">
        <f>'Org structure'!A7</f>
        <v>Vote 6 - PUBLIC SAFETY</v>
      </c>
      <c r="B229" s="440"/>
      <c r="C229" s="503">
        <f t="shared" ref="C229:K229" si="66">SUM(C230:C239)</f>
        <v>263281477.01000002</v>
      </c>
      <c r="D229" s="444">
        <f t="shared" si="66"/>
        <v>299191112</v>
      </c>
      <c r="E229" s="443">
        <f t="shared" si="66"/>
        <v>315518704.95999998</v>
      </c>
      <c r="F229" s="443">
        <f t="shared" si="66"/>
        <v>22315203</v>
      </c>
      <c r="G229" s="441">
        <f t="shared" si="66"/>
        <v>183883318</v>
      </c>
      <c r="H229" s="443">
        <f t="shared" si="66"/>
        <v>262932254.13333333</v>
      </c>
      <c r="I229" s="44">
        <f t="shared" si="57"/>
        <v>-79048936.133333325</v>
      </c>
      <c r="J229" s="330">
        <f t="shared" si="58"/>
        <v>-0.30064373955904056</v>
      </c>
      <c r="K229" s="442">
        <f t="shared" si="66"/>
        <v>315518704.95999998</v>
      </c>
      <c r="L229" s="48"/>
      <c r="M229" s="473"/>
      <c r="N229" s="473"/>
      <c r="O229" s="473"/>
      <c r="P229" s="473"/>
      <c r="Q229" s="473"/>
      <c r="R229" s="473"/>
      <c r="S229" s="473"/>
      <c r="T229" s="473"/>
      <c r="U229" s="473"/>
      <c r="V229" s="473"/>
      <c r="W229" s="473"/>
    </row>
    <row r="230" spans="1:23" ht="11.25" customHeight="1" x14ac:dyDescent="0.25">
      <c r="A230" s="407" t="str">
        <f>'Org structure'!E64</f>
        <v>6.1 - PUBLIC SAFETY(ADMINISTRATION)</v>
      </c>
      <c r="B230" s="445"/>
      <c r="C230" s="394"/>
      <c r="D230" s="383">
        <v>97597464</v>
      </c>
      <c r="E230" s="384">
        <v>3625861</v>
      </c>
      <c r="F230" s="472">
        <v>607831</v>
      </c>
      <c r="G230" s="384">
        <v>6164302</v>
      </c>
      <c r="H230" s="472">
        <f t="shared" ref="H230:H239" si="67">E230/12*10</f>
        <v>3021550.833333333</v>
      </c>
      <c r="I230" s="44">
        <f t="shared" si="57"/>
        <v>3142751.166666667</v>
      </c>
      <c r="J230" s="330">
        <f t="shared" si="58"/>
        <v>1.0401119623725237</v>
      </c>
      <c r="K230" s="395">
        <f>E230</f>
        <v>3625861</v>
      </c>
      <c r="L230" s="48"/>
      <c r="M230" s="473"/>
      <c r="N230" s="473"/>
      <c r="O230" s="473"/>
      <c r="P230" s="473"/>
      <c r="Q230" s="473"/>
      <c r="R230" s="473"/>
      <c r="S230" s="473"/>
      <c r="T230" s="473"/>
      <c r="U230" s="473"/>
      <c r="V230" s="473"/>
      <c r="W230" s="473"/>
    </row>
    <row r="231" spans="1:23" ht="11.25" customHeight="1" x14ac:dyDescent="0.25">
      <c r="A231" s="407" t="str">
        <f>'Org structure'!E65</f>
        <v>6.2 - TRAFFIC AND LICENSING (ADMINISTRATION)</v>
      </c>
      <c r="B231" s="445"/>
      <c r="C231" s="394">
        <v>263281477.01000002</v>
      </c>
      <c r="D231" s="383">
        <v>0</v>
      </c>
      <c r="E231" s="384">
        <v>2310007</v>
      </c>
      <c r="F231" s="472">
        <v>0</v>
      </c>
      <c r="G231" s="384">
        <v>0</v>
      </c>
      <c r="H231" s="472">
        <f t="shared" si="67"/>
        <v>1925005.8333333335</v>
      </c>
      <c r="I231" s="44">
        <f t="shared" si="57"/>
        <v>-1925005.8333333335</v>
      </c>
      <c r="J231" s="330">
        <f t="shared" si="58"/>
        <v>-1</v>
      </c>
      <c r="K231" s="395">
        <f t="shared" ref="K231:K239" si="68">E231</f>
        <v>2310007</v>
      </c>
      <c r="L231" s="48"/>
      <c r="M231" s="473"/>
      <c r="N231" s="473"/>
      <c r="O231" s="473"/>
      <c r="P231" s="473"/>
      <c r="Q231" s="473"/>
      <c r="R231" s="473"/>
      <c r="S231" s="473"/>
      <c r="T231" s="473"/>
      <c r="U231" s="473"/>
      <c r="V231" s="473"/>
      <c r="W231" s="473"/>
    </row>
    <row r="232" spans="1:23" ht="11.25" customHeight="1" x14ac:dyDescent="0.25">
      <c r="A232" s="407" t="str">
        <f>'Org structure'!E66</f>
        <v>6.3 - TRAFFIC AND LICENCES (LICENSING)</v>
      </c>
      <c r="B232" s="445"/>
      <c r="C232" s="394">
        <v>0</v>
      </c>
      <c r="D232" s="383">
        <v>11690700</v>
      </c>
      <c r="E232" s="384">
        <v>15079258</v>
      </c>
      <c r="F232" s="472">
        <v>0</v>
      </c>
      <c r="G232" s="384">
        <v>0</v>
      </c>
      <c r="H232" s="472">
        <f t="shared" si="67"/>
        <v>12566048.333333332</v>
      </c>
      <c r="I232" s="44">
        <f t="shared" si="57"/>
        <v>-12566048.333333332</v>
      </c>
      <c r="J232" s="330">
        <f t="shared" si="58"/>
        <v>-1</v>
      </c>
      <c r="K232" s="395">
        <f t="shared" si="68"/>
        <v>15079258</v>
      </c>
      <c r="L232" s="48"/>
      <c r="M232" s="473"/>
      <c r="N232" s="473"/>
      <c r="O232" s="473"/>
      <c r="P232" s="473"/>
      <c r="Q232" s="473"/>
      <c r="R232" s="473"/>
      <c r="S232" s="473"/>
      <c r="T232" s="473"/>
      <c r="U232" s="473"/>
      <c r="V232" s="473"/>
      <c r="W232" s="473"/>
    </row>
    <row r="233" spans="1:23" ht="11.25" customHeight="1" x14ac:dyDescent="0.25">
      <c r="A233" s="407" t="str">
        <f>'Org structure'!E67</f>
        <v>6.4 - TRAFFIC AND LICENSING(VEHICLE TESTING AND DRIVERS LICENSE TESTING)</v>
      </c>
      <c r="B233" s="445"/>
      <c r="C233" s="394">
        <v>0</v>
      </c>
      <c r="D233" s="383">
        <v>14026584</v>
      </c>
      <c r="E233" s="384">
        <v>13502827</v>
      </c>
      <c r="F233" s="472">
        <v>11312532</v>
      </c>
      <c r="G233" s="384">
        <v>84715670</v>
      </c>
      <c r="H233" s="472">
        <f t="shared" si="67"/>
        <v>11252355.833333332</v>
      </c>
      <c r="I233" s="44">
        <f t="shared" si="57"/>
        <v>73463314.166666672</v>
      </c>
      <c r="J233" s="330">
        <f t="shared" si="58"/>
        <v>6.5287052111383801</v>
      </c>
      <c r="K233" s="395">
        <f t="shared" si="68"/>
        <v>13502827</v>
      </c>
      <c r="L233" s="48"/>
      <c r="M233" s="473"/>
      <c r="N233" s="473"/>
      <c r="O233" s="473"/>
      <c r="P233" s="473"/>
      <c r="Q233" s="473"/>
      <c r="R233" s="473"/>
      <c r="S233" s="473"/>
      <c r="T233" s="473"/>
      <c r="U233" s="473"/>
      <c r="V233" s="473"/>
      <c r="W233" s="473"/>
    </row>
    <row r="234" spans="1:23" ht="11.25" customHeight="1" x14ac:dyDescent="0.25">
      <c r="A234" s="407" t="str">
        <f>'Org structure'!E68</f>
        <v>6.5 - TRAFFIC AND LICENSING (TRAFFIC SERVICES)</v>
      </c>
      <c r="B234" s="445"/>
      <c r="C234" s="394">
        <v>0</v>
      </c>
      <c r="D234" s="383">
        <v>13236396</v>
      </c>
      <c r="E234" s="384">
        <v>84120264</v>
      </c>
      <c r="F234" s="472">
        <v>10394840</v>
      </c>
      <c r="G234" s="384">
        <v>93003346</v>
      </c>
      <c r="H234" s="472">
        <f t="shared" si="67"/>
        <v>70100220</v>
      </c>
      <c r="I234" s="44">
        <f t="shared" si="57"/>
        <v>22903126</v>
      </c>
      <c r="J234" s="330">
        <f t="shared" si="58"/>
        <v>0.32671974495943096</v>
      </c>
      <c r="K234" s="395">
        <f t="shared" si="68"/>
        <v>84120264</v>
      </c>
      <c r="L234" s="48"/>
      <c r="M234" s="473"/>
      <c r="N234" s="473"/>
      <c r="O234" s="473"/>
      <c r="P234" s="473"/>
      <c r="Q234" s="473"/>
      <c r="R234" s="473"/>
      <c r="S234" s="473"/>
      <c r="T234" s="473"/>
      <c r="U234" s="473"/>
      <c r="V234" s="473"/>
      <c r="W234" s="473"/>
    </row>
    <row r="235" spans="1:23" ht="11.25" customHeight="1" x14ac:dyDescent="0.25">
      <c r="A235" s="407" t="str">
        <f>'Org structure'!E74</f>
        <v>6.11 - ENVIRONMENTAL HEALTH SERVICES (ADMINISTRATION)</v>
      </c>
      <c r="B235" s="445"/>
      <c r="C235" s="394">
        <v>0</v>
      </c>
      <c r="D235" s="383">
        <v>82441776</v>
      </c>
      <c r="E235" s="384">
        <v>70444129</v>
      </c>
      <c r="F235" s="472">
        <v>0</v>
      </c>
      <c r="G235" s="384">
        <v>0</v>
      </c>
      <c r="H235" s="472">
        <f t="shared" si="67"/>
        <v>58703440.833333328</v>
      </c>
      <c r="I235" s="44">
        <f t="shared" si="57"/>
        <v>-58703440.833333328</v>
      </c>
      <c r="J235" s="330">
        <f t="shared" si="58"/>
        <v>-1</v>
      </c>
      <c r="K235" s="395">
        <f t="shared" si="68"/>
        <v>70444129</v>
      </c>
      <c r="L235" s="48"/>
      <c r="M235" s="473"/>
      <c r="N235" s="473"/>
      <c r="O235" s="473"/>
      <c r="P235" s="473"/>
      <c r="Q235" s="473"/>
      <c r="R235" s="473"/>
      <c r="S235" s="473"/>
      <c r="T235" s="473"/>
      <c r="U235" s="473"/>
      <c r="V235" s="473"/>
      <c r="W235" s="473"/>
    </row>
    <row r="236" spans="1:23" ht="11.25" customHeight="1" x14ac:dyDescent="0.25">
      <c r="A236" s="407" t="str">
        <f>'Org structure'!E75</f>
        <v>6.12 - ENVIRONMENTAL HEALTH SERVICES (AIR POLUTION CONTROL)</v>
      </c>
      <c r="B236" s="445"/>
      <c r="C236" s="394">
        <v>0</v>
      </c>
      <c r="D236" s="383">
        <v>1857696</v>
      </c>
      <c r="E236" s="384"/>
      <c r="F236" s="472">
        <v>0</v>
      </c>
      <c r="G236" s="384">
        <v>0</v>
      </c>
      <c r="H236" s="472">
        <f t="shared" si="67"/>
        <v>0</v>
      </c>
      <c r="I236" s="44">
        <f t="shared" si="57"/>
        <v>0</v>
      </c>
      <c r="J236" s="330" t="str">
        <f t="shared" si="58"/>
        <v/>
      </c>
      <c r="K236" s="395">
        <f t="shared" si="68"/>
        <v>0</v>
      </c>
      <c r="L236" s="48"/>
      <c r="M236" s="473"/>
      <c r="N236" s="473"/>
      <c r="O236" s="473"/>
      <c r="P236" s="473"/>
      <c r="Q236" s="473"/>
      <c r="R236" s="473"/>
      <c r="S236" s="473"/>
      <c r="T236" s="473"/>
      <c r="U236" s="473"/>
      <c r="V236" s="473"/>
      <c r="W236" s="473"/>
    </row>
    <row r="237" spans="1:23" ht="11.25" customHeight="1" x14ac:dyDescent="0.25">
      <c r="A237" s="407" t="str">
        <f>'Org structure'!E76</f>
        <v>6.13 - ENVIRONMENTAL HEALTH SERVICES (HEALTH INSPECTION)</v>
      </c>
      <c r="B237" s="445"/>
      <c r="C237" s="394">
        <v>0</v>
      </c>
      <c r="D237" s="383">
        <v>62296992</v>
      </c>
      <c r="E237" s="384">
        <v>1846551</v>
      </c>
      <c r="F237" s="472">
        <v>0</v>
      </c>
      <c r="G237" s="384">
        <v>0</v>
      </c>
      <c r="H237" s="472">
        <f t="shared" si="67"/>
        <v>1538792.5</v>
      </c>
      <c r="I237" s="44">
        <f t="shared" si="57"/>
        <v>-1538792.5</v>
      </c>
      <c r="J237" s="330">
        <f t="shared" si="58"/>
        <v>-1</v>
      </c>
      <c r="K237" s="395">
        <f t="shared" si="68"/>
        <v>1846551</v>
      </c>
      <c r="L237" s="48"/>
      <c r="M237" s="473"/>
      <c r="N237" s="473"/>
      <c r="O237" s="473"/>
      <c r="P237" s="473"/>
      <c r="Q237" s="473"/>
      <c r="R237" s="473"/>
      <c r="S237" s="473"/>
      <c r="T237" s="473"/>
      <c r="U237" s="473"/>
      <c r="V237" s="473"/>
      <c r="W237" s="473"/>
    </row>
    <row r="238" spans="1:23" ht="11.25" customHeight="1" x14ac:dyDescent="0.25">
      <c r="A238" s="407">
        <f>'Org structure'!E77</f>
        <v>0</v>
      </c>
      <c r="B238" s="445"/>
      <c r="C238" s="394">
        <v>0</v>
      </c>
      <c r="D238" s="383">
        <v>7099080</v>
      </c>
      <c r="E238" s="384">
        <v>104813793</v>
      </c>
      <c r="F238" s="472">
        <v>0</v>
      </c>
      <c r="G238" s="384">
        <v>0</v>
      </c>
      <c r="H238" s="472">
        <f t="shared" si="67"/>
        <v>87344827.5</v>
      </c>
      <c r="I238" s="44">
        <f t="shared" si="57"/>
        <v>-87344827.5</v>
      </c>
      <c r="J238" s="330">
        <f t="shared" si="58"/>
        <v>-1</v>
      </c>
      <c r="K238" s="395">
        <f t="shared" si="68"/>
        <v>104813793</v>
      </c>
      <c r="L238" s="48"/>
      <c r="M238" s="473"/>
      <c r="N238" s="473"/>
      <c r="O238" s="473"/>
      <c r="P238" s="473"/>
      <c r="Q238" s="473"/>
      <c r="R238" s="473"/>
      <c r="S238" s="473"/>
      <c r="T238" s="473"/>
      <c r="U238" s="473"/>
      <c r="V238" s="473"/>
      <c r="W238" s="473"/>
    </row>
    <row r="239" spans="1:23" ht="11.25" customHeight="1" x14ac:dyDescent="0.25">
      <c r="A239" s="407">
        <f>'Org structure'!E78</f>
        <v>0</v>
      </c>
      <c r="B239" s="445"/>
      <c r="C239" s="394">
        <v>0</v>
      </c>
      <c r="D239" s="383">
        <v>8944424</v>
      </c>
      <c r="E239" s="384">
        <v>19776014.960000001</v>
      </c>
      <c r="F239" s="472">
        <v>0</v>
      </c>
      <c r="G239" s="384">
        <v>0</v>
      </c>
      <c r="H239" s="472">
        <f t="shared" si="67"/>
        <v>16480012.466666669</v>
      </c>
      <c r="I239" s="44">
        <f t="shared" si="57"/>
        <v>-16480012.466666669</v>
      </c>
      <c r="J239" s="330">
        <f t="shared" si="58"/>
        <v>-1</v>
      </c>
      <c r="K239" s="395">
        <f t="shared" si="68"/>
        <v>19776014.960000001</v>
      </c>
      <c r="L239" s="48"/>
      <c r="M239" s="473"/>
      <c r="N239" s="473"/>
      <c r="O239" s="473"/>
      <c r="P239" s="473"/>
      <c r="Q239" s="473"/>
      <c r="R239" s="473"/>
      <c r="S239" s="473"/>
      <c r="T239" s="473"/>
      <c r="U239" s="473"/>
      <c r="V239" s="473"/>
      <c r="W239" s="473"/>
    </row>
    <row r="240" spans="1:23" ht="11.25" customHeight="1" x14ac:dyDescent="0.25">
      <c r="A240" s="466" t="str">
        <f>'Org structure'!A8</f>
        <v>Vote 7 - CORPORATE AND SHARED SERVICES</v>
      </c>
      <c r="B240" s="440"/>
      <c r="C240" s="503">
        <f t="shared" ref="C240:K240" si="69">SUM(C241:C250)</f>
        <v>233683957.22</v>
      </c>
      <c r="D240" s="444">
        <f t="shared" si="69"/>
        <v>230469771</v>
      </c>
      <c r="E240" s="441">
        <f t="shared" si="69"/>
        <v>261118287</v>
      </c>
      <c r="F240" s="443">
        <f t="shared" si="69"/>
        <v>14179393</v>
      </c>
      <c r="G240" s="441">
        <f t="shared" si="69"/>
        <v>177212092</v>
      </c>
      <c r="H240" s="443">
        <f t="shared" si="69"/>
        <v>217598572.5</v>
      </c>
      <c r="I240" s="44">
        <f t="shared" si="57"/>
        <v>-40386480.5</v>
      </c>
      <c r="J240" s="330">
        <f t="shared" si="58"/>
        <v>-0.18560085222985551</v>
      </c>
      <c r="K240" s="442">
        <f t="shared" si="69"/>
        <v>261118287</v>
      </c>
      <c r="L240" s="48"/>
      <c r="M240" s="473"/>
      <c r="N240" s="473"/>
      <c r="O240" s="473"/>
      <c r="P240" s="473"/>
      <c r="Q240" s="473"/>
      <c r="R240" s="473"/>
      <c r="S240" s="473"/>
      <c r="T240" s="473"/>
      <c r="U240" s="473"/>
      <c r="V240" s="473"/>
      <c r="W240" s="473"/>
    </row>
    <row r="241" spans="1:23" ht="11.25" customHeight="1" x14ac:dyDescent="0.25">
      <c r="A241" s="407" t="str">
        <f>'Org structure'!E80</f>
        <v>7.1 - CORPORATE AND SHARED SERVICES</v>
      </c>
      <c r="B241" s="445"/>
      <c r="C241" s="394">
        <v>233683957.22</v>
      </c>
      <c r="D241" s="383">
        <v>7135524</v>
      </c>
      <c r="E241" s="384">
        <v>3388789</v>
      </c>
      <c r="F241" s="472">
        <v>5409530</v>
      </c>
      <c r="G241" s="384">
        <v>65468077</v>
      </c>
      <c r="H241" s="472">
        <f t="shared" ref="H241:H250" si="70">E241/12*10</f>
        <v>2823990.833333333</v>
      </c>
      <c r="I241" s="44">
        <f t="shared" si="57"/>
        <v>62644086.166666664</v>
      </c>
      <c r="J241" s="330">
        <f t="shared" si="58"/>
        <v>22.182822064165105</v>
      </c>
      <c r="K241" s="395">
        <f>E241</f>
        <v>3388789</v>
      </c>
      <c r="L241" s="48"/>
      <c r="M241" s="473"/>
      <c r="N241" s="473"/>
      <c r="O241" s="473"/>
      <c r="P241" s="473"/>
      <c r="Q241" s="473"/>
      <c r="R241" s="473"/>
      <c r="S241" s="473"/>
      <c r="T241" s="473"/>
      <c r="U241" s="473"/>
      <c r="V241" s="473"/>
      <c r="W241" s="473"/>
    </row>
    <row r="242" spans="1:23" ht="11.25" customHeight="1" x14ac:dyDescent="0.25">
      <c r="A242" s="407" t="str">
        <f>'Org structure'!E81</f>
        <v>7.2 - CORPORATE SERVICES - INFORMATION COMMUNICATION TECHNOLOGY</v>
      </c>
      <c r="B242" s="445"/>
      <c r="C242" s="394">
        <v>0</v>
      </c>
      <c r="D242" s="383">
        <v>75624972</v>
      </c>
      <c r="E242" s="384">
        <v>58985089</v>
      </c>
      <c r="F242" s="472">
        <v>3280074</v>
      </c>
      <c r="G242" s="384">
        <v>37006657</v>
      </c>
      <c r="H242" s="472">
        <f t="shared" si="70"/>
        <v>49154240.833333328</v>
      </c>
      <c r="I242" s="44">
        <f t="shared" si="57"/>
        <v>-12147583.833333328</v>
      </c>
      <c r="J242" s="330">
        <f t="shared" si="58"/>
        <v>-0.24713195906172145</v>
      </c>
      <c r="K242" s="395">
        <f t="shared" ref="K242:K250" si="71">E242</f>
        <v>58985089</v>
      </c>
      <c r="L242" s="48"/>
      <c r="M242" s="473"/>
      <c r="N242" s="473"/>
      <c r="O242" s="473"/>
      <c r="P242" s="473"/>
      <c r="Q242" s="473"/>
      <c r="R242" s="473"/>
      <c r="S242" s="473"/>
      <c r="T242" s="473"/>
      <c r="U242" s="473"/>
      <c r="V242" s="473"/>
      <c r="W242" s="473"/>
    </row>
    <row r="243" spans="1:23" ht="11.25" customHeight="1" x14ac:dyDescent="0.25">
      <c r="A243" s="407" t="str">
        <f>'Org structure'!E82</f>
        <v>7.3 - HUMAN RESOURCE DEVELOPMENT (ADMINISTRATION)</v>
      </c>
      <c r="B243" s="445"/>
      <c r="C243" s="394">
        <v>0</v>
      </c>
      <c r="D243" s="383">
        <v>5767704</v>
      </c>
      <c r="E243" s="384">
        <v>56366</v>
      </c>
      <c r="F243" s="472">
        <v>3427542</v>
      </c>
      <c r="G243" s="384">
        <v>43683773</v>
      </c>
      <c r="H243" s="472">
        <f t="shared" si="70"/>
        <v>46971.666666666672</v>
      </c>
      <c r="I243" s="44">
        <f t="shared" si="57"/>
        <v>43636801.333333336</v>
      </c>
      <c r="J243" s="330">
        <f t="shared" si="58"/>
        <v>929.00261859986517</v>
      </c>
      <c r="K243" s="395">
        <f t="shared" si="71"/>
        <v>56366</v>
      </c>
      <c r="L243" s="48"/>
      <c r="M243" s="473"/>
      <c r="N243" s="473"/>
      <c r="O243" s="473"/>
      <c r="P243" s="473"/>
      <c r="Q243" s="473"/>
      <c r="R243" s="473"/>
      <c r="S243" s="473"/>
      <c r="T243" s="473"/>
      <c r="U243" s="473"/>
      <c r="V243" s="473"/>
      <c r="W243" s="473"/>
    </row>
    <row r="244" spans="1:23" ht="11.25" customHeight="1" x14ac:dyDescent="0.25">
      <c r="A244" s="407" t="str">
        <f>'Org structure'!E83</f>
        <v>7.4 - HUMAN RESOURCES DEVELOPMENT (ORGANISATION DEVELOPMENT)</v>
      </c>
      <c r="B244" s="445"/>
      <c r="C244" s="394">
        <v>0</v>
      </c>
      <c r="D244" s="383">
        <v>81653580</v>
      </c>
      <c r="E244" s="384">
        <v>3845924</v>
      </c>
      <c r="F244" s="472">
        <v>1325131</v>
      </c>
      <c r="G244" s="384">
        <v>24814800</v>
      </c>
      <c r="H244" s="472">
        <f t="shared" si="70"/>
        <v>3204936.666666667</v>
      </c>
      <c r="I244" s="44">
        <f t="shared" si="57"/>
        <v>21609863.333333332</v>
      </c>
      <c r="J244" s="330">
        <f t="shared" si="58"/>
        <v>6.7426803025748807</v>
      </c>
      <c r="K244" s="395">
        <f t="shared" si="71"/>
        <v>3845924</v>
      </c>
      <c r="L244" s="48"/>
      <c r="M244" s="473"/>
      <c r="N244" s="473"/>
      <c r="O244" s="473"/>
      <c r="P244" s="473"/>
      <c r="Q244" s="473"/>
      <c r="R244" s="473"/>
      <c r="S244" s="473"/>
      <c r="T244" s="473"/>
      <c r="U244" s="473"/>
      <c r="V244" s="473"/>
      <c r="W244" s="473"/>
    </row>
    <row r="245" spans="1:23" ht="11.25" customHeight="1" x14ac:dyDescent="0.25">
      <c r="A245" s="407" t="str">
        <f>'Org structure'!E84</f>
        <v>7.5 - HUMAN RESOURCES DEVELOPMENT (LEARNING AND DEVELOPMENT)</v>
      </c>
      <c r="B245" s="445"/>
      <c r="C245" s="394">
        <v>0</v>
      </c>
      <c r="D245" s="383">
        <v>12996180</v>
      </c>
      <c r="E245" s="384">
        <v>20183949</v>
      </c>
      <c r="F245" s="472">
        <v>0</v>
      </c>
      <c r="G245" s="384">
        <v>0</v>
      </c>
      <c r="H245" s="472">
        <f t="shared" si="70"/>
        <v>16819957.5</v>
      </c>
      <c r="I245" s="44">
        <f t="shared" si="57"/>
        <v>-16819957.5</v>
      </c>
      <c r="J245" s="330">
        <f t="shared" si="58"/>
        <v>-1</v>
      </c>
      <c r="K245" s="395">
        <f t="shared" si="71"/>
        <v>20183949</v>
      </c>
      <c r="L245" s="48"/>
      <c r="M245" s="473"/>
      <c r="N245" s="473"/>
      <c r="O245" s="473"/>
      <c r="P245" s="473"/>
      <c r="Q245" s="473"/>
      <c r="R245" s="473"/>
      <c r="S245" s="473"/>
      <c r="T245" s="473"/>
      <c r="U245" s="473"/>
      <c r="V245" s="473"/>
      <c r="W245" s="473"/>
    </row>
    <row r="246" spans="1:23" ht="11.25" customHeight="1" x14ac:dyDescent="0.25">
      <c r="A246" s="407" t="str">
        <f>'Org structure'!E94</f>
        <v>7.15 - FLEET MANAGEMENT SERVICES</v>
      </c>
      <c r="B246" s="445"/>
      <c r="C246" s="394">
        <v>0</v>
      </c>
      <c r="D246" s="383">
        <v>12296808</v>
      </c>
      <c r="E246" s="384">
        <v>3304716</v>
      </c>
      <c r="F246" s="472">
        <v>737116</v>
      </c>
      <c r="G246" s="384">
        <v>6238785</v>
      </c>
      <c r="H246" s="472">
        <f t="shared" si="70"/>
        <v>2753930</v>
      </c>
      <c r="I246" s="44">
        <f t="shared" si="57"/>
        <v>3484855</v>
      </c>
      <c r="J246" s="330">
        <f t="shared" si="58"/>
        <v>1.2654116117693623</v>
      </c>
      <c r="K246" s="395">
        <f t="shared" si="71"/>
        <v>3304716</v>
      </c>
      <c r="L246" s="48"/>
      <c r="M246" s="473"/>
      <c r="N246" s="473"/>
      <c r="O246" s="473"/>
      <c r="P246" s="473"/>
      <c r="Q246" s="473"/>
      <c r="R246" s="473"/>
      <c r="S246" s="473"/>
      <c r="T246" s="473"/>
      <c r="U246" s="473"/>
      <c r="V246" s="473"/>
      <c r="W246" s="473"/>
    </row>
    <row r="247" spans="1:23" ht="11.25" customHeight="1" x14ac:dyDescent="0.25">
      <c r="A247" s="407">
        <f>'Org structure'!E95</f>
        <v>0</v>
      </c>
      <c r="B247" s="445"/>
      <c r="C247" s="394">
        <v>0</v>
      </c>
      <c r="D247" s="383">
        <v>23930640</v>
      </c>
      <c r="E247" s="384">
        <v>1851615</v>
      </c>
      <c r="F247" s="472">
        <v>0</v>
      </c>
      <c r="G247" s="384">
        <v>0</v>
      </c>
      <c r="H247" s="472">
        <f t="shared" si="70"/>
        <v>1543012.5</v>
      </c>
      <c r="I247" s="44">
        <f t="shared" si="57"/>
        <v>-1543012.5</v>
      </c>
      <c r="J247" s="330">
        <f t="shared" si="58"/>
        <v>-1</v>
      </c>
      <c r="K247" s="395">
        <f t="shared" si="71"/>
        <v>1851615</v>
      </c>
      <c r="L247" s="48"/>
      <c r="M247" s="473"/>
      <c r="N247" s="473"/>
      <c r="O247" s="473"/>
      <c r="P247" s="473"/>
      <c r="Q247" s="473"/>
      <c r="R247" s="473"/>
      <c r="S247" s="473"/>
      <c r="T247" s="473"/>
      <c r="U247" s="473"/>
      <c r="V247" s="473"/>
      <c r="W247" s="473"/>
    </row>
    <row r="248" spans="1:23" ht="11.25" customHeight="1" x14ac:dyDescent="0.25">
      <c r="A248" s="407">
        <f>'Org structure'!E96</f>
        <v>0</v>
      </c>
      <c r="B248" s="445"/>
      <c r="C248" s="394">
        <v>0</v>
      </c>
      <c r="D248" s="383">
        <v>11064363</v>
      </c>
      <c r="E248" s="384">
        <v>8875485</v>
      </c>
      <c r="F248" s="472">
        <v>0</v>
      </c>
      <c r="G248" s="384">
        <v>0</v>
      </c>
      <c r="H248" s="472">
        <f t="shared" si="70"/>
        <v>7396237.5</v>
      </c>
      <c r="I248" s="44">
        <f t="shared" si="57"/>
        <v>-7396237.5</v>
      </c>
      <c r="J248" s="330">
        <f t="shared" si="58"/>
        <v>-1</v>
      </c>
      <c r="K248" s="395">
        <f t="shared" si="71"/>
        <v>8875485</v>
      </c>
      <c r="L248" s="48"/>
      <c r="M248" s="473"/>
      <c r="N248" s="473"/>
      <c r="O248" s="473"/>
      <c r="P248" s="473"/>
      <c r="Q248" s="473"/>
      <c r="R248" s="473"/>
      <c r="S248" s="473"/>
      <c r="T248" s="473"/>
      <c r="U248" s="473"/>
      <c r="V248" s="473"/>
      <c r="W248" s="473"/>
    </row>
    <row r="249" spans="1:23" ht="11.25" customHeight="1" x14ac:dyDescent="0.25">
      <c r="A249" s="407">
        <f>'Org structure'!E97</f>
        <v>0</v>
      </c>
      <c r="B249" s="445"/>
      <c r="C249" s="394">
        <v>0</v>
      </c>
      <c r="D249" s="383">
        <v>0</v>
      </c>
      <c r="E249" s="384">
        <v>5661857</v>
      </c>
      <c r="F249" s="472">
        <v>0</v>
      </c>
      <c r="G249" s="384">
        <v>0</v>
      </c>
      <c r="H249" s="472">
        <f t="shared" si="70"/>
        <v>4718214.166666667</v>
      </c>
      <c r="I249" s="44">
        <f t="shared" si="57"/>
        <v>-4718214.166666667</v>
      </c>
      <c r="J249" s="330">
        <f t="shared" si="58"/>
        <v>-1</v>
      </c>
      <c r="K249" s="395">
        <f t="shared" si="71"/>
        <v>5661857</v>
      </c>
      <c r="L249" s="48"/>
      <c r="M249" s="473"/>
      <c r="N249" s="473"/>
      <c r="O249" s="473"/>
      <c r="P249" s="473"/>
      <c r="Q249" s="473"/>
      <c r="R249" s="473"/>
      <c r="S249" s="473"/>
      <c r="T249" s="473"/>
      <c r="U249" s="473"/>
      <c r="V249" s="473"/>
      <c r="W249" s="473"/>
    </row>
    <row r="250" spans="1:23" ht="11.25" customHeight="1" x14ac:dyDescent="0.25">
      <c r="A250" s="407">
        <f>'Org structure'!E98</f>
        <v>0</v>
      </c>
      <c r="B250" s="445"/>
      <c r="C250" s="394">
        <v>0</v>
      </c>
      <c r="D250" s="383">
        <v>0</v>
      </c>
      <c r="E250" s="384">
        <v>154964497</v>
      </c>
      <c r="F250" s="472">
        <v>0</v>
      </c>
      <c r="G250" s="384">
        <v>0</v>
      </c>
      <c r="H250" s="472">
        <f t="shared" si="70"/>
        <v>129137080.83333334</v>
      </c>
      <c r="I250" s="44">
        <f t="shared" si="57"/>
        <v>-129137080.83333334</v>
      </c>
      <c r="J250" s="330">
        <f t="shared" si="58"/>
        <v>-1</v>
      </c>
      <c r="K250" s="395">
        <f t="shared" si="71"/>
        <v>154964497</v>
      </c>
      <c r="L250" s="48"/>
      <c r="M250" s="473"/>
      <c r="N250" s="473"/>
      <c r="O250" s="473"/>
      <c r="P250" s="473"/>
      <c r="Q250" s="473"/>
      <c r="R250" s="473"/>
      <c r="S250" s="473"/>
      <c r="T250" s="473"/>
      <c r="U250" s="473"/>
      <c r="V250" s="473"/>
      <c r="W250" s="473"/>
    </row>
    <row r="251" spans="1:23" ht="11.25" customHeight="1" x14ac:dyDescent="0.25">
      <c r="A251" s="466" t="str">
        <f>'Org structure'!A9</f>
        <v>Vote 8 - PLANNING AND ECONOMIC DEVELOPMENT</v>
      </c>
      <c r="B251" s="445"/>
      <c r="C251" s="503">
        <f t="shared" ref="C251:K251" si="72">SUM(C252:C261)</f>
        <v>45900888.849999979</v>
      </c>
      <c r="D251" s="444">
        <f t="shared" si="72"/>
        <v>126695280</v>
      </c>
      <c r="E251" s="443">
        <f t="shared" si="72"/>
        <v>74369390</v>
      </c>
      <c r="F251" s="443">
        <f t="shared" si="72"/>
        <v>7947661</v>
      </c>
      <c r="G251" s="441">
        <f t="shared" si="72"/>
        <v>85704643</v>
      </c>
      <c r="H251" s="443">
        <f t="shared" si="72"/>
        <v>61974491.666666657</v>
      </c>
      <c r="I251" s="44">
        <f t="shared" si="57"/>
        <v>23730151.333333343</v>
      </c>
      <c r="J251" s="330">
        <f t="shared" si="58"/>
        <v>0.38290191166016041</v>
      </c>
      <c r="K251" s="442">
        <f t="shared" si="72"/>
        <v>74369390</v>
      </c>
      <c r="L251" s="48"/>
      <c r="M251" s="473"/>
      <c r="N251" s="473"/>
      <c r="O251" s="473"/>
      <c r="P251" s="473"/>
      <c r="Q251" s="473"/>
      <c r="R251" s="473"/>
      <c r="S251" s="473"/>
      <c r="T251" s="473"/>
      <c r="U251" s="473"/>
      <c r="V251" s="473"/>
      <c r="W251" s="473"/>
    </row>
    <row r="252" spans="1:23" ht="11.25" customHeight="1" x14ac:dyDescent="0.25">
      <c r="A252" s="407" t="str">
        <f>'Org structure'!E100</f>
        <v>8.1 - DIRECTORATE PLANNING AND DEVELOPMENT</v>
      </c>
      <c r="B252" s="445"/>
      <c r="C252" s="394">
        <v>45900888.849999979</v>
      </c>
      <c r="D252" s="383">
        <v>5375100</v>
      </c>
      <c r="E252" s="384">
        <v>3364614</v>
      </c>
      <c r="F252" s="472">
        <v>0</v>
      </c>
      <c r="G252" s="384">
        <v>0</v>
      </c>
      <c r="H252" s="472">
        <f t="shared" ref="H252:H261" si="73">E252/12*10</f>
        <v>2803845</v>
      </c>
      <c r="I252" s="44">
        <f t="shared" si="57"/>
        <v>-2803845</v>
      </c>
      <c r="J252" s="330">
        <f t="shared" si="58"/>
        <v>-1</v>
      </c>
      <c r="K252" s="395">
        <f t="shared" ref="K252:K261" si="74">E252</f>
        <v>3364614</v>
      </c>
      <c r="L252" s="48"/>
      <c r="M252" s="473"/>
      <c r="N252" s="473"/>
      <c r="O252" s="473"/>
      <c r="P252" s="473"/>
      <c r="Q252" s="473"/>
      <c r="R252" s="473"/>
      <c r="S252" s="473"/>
      <c r="T252" s="473"/>
      <c r="U252" s="473"/>
      <c r="V252" s="473"/>
      <c r="W252" s="473"/>
    </row>
    <row r="253" spans="1:23" ht="11.25" customHeight="1" x14ac:dyDescent="0.25">
      <c r="A253" s="407" t="str">
        <f>'Org structure'!E101</f>
        <v>8.2 - PROPERTY MANAGEMENT</v>
      </c>
      <c r="B253" s="445"/>
      <c r="C253" s="394">
        <v>0</v>
      </c>
      <c r="D253" s="383">
        <v>68748552</v>
      </c>
      <c r="E253" s="384">
        <v>5695295</v>
      </c>
      <c r="F253" s="472">
        <v>3388662</v>
      </c>
      <c r="G253" s="384">
        <v>43797657</v>
      </c>
      <c r="H253" s="472">
        <f t="shared" si="73"/>
        <v>4746079.166666667</v>
      </c>
      <c r="I253" s="44">
        <f t="shared" si="57"/>
        <v>39051577.833333336</v>
      </c>
      <c r="J253" s="330">
        <f t="shared" si="58"/>
        <v>8.2281766616127872</v>
      </c>
      <c r="K253" s="395">
        <f t="shared" si="74"/>
        <v>5695295</v>
      </c>
      <c r="L253" s="48"/>
      <c r="M253" s="473"/>
      <c r="N253" s="473"/>
      <c r="O253" s="473"/>
      <c r="P253" s="473"/>
      <c r="Q253" s="473"/>
      <c r="R253" s="473"/>
      <c r="S253" s="473"/>
      <c r="T253" s="473"/>
      <c r="U253" s="473"/>
      <c r="V253" s="473"/>
      <c r="W253" s="473"/>
    </row>
    <row r="254" spans="1:23" ht="11.25" customHeight="1" x14ac:dyDescent="0.25">
      <c r="A254" s="407" t="str">
        <f>'Org structure'!E102</f>
        <v xml:space="preserve">8.3 - CITY AND REGIONAL PLANNING </v>
      </c>
      <c r="B254" s="445"/>
      <c r="C254" s="394">
        <v>0</v>
      </c>
      <c r="D254" s="383">
        <v>18953004</v>
      </c>
      <c r="E254" s="384">
        <v>21863143</v>
      </c>
      <c r="F254" s="472">
        <v>1446982</v>
      </c>
      <c r="G254" s="384">
        <v>14473811</v>
      </c>
      <c r="H254" s="472">
        <f t="shared" si="73"/>
        <v>18219285.833333332</v>
      </c>
      <c r="I254" s="44">
        <f t="shared" si="57"/>
        <v>-3745474.8333333321</v>
      </c>
      <c r="J254" s="330">
        <f t="shared" si="58"/>
        <v>-0.20557747804146909</v>
      </c>
      <c r="K254" s="395">
        <f t="shared" si="74"/>
        <v>21863143</v>
      </c>
      <c r="L254" s="48"/>
      <c r="M254" s="473"/>
      <c r="N254" s="473"/>
      <c r="O254" s="473"/>
      <c r="P254" s="473"/>
      <c r="Q254" s="473"/>
      <c r="R254" s="473"/>
      <c r="S254" s="473"/>
      <c r="T254" s="473"/>
      <c r="U254" s="473"/>
      <c r="V254" s="473"/>
      <c r="W254" s="473"/>
    </row>
    <row r="255" spans="1:23" ht="11.25" customHeight="1" x14ac:dyDescent="0.25">
      <c r="A255" s="407" t="str">
        <f>'Org structure'!E103</f>
        <v>8.4 - CORPORATE GEO-INFORMATICS</v>
      </c>
      <c r="B255" s="445"/>
      <c r="C255" s="394">
        <v>0</v>
      </c>
      <c r="D255" s="383">
        <v>4708104</v>
      </c>
      <c r="E255" s="384">
        <v>3663929</v>
      </c>
      <c r="F255" s="472">
        <v>3112017</v>
      </c>
      <c r="G255" s="384">
        <v>27433175</v>
      </c>
      <c r="H255" s="472">
        <f t="shared" si="73"/>
        <v>3053274.166666667</v>
      </c>
      <c r="I255" s="44">
        <f t="shared" si="57"/>
        <v>24379900.833333332</v>
      </c>
      <c r="J255" s="330">
        <f t="shared" si="58"/>
        <v>7.9848384070761185</v>
      </c>
      <c r="K255" s="395">
        <f t="shared" si="74"/>
        <v>3663929</v>
      </c>
      <c r="L255" s="48"/>
      <c r="M255" s="473"/>
      <c r="N255" s="473"/>
      <c r="O255" s="473"/>
      <c r="P255" s="473"/>
      <c r="Q255" s="473"/>
      <c r="R255" s="473"/>
      <c r="S255" s="473"/>
      <c r="T255" s="473"/>
      <c r="U255" s="473"/>
      <c r="V255" s="473"/>
      <c r="W255" s="473"/>
    </row>
    <row r="256" spans="1:23" ht="11.25" customHeight="1" x14ac:dyDescent="0.25">
      <c r="A256" s="407" t="str">
        <f>'Org structure'!E104</f>
        <v>8.5 - BUILDING INSPECTIONS (ADMINISTRATION)</v>
      </c>
      <c r="B256" s="445"/>
      <c r="C256" s="394">
        <v>0</v>
      </c>
      <c r="D256" s="383">
        <v>10934796</v>
      </c>
      <c r="E256" s="384">
        <v>10918049</v>
      </c>
      <c r="F256" s="472">
        <v>0</v>
      </c>
      <c r="G256" s="384">
        <v>0</v>
      </c>
      <c r="H256" s="472">
        <f t="shared" si="73"/>
        <v>9098374.166666666</v>
      </c>
      <c r="I256" s="44">
        <f t="shared" si="57"/>
        <v>-9098374.166666666</v>
      </c>
      <c r="J256" s="330">
        <f t="shared" si="58"/>
        <v>-1</v>
      </c>
      <c r="K256" s="395">
        <f t="shared" si="74"/>
        <v>10918049</v>
      </c>
      <c r="L256" s="48"/>
      <c r="M256" s="473"/>
      <c r="N256" s="473"/>
      <c r="O256" s="473"/>
      <c r="P256" s="473"/>
      <c r="Q256" s="473"/>
      <c r="R256" s="473"/>
      <c r="S256" s="473"/>
      <c r="T256" s="473"/>
      <c r="U256" s="473"/>
      <c r="V256" s="473"/>
      <c r="W256" s="473"/>
    </row>
    <row r="257" spans="1:23" ht="11.25" customHeight="1" x14ac:dyDescent="0.25">
      <c r="A257" s="407" t="str">
        <f>'Org structure'!E105</f>
        <v>8.6 - ECONOMIC DEVELOPMENT AND TOURISM</v>
      </c>
      <c r="B257" s="445"/>
      <c r="C257" s="394">
        <v>0</v>
      </c>
      <c r="D257" s="383">
        <v>1952316</v>
      </c>
      <c r="E257" s="384">
        <v>2015018</v>
      </c>
      <c r="F257" s="472">
        <v>0</v>
      </c>
      <c r="G257" s="384">
        <v>0</v>
      </c>
      <c r="H257" s="472">
        <f t="shared" si="73"/>
        <v>1679181.6666666665</v>
      </c>
      <c r="I257" s="44">
        <f t="shared" si="57"/>
        <v>-1679181.6666666665</v>
      </c>
      <c r="J257" s="330">
        <f t="shared" si="58"/>
        <v>-1</v>
      </c>
      <c r="K257" s="395">
        <f t="shared" si="74"/>
        <v>2015018</v>
      </c>
      <c r="L257" s="48"/>
      <c r="M257" s="473"/>
      <c r="N257" s="473"/>
      <c r="O257" s="473"/>
      <c r="P257" s="473"/>
      <c r="Q257" s="473"/>
      <c r="R257" s="473"/>
      <c r="S257" s="473"/>
      <c r="T257" s="473"/>
      <c r="U257" s="473"/>
      <c r="V257" s="473"/>
      <c r="W257" s="473"/>
    </row>
    <row r="258" spans="1:23" ht="11.25" customHeight="1" x14ac:dyDescent="0.25">
      <c r="A258" s="407" t="str">
        <f>'Org structure'!E106</f>
        <v>8.7 - LOCAL ECONOMIC DEVELOPMENT</v>
      </c>
      <c r="B258" s="445"/>
      <c r="C258" s="394">
        <v>0</v>
      </c>
      <c r="D258" s="383">
        <v>7505592</v>
      </c>
      <c r="E258" s="384">
        <v>4785602</v>
      </c>
      <c r="F258" s="472">
        <v>0</v>
      </c>
      <c r="G258" s="384">
        <v>0</v>
      </c>
      <c r="H258" s="472">
        <f t="shared" si="73"/>
        <v>3988001.666666667</v>
      </c>
      <c r="I258" s="44">
        <f t="shared" si="57"/>
        <v>-3988001.666666667</v>
      </c>
      <c r="J258" s="330">
        <f t="shared" si="58"/>
        <v>-1</v>
      </c>
      <c r="K258" s="395">
        <f t="shared" si="74"/>
        <v>4785602</v>
      </c>
      <c r="L258" s="48"/>
      <c r="M258" s="473"/>
      <c r="N258" s="473"/>
      <c r="O258" s="473"/>
      <c r="P258" s="473"/>
      <c r="Q258" s="473"/>
      <c r="R258" s="473"/>
      <c r="S258" s="473"/>
      <c r="T258" s="473"/>
      <c r="U258" s="473"/>
      <c r="V258" s="473"/>
      <c r="W258" s="473"/>
    </row>
    <row r="259" spans="1:23" ht="11.25" customHeight="1" x14ac:dyDescent="0.25">
      <c r="A259" s="407" t="str">
        <f>'Org structure'!E107</f>
        <v>8.8 - INVESTMENT PROMOTION</v>
      </c>
      <c r="B259" s="445"/>
      <c r="C259" s="394">
        <v>0</v>
      </c>
      <c r="D259" s="383">
        <v>6063180</v>
      </c>
      <c r="E259" s="384">
        <v>5538536</v>
      </c>
      <c r="F259" s="472">
        <v>0</v>
      </c>
      <c r="G259" s="384">
        <v>0</v>
      </c>
      <c r="H259" s="472">
        <f t="shared" si="73"/>
        <v>4615446.666666667</v>
      </c>
      <c r="I259" s="44">
        <f t="shared" si="57"/>
        <v>-4615446.666666667</v>
      </c>
      <c r="J259" s="330">
        <f t="shared" si="58"/>
        <v>-1</v>
      </c>
      <c r="K259" s="395">
        <f t="shared" si="74"/>
        <v>5538536</v>
      </c>
      <c r="L259" s="48"/>
      <c r="M259" s="473"/>
      <c r="N259" s="473"/>
      <c r="O259" s="473"/>
      <c r="P259" s="473"/>
      <c r="Q259" s="473"/>
      <c r="R259" s="473"/>
      <c r="S259" s="473"/>
      <c r="T259" s="473"/>
      <c r="U259" s="473"/>
      <c r="V259" s="473"/>
      <c r="W259" s="473"/>
    </row>
    <row r="260" spans="1:23" ht="11.25" customHeight="1" x14ac:dyDescent="0.25">
      <c r="A260" s="407" t="str">
        <f>'Org structure'!E108</f>
        <v>8.9 - LED (ECONOMIC PLANNING)</v>
      </c>
      <c r="B260" s="445"/>
      <c r="C260" s="394">
        <v>0</v>
      </c>
      <c r="D260" s="383">
        <v>2862492</v>
      </c>
      <c r="E260" s="384">
        <v>16525204</v>
      </c>
      <c r="F260" s="472">
        <v>0</v>
      </c>
      <c r="G260" s="384">
        <v>0</v>
      </c>
      <c r="H260" s="472">
        <f t="shared" si="73"/>
        <v>13771003.333333332</v>
      </c>
      <c r="I260" s="44">
        <f t="shared" si="57"/>
        <v>-13771003.333333332</v>
      </c>
      <c r="J260" s="330">
        <f t="shared" si="58"/>
        <v>-1</v>
      </c>
      <c r="K260" s="395">
        <f t="shared" si="74"/>
        <v>16525204</v>
      </c>
      <c r="L260" s="48"/>
      <c r="M260" s="473"/>
      <c r="N260" s="473"/>
      <c r="O260" s="473"/>
      <c r="P260" s="473"/>
      <c r="Q260" s="473"/>
      <c r="R260" s="473"/>
      <c r="S260" s="473"/>
      <c r="T260" s="473"/>
      <c r="U260" s="473"/>
      <c r="V260" s="473"/>
      <c r="W260" s="473"/>
    </row>
    <row r="261" spans="1:23" ht="11.25" customHeight="1" x14ac:dyDescent="0.25">
      <c r="A261" s="407" t="str">
        <f>'Org structure'!E109</f>
        <v>8.10 - LOCAL ECONOMIC DEVELOPMENT</v>
      </c>
      <c r="B261" s="445"/>
      <c r="C261" s="394">
        <v>0</v>
      </c>
      <c r="D261" s="383">
        <v>-407856</v>
      </c>
      <c r="E261" s="384">
        <v>0</v>
      </c>
      <c r="F261" s="472">
        <v>0</v>
      </c>
      <c r="G261" s="384">
        <v>0</v>
      </c>
      <c r="H261" s="472">
        <f t="shared" si="73"/>
        <v>0</v>
      </c>
      <c r="I261" s="44">
        <f t="shared" si="57"/>
        <v>0</v>
      </c>
      <c r="J261" s="330" t="str">
        <f t="shared" si="58"/>
        <v/>
      </c>
      <c r="K261" s="395">
        <f t="shared" si="74"/>
        <v>0</v>
      </c>
      <c r="L261" s="48"/>
      <c r="M261" s="473"/>
      <c r="N261" s="473"/>
      <c r="O261" s="473"/>
      <c r="P261" s="473"/>
      <c r="Q261" s="473"/>
      <c r="R261" s="473"/>
      <c r="S261" s="473"/>
      <c r="T261" s="473"/>
      <c r="U261" s="473"/>
      <c r="V261" s="473"/>
      <c r="W261" s="473"/>
    </row>
    <row r="262" spans="1:23" ht="11.25" customHeight="1" x14ac:dyDescent="0.25">
      <c r="A262" s="466" t="str">
        <f>'Org structure'!A10</f>
        <v xml:space="preserve">Vote 9 - BUDGET AND TREASURY OFFICE </v>
      </c>
      <c r="B262" s="445"/>
      <c r="C262" s="503">
        <f t="shared" ref="C262:K262" si="75">SUM(C263:C272)</f>
        <v>1470263319.3800001</v>
      </c>
      <c r="D262" s="444">
        <f t="shared" si="75"/>
        <v>547788196.99999976</v>
      </c>
      <c r="E262" s="443">
        <f t="shared" si="75"/>
        <v>423957522.03999996</v>
      </c>
      <c r="F262" s="443">
        <f t="shared" si="75"/>
        <v>71388972.333333313</v>
      </c>
      <c r="G262" s="441">
        <f t="shared" si="75"/>
        <v>702064308.33333302</v>
      </c>
      <c r="H262" s="443">
        <f t="shared" si="75"/>
        <v>353297935.0333333</v>
      </c>
      <c r="I262" s="44">
        <f t="shared" ref="I262:I325" si="76">G262-H262</f>
        <v>348766373.29999971</v>
      </c>
      <c r="J262" s="330">
        <f t="shared" ref="J262:J325" si="77">IF(I262=0,"",I262/H262)</f>
        <v>0.98717354027867144</v>
      </c>
      <c r="K262" s="442">
        <f t="shared" si="75"/>
        <v>423957522.03999996</v>
      </c>
      <c r="L262" s="48"/>
      <c r="M262" s="473"/>
      <c r="N262" s="473"/>
      <c r="O262" s="473"/>
      <c r="P262" s="473"/>
      <c r="Q262" s="473"/>
      <c r="R262" s="473"/>
      <c r="S262" s="473"/>
      <c r="T262" s="473"/>
      <c r="U262" s="473"/>
      <c r="V262" s="473"/>
      <c r="W262" s="473"/>
    </row>
    <row r="263" spans="1:23" ht="11.25" customHeight="1" x14ac:dyDescent="0.25">
      <c r="A263" s="407" t="str">
        <f>'Org structure'!E111</f>
        <v>9.1 - BUDGET AND TREASURY OFFICE (ADMINISTRATION)</v>
      </c>
      <c r="B263" s="445"/>
      <c r="C263" s="394">
        <f>341994175.23+667435671.77</f>
        <v>1009429847</v>
      </c>
      <c r="D263" s="383">
        <v>36049884</v>
      </c>
      <c r="E263" s="384">
        <v>38036510</v>
      </c>
      <c r="F263" s="472">
        <v>2686568</v>
      </c>
      <c r="G263" s="384">
        <v>45282019</v>
      </c>
      <c r="H263" s="472">
        <f t="shared" ref="H263:H272" si="78">E263/12*10</f>
        <v>31697091.666666664</v>
      </c>
      <c r="I263" s="44">
        <f t="shared" si="76"/>
        <v>13584927.333333336</v>
      </c>
      <c r="J263" s="330">
        <f t="shared" si="77"/>
        <v>0.42858592441840759</v>
      </c>
      <c r="K263" s="395">
        <f t="shared" ref="K263:K272" si="79">E263</f>
        <v>38036510</v>
      </c>
      <c r="L263" s="48"/>
      <c r="M263" s="473"/>
      <c r="N263" s="473"/>
      <c r="O263" s="473"/>
      <c r="P263" s="473"/>
      <c r="Q263" s="473"/>
      <c r="R263" s="473"/>
      <c r="S263" s="473"/>
      <c r="T263" s="473"/>
      <c r="U263" s="473"/>
      <c r="V263" s="473"/>
      <c r="W263" s="473"/>
    </row>
    <row r="264" spans="1:23" ht="11.25" customHeight="1" x14ac:dyDescent="0.25">
      <c r="A264" s="407" t="str">
        <f>'Org structure'!E112</f>
        <v>9.2 - EXPENDITURE MANAGEMENT</v>
      </c>
      <c r="B264" s="445"/>
      <c r="C264" s="394"/>
      <c r="D264" s="383">
        <v>0</v>
      </c>
      <c r="E264" s="384">
        <v>136567485</v>
      </c>
      <c r="F264" s="472">
        <v>1771983</v>
      </c>
      <c r="G264" s="384">
        <v>17453666</v>
      </c>
      <c r="H264" s="472">
        <f t="shared" si="78"/>
        <v>113806237.5</v>
      </c>
      <c r="I264" s="44">
        <f t="shared" si="76"/>
        <v>-96352571.5</v>
      </c>
      <c r="J264" s="330">
        <f t="shared" si="77"/>
        <v>-0.84663700001504749</v>
      </c>
      <c r="K264" s="395">
        <f t="shared" si="79"/>
        <v>136567485</v>
      </c>
      <c r="L264" s="48"/>
      <c r="M264" s="473"/>
      <c r="N264" s="473"/>
      <c r="O264" s="473"/>
      <c r="P264" s="473"/>
      <c r="Q264" s="473"/>
      <c r="R264" s="473"/>
      <c r="S264" s="473"/>
      <c r="T264" s="473"/>
      <c r="U264" s="473"/>
      <c r="V264" s="473"/>
      <c r="W264" s="473"/>
    </row>
    <row r="265" spans="1:23" ht="11.25" customHeight="1" x14ac:dyDescent="0.25">
      <c r="A265" s="407" t="str">
        <f>'Org structure'!E113</f>
        <v>9.3 - REVENUE MANAGEMENTAND CUSTOMER CARE</v>
      </c>
      <c r="B265" s="445"/>
      <c r="C265" s="394">
        <v>84368196.269999981</v>
      </c>
      <c r="D265" s="383">
        <v>128980080</v>
      </c>
      <c r="E265" s="384">
        <v>107460851</v>
      </c>
      <c r="F265" s="472">
        <v>66930421.333333313</v>
      </c>
      <c r="G265" s="384">
        <v>639328623.33333302</v>
      </c>
      <c r="H265" s="472">
        <f t="shared" si="78"/>
        <v>89550709.166666657</v>
      </c>
      <c r="I265" s="44">
        <f t="shared" si="76"/>
        <v>549777914.16666639</v>
      </c>
      <c r="J265" s="330">
        <f t="shared" si="77"/>
        <v>6.1392915732632689</v>
      </c>
      <c r="K265" s="395">
        <f t="shared" si="79"/>
        <v>107460851</v>
      </c>
      <c r="L265" s="48"/>
      <c r="M265" s="473"/>
      <c r="N265" s="473"/>
      <c r="O265" s="473"/>
      <c r="P265" s="473"/>
      <c r="Q265" s="473"/>
      <c r="R265" s="473"/>
      <c r="S265" s="473"/>
      <c r="T265" s="473"/>
      <c r="U265" s="473"/>
      <c r="V265" s="473"/>
      <c r="W265" s="473"/>
    </row>
    <row r="266" spans="1:23" ht="11.25" customHeight="1" x14ac:dyDescent="0.25">
      <c r="A266" s="407" t="str">
        <f>'Org structure'!E114</f>
        <v>9.4 - SUPPLY CHAIN MANAGEMENT</v>
      </c>
      <c r="B266" s="445"/>
      <c r="C266" s="394">
        <v>376465276.11000013</v>
      </c>
      <c r="D266" s="383">
        <v>22561680</v>
      </c>
      <c r="E266" s="384">
        <v>18105052</v>
      </c>
      <c r="F266" s="472">
        <v>0</v>
      </c>
      <c r="G266" s="384">
        <v>0</v>
      </c>
      <c r="H266" s="472">
        <f t="shared" si="78"/>
        <v>15087543.333333332</v>
      </c>
      <c r="I266" s="44">
        <f t="shared" si="76"/>
        <v>-15087543.333333332</v>
      </c>
      <c r="J266" s="330">
        <f t="shared" si="77"/>
        <v>-1</v>
      </c>
      <c r="K266" s="395">
        <f t="shared" si="79"/>
        <v>18105052</v>
      </c>
      <c r="L266" s="48"/>
      <c r="M266" s="473"/>
      <c r="N266" s="473"/>
      <c r="O266" s="473"/>
      <c r="P266" s="473"/>
      <c r="Q266" s="473"/>
      <c r="R266" s="473"/>
      <c r="S266" s="473"/>
      <c r="T266" s="473"/>
      <c r="U266" s="473"/>
      <c r="V266" s="473"/>
      <c r="W266" s="473"/>
    </row>
    <row r="267" spans="1:23" ht="11.25" customHeight="1" x14ac:dyDescent="0.25">
      <c r="A267" s="407" t="str">
        <f>'Org structure'!E115</f>
        <v>9.5 - ASSETS MANAGEMENT</v>
      </c>
      <c r="B267" s="445"/>
      <c r="C267" s="394"/>
      <c r="D267" s="383">
        <v>59241984</v>
      </c>
      <c r="E267" s="384">
        <v>61841751.039999992</v>
      </c>
      <c r="F267" s="472">
        <v>0</v>
      </c>
      <c r="G267" s="384">
        <v>0</v>
      </c>
      <c r="H267" s="472">
        <f t="shared" si="78"/>
        <v>51534792.533333331</v>
      </c>
      <c r="I267" s="44">
        <f t="shared" si="76"/>
        <v>-51534792.533333331</v>
      </c>
      <c r="J267" s="330">
        <f t="shared" si="77"/>
        <v>-1</v>
      </c>
      <c r="K267" s="395">
        <f t="shared" si="79"/>
        <v>61841751.039999992</v>
      </c>
      <c r="L267" s="48"/>
      <c r="M267" s="473"/>
      <c r="N267" s="473"/>
      <c r="O267" s="473"/>
      <c r="P267" s="473"/>
      <c r="Q267" s="473"/>
      <c r="R267" s="473"/>
      <c r="S267" s="473"/>
      <c r="T267" s="473"/>
      <c r="U267" s="473"/>
      <c r="V267" s="473"/>
      <c r="W267" s="473"/>
    </row>
    <row r="268" spans="1:23" ht="11.25" customHeight="1" x14ac:dyDescent="0.25">
      <c r="A268" s="407" t="str">
        <f>'Org structure'!E116</f>
        <v>9.6 - BUDGET AND FINANCIAL REPORTING</v>
      </c>
      <c r="B268" s="445"/>
      <c r="C268" s="394"/>
      <c r="D268" s="383">
        <v>298131382.48668599</v>
      </c>
      <c r="E268" s="384">
        <v>60648162</v>
      </c>
      <c r="F268" s="472">
        <v>0</v>
      </c>
      <c r="G268" s="384">
        <v>0</v>
      </c>
      <c r="H268" s="472">
        <f t="shared" si="78"/>
        <v>50540135</v>
      </c>
      <c r="I268" s="44">
        <f t="shared" si="76"/>
        <v>-50540135</v>
      </c>
      <c r="J268" s="330">
        <f t="shared" si="77"/>
        <v>-1</v>
      </c>
      <c r="K268" s="395">
        <f t="shared" si="79"/>
        <v>60648162</v>
      </c>
      <c r="L268" s="48"/>
      <c r="M268" s="473"/>
      <c r="N268" s="473"/>
      <c r="O268" s="473"/>
      <c r="P268" s="473"/>
      <c r="Q268" s="473"/>
      <c r="R268" s="473"/>
      <c r="S268" s="473"/>
      <c r="T268" s="473"/>
      <c r="U268" s="473"/>
      <c r="V268" s="473"/>
      <c r="W268" s="473"/>
    </row>
    <row r="269" spans="1:23" ht="11.25" customHeight="1" x14ac:dyDescent="0.25">
      <c r="A269" s="407" t="str">
        <f>'Org structure'!E117</f>
        <v>9.7 - BUSINESS AND FINANCIAL PLANNING</v>
      </c>
      <c r="B269" s="445"/>
      <c r="C269" s="394"/>
      <c r="D269" s="383">
        <v>1308288</v>
      </c>
      <c r="E269" s="384">
        <v>1297711</v>
      </c>
      <c r="F269" s="472">
        <v>0</v>
      </c>
      <c r="G269" s="384">
        <v>0</v>
      </c>
      <c r="H269" s="472">
        <f t="shared" si="78"/>
        <v>1081425.8333333333</v>
      </c>
      <c r="I269" s="44">
        <f t="shared" si="76"/>
        <v>-1081425.8333333333</v>
      </c>
      <c r="J269" s="330">
        <f t="shared" si="77"/>
        <v>-1</v>
      </c>
      <c r="K269" s="395">
        <f t="shared" si="79"/>
        <v>1297711</v>
      </c>
      <c r="L269" s="48"/>
      <c r="M269" s="473"/>
      <c r="N269" s="473"/>
      <c r="O269" s="473"/>
      <c r="P269" s="473"/>
      <c r="Q269" s="473"/>
      <c r="R269" s="473"/>
      <c r="S269" s="473"/>
      <c r="T269" s="473"/>
      <c r="U269" s="473"/>
      <c r="V269" s="473"/>
      <c r="W269" s="473"/>
    </row>
    <row r="270" spans="1:23" ht="11.25" customHeight="1" x14ac:dyDescent="0.25">
      <c r="A270" s="407">
        <f>'Org structure'!E118</f>
        <v>0</v>
      </c>
      <c r="B270" s="445"/>
      <c r="C270" s="394"/>
      <c r="D270" s="383">
        <v>1514873.0000004801</v>
      </c>
      <c r="E270" s="384">
        <v>0</v>
      </c>
      <c r="F270" s="472">
        <v>0</v>
      </c>
      <c r="G270" s="384">
        <v>0</v>
      </c>
      <c r="H270" s="472">
        <f t="shared" si="78"/>
        <v>0</v>
      </c>
      <c r="I270" s="44">
        <f t="shared" si="76"/>
        <v>0</v>
      </c>
      <c r="J270" s="330" t="str">
        <f t="shared" si="77"/>
        <v/>
      </c>
      <c r="K270" s="395">
        <f t="shared" si="79"/>
        <v>0</v>
      </c>
      <c r="L270" s="48"/>
      <c r="M270" s="473"/>
      <c r="N270" s="473"/>
      <c r="O270" s="473"/>
      <c r="P270" s="473"/>
      <c r="Q270" s="473"/>
      <c r="R270" s="473"/>
      <c r="S270" s="473"/>
      <c r="T270" s="473"/>
      <c r="U270" s="473"/>
      <c r="V270" s="473"/>
      <c r="W270" s="473"/>
    </row>
    <row r="271" spans="1:23" ht="11.25" customHeight="1" x14ac:dyDescent="0.25">
      <c r="A271" s="407">
        <f>'Org structure'!E119</f>
        <v>0</v>
      </c>
      <c r="B271" s="445"/>
      <c r="C271" s="394"/>
      <c r="D271" s="383">
        <v>25.513313293457031</v>
      </c>
      <c r="E271" s="384">
        <v>0</v>
      </c>
      <c r="F271" s="472"/>
      <c r="G271" s="384"/>
      <c r="H271" s="472">
        <f t="shared" si="78"/>
        <v>0</v>
      </c>
      <c r="I271" s="44">
        <f t="shared" si="76"/>
        <v>0</v>
      </c>
      <c r="J271" s="330" t="str">
        <f t="shared" si="77"/>
        <v/>
      </c>
      <c r="K271" s="395">
        <f t="shared" si="79"/>
        <v>0</v>
      </c>
      <c r="L271" s="48"/>
      <c r="M271" s="473"/>
      <c r="N271" s="473"/>
      <c r="O271" s="473"/>
      <c r="P271" s="473"/>
      <c r="Q271" s="473"/>
      <c r="R271" s="473"/>
      <c r="S271" s="473"/>
      <c r="T271" s="473"/>
      <c r="U271" s="473"/>
      <c r="V271" s="473"/>
      <c r="W271" s="473"/>
    </row>
    <row r="272" spans="1:23" ht="11.25" customHeight="1" x14ac:dyDescent="0.25">
      <c r="A272" s="407">
        <f>'Org structure'!E120</f>
        <v>0</v>
      </c>
      <c r="B272" s="445"/>
      <c r="C272" s="394"/>
      <c r="D272" s="383">
        <v>0</v>
      </c>
      <c r="E272" s="384">
        <v>0</v>
      </c>
      <c r="F272" s="472">
        <v>0</v>
      </c>
      <c r="G272" s="384">
        <v>0</v>
      </c>
      <c r="H272" s="472">
        <f t="shared" si="78"/>
        <v>0</v>
      </c>
      <c r="I272" s="44">
        <f t="shared" si="76"/>
        <v>0</v>
      </c>
      <c r="J272" s="330" t="str">
        <f t="shared" si="77"/>
        <v/>
      </c>
      <c r="K272" s="395">
        <f t="shared" si="79"/>
        <v>0</v>
      </c>
      <c r="L272" s="48"/>
      <c r="M272" s="473"/>
      <c r="N272" s="473"/>
      <c r="O272" s="473"/>
      <c r="P272" s="473"/>
      <c r="Q272" s="473"/>
      <c r="R272" s="473"/>
      <c r="S272" s="473"/>
      <c r="T272" s="473"/>
      <c r="U272" s="473"/>
      <c r="V272" s="473"/>
      <c r="W272" s="473"/>
    </row>
    <row r="273" spans="1:23" ht="11.25" customHeight="1" x14ac:dyDescent="0.25">
      <c r="A273" s="466" t="str">
        <f>'Org structure'!A11</f>
        <v>Vote 10 - TRANSPORT SERVICES</v>
      </c>
      <c r="B273" s="445"/>
      <c r="C273" s="503">
        <f t="shared" ref="C273:K273" si="80">SUM(C274:C283)</f>
        <v>149234445.17000008</v>
      </c>
      <c r="D273" s="444">
        <f t="shared" si="80"/>
        <v>230522497.19999999</v>
      </c>
      <c r="E273" s="443">
        <f t="shared" si="80"/>
        <v>315970453</v>
      </c>
      <c r="F273" s="443">
        <f t="shared" si="80"/>
        <v>22373996</v>
      </c>
      <c r="G273" s="441">
        <f t="shared" si="80"/>
        <v>125587680</v>
      </c>
      <c r="H273" s="443">
        <f t="shared" si="80"/>
        <v>263308710.83333334</v>
      </c>
      <c r="I273" s="44">
        <f t="shared" si="76"/>
        <v>-137721030.83333334</v>
      </c>
      <c r="J273" s="330">
        <f t="shared" si="77"/>
        <v>-0.52304016223947369</v>
      </c>
      <c r="K273" s="442">
        <f t="shared" si="80"/>
        <v>315970453</v>
      </c>
      <c r="L273" s="48"/>
      <c r="M273" s="473"/>
      <c r="N273" s="473"/>
      <c r="O273" s="473"/>
      <c r="P273" s="473"/>
      <c r="Q273" s="473"/>
      <c r="R273" s="473"/>
      <c r="S273" s="473"/>
      <c r="T273" s="473"/>
      <c r="U273" s="473"/>
      <c r="V273" s="473"/>
      <c r="W273" s="473"/>
    </row>
    <row r="274" spans="1:23" ht="11.25" customHeight="1" x14ac:dyDescent="0.25">
      <c r="A274" s="407" t="str">
        <f>'Org structure'!E122</f>
        <v>10.1 - TRANSPORT SERVICES</v>
      </c>
      <c r="B274" s="445"/>
      <c r="C274" s="394">
        <v>149234445.17000008</v>
      </c>
      <c r="D274" s="383">
        <v>56055972</v>
      </c>
      <c r="E274" s="384">
        <v>83111813</v>
      </c>
      <c r="F274" s="472">
        <v>7064792</v>
      </c>
      <c r="G274" s="384">
        <v>41634994</v>
      </c>
      <c r="H274" s="472">
        <f t="shared" ref="H274:H283" si="81">E274/12*10</f>
        <v>69259844.166666672</v>
      </c>
      <c r="I274" s="44">
        <f t="shared" si="76"/>
        <v>-27624850.166666672</v>
      </c>
      <c r="J274" s="330">
        <f t="shared" si="77"/>
        <v>-0.39885810456330684</v>
      </c>
      <c r="K274" s="395">
        <f>E274</f>
        <v>83111813</v>
      </c>
      <c r="L274" s="48"/>
      <c r="M274" s="473"/>
      <c r="N274" s="473"/>
      <c r="O274" s="473"/>
      <c r="P274" s="473"/>
      <c r="Q274" s="473"/>
      <c r="R274" s="473"/>
      <c r="S274" s="473"/>
      <c r="T274" s="473"/>
      <c r="U274" s="473"/>
      <c r="V274" s="473"/>
      <c r="W274" s="473"/>
    </row>
    <row r="275" spans="1:23" ht="11.25" customHeight="1" x14ac:dyDescent="0.25">
      <c r="A275" s="407" t="str">
        <f>'Org structure'!E123</f>
        <v>10.2 - TRANSPORT SERVICES (PLANNING AND OPERATIONS)</v>
      </c>
      <c r="B275" s="445"/>
      <c r="C275" s="394"/>
      <c r="D275" s="383">
        <v>45414552</v>
      </c>
      <c r="E275" s="384">
        <v>1582290</v>
      </c>
      <c r="F275" s="472">
        <v>0</v>
      </c>
      <c r="G275" s="384">
        <v>0</v>
      </c>
      <c r="H275" s="472">
        <f t="shared" si="81"/>
        <v>1318575</v>
      </c>
      <c r="I275" s="44">
        <f t="shared" si="76"/>
        <v>-1318575</v>
      </c>
      <c r="J275" s="330">
        <f t="shared" si="77"/>
        <v>-1</v>
      </c>
      <c r="K275" s="395">
        <f t="shared" ref="K275:K283" si="82">E275</f>
        <v>1582290</v>
      </c>
      <c r="L275" s="48"/>
      <c r="M275" s="473"/>
      <c r="N275" s="473"/>
      <c r="O275" s="473"/>
      <c r="P275" s="473"/>
      <c r="Q275" s="473"/>
      <c r="R275" s="473"/>
      <c r="S275" s="473"/>
      <c r="T275" s="473"/>
      <c r="U275" s="473"/>
      <c r="V275" s="473"/>
      <c r="W275" s="473"/>
    </row>
    <row r="276" spans="1:23" ht="11.25" customHeight="1" x14ac:dyDescent="0.25">
      <c r="A276" s="407" t="str">
        <f>'Org structure'!E124</f>
        <v xml:space="preserve">10.3 - TRANSPORT SERVICES(INTELLIGENT TRANSPORT SYSTEM MODELLING) </v>
      </c>
      <c r="B276" s="445"/>
      <c r="C276" s="394"/>
      <c r="D276" s="383">
        <v>1700088</v>
      </c>
      <c r="E276" s="384">
        <v>817110</v>
      </c>
      <c r="F276" s="472">
        <v>0</v>
      </c>
      <c r="G276" s="384">
        <v>0</v>
      </c>
      <c r="H276" s="472">
        <f t="shared" si="81"/>
        <v>680925</v>
      </c>
      <c r="I276" s="44">
        <f t="shared" si="76"/>
        <v>-680925</v>
      </c>
      <c r="J276" s="330">
        <f t="shared" si="77"/>
        <v>-1</v>
      </c>
      <c r="K276" s="395">
        <f t="shared" si="82"/>
        <v>817110</v>
      </c>
      <c r="L276" s="48"/>
      <c r="M276" s="473"/>
      <c r="N276" s="473"/>
      <c r="O276" s="473"/>
      <c r="P276" s="473"/>
      <c r="Q276" s="473"/>
      <c r="R276" s="473"/>
      <c r="S276" s="473"/>
      <c r="T276" s="473"/>
      <c r="U276" s="473"/>
      <c r="V276" s="473"/>
      <c r="W276" s="473"/>
    </row>
    <row r="277" spans="1:23" ht="11.25" customHeight="1" x14ac:dyDescent="0.25">
      <c r="A277" s="407" t="str">
        <f>'Org structure'!E125</f>
        <v>10.4 - TRANSPORT SERVICES (PUBLIC TRANSPORT REGULATION AND MONITIRING)</v>
      </c>
      <c r="B277" s="445"/>
      <c r="C277" s="394"/>
      <c r="D277" s="383">
        <v>928116</v>
      </c>
      <c r="E277" s="384">
        <v>23145388</v>
      </c>
      <c r="F277" s="472">
        <v>0</v>
      </c>
      <c r="G277" s="384">
        <v>0</v>
      </c>
      <c r="H277" s="472">
        <f t="shared" si="81"/>
        <v>19287823.333333332</v>
      </c>
      <c r="I277" s="44">
        <f t="shared" si="76"/>
        <v>-19287823.333333332</v>
      </c>
      <c r="J277" s="330">
        <f t="shared" si="77"/>
        <v>-1</v>
      </c>
      <c r="K277" s="395">
        <f t="shared" si="82"/>
        <v>23145388</v>
      </c>
      <c r="L277" s="48"/>
      <c r="M277" s="473"/>
      <c r="N277" s="473"/>
      <c r="O277" s="473"/>
      <c r="P277" s="473"/>
      <c r="Q277" s="473"/>
      <c r="R277" s="473"/>
      <c r="S277" s="473"/>
      <c r="T277" s="473"/>
      <c r="U277" s="473"/>
      <c r="V277" s="473"/>
      <c r="W277" s="473"/>
    </row>
    <row r="278" spans="1:23" ht="11.25" customHeight="1" x14ac:dyDescent="0.25">
      <c r="A278" s="407" t="str">
        <f>'Org structure'!E126</f>
        <v>10.5 - ROADS AND STORMWATER (ADMINISTRATION)</v>
      </c>
      <c r="B278" s="445"/>
      <c r="C278" s="394"/>
      <c r="D278" s="383">
        <v>2674584</v>
      </c>
      <c r="E278" s="384">
        <v>1849167</v>
      </c>
      <c r="F278" s="472">
        <v>0</v>
      </c>
      <c r="G278" s="384">
        <v>0</v>
      </c>
      <c r="H278" s="472">
        <f t="shared" si="81"/>
        <v>1540972.5</v>
      </c>
      <c r="I278" s="44">
        <f t="shared" si="76"/>
        <v>-1540972.5</v>
      </c>
      <c r="J278" s="330">
        <f t="shared" si="77"/>
        <v>-1</v>
      </c>
      <c r="K278" s="395">
        <f t="shared" si="82"/>
        <v>1849167</v>
      </c>
      <c r="L278" s="48"/>
      <c r="M278" s="473"/>
      <c r="N278" s="473"/>
      <c r="O278" s="473"/>
      <c r="P278" s="473"/>
      <c r="Q278" s="473"/>
      <c r="R278" s="473"/>
      <c r="S278" s="473"/>
      <c r="T278" s="473"/>
      <c r="U278" s="473"/>
      <c r="V278" s="473"/>
      <c r="W278" s="473"/>
    </row>
    <row r="279" spans="1:23" ht="11.25" customHeight="1" x14ac:dyDescent="0.25">
      <c r="A279" s="407" t="str">
        <f>'Org structure'!E127</f>
        <v xml:space="preserve">10.6 - STORM WATER MANAGEMENT AND TRAFFIC ENGINEERING  </v>
      </c>
      <c r="B279" s="445"/>
      <c r="C279" s="394"/>
      <c r="D279" s="383">
        <v>3031680</v>
      </c>
      <c r="E279" s="384">
        <v>56350</v>
      </c>
      <c r="F279" s="472">
        <v>0</v>
      </c>
      <c r="G279" s="384">
        <v>0</v>
      </c>
      <c r="H279" s="472">
        <f t="shared" si="81"/>
        <v>46958.333333333328</v>
      </c>
      <c r="I279" s="44">
        <f t="shared" si="76"/>
        <v>-46958.333333333328</v>
      </c>
      <c r="J279" s="330">
        <f t="shared" si="77"/>
        <v>-1</v>
      </c>
      <c r="K279" s="395">
        <f t="shared" si="82"/>
        <v>56350</v>
      </c>
      <c r="L279" s="48"/>
      <c r="M279" s="473"/>
      <c r="N279" s="473"/>
      <c r="O279" s="473"/>
      <c r="P279" s="473"/>
      <c r="Q279" s="473"/>
      <c r="R279" s="473"/>
      <c r="S279" s="473"/>
      <c r="T279" s="473"/>
      <c r="U279" s="473"/>
      <c r="V279" s="473"/>
      <c r="W279" s="473"/>
    </row>
    <row r="280" spans="1:23" ht="11.25" customHeight="1" x14ac:dyDescent="0.25">
      <c r="A280" s="407" t="str">
        <f>'Org structure'!E128</f>
        <v>10.7 - ROADS AND STORMWATER (ROADS AND STREETS)</v>
      </c>
      <c r="B280" s="445"/>
      <c r="C280" s="394"/>
      <c r="D280" s="383">
        <v>229188</v>
      </c>
      <c r="E280" s="384">
        <v>66230972</v>
      </c>
      <c r="F280" s="472">
        <v>0</v>
      </c>
      <c r="G280" s="384">
        <v>0</v>
      </c>
      <c r="H280" s="472">
        <f t="shared" si="81"/>
        <v>55192476.666666672</v>
      </c>
      <c r="I280" s="44">
        <f t="shared" si="76"/>
        <v>-55192476.666666672</v>
      </c>
      <c r="J280" s="330">
        <f t="shared" si="77"/>
        <v>-1</v>
      </c>
      <c r="K280" s="395">
        <f t="shared" si="82"/>
        <v>66230972</v>
      </c>
      <c r="L280" s="48"/>
      <c r="M280" s="473"/>
      <c r="N280" s="473"/>
      <c r="O280" s="473"/>
      <c r="P280" s="473"/>
      <c r="Q280" s="473"/>
      <c r="R280" s="473"/>
      <c r="S280" s="473"/>
      <c r="T280" s="473"/>
      <c r="U280" s="473"/>
      <c r="V280" s="473"/>
      <c r="W280" s="473"/>
    </row>
    <row r="281" spans="1:23" ht="11.25" customHeight="1" x14ac:dyDescent="0.25">
      <c r="A281" s="407" t="str">
        <f>'Org structure'!E129</f>
        <v>10.8 - ROADS AND STORMWATER (STORMWATER)</v>
      </c>
      <c r="B281" s="445"/>
      <c r="C281" s="394"/>
      <c r="D281" s="383">
        <v>0</v>
      </c>
      <c r="E281" s="384">
        <v>139177363</v>
      </c>
      <c r="F281" s="472">
        <v>15309204</v>
      </c>
      <c r="G281" s="384">
        <v>83952686</v>
      </c>
      <c r="H281" s="472">
        <f t="shared" si="81"/>
        <v>115981135.83333334</v>
      </c>
      <c r="I281" s="44">
        <f t="shared" si="76"/>
        <v>-32028449.833333343</v>
      </c>
      <c r="J281" s="330">
        <f t="shared" si="77"/>
        <v>-0.27615223461303839</v>
      </c>
      <c r="K281" s="395">
        <f t="shared" si="82"/>
        <v>139177363</v>
      </c>
      <c r="L281" s="48"/>
      <c r="M281" s="473"/>
      <c r="N281" s="473"/>
      <c r="O281" s="473"/>
      <c r="P281" s="473"/>
      <c r="Q281" s="473"/>
      <c r="R281" s="473"/>
      <c r="S281" s="473"/>
      <c r="T281" s="473"/>
      <c r="U281" s="473"/>
      <c r="V281" s="473"/>
      <c r="W281" s="473"/>
    </row>
    <row r="282" spans="1:23" ht="11.25" customHeight="1" x14ac:dyDescent="0.25">
      <c r="A282" s="407">
        <f>'Org structure'!E130</f>
        <v>0</v>
      </c>
      <c r="B282" s="445"/>
      <c r="C282" s="394"/>
      <c r="D282" s="383">
        <v>118803907.2</v>
      </c>
      <c r="E282" s="384">
        <v>0</v>
      </c>
      <c r="F282" s="472">
        <v>0</v>
      </c>
      <c r="G282" s="384">
        <v>0</v>
      </c>
      <c r="H282" s="472">
        <f t="shared" si="81"/>
        <v>0</v>
      </c>
      <c r="I282" s="44">
        <f t="shared" si="76"/>
        <v>0</v>
      </c>
      <c r="J282" s="330" t="str">
        <f t="shared" si="77"/>
        <v/>
      </c>
      <c r="K282" s="395">
        <f t="shared" si="82"/>
        <v>0</v>
      </c>
      <c r="L282" s="48"/>
      <c r="M282" s="473"/>
      <c r="N282" s="473"/>
      <c r="O282" s="473"/>
      <c r="P282" s="473"/>
      <c r="Q282" s="473"/>
      <c r="R282" s="473"/>
      <c r="S282" s="473"/>
      <c r="T282" s="473"/>
      <c r="U282" s="473"/>
      <c r="V282" s="473"/>
      <c r="W282" s="473"/>
    </row>
    <row r="283" spans="1:23" ht="11.25" customHeight="1" x14ac:dyDescent="0.25">
      <c r="A283" s="407">
        <f>'Org structure'!E131</f>
        <v>0</v>
      </c>
      <c r="B283" s="445"/>
      <c r="C283" s="394"/>
      <c r="D283" s="383">
        <v>1684410</v>
      </c>
      <c r="E283" s="384">
        <v>0</v>
      </c>
      <c r="F283" s="472">
        <v>0</v>
      </c>
      <c r="G283" s="384">
        <v>0</v>
      </c>
      <c r="H283" s="472">
        <f t="shared" si="81"/>
        <v>0</v>
      </c>
      <c r="I283" s="44">
        <f t="shared" si="76"/>
        <v>0</v>
      </c>
      <c r="J283" s="330" t="str">
        <f t="shared" si="77"/>
        <v/>
      </c>
      <c r="K283" s="395">
        <f t="shared" si="82"/>
        <v>0</v>
      </c>
      <c r="L283" s="48"/>
      <c r="M283" s="473"/>
      <c r="N283" s="473"/>
      <c r="O283" s="473"/>
      <c r="P283" s="473"/>
      <c r="Q283" s="473"/>
      <c r="R283" s="473"/>
      <c r="S283" s="473"/>
      <c r="T283" s="473"/>
      <c r="U283" s="473"/>
      <c r="V283" s="473"/>
      <c r="W283" s="473"/>
    </row>
    <row r="284" spans="1:23" ht="11.25" customHeight="1" x14ac:dyDescent="0.25">
      <c r="A284" s="466" t="str">
        <f>'Org structure'!A12</f>
        <v>Vote 11 - HUMAN SETTLEMENT</v>
      </c>
      <c r="B284" s="445"/>
      <c r="C284" s="503">
        <f t="shared" ref="C284:K284" si="83">SUM(C285:C294)</f>
        <v>1727753.8800000004</v>
      </c>
      <c r="D284" s="441">
        <f t="shared" si="83"/>
        <v>13292036</v>
      </c>
      <c r="E284" s="441">
        <f t="shared" si="83"/>
        <v>11656248</v>
      </c>
      <c r="F284" s="441">
        <f t="shared" si="83"/>
        <v>805105</v>
      </c>
      <c r="G284" s="441">
        <f t="shared" si="83"/>
        <v>8203783</v>
      </c>
      <c r="H284" s="441">
        <f t="shared" si="83"/>
        <v>9713540</v>
      </c>
      <c r="I284" s="44">
        <f t="shared" si="76"/>
        <v>-1509757</v>
      </c>
      <c r="J284" s="330">
        <f t="shared" si="77"/>
        <v>-0.15542809315656289</v>
      </c>
      <c r="K284" s="442">
        <f t="shared" si="83"/>
        <v>11656248</v>
      </c>
      <c r="L284" s="48"/>
      <c r="M284" s="473"/>
      <c r="N284" s="473"/>
      <c r="O284" s="473"/>
      <c r="P284" s="473"/>
      <c r="Q284" s="473"/>
      <c r="R284" s="473"/>
      <c r="S284" s="473"/>
      <c r="T284" s="473"/>
      <c r="U284" s="473"/>
      <c r="V284" s="473"/>
      <c r="W284" s="473"/>
    </row>
    <row r="285" spans="1:23" ht="11.25" customHeight="1" x14ac:dyDescent="0.25">
      <c r="A285" s="407" t="str">
        <f>'Org structure'!E133</f>
        <v>11.1 - HUMAN SETTLEMENT</v>
      </c>
      <c r="B285" s="445"/>
      <c r="C285" s="394">
        <v>1727753.8800000004</v>
      </c>
      <c r="D285" s="383">
        <v>3803880</v>
      </c>
      <c r="E285" s="384">
        <v>88917</v>
      </c>
      <c r="F285" s="384">
        <v>0</v>
      </c>
      <c r="G285" s="384">
        <v>0</v>
      </c>
      <c r="H285" s="384">
        <f t="shared" ref="H285:H294" si="84">E285/12*10</f>
        <v>74097.5</v>
      </c>
      <c r="I285" s="44">
        <f t="shared" si="76"/>
        <v>-74097.5</v>
      </c>
      <c r="J285" s="330">
        <f t="shared" si="77"/>
        <v>-1</v>
      </c>
      <c r="K285" s="395">
        <f>E285</f>
        <v>88917</v>
      </c>
      <c r="L285" s="48"/>
      <c r="M285" s="473"/>
      <c r="N285" s="473"/>
      <c r="O285" s="473"/>
      <c r="P285" s="473"/>
      <c r="Q285" s="473"/>
      <c r="R285" s="473"/>
      <c r="S285" s="473"/>
      <c r="T285" s="473"/>
      <c r="U285" s="473"/>
      <c r="V285" s="473"/>
      <c r="W285" s="473"/>
    </row>
    <row r="286" spans="1:23" ht="11.25" customHeight="1" x14ac:dyDescent="0.25">
      <c r="A286" s="407" t="str">
        <f>'Org structure'!E134</f>
        <v>11.2 - HUMAN SETTLEMENT - HOUSING ADMINISTRATION</v>
      </c>
      <c r="B286" s="445"/>
      <c r="C286" s="394"/>
      <c r="D286" s="383">
        <v>5521404</v>
      </c>
      <c r="E286" s="384">
        <v>2102297</v>
      </c>
      <c r="F286" s="384">
        <v>805105</v>
      </c>
      <c r="G286" s="384">
        <v>8203783</v>
      </c>
      <c r="H286" s="384">
        <f t="shared" si="84"/>
        <v>1751914.1666666665</v>
      </c>
      <c r="I286" s="44">
        <f t="shared" si="76"/>
        <v>6451868.833333334</v>
      </c>
      <c r="J286" s="330">
        <f t="shared" si="77"/>
        <v>3.6827539591218565</v>
      </c>
      <c r="K286" s="395">
        <f t="shared" ref="K286:K288" si="85">E286</f>
        <v>2102297</v>
      </c>
      <c r="L286" s="48"/>
      <c r="M286" s="473"/>
      <c r="N286" s="473"/>
      <c r="O286" s="473"/>
      <c r="P286" s="473"/>
      <c r="Q286" s="473"/>
      <c r="R286" s="473"/>
      <c r="S286" s="473"/>
      <c r="T286" s="473"/>
      <c r="U286" s="473"/>
      <c r="V286" s="473"/>
      <c r="W286" s="473"/>
    </row>
    <row r="287" spans="1:23" ht="11.25" customHeight="1" x14ac:dyDescent="0.25">
      <c r="A287" s="407" t="str">
        <f>'Org structure'!E135</f>
        <v>11.3 - HUMAN SETTLEMENT RENTAL HOUSING AND PROGRAMME IMPLEMANTATION</v>
      </c>
      <c r="B287" s="445"/>
      <c r="C287" s="394"/>
      <c r="D287" s="383">
        <v>3984912</v>
      </c>
      <c r="E287" s="384">
        <v>9465034</v>
      </c>
      <c r="F287" s="384">
        <v>0</v>
      </c>
      <c r="G287" s="384">
        <v>0</v>
      </c>
      <c r="H287" s="384">
        <f t="shared" si="84"/>
        <v>7887528.333333334</v>
      </c>
      <c r="I287" s="44">
        <f t="shared" si="76"/>
        <v>-7887528.333333334</v>
      </c>
      <c r="J287" s="330">
        <f t="shared" si="77"/>
        <v>-1</v>
      </c>
      <c r="K287" s="395">
        <f t="shared" si="85"/>
        <v>9465034</v>
      </c>
      <c r="L287" s="48"/>
      <c r="M287" s="473"/>
      <c r="N287" s="473"/>
      <c r="O287" s="473"/>
      <c r="P287" s="473"/>
      <c r="Q287" s="473"/>
      <c r="R287" s="473"/>
      <c r="S287" s="473"/>
      <c r="T287" s="473"/>
      <c r="U287" s="473"/>
      <c r="V287" s="473"/>
      <c r="W287" s="473"/>
    </row>
    <row r="288" spans="1:23" ht="11.25" customHeight="1" x14ac:dyDescent="0.25">
      <c r="A288" s="407">
        <f>'Org structure'!E136</f>
        <v>0</v>
      </c>
      <c r="B288" s="445"/>
      <c r="C288" s="394"/>
      <c r="D288" s="383">
        <v>-18160</v>
      </c>
      <c r="E288" s="384">
        <v>0</v>
      </c>
      <c r="F288" s="384">
        <v>0</v>
      </c>
      <c r="G288" s="384">
        <v>0</v>
      </c>
      <c r="H288" s="1004">
        <f t="shared" si="84"/>
        <v>0</v>
      </c>
      <c r="I288" s="44">
        <f t="shared" si="76"/>
        <v>0</v>
      </c>
      <c r="J288" s="330" t="str">
        <f t="shared" si="77"/>
        <v/>
      </c>
      <c r="K288" s="395">
        <f t="shared" si="85"/>
        <v>0</v>
      </c>
      <c r="L288" s="48"/>
      <c r="M288" s="473"/>
      <c r="N288" s="473"/>
      <c r="O288" s="473"/>
      <c r="P288" s="473"/>
      <c r="Q288" s="473"/>
      <c r="R288" s="473"/>
      <c r="S288" s="473"/>
      <c r="T288" s="473"/>
      <c r="U288" s="473"/>
      <c r="V288" s="473"/>
      <c r="W288" s="473"/>
    </row>
    <row r="289" spans="1:23" ht="11.25" customHeight="1" x14ac:dyDescent="0.25">
      <c r="A289" s="407">
        <f>'Org structure'!E137</f>
        <v>0</v>
      </c>
      <c r="B289" s="445"/>
      <c r="C289" s="394">
        <v>0</v>
      </c>
      <c r="D289" s="383">
        <v>0</v>
      </c>
      <c r="E289" s="384">
        <v>0</v>
      </c>
      <c r="F289" s="384">
        <v>0</v>
      </c>
      <c r="G289" s="384">
        <v>0</v>
      </c>
      <c r="H289" s="384">
        <f t="shared" si="84"/>
        <v>0</v>
      </c>
      <c r="I289" s="44">
        <f t="shared" si="76"/>
        <v>0</v>
      </c>
      <c r="J289" s="330" t="str">
        <f t="shared" si="77"/>
        <v/>
      </c>
      <c r="K289" s="395">
        <v>0</v>
      </c>
      <c r="L289" s="48"/>
      <c r="M289" s="473"/>
      <c r="N289" s="473"/>
      <c r="O289" s="473"/>
      <c r="P289" s="473"/>
      <c r="Q289" s="473"/>
      <c r="R289" s="473"/>
      <c r="S289" s="473"/>
      <c r="T289" s="473"/>
      <c r="U289" s="473"/>
      <c r="V289" s="473"/>
      <c r="W289" s="473"/>
    </row>
    <row r="290" spans="1:23" ht="11.25" customHeight="1" x14ac:dyDescent="0.25">
      <c r="A290" s="407">
        <f>'Org structure'!E138</f>
        <v>0</v>
      </c>
      <c r="B290" s="445"/>
      <c r="C290" s="394">
        <v>0</v>
      </c>
      <c r="D290" s="383">
        <v>0</v>
      </c>
      <c r="E290" s="384">
        <v>0</v>
      </c>
      <c r="F290" s="384">
        <v>0</v>
      </c>
      <c r="G290" s="384">
        <v>0</v>
      </c>
      <c r="H290" s="384">
        <f t="shared" si="84"/>
        <v>0</v>
      </c>
      <c r="I290" s="44">
        <f t="shared" si="76"/>
        <v>0</v>
      </c>
      <c r="J290" s="330" t="str">
        <f t="shared" si="77"/>
        <v/>
      </c>
      <c r="K290" s="395">
        <v>0</v>
      </c>
      <c r="L290" s="48"/>
      <c r="M290" s="473"/>
      <c r="N290" s="473"/>
      <c r="O290" s="473"/>
      <c r="P290" s="473"/>
      <c r="Q290" s="473"/>
      <c r="R290" s="473"/>
      <c r="S290" s="473"/>
      <c r="T290" s="473"/>
      <c r="U290" s="473"/>
      <c r="V290" s="473"/>
      <c r="W290" s="473"/>
    </row>
    <row r="291" spans="1:23" ht="11.25" customHeight="1" x14ac:dyDescent="0.25">
      <c r="A291" s="407">
        <f>'Org structure'!E139</f>
        <v>0</v>
      </c>
      <c r="B291" s="445"/>
      <c r="C291" s="394">
        <v>0</v>
      </c>
      <c r="D291" s="383">
        <v>0</v>
      </c>
      <c r="E291" s="384">
        <v>0</v>
      </c>
      <c r="F291" s="384">
        <v>0</v>
      </c>
      <c r="G291" s="384">
        <v>0</v>
      </c>
      <c r="H291" s="384">
        <f t="shared" si="84"/>
        <v>0</v>
      </c>
      <c r="I291" s="44">
        <f t="shared" si="76"/>
        <v>0</v>
      </c>
      <c r="J291" s="330" t="str">
        <f t="shared" si="77"/>
        <v/>
      </c>
      <c r="K291" s="395">
        <v>0</v>
      </c>
      <c r="L291" s="48"/>
      <c r="M291" s="473"/>
      <c r="N291" s="473"/>
      <c r="O291" s="473"/>
      <c r="P291" s="473"/>
      <c r="Q291" s="473"/>
      <c r="R291" s="473"/>
      <c r="S291" s="473"/>
      <c r="T291" s="473"/>
      <c r="U291" s="473"/>
      <c r="V291" s="473"/>
      <c r="W291" s="473"/>
    </row>
    <row r="292" spans="1:23" ht="11.25" customHeight="1" x14ac:dyDescent="0.25">
      <c r="A292" s="407">
        <f>'Org structure'!E140</f>
        <v>0</v>
      </c>
      <c r="B292" s="445"/>
      <c r="C292" s="394">
        <v>0</v>
      </c>
      <c r="D292" s="383">
        <v>0</v>
      </c>
      <c r="E292" s="384">
        <v>0</v>
      </c>
      <c r="F292" s="384">
        <v>0</v>
      </c>
      <c r="G292" s="384">
        <v>0</v>
      </c>
      <c r="H292" s="384">
        <f t="shared" si="84"/>
        <v>0</v>
      </c>
      <c r="I292" s="44">
        <f t="shared" si="76"/>
        <v>0</v>
      </c>
      <c r="J292" s="330" t="str">
        <f t="shared" si="77"/>
        <v/>
      </c>
      <c r="K292" s="395">
        <v>0</v>
      </c>
      <c r="L292" s="48"/>
      <c r="M292" s="473"/>
      <c r="N292" s="473"/>
      <c r="O292" s="473"/>
      <c r="P292" s="473"/>
      <c r="Q292" s="473"/>
      <c r="R292" s="473"/>
      <c r="S292" s="473"/>
      <c r="T292" s="473"/>
      <c r="U292" s="473"/>
      <c r="V292" s="473"/>
      <c r="W292" s="473"/>
    </row>
    <row r="293" spans="1:23" ht="11.25" customHeight="1" x14ac:dyDescent="0.25">
      <c r="A293" s="407">
        <f>'Org structure'!E141</f>
        <v>0</v>
      </c>
      <c r="B293" s="445"/>
      <c r="C293" s="394">
        <v>0</v>
      </c>
      <c r="D293" s="383">
        <v>0</v>
      </c>
      <c r="E293" s="384">
        <v>0</v>
      </c>
      <c r="F293" s="384">
        <v>0</v>
      </c>
      <c r="G293" s="384">
        <v>0</v>
      </c>
      <c r="H293" s="384">
        <f t="shared" si="84"/>
        <v>0</v>
      </c>
      <c r="I293" s="44">
        <f t="shared" si="76"/>
        <v>0</v>
      </c>
      <c r="J293" s="330" t="str">
        <f t="shared" si="77"/>
        <v/>
      </c>
      <c r="K293" s="395">
        <v>0</v>
      </c>
      <c r="L293" s="48"/>
      <c r="M293" s="473"/>
      <c r="N293" s="473"/>
      <c r="O293" s="473"/>
      <c r="P293" s="473"/>
      <c r="Q293" s="473"/>
      <c r="R293" s="473"/>
      <c r="S293" s="473"/>
      <c r="T293" s="473"/>
      <c r="U293" s="473"/>
      <c r="V293" s="473"/>
      <c r="W293" s="473"/>
    </row>
    <row r="294" spans="1:23" ht="11.25" customHeight="1" x14ac:dyDescent="0.25">
      <c r="A294" s="407">
        <f>'Org structure'!E142</f>
        <v>0</v>
      </c>
      <c r="B294" s="445"/>
      <c r="C294" s="394"/>
      <c r="D294" s="383">
        <v>0</v>
      </c>
      <c r="E294" s="384">
        <v>0</v>
      </c>
      <c r="F294" s="384">
        <v>0</v>
      </c>
      <c r="G294" s="384">
        <v>0</v>
      </c>
      <c r="H294" s="384">
        <f t="shared" si="84"/>
        <v>0</v>
      </c>
      <c r="I294" s="44">
        <f t="shared" si="76"/>
        <v>0</v>
      </c>
      <c r="J294" s="330" t="str">
        <f t="shared" si="77"/>
        <v/>
      </c>
      <c r="K294" s="395">
        <v>0</v>
      </c>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86">SUM(C296:C305)</f>
        <v>0</v>
      </c>
      <c r="D295" s="444">
        <f t="shared" si="86"/>
        <v>0</v>
      </c>
      <c r="E295" s="441">
        <f t="shared" si="86"/>
        <v>0</v>
      </c>
      <c r="F295" s="443">
        <f t="shared" si="86"/>
        <v>0</v>
      </c>
      <c r="G295" s="441">
        <f t="shared" si="86"/>
        <v>0</v>
      </c>
      <c r="H295" s="443">
        <f t="shared" si="86"/>
        <v>0</v>
      </c>
      <c r="I295" s="44">
        <f t="shared" si="76"/>
        <v>0</v>
      </c>
      <c r="J295" s="330" t="str">
        <f t="shared" si="77"/>
        <v/>
      </c>
      <c r="K295" s="442">
        <f t="shared" si="86"/>
        <v>0</v>
      </c>
      <c r="L295" s="48"/>
      <c r="M295" s="473"/>
      <c r="N295" s="473"/>
      <c r="O295" s="473"/>
      <c r="P295" s="473"/>
      <c r="Q295" s="473"/>
      <c r="R295" s="473"/>
      <c r="S295" s="473"/>
      <c r="T295" s="473"/>
      <c r="U295" s="473"/>
      <c r="V295" s="473"/>
      <c r="W295" s="473"/>
    </row>
    <row r="296" spans="1:23" ht="11.25" customHeight="1" x14ac:dyDescent="0.25">
      <c r="A296" s="407" t="str">
        <f>'Org structure'!E144</f>
        <v>12.1 - [Name of sub-vote]</v>
      </c>
      <c r="B296" s="445"/>
      <c r="C296" s="394"/>
      <c r="D296" s="383">
        <v>0</v>
      </c>
      <c r="E296" s="384">
        <v>0</v>
      </c>
      <c r="F296" s="384">
        <v>0</v>
      </c>
      <c r="G296" s="384">
        <v>0</v>
      </c>
      <c r="H296" s="384">
        <f t="shared" ref="H296:H305" si="87">E296/12*10</f>
        <v>0</v>
      </c>
      <c r="I296" s="44">
        <f t="shared" si="76"/>
        <v>0</v>
      </c>
      <c r="J296" s="330" t="str">
        <f t="shared" si="77"/>
        <v/>
      </c>
      <c r="K296" s="395"/>
      <c r="L296" s="48"/>
      <c r="M296" s="473"/>
      <c r="N296" s="473"/>
      <c r="O296" s="473"/>
      <c r="P296" s="473"/>
      <c r="Q296" s="473"/>
      <c r="R296" s="473"/>
      <c r="S296" s="473"/>
      <c r="T296" s="473"/>
      <c r="U296" s="473"/>
      <c r="V296" s="473"/>
      <c r="W296" s="473"/>
    </row>
    <row r="297" spans="1:23" ht="11.25" customHeight="1" x14ac:dyDescent="0.25">
      <c r="A297" s="407">
        <f>'Org structure'!E145</f>
        <v>0</v>
      </c>
      <c r="B297" s="445"/>
      <c r="C297" s="394"/>
      <c r="D297" s="383">
        <v>0</v>
      </c>
      <c r="E297" s="384">
        <v>0</v>
      </c>
      <c r="F297" s="384">
        <v>0</v>
      </c>
      <c r="G297" s="384">
        <v>0</v>
      </c>
      <c r="H297" s="384">
        <f t="shared" si="87"/>
        <v>0</v>
      </c>
      <c r="I297" s="44">
        <f t="shared" si="76"/>
        <v>0</v>
      </c>
      <c r="J297" s="330" t="str">
        <f t="shared" si="77"/>
        <v/>
      </c>
      <c r="K297" s="395"/>
      <c r="L297" s="48"/>
      <c r="M297" s="473"/>
      <c r="N297" s="473"/>
      <c r="O297" s="473"/>
      <c r="P297" s="473"/>
      <c r="Q297" s="473"/>
      <c r="R297" s="473"/>
      <c r="S297" s="473"/>
      <c r="T297" s="473"/>
      <c r="U297" s="473"/>
      <c r="V297" s="473"/>
      <c r="W297" s="473"/>
    </row>
    <row r="298" spans="1:23" ht="11.25" customHeight="1" x14ac:dyDescent="0.25">
      <c r="A298" s="407">
        <f>'Org structure'!E146</f>
        <v>0</v>
      </c>
      <c r="B298" s="445"/>
      <c r="C298" s="394"/>
      <c r="D298" s="383">
        <v>0</v>
      </c>
      <c r="E298" s="384">
        <v>0</v>
      </c>
      <c r="F298" s="384">
        <v>0</v>
      </c>
      <c r="G298" s="384">
        <v>0</v>
      </c>
      <c r="H298" s="384">
        <f t="shared" si="87"/>
        <v>0</v>
      </c>
      <c r="I298" s="44">
        <f t="shared" si="76"/>
        <v>0</v>
      </c>
      <c r="J298" s="330" t="str">
        <f t="shared" si="77"/>
        <v/>
      </c>
      <c r="K298" s="395"/>
      <c r="L298" s="48"/>
      <c r="M298" s="473"/>
      <c r="N298" s="473"/>
      <c r="O298" s="473"/>
      <c r="P298" s="473"/>
      <c r="Q298" s="473"/>
      <c r="R298" s="473"/>
      <c r="S298" s="473"/>
      <c r="T298" s="473"/>
      <c r="U298" s="473"/>
      <c r="V298" s="473"/>
      <c r="W298" s="473"/>
    </row>
    <row r="299" spans="1:23" ht="11.25" customHeight="1" x14ac:dyDescent="0.25">
      <c r="A299" s="407">
        <f>'Org structure'!E147</f>
        <v>0</v>
      </c>
      <c r="B299" s="445"/>
      <c r="C299" s="394"/>
      <c r="D299" s="383">
        <v>0</v>
      </c>
      <c r="E299" s="384">
        <v>0</v>
      </c>
      <c r="F299" s="384">
        <v>0</v>
      </c>
      <c r="G299" s="384">
        <v>0</v>
      </c>
      <c r="H299" s="384">
        <f t="shared" si="87"/>
        <v>0</v>
      </c>
      <c r="I299" s="44">
        <f t="shared" si="76"/>
        <v>0</v>
      </c>
      <c r="J299" s="330" t="str">
        <f t="shared" si="77"/>
        <v/>
      </c>
      <c r="K299" s="395"/>
      <c r="L299" s="48"/>
      <c r="M299" s="473"/>
      <c r="N299" s="473"/>
      <c r="O299" s="473"/>
      <c r="P299" s="473"/>
      <c r="Q299" s="473"/>
      <c r="R299" s="473"/>
      <c r="S299" s="473"/>
      <c r="T299" s="473"/>
      <c r="U299" s="473"/>
      <c r="V299" s="473"/>
      <c r="W299" s="473"/>
    </row>
    <row r="300" spans="1:23" ht="11.25" customHeight="1" x14ac:dyDescent="0.25">
      <c r="A300" s="407">
        <f>'Org structure'!E148</f>
        <v>0</v>
      </c>
      <c r="B300" s="445"/>
      <c r="C300" s="394"/>
      <c r="D300" s="383">
        <v>0</v>
      </c>
      <c r="E300" s="384">
        <v>0</v>
      </c>
      <c r="F300" s="384">
        <v>0</v>
      </c>
      <c r="G300" s="384">
        <v>0</v>
      </c>
      <c r="H300" s="384">
        <f t="shared" si="87"/>
        <v>0</v>
      </c>
      <c r="I300" s="44">
        <f t="shared" si="76"/>
        <v>0</v>
      </c>
      <c r="J300" s="330" t="str">
        <f t="shared" si="77"/>
        <v/>
      </c>
      <c r="K300" s="395"/>
      <c r="L300" s="48"/>
      <c r="M300" s="473"/>
      <c r="N300" s="473"/>
      <c r="O300" s="473"/>
      <c r="P300" s="473"/>
      <c r="Q300" s="473"/>
      <c r="R300" s="473"/>
      <c r="S300" s="473"/>
      <c r="T300" s="473"/>
      <c r="U300" s="473"/>
      <c r="V300" s="473"/>
      <c r="W300" s="473"/>
    </row>
    <row r="301" spans="1:23" ht="11.25" customHeight="1" x14ac:dyDescent="0.25">
      <c r="A301" s="407">
        <f>'Org structure'!E149</f>
        <v>0</v>
      </c>
      <c r="B301" s="445"/>
      <c r="C301" s="394"/>
      <c r="D301" s="383">
        <v>0</v>
      </c>
      <c r="E301" s="384">
        <v>0</v>
      </c>
      <c r="F301" s="384">
        <v>0</v>
      </c>
      <c r="G301" s="384">
        <v>0</v>
      </c>
      <c r="H301" s="384">
        <f t="shared" si="87"/>
        <v>0</v>
      </c>
      <c r="I301" s="44">
        <f t="shared" si="76"/>
        <v>0</v>
      </c>
      <c r="J301" s="330" t="str">
        <f t="shared" si="77"/>
        <v/>
      </c>
      <c r="K301" s="395"/>
      <c r="L301" s="48"/>
      <c r="M301" s="473"/>
      <c r="N301" s="473"/>
      <c r="O301" s="473"/>
      <c r="P301" s="473"/>
      <c r="Q301" s="473"/>
      <c r="R301" s="473"/>
      <c r="S301" s="473"/>
      <c r="T301" s="473"/>
      <c r="U301" s="473"/>
      <c r="V301" s="473"/>
      <c r="W301" s="473"/>
    </row>
    <row r="302" spans="1:23" ht="11.25" customHeight="1" x14ac:dyDescent="0.25">
      <c r="A302" s="407">
        <f>'Org structure'!E150</f>
        <v>0</v>
      </c>
      <c r="B302" s="445"/>
      <c r="C302" s="394"/>
      <c r="D302" s="383">
        <v>0</v>
      </c>
      <c r="E302" s="384">
        <v>0</v>
      </c>
      <c r="F302" s="384">
        <v>0</v>
      </c>
      <c r="G302" s="384">
        <v>0</v>
      </c>
      <c r="H302" s="384">
        <f t="shared" si="87"/>
        <v>0</v>
      </c>
      <c r="I302" s="44">
        <f t="shared" si="76"/>
        <v>0</v>
      </c>
      <c r="J302" s="330" t="str">
        <f t="shared" si="77"/>
        <v/>
      </c>
      <c r="K302" s="395"/>
      <c r="L302" s="48"/>
      <c r="M302" s="473"/>
      <c r="N302" s="473"/>
      <c r="O302" s="473"/>
      <c r="P302" s="473"/>
      <c r="Q302" s="473"/>
      <c r="R302" s="473"/>
      <c r="S302" s="473"/>
      <c r="T302" s="473"/>
      <c r="U302" s="473"/>
      <c r="V302" s="473"/>
      <c r="W302" s="473"/>
    </row>
    <row r="303" spans="1:23" ht="11.25" customHeight="1" x14ac:dyDescent="0.25">
      <c r="A303" s="407">
        <f>'Org structure'!E151</f>
        <v>0</v>
      </c>
      <c r="B303" s="445"/>
      <c r="C303" s="394"/>
      <c r="D303" s="383">
        <v>0</v>
      </c>
      <c r="E303" s="384">
        <v>0</v>
      </c>
      <c r="F303" s="384">
        <v>0</v>
      </c>
      <c r="G303" s="384">
        <v>0</v>
      </c>
      <c r="H303" s="384">
        <f t="shared" si="87"/>
        <v>0</v>
      </c>
      <c r="I303" s="44">
        <f t="shared" si="76"/>
        <v>0</v>
      </c>
      <c r="J303" s="330" t="str">
        <f t="shared" si="77"/>
        <v/>
      </c>
      <c r="K303" s="395"/>
      <c r="L303" s="48"/>
      <c r="M303" s="473"/>
      <c r="N303" s="473"/>
      <c r="O303" s="473"/>
      <c r="P303" s="473"/>
      <c r="Q303" s="473"/>
      <c r="R303" s="473"/>
      <c r="S303" s="473"/>
      <c r="T303" s="473"/>
      <c r="U303" s="473"/>
      <c r="V303" s="473"/>
      <c r="W303" s="473"/>
    </row>
    <row r="304" spans="1:23" ht="11.25" customHeight="1" x14ac:dyDescent="0.25">
      <c r="A304" s="407">
        <f>'Org structure'!E152</f>
        <v>0</v>
      </c>
      <c r="B304" s="445"/>
      <c r="C304" s="394"/>
      <c r="D304" s="383">
        <v>0</v>
      </c>
      <c r="E304" s="384">
        <v>0</v>
      </c>
      <c r="F304" s="384">
        <v>0</v>
      </c>
      <c r="G304" s="384">
        <v>0</v>
      </c>
      <c r="H304" s="384">
        <f t="shared" si="87"/>
        <v>0</v>
      </c>
      <c r="I304" s="44">
        <f t="shared" si="76"/>
        <v>0</v>
      </c>
      <c r="J304" s="330" t="str">
        <f t="shared" si="77"/>
        <v/>
      </c>
      <c r="K304" s="395"/>
      <c r="L304" s="48"/>
      <c r="M304" s="473"/>
      <c r="N304" s="473"/>
      <c r="O304" s="473"/>
      <c r="P304" s="473"/>
      <c r="Q304" s="473"/>
      <c r="R304" s="473"/>
      <c r="S304" s="473"/>
      <c r="T304" s="473"/>
      <c r="U304" s="473"/>
      <c r="V304" s="473"/>
      <c r="W304" s="473"/>
    </row>
    <row r="305" spans="1:23" ht="11.25" customHeight="1" x14ac:dyDescent="0.25">
      <c r="A305" s="407">
        <f>'Org structure'!E153</f>
        <v>0</v>
      </c>
      <c r="B305" s="445"/>
      <c r="C305" s="394"/>
      <c r="D305" s="383">
        <v>0</v>
      </c>
      <c r="E305" s="384">
        <v>0</v>
      </c>
      <c r="F305" s="384">
        <v>0</v>
      </c>
      <c r="G305" s="384">
        <v>0</v>
      </c>
      <c r="H305" s="384">
        <f t="shared" si="87"/>
        <v>0</v>
      </c>
      <c r="I305" s="44">
        <f t="shared" si="76"/>
        <v>0</v>
      </c>
      <c r="J305" s="330" t="str">
        <f t="shared" si="77"/>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88">SUM(C307:C316)</f>
        <v>0</v>
      </c>
      <c r="D306" s="444">
        <f t="shared" si="88"/>
        <v>0</v>
      </c>
      <c r="E306" s="441">
        <f t="shared" si="88"/>
        <v>0</v>
      </c>
      <c r="F306" s="443">
        <f t="shared" si="88"/>
        <v>0</v>
      </c>
      <c r="G306" s="441">
        <f t="shared" si="88"/>
        <v>0</v>
      </c>
      <c r="H306" s="443">
        <f t="shared" si="88"/>
        <v>0</v>
      </c>
      <c r="I306" s="44">
        <f t="shared" si="76"/>
        <v>0</v>
      </c>
      <c r="J306" s="330" t="str">
        <f t="shared" si="77"/>
        <v/>
      </c>
      <c r="K306" s="442">
        <f t="shared" si="88"/>
        <v>0</v>
      </c>
      <c r="L306" s="48"/>
      <c r="M306" s="473"/>
      <c r="N306" s="473"/>
      <c r="O306" s="473"/>
      <c r="P306" s="473"/>
      <c r="Q306" s="473"/>
      <c r="R306" s="473"/>
      <c r="S306" s="473"/>
      <c r="T306" s="473"/>
      <c r="U306" s="473"/>
      <c r="V306" s="473"/>
      <c r="W306" s="473"/>
    </row>
    <row r="307" spans="1:23" ht="11.25" customHeight="1" x14ac:dyDescent="0.25">
      <c r="A307" s="407" t="str">
        <f>'Org structure'!E155</f>
        <v>13.1 - [Name of sub-vote]</v>
      </c>
      <c r="B307" s="445"/>
      <c r="C307" s="394"/>
      <c r="D307" s="383"/>
      <c r="E307" s="384"/>
      <c r="F307" s="472"/>
      <c r="G307" s="384"/>
      <c r="H307" s="472">
        <f t="shared" ref="H307:H316" si="89">E307/12*10</f>
        <v>0</v>
      </c>
      <c r="I307" s="44">
        <f t="shared" si="76"/>
        <v>0</v>
      </c>
      <c r="J307" s="330" t="str">
        <f t="shared" si="77"/>
        <v/>
      </c>
      <c r="K307" s="395"/>
      <c r="L307" s="48"/>
      <c r="M307" s="473"/>
      <c r="N307" s="473"/>
      <c r="O307" s="473"/>
      <c r="P307" s="473"/>
      <c r="Q307" s="473"/>
      <c r="R307" s="473"/>
      <c r="S307" s="473"/>
      <c r="T307" s="473"/>
      <c r="U307" s="473"/>
      <c r="V307" s="473"/>
      <c r="W307" s="473"/>
    </row>
    <row r="308" spans="1:23" ht="11.25" customHeight="1" x14ac:dyDescent="0.25">
      <c r="A308" s="407">
        <f>'Org structure'!E156</f>
        <v>0</v>
      </c>
      <c r="B308" s="445"/>
      <c r="C308" s="394"/>
      <c r="D308" s="383"/>
      <c r="E308" s="384"/>
      <c r="F308" s="472"/>
      <c r="G308" s="384"/>
      <c r="H308" s="472">
        <f t="shared" si="89"/>
        <v>0</v>
      </c>
      <c r="I308" s="44">
        <f t="shared" si="76"/>
        <v>0</v>
      </c>
      <c r="J308" s="330" t="str">
        <f t="shared" si="77"/>
        <v/>
      </c>
      <c r="K308" s="395"/>
      <c r="L308" s="48"/>
      <c r="M308" s="473"/>
      <c r="N308" s="473"/>
      <c r="O308" s="473"/>
      <c r="P308" s="473"/>
      <c r="Q308" s="473"/>
      <c r="R308" s="473"/>
      <c r="S308" s="473"/>
      <c r="T308" s="473"/>
      <c r="U308" s="473"/>
      <c r="V308" s="473"/>
      <c r="W308" s="473"/>
    </row>
    <row r="309" spans="1:23" ht="11.25" customHeight="1" x14ac:dyDescent="0.25">
      <c r="A309" s="407">
        <f>'Org structure'!E157</f>
        <v>0</v>
      </c>
      <c r="B309" s="445"/>
      <c r="C309" s="394"/>
      <c r="D309" s="383"/>
      <c r="E309" s="384"/>
      <c r="F309" s="472"/>
      <c r="G309" s="384"/>
      <c r="H309" s="472">
        <f t="shared" si="89"/>
        <v>0</v>
      </c>
      <c r="I309" s="44">
        <f t="shared" si="76"/>
        <v>0</v>
      </c>
      <c r="J309" s="330" t="str">
        <f t="shared" si="77"/>
        <v/>
      </c>
      <c r="K309" s="395"/>
      <c r="L309" s="48"/>
      <c r="M309" s="473"/>
      <c r="N309" s="473"/>
      <c r="O309" s="473"/>
      <c r="P309" s="473"/>
      <c r="Q309" s="473"/>
      <c r="R309" s="473"/>
      <c r="S309" s="473"/>
      <c r="T309" s="473"/>
      <c r="U309" s="473"/>
      <c r="V309" s="473"/>
      <c r="W309" s="473"/>
    </row>
    <row r="310" spans="1:23" ht="11.25" customHeight="1" x14ac:dyDescent="0.25">
      <c r="A310" s="407">
        <f>'Org structure'!E158</f>
        <v>0</v>
      </c>
      <c r="B310" s="445"/>
      <c r="C310" s="394"/>
      <c r="D310" s="383"/>
      <c r="E310" s="384"/>
      <c r="F310" s="472"/>
      <c r="G310" s="384"/>
      <c r="H310" s="472">
        <f t="shared" si="89"/>
        <v>0</v>
      </c>
      <c r="I310" s="44">
        <f t="shared" si="76"/>
        <v>0</v>
      </c>
      <c r="J310" s="330" t="str">
        <f t="shared" si="77"/>
        <v/>
      </c>
      <c r="K310" s="395"/>
      <c r="L310" s="48"/>
      <c r="M310" s="473"/>
      <c r="N310" s="473"/>
      <c r="O310" s="473"/>
      <c r="P310" s="473"/>
      <c r="Q310" s="473"/>
      <c r="R310" s="473"/>
      <c r="S310" s="473"/>
      <c r="T310" s="473"/>
      <c r="U310" s="473"/>
      <c r="V310" s="473"/>
      <c r="W310" s="473"/>
    </row>
    <row r="311" spans="1:23" ht="11.25" customHeight="1" x14ac:dyDescent="0.25">
      <c r="A311" s="407">
        <f>'Org structure'!E159</f>
        <v>0</v>
      </c>
      <c r="B311" s="445"/>
      <c r="C311" s="394"/>
      <c r="D311" s="383"/>
      <c r="E311" s="384"/>
      <c r="F311" s="472"/>
      <c r="G311" s="384"/>
      <c r="H311" s="472">
        <f t="shared" si="89"/>
        <v>0</v>
      </c>
      <c r="I311" s="44">
        <f t="shared" si="76"/>
        <v>0</v>
      </c>
      <c r="J311" s="330" t="str">
        <f t="shared" si="77"/>
        <v/>
      </c>
      <c r="K311" s="395"/>
      <c r="L311" s="48"/>
      <c r="M311" s="473"/>
      <c r="N311" s="473"/>
      <c r="O311" s="473"/>
      <c r="P311" s="473"/>
      <c r="Q311" s="473"/>
      <c r="R311" s="473"/>
      <c r="S311" s="473"/>
      <c r="T311" s="473"/>
      <c r="U311" s="473"/>
      <c r="V311" s="473"/>
      <c r="W311" s="473"/>
    </row>
    <row r="312" spans="1:23" ht="11.25" customHeight="1" x14ac:dyDescent="0.25">
      <c r="A312" s="407">
        <f>'Org structure'!E160</f>
        <v>0</v>
      </c>
      <c r="B312" s="445"/>
      <c r="C312" s="394"/>
      <c r="D312" s="383"/>
      <c r="E312" s="384"/>
      <c r="F312" s="472"/>
      <c r="G312" s="384"/>
      <c r="H312" s="472">
        <f t="shared" si="89"/>
        <v>0</v>
      </c>
      <c r="I312" s="44">
        <f t="shared" si="76"/>
        <v>0</v>
      </c>
      <c r="J312" s="330" t="str">
        <f t="shared" si="77"/>
        <v/>
      </c>
      <c r="K312" s="395"/>
      <c r="L312" s="48"/>
      <c r="M312" s="473"/>
      <c r="N312" s="473"/>
      <c r="O312" s="473"/>
      <c r="P312" s="473"/>
      <c r="Q312" s="473"/>
      <c r="R312" s="473"/>
      <c r="S312" s="473"/>
      <c r="T312" s="473"/>
      <c r="U312" s="473"/>
      <c r="V312" s="473"/>
      <c r="W312" s="473"/>
    </row>
    <row r="313" spans="1:23" ht="11.25" customHeight="1" x14ac:dyDescent="0.25">
      <c r="A313" s="407">
        <f>'Org structure'!E161</f>
        <v>0</v>
      </c>
      <c r="B313" s="445"/>
      <c r="C313" s="394"/>
      <c r="D313" s="383"/>
      <c r="E313" s="384"/>
      <c r="F313" s="472"/>
      <c r="G313" s="384"/>
      <c r="H313" s="472">
        <f t="shared" si="89"/>
        <v>0</v>
      </c>
      <c r="I313" s="44">
        <f t="shared" si="76"/>
        <v>0</v>
      </c>
      <c r="J313" s="330" t="str">
        <f t="shared" si="77"/>
        <v/>
      </c>
      <c r="K313" s="395"/>
      <c r="L313" s="48"/>
      <c r="M313" s="473"/>
      <c r="N313" s="473"/>
      <c r="O313" s="473"/>
      <c r="P313" s="473"/>
      <c r="Q313" s="473"/>
      <c r="R313" s="473"/>
      <c r="S313" s="473"/>
      <c r="T313" s="473"/>
      <c r="U313" s="473"/>
      <c r="V313" s="473"/>
      <c r="W313" s="473"/>
    </row>
    <row r="314" spans="1:23" ht="11.25" customHeight="1" x14ac:dyDescent="0.25">
      <c r="A314" s="407">
        <f>'Org structure'!E162</f>
        <v>0</v>
      </c>
      <c r="B314" s="445"/>
      <c r="C314" s="394"/>
      <c r="D314" s="383"/>
      <c r="E314" s="384"/>
      <c r="F314" s="472"/>
      <c r="G314" s="384"/>
      <c r="H314" s="472">
        <f t="shared" si="89"/>
        <v>0</v>
      </c>
      <c r="I314" s="44">
        <f t="shared" si="76"/>
        <v>0</v>
      </c>
      <c r="J314" s="330" t="str">
        <f t="shared" si="77"/>
        <v/>
      </c>
      <c r="K314" s="395"/>
      <c r="L314" s="48"/>
      <c r="M314" s="473"/>
      <c r="N314" s="473"/>
      <c r="O314" s="473"/>
      <c r="P314" s="473"/>
      <c r="Q314" s="473"/>
      <c r="R314" s="473"/>
      <c r="S314" s="473"/>
      <c r="T314" s="473"/>
      <c r="U314" s="473"/>
      <c r="V314" s="473"/>
      <c r="W314" s="473"/>
    </row>
    <row r="315" spans="1:23" ht="11.25" customHeight="1" x14ac:dyDescent="0.25">
      <c r="A315" s="407">
        <f>'Org structure'!E163</f>
        <v>0</v>
      </c>
      <c r="B315" s="445"/>
      <c r="C315" s="394"/>
      <c r="D315" s="383"/>
      <c r="E315" s="384"/>
      <c r="F315" s="472"/>
      <c r="G315" s="384"/>
      <c r="H315" s="472">
        <f t="shared" si="89"/>
        <v>0</v>
      </c>
      <c r="I315" s="44">
        <f t="shared" si="76"/>
        <v>0</v>
      </c>
      <c r="J315" s="330" t="str">
        <f t="shared" si="77"/>
        <v/>
      </c>
      <c r="K315" s="395"/>
      <c r="L315" s="48"/>
      <c r="M315" s="473"/>
      <c r="N315" s="473"/>
      <c r="O315" s="473"/>
      <c r="P315" s="473"/>
      <c r="Q315" s="473"/>
      <c r="R315" s="473"/>
      <c r="S315" s="473"/>
      <c r="T315" s="473"/>
      <c r="U315" s="473"/>
      <c r="V315" s="473"/>
      <c r="W315" s="473"/>
    </row>
    <row r="316" spans="1:23" ht="11.25" customHeight="1" x14ac:dyDescent="0.25">
      <c r="A316" s="407">
        <f>'Org structure'!E164</f>
        <v>0</v>
      </c>
      <c r="B316" s="445"/>
      <c r="C316" s="394"/>
      <c r="D316" s="383"/>
      <c r="E316" s="384"/>
      <c r="F316" s="472"/>
      <c r="G316" s="384"/>
      <c r="H316" s="472">
        <f t="shared" si="89"/>
        <v>0</v>
      </c>
      <c r="I316" s="44">
        <f t="shared" si="76"/>
        <v>0</v>
      </c>
      <c r="J316" s="330" t="str">
        <f t="shared" si="77"/>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90">SUM(C318:C327)</f>
        <v>0</v>
      </c>
      <c r="D317" s="444">
        <f t="shared" si="90"/>
        <v>0</v>
      </c>
      <c r="E317" s="441">
        <f t="shared" si="90"/>
        <v>0</v>
      </c>
      <c r="F317" s="443">
        <f t="shared" si="90"/>
        <v>0</v>
      </c>
      <c r="G317" s="441">
        <f t="shared" si="90"/>
        <v>0</v>
      </c>
      <c r="H317" s="443">
        <f t="shared" si="90"/>
        <v>0</v>
      </c>
      <c r="I317" s="44">
        <f t="shared" si="76"/>
        <v>0</v>
      </c>
      <c r="J317" s="330" t="str">
        <f t="shared" si="77"/>
        <v/>
      </c>
      <c r="K317" s="442">
        <f t="shared" si="90"/>
        <v>0</v>
      </c>
      <c r="L317" s="48"/>
      <c r="M317" s="473"/>
      <c r="N317" s="473"/>
      <c r="O317" s="473"/>
      <c r="P317" s="473"/>
      <c r="Q317" s="473"/>
      <c r="R317" s="473"/>
      <c r="S317" s="473"/>
      <c r="T317" s="473"/>
      <c r="U317" s="473"/>
      <c r="V317" s="473"/>
      <c r="W317" s="473"/>
    </row>
    <row r="318" spans="1:23" ht="11.25" customHeight="1" x14ac:dyDescent="0.25">
      <c r="A318" s="407" t="str">
        <f>'Org structure'!E166</f>
        <v>14.1 - [Name of sub-vote]</v>
      </c>
      <c r="B318" s="445"/>
      <c r="C318" s="394"/>
      <c r="D318" s="383"/>
      <c r="E318" s="384"/>
      <c r="F318" s="472"/>
      <c r="G318" s="384"/>
      <c r="H318" s="472">
        <f t="shared" ref="H318:H327" si="91">E318/12*10</f>
        <v>0</v>
      </c>
      <c r="I318" s="44">
        <f t="shared" si="76"/>
        <v>0</v>
      </c>
      <c r="J318" s="330" t="str">
        <f t="shared" si="77"/>
        <v/>
      </c>
      <c r="K318" s="395"/>
      <c r="L318" s="48"/>
      <c r="M318" s="473"/>
      <c r="N318" s="473"/>
      <c r="O318" s="473"/>
      <c r="P318" s="473"/>
      <c r="Q318" s="473"/>
      <c r="R318" s="473"/>
      <c r="S318" s="473"/>
      <c r="T318" s="473"/>
      <c r="U318" s="473"/>
      <c r="V318" s="473"/>
      <c r="W318" s="473"/>
    </row>
    <row r="319" spans="1:23" ht="11.25" customHeight="1" x14ac:dyDescent="0.25">
      <c r="A319" s="407">
        <f>'Org structure'!E167</f>
        <v>0</v>
      </c>
      <c r="B319" s="445"/>
      <c r="C319" s="394"/>
      <c r="D319" s="383"/>
      <c r="E319" s="384"/>
      <c r="F319" s="472"/>
      <c r="G319" s="384"/>
      <c r="H319" s="472">
        <f t="shared" si="91"/>
        <v>0</v>
      </c>
      <c r="I319" s="44">
        <f t="shared" si="76"/>
        <v>0</v>
      </c>
      <c r="J319" s="330" t="str">
        <f t="shared" si="77"/>
        <v/>
      </c>
      <c r="K319" s="395"/>
      <c r="L319" s="48"/>
      <c r="M319" s="473"/>
      <c r="N319" s="473"/>
      <c r="O319" s="473"/>
      <c r="P319" s="473"/>
      <c r="Q319" s="473"/>
      <c r="R319" s="473"/>
      <c r="S319" s="473"/>
      <c r="T319" s="473"/>
      <c r="U319" s="473"/>
      <c r="V319" s="473"/>
      <c r="W319" s="473"/>
    </row>
    <row r="320" spans="1:23" ht="11.25" customHeight="1" x14ac:dyDescent="0.25">
      <c r="A320" s="407">
        <f>'Org structure'!E168</f>
        <v>0</v>
      </c>
      <c r="B320" s="445"/>
      <c r="C320" s="394"/>
      <c r="D320" s="383"/>
      <c r="E320" s="384"/>
      <c r="F320" s="472"/>
      <c r="G320" s="384"/>
      <c r="H320" s="472">
        <f t="shared" si="91"/>
        <v>0</v>
      </c>
      <c r="I320" s="44">
        <f t="shared" si="76"/>
        <v>0</v>
      </c>
      <c r="J320" s="330" t="str">
        <f t="shared" si="77"/>
        <v/>
      </c>
      <c r="K320" s="395"/>
      <c r="L320" s="48"/>
      <c r="M320" s="473"/>
      <c r="N320" s="473"/>
      <c r="O320" s="473"/>
      <c r="P320" s="473"/>
      <c r="Q320" s="473"/>
      <c r="R320" s="473"/>
      <c r="S320" s="473"/>
      <c r="T320" s="473"/>
      <c r="U320" s="473"/>
      <c r="V320" s="473"/>
      <c r="W320" s="473"/>
    </row>
    <row r="321" spans="1:23" ht="11.25" customHeight="1" x14ac:dyDescent="0.25">
      <c r="A321" s="407">
        <f>'Org structure'!E169</f>
        <v>0</v>
      </c>
      <c r="B321" s="445"/>
      <c r="C321" s="394"/>
      <c r="D321" s="383"/>
      <c r="E321" s="384"/>
      <c r="F321" s="472"/>
      <c r="G321" s="384"/>
      <c r="H321" s="472">
        <f t="shared" si="91"/>
        <v>0</v>
      </c>
      <c r="I321" s="44">
        <f t="shared" si="76"/>
        <v>0</v>
      </c>
      <c r="J321" s="330" t="str">
        <f t="shared" si="77"/>
        <v/>
      </c>
      <c r="K321" s="395"/>
      <c r="L321" s="48"/>
      <c r="M321" s="473"/>
      <c r="N321" s="473"/>
      <c r="O321" s="473"/>
      <c r="P321" s="473"/>
      <c r="Q321" s="473"/>
      <c r="R321" s="473"/>
      <c r="S321" s="473"/>
      <c r="T321" s="473"/>
      <c r="U321" s="473"/>
      <c r="V321" s="473"/>
      <c r="W321" s="473"/>
    </row>
    <row r="322" spans="1:23" ht="11.25" customHeight="1" x14ac:dyDescent="0.25">
      <c r="A322" s="407">
        <f>'Org structure'!E170</f>
        <v>0</v>
      </c>
      <c r="B322" s="445"/>
      <c r="C322" s="394"/>
      <c r="D322" s="383"/>
      <c r="E322" s="384"/>
      <c r="F322" s="472"/>
      <c r="G322" s="384"/>
      <c r="H322" s="472">
        <f t="shared" si="91"/>
        <v>0</v>
      </c>
      <c r="I322" s="44">
        <f t="shared" si="76"/>
        <v>0</v>
      </c>
      <c r="J322" s="330" t="str">
        <f t="shared" si="77"/>
        <v/>
      </c>
      <c r="K322" s="395"/>
      <c r="L322" s="48"/>
      <c r="M322" s="473"/>
      <c r="N322" s="473"/>
      <c r="O322" s="473"/>
      <c r="P322" s="473"/>
      <c r="Q322" s="473"/>
      <c r="R322" s="473"/>
      <c r="S322" s="473"/>
      <c r="T322" s="473"/>
      <c r="U322" s="473"/>
      <c r="V322" s="473"/>
      <c r="W322" s="473"/>
    </row>
    <row r="323" spans="1:23" ht="11.25" customHeight="1" x14ac:dyDescent="0.25">
      <c r="A323" s="407">
        <f>'Org structure'!E171</f>
        <v>0</v>
      </c>
      <c r="B323" s="445"/>
      <c r="C323" s="394"/>
      <c r="D323" s="383"/>
      <c r="E323" s="384"/>
      <c r="F323" s="472"/>
      <c r="G323" s="384"/>
      <c r="H323" s="472">
        <f t="shared" si="91"/>
        <v>0</v>
      </c>
      <c r="I323" s="44">
        <f t="shared" si="76"/>
        <v>0</v>
      </c>
      <c r="J323" s="330" t="str">
        <f t="shared" si="77"/>
        <v/>
      </c>
      <c r="K323" s="395"/>
      <c r="L323" s="48"/>
      <c r="M323" s="473"/>
      <c r="N323" s="473"/>
      <c r="O323" s="473"/>
      <c r="P323" s="473"/>
      <c r="Q323" s="473"/>
      <c r="R323" s="473"/>
      <c r="S323" s="473"/>
      <c r="T323" s="473"/>
      <c r="U323" s="473"/>
      <c r="V323" s="473"/>
      <c r="W323" s="473"/>
    </row>
    <row r="324" spans="1:23" ht="11.25" customHeight="1" x14ac:dyDescent="0.25">
      <c r="A324" s="407">
        <f>'Org structure'!E172</f>
        <v>0</v>
      </c>
      <c r="B324" s="445"/>
      <c r="C324" s="394"/>
      <c r="D324" s="383"/>
      <c r="E324" s="384"/>
      <c r="F324" s="472"/>
      <c r="G324" s="384"/>
      <c r="H324" s="472">
        <f t="shared" si="91"/>
        <v>0</v>
      </c>
      <c r="I324" s="44">
        <f t="shared" si="76"/>
        <v>0</v>
      </c>
      <c r="J324" s="330" t="str">
        <f t="shared" si="77"/>
        <v/>
      </c>
      <c r="K324" s="395"/>
      <c r="L324" s="48"/>
      <c r="M324" s="473"/>
      <c r="N324" s="473"/>
      <c r="O324" s="473"/>
      <c r="P324" s="473"/>
      <c r="Q324" s="473"/>
      <c r="R324" s="473"/>
      <c r="S324" s="473"/>
      <c r="T324" s="473"/>
      <c r="U324" s="473"/>
      <c r="V324" s="473"/>
      <c r="W324" s="473"/>
    </row>
    <row r="325" spans="1:23" ht="11.25" customHeight="1" x14ac:dyDescent="0.25">
      <c r="A325" s="407">
        <f>'Org structure'!E173</f>
        <v>0</v>
      </c>
      <c r="B325" s="445"/>
      <c r="C325" s="394"/>
      <c r="D325" s="383"/>
      <c r="E325" s="384"/>
      <c r="F325" s="472"/>
      <c r="G325" s="384"/>
      <c r="H325" s="472">
        <f t="shared" si="91"/>
        <v>0</v>
      </c>
      <c r="I325" s="44">
        <f t="shared" si="76"/>
        <v>0</v>
      </c>
      <c r="J325" s="330" t="str">
        <f t="shared" si="77"/>
        <v/>
      </c>
      <c r="K325" s="395"/>
      <c r="L325" s="48"/>
      <c r="M325" s="473"/>
      <c r="N325" s="473"/>
      <c r="O325" s="473"/>
      <c r="P325" s="473"/>
      <c r="Q325" s="473"/>
      <c r="R325" s="473"/>
      <c r="S325" s="473"/>
      <c r="T325" s="473"/>
      <c r="U325" s="473"/>
      <c r="V325" s="473"/>
      <c r="W325" s="473"/>
    </row>
    <row r="326" spans="1:23" ht="11.25" customHeight="1" x14ac:dyDescent="0.25">
      <c r="A326" s="407">
        <f>'Org structure'!E174</f>
        <v>0</v>
      </c>
      <c r="B326" s="445"/>
      <c r="C326" s="394"/>
      <c r="D326" s="383"/>
      <c r="E326" s="384"/>
      <c r="F326" s="472"/>
      <c r="G326" s="384"/>
      <c r="H326" s="472">
        <f t="shared" si="91"/>
        <v>0</v>
      </c>
      <c r="I326" s="44">
        <f t="shared" ref="I326:I341" si="92">G326-H326</f>
        <v>0</v>
      </c>
      <c r="J326" s="330" t="str">
        <f t="shared" ref="J326:J341" si="93">IF(I326=0,"",I326/H326)</f>
        <v/>
      </c>
      <c r="K326" s="395"/>
      <c r="L326" s="48"/>
      <c r="M326" s="473"/>
      <c r="N326" s="473"/>
      <c r="O326" s="473"/>
      <c r="P326" s="473"/>
      <c r="Q326" s="473"/>
      <c r="R326" s="473"/>
      <c r="S326" s="473"/>
      <c r="T326" s="473"/>
      <c r="U326" s="473"/>
      <c r="V326" s="473"/>
      <c r="W326" s="473"/>
    </row>
    <row r="327" spans="1:23" ht="11.25" customHeight="1" x14ac:dyDescent="0.25">
      <c r="A327" s="407">
        <f>'Org structure'!E175</f>
        <v>0</v>
      </c>
      <c r="B327" s="445"/>
      <c r="C327" s="394"/>
      <c r="D327" s="383"/>
      <c r="E327" s="384"/>
      <c r="F327" s="472"/>
      <c r="G327" s="384"/>
      <c r="H327" s="472">
        <f t="shared" si="91"/>
        <v>0</v>
      </c>
      <c r="I327" s="44">
        <f t="shared" si="92"/>
        <v>0</v>
      </c>
      <c r="J327" s="330" t="str">
        <f t="shared" si="93"/>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94">SUM(C329:C338)</f>
        <v>0</v>
      </c>
      <c r="D328" s="444">
        <f t="shared" si="94"/>
        <v>0</v>
      </c>
      <c r="E328" s="441">
        <f t="shared" si="94"/>
        <v>0</v>
      </c>
      <c r="F328" s="443">
        <f t="shared" si="94"/>
        <v>0</v>
      </c>
      <c r="G328" s="441">
        <f t="shared" si="94"/>
        <v>0</v>
      </c>
      <c r="H328" s="443">
        <f t="shared" si="94"/>
        <v>0</v>
      </c>
      <c r="I328" s="44">
        <f t="shared" si="92"/>
        <v>0</v>
      </c>
      <c r="J328" s="330" t="str">
        <f t="shared" si="93"/>
        <v/>
      </c>
      <c r="K328" s="442">
        <f t="shared" si="94"/>
        <v>0</v>
      </c>
      <c r="L328" s="48"/>
      <c r="M328" s="473"/>
      <c r="N328" s="473"/>
      <c r="O328" s="473"/>
      <c r="P328" s="473"/>
      <c r="Q328" s="473"/>
      <c r="R328" s="473"/>
      <c r="S328" s="473"/>
      <c r="T328" s="473"/>
      <c r="U328" s="473"/>
      <c r="V328" s="473"/>
      <c r="W328" s="473"/>
    </row>
    <row r="329" spans="1:23" ht="11.25" customHeight="1" x14ac:dyDescent="0.25">
      <c r="A329" s="407" t="str">
        <f>'Org structure'!E177</f>
        <v>15.1 - [Name of sub-vote]</v>
      </c>
      <c r="B329" s="445"/>
      <c r="C329" s="394"/>
      <c r="D329" s="383"/>
      <c r="E329" s="384"/>
      <c r="F329" s="472"/>
      <c r="G329" s="384"/>
      <c r="H329" s="472">
        <f t="shared" ref="H329:H338" si="95">E329/12*10</f>
        <v>0</v>
      </c>
      <c r="I329" s="44">
        <f t="shared" si="92"/>
        <v>0</v>
      </c>
      <c r="J329" s="330" t="str">
        <f t="shared" si="93"/>
        <v/>
      </c>
      <c r="K329" s="395"/>
      <c r="L329" s="48"/>
      <c r="M329" s="473"/>
      <c r="N329" s="473"/>
      <c r="O329" s="473"/>
      <c r="P329" s="473"/>
      <c r="Q329" s="473"/>
      <c r="R329" s="473"/>
      <c r="S329" s="473"/>
      <c r="T329" s="473"/>
      <c r="U329" s="473"/>
      <c r="V329" s="473"/>
      <c r="W329" s="473"/>
    </row>
    <row r="330" spans="1:23" ht="11.25" customHeight="1" x14ac:dyDescent="0.25">
      <c r="A330" s="407">
        <f>'Org structure'!E178</f>
        <v>0</v>
      </c>
      <c r="B330" s="445"/>
      <c r="C330" s="394"/>
      <c r="D330" s="383"/>
      <c r="E330" s="384"/>
      <c r="F330" s="472"/>
      <c r="G330" s="384"/>
      <c r="H330" s="472">
        <f t="shared" si="95"/>
        <v>0</v>
      </c>
      <c r="I330" s="44">
        <f t="shared" si="92"/>
        <v>0</v>
      </c>
      <c r="J330" s="330" t="str">
        <f t="shared" si="93"/>
        <v/>
      </c>
      <c r="K330" s="395"/>
      <c r="L330" s="48"/>
      <c r="M330" s="473"/>
      <c r="N330" s="473"/>
      <c r="O330" s="473"/>
      <c r="P330" s="473"/>
      <c r="Q330" s="473"/>
      <c r="R330" s="473"/>
      <c r="S330" s="473"/>
      <c r="T330" s="473"/>
      <c r="U330" s="473"/>
      <c r="V330" s="473"/>
      <c r="W330" s="473"/>
    </row>
    <row r="331" spans="1:23" ht="11.25" customHeight="1" x14ac:dyDescent="0.25">
      <c r="A331" s="407">
        <f>'Org structure'!E179</f>
        <v>0</v>
      </c>
      <c r="B331" s="445"/>
      <c r="C331" s="394"/>
      <c r="D331" s="383"/>
      <c r="E331" s="384"/>
      <c r="F331" s="472"/>
      <c r="G331" s="384"/>
      <c r="H331" s="472">
        <f t="shared" si="95"/>
        <v>0</v>
      </c>
      <c r="I331" s="44">
        <f t="shared" si="92"/>
        <v>0</v>
      </c>
      <c r="J331" s="330" t="str">
        <f t="shared" si="93"/>
        <v/>
      </c>
      <c r="K331" s="395"/>
      <c r="L331" s="48"/>
      <c r="M331" s="473"/>
      <c r="N331" s="473"/>
      <c r="O331" s="473"/>
      <c r="P331" s="473"/>
      <c r="Q331" s="473"/>
      <c r="R331" s="473"/>
      <c r="S331" s="473"/>
      <c r="T331" s="473"/>
      <c r="U331" s="473"/>
      <c r="V331" s="473"/>
      <c r="W331" s="473"/>
    </row>
    <row r="332" spans="1:23" ht="11.25" customHeight="1" x14ac:dyDescent="0.25">
      <c r="A332" s="407">
        <f>'Org structure'!E180</f>
        <v>0</v>
      </c>
      <c r="B332" s="445"/>
      <c r="C332" s="394"/>
      <c r="D332" s="383"/>
      <c r="E332" s="384"/>
      <c r="F332" s="472"/>
      <c r="G332" s="384"/>
      <c r="H332" s="472">
        <f t="shared" si="95"/>
        <v>0</v>
      </c>
      <c r="I332" s="44">
        <f t="shared" si="92"/>
        <v>0</v>
      </c>
      <c r="J332" s="330" t="str">
        <f t="shared" si="93"/>
        <v/>
      </c>
      <c r="K332" s="395"/>
      <c r="L332" s="48"/>
      <c r="M332" s="473"/>
      <c r="N332" s="473"/>
      <c r="O332" s="473"/>
      <c r="P332" s="473"/>
      <c r="Q332" s="473"/>
      <c r="R332" s="473"/>
      <c r="S332" s="473"/>
      <c r="T332" s="473"/>
      <c r="U332" s="473"/>
      <c r="V332" s="473"/>
      <c r="W332" s="473"/>
    </row>
    <row r="333" spans="1:23" ht="11.25" customHeight="1" x14ac:dyDescent="0.25">
      <c r="A333" s="407">
        <f>'Org structure'!E181</f>
        <v>0</v>
      </c>
      <c r="B333" s="445"/>
      <c r="C333" s="394"/>
      <c r="D333" s="383"/>
      <c r="E333" s="384"/>
      <c r="F333" s="472"/>
      <c r="G333" s="384"/>
      <c r="H333" s="472">
        <f t="shared" si="95"/>
        <v>0</v>
      </c>
      <c r="I333" s="44">
        <f t="shared" si="92"/>
        <v>0</v>
      </c>
      <c r="J333" s="330" t="str">
        <f t="shared" si="93"/>
        <v/>
      </c>
      <c r="K333" s="395"/>
      <c r="L333" s="48"/>
      <c r="M333" s="473"/>
      <c r="N333" s="473"/>
      <c r="O333" s="473"/>
      <c r="P333" s="473"/>
      <c r="Q333" s="473"/>
      <c r="R333" s="473"/>
      <c r="S333" s="473"/>
      <c r="T333" s="473"/>
      <c r="U333" s="473"/>
      <c r="V333" s="473"/>
      <c r="W333" s="473"/>
    </row>
    <row r="334" spans="1:23" ht="11.25" customHeight="1" x14ac:dyDescent="0.25">
      <c r="A334" s="407">
        <f>'Org structure'!E182</f>
        <v>0</v>
      </c>
      <c r="B334" s="445"/>
      <c r="C334" s="394"/>
      <c r="D334" s="383"/>
      <c r="E334" s="384"/>
      <c r="F334" s="472"/>
      <c r="G334" s="384"/>
      <c r="H334" s="472">
        <f t="shared" si="95"/>
        <v>0</v>
      </c>
      <c r="I334" s="44">
        <f t="shared" si="92"/>
        <v>0</v>
      </c>
      <c r="J334" s="330" t="str">
        <f t="shared" si="93"/>
        <v/>
      </c>
      <c r="K334" s="395"/>
      <c r="L334" s="48"/>
      <c r="M334" s="473"/>
      <c r="N334" s="473"/>
      <c r="O334" s="473"/>
      <c r="P334" s="473"/>
      <c r="Q334" s="473"/>
      <c r="R334" s="473"/>
      <c r="S334" s="473"/>
      <c r="T334" s="473"/>
      <c r="U334" s="473"/>
      <c r="V334" s="473"/>
      <c r="W334" s="473"/>
    </row>
    <row r="335" spans="1:23" ht="11.25" customHeight="1" x14ac:dyDescent="0.25">
      <c r="A335" s="407">
        <f>'Org structure'!E183</f>
        <v>0</v>
      </c>
      <c r="B335" s="445"/>
      <c r="C335" s="394"/>
      <c r="D335" s="383"/>
      <c r="E335" s="384"/>
      <c r="F335" s="472"/>
      <c r="G335" s="384"/>
      <c r="H335" s="472">
        <f t="shared" si="95"/>
        <v>0</v>
      </c>
      <c r="I335" s="44">
        <f t="shared" si="92"/>
        <v>0</v>
      </c>
      <c r="J335" s="330" t="str">
        <f t="shared" si="93"/>
        <v/>
      </c>
      <c r="K335" s="395"/>
      <c r="L335" s="48"/>
      <c r="M335" s="473"/>
      <c r="N335" s="473"/>
      <c r="O335" s="473"/>
      <c r="P335" s="473"/>
      <c r="Q335" s="473"/>
      <c r="R335" s="473"/>
      <c r="S335" s="473"/>
      <c r="T335" s="473"/>
      <c r="U335" s="473"/>
      <c r="V335" s="473"/>
      <c r="W335" s="473"/>
    </row>
    <row r="336" spans="1:23" ht="11.25" customHeight="1" x14ac:dyDescent="0.25">
      <c r="A336" s="407">
        <f>'Org structure'!E184</f>
        <v>0</v>
      </c>
      <c r="B336" s="445"/>
      <c r="C336" s="394"/>
      <c r="D336" s="383"/>
      <c r="E336" s="384"/>
      <c r="F336" s="472"/>
      <c r="G336" s="384"/>
      <c r="H336" s="472">
        <f t="shared" si="95"/>
        <v>0</v>
      </c>
      <c r="I336" s="44">
        <f t="shared" si="92"/>
        <v>0</v>
      </c>
      <c r="J336" s="330" t="str">
        <f t="shared" si="93"/>
        <v/>
      </c>
      <c r="K336" s="395"/>
      <c r="L336" s="48"/>
      <c r="M336" s="473"/>
      <c r="N336" s="473"/>
      <c r="O336" s="473"/>
      <c r="P336" s="473"/>
      <c r="Q336" s="473"/>
      <c r="R336" s="473"/>
      <c r="S336" s="473"/>
      <c r="T336" s="473"/>
      <c r="U336" s="473"/>
      <c r="V336" s="473"/>
      <c r="W336" s="473"/>
    </row>
    <row r="337" spans="1:24" ht="11.25" customHeight="1" x14ac:dyDescent="0.25">
      <c r="A337" s="407">
        <f>'Org structure'!E185</f>
        <v>0</v>
      </c>
      <c r="B337" s="445"/>
      <c r="C337" s="394"/>
      <c r="D337" s="383"/>
      <c r="E337" s="384"/>
      <c r="F337" s="472"/>
      <c r="G337" s="384"/>
      <c r="H337" s="472">
        <f t="shared" si="95"/>
        <v>0</v>
      </c>
      <c r="I337" s="44">
        <f t="shared" si="92"/>
        <v>0</v>
      </c>
      <c r="J337" s="330" t="str">
        <f t="shared" si="93"/>
        <v/>
      </c>
      <c r="K337" s="395"/>
      <c r="L337" s="48"/>
      <c r="M337" s="473"/>
      <c r="N337" s="473"/>
      <c r="O337" s="473"/>
      <c r="P337" s="473"/>
      <c r="Q337" s="473"/>
      <c r="R337" s="473"/>
      <c r="S337" s="473"/>
      <c r="T337" s="473"/>
      <c r="U337" s="473"/>
      <c r="V337" s="473"/>
      <c r="W337" s="473"/>
    </row>
    <row r="338" spans="1:24" ht="11.25" customHeight="1" x14ac:dyDescent="0.25">
      <c r="A338" s="407">
        <f>'Org structure'!E186</f>
        <v>0</v>
      </c>
      <c r="B338" s="445"/>
      <c r="C338" s="394"/>
      <c r="D338" s="383"/>
      <c r="E338" s="384"/>
      <c r="F338" s="472"/>
      <c r="G338" s="384"/>
      <c r="H338" s="472">
        <f t="shared" si="95"/>
        <v>0</v>
      </c>
      <c r="I338" s="44">
        <f t="shared" si="92"/>
        <v>0</v>
      </c>
      <c r="J338" s="330" t="str">
        <f t="shared" si="93"/>
        <v/>
      </c>
      <c r="K338" s="395"/>
      <c r="L338" s="452">
        <f t="shared" ref="L338:W338" si="96">SUM(L173:L249)</f>
        <v>0</v>
      </c>
      <c r="M338" s="453">
        <f t="shared" si="96"/>
        <v>0</v>
      </c>
      <c r="N338" s="453">
        <f t="shared" si="96"/>
        <v>0</v>
      </c>
      <c r="O338" s="453">
        <f t="shared" si="96"/>
        <v>0</v>
      </c>
      <c r="P338" s="453">
        <f t="shared" si="96"/>
        <v>0</v>
      </c>
      <c r="Q338" s="453">
        <f t="shared" si="96"/>
        <v>0</v>
      </c>
      <c r="R338" s="453">
        <f t="shared" si="96"/>
        <v>0</v>
      </c>
      <c r="S338" s="453">
        <f t="shared" si="96"/>
        <v>0</v>
      </c>
      <c r="T338" s="453">
        <f t="shared" si="96"/>
        <v>0</v>
      </c>
      <c r="U338" s="453">
        <f t="shared" si="96"/>
        <v>0</v>
      </c>
      <c r="V338" s="453">
        <f t="shared" si="96"/>
        <v>0</v>
      </c>
      <c r="W338" s="453">
        <f t="shared" si="96"/>
        <v>0</v>
      </c>
    </row>
    <row r="339" spans="1:24" ht="12.75" customHeight="1" x14ac:dyDescent="0.25">
      <c r="A339" s="447" t="s">
        <v>636</v>
      </c>
      <c r="B339" s="445">
        <v>2</v>
      </c>
      <c r="C339" s="508">
        <f t="shared" ref="C339:H339" si="97">C174+C185+C196+C207+C218+C229+C240+C251+C262++C273+C284+C295+C306+C317+C328</f>
        <v>4036122662</v>
      </c>
      <c r="D339" s="475">
        <f t="shared" si="97"/>
        <v>3679467136</v>
      </c>
      <c r="E339" s="430">
        <f t="shared" si="97"/>
        <v>3816732981</v>
      </c>
      <c r="F339" s="474">
        <f t="shared" si="97"/>
        <v>342867954.33333331</v>
      </c>
      <c r="G339" s="430">
        <f t="shared" si="97"/>
        <v>2945219140.333333</v>
      </c>
      <c r="H339" s="474">
        <f t="shared" si="97"/>
        <v>3180610817.5</v>
      </c>
      <c r="I339" s="430">
        <f t="shared" si="92"/>
        <v>-235391677.16666698</v>
      </c>
      <c r="J339" s="430">
        <f t="shared" si="93"/>
        <v>-7.4008324398420991E-2</v>
      </c>
      <c r="K339" s="513">
        <f>K174+K185+K196+K207+K218+K229+K240+K251+K262++K273+K284+K295+K306+K317+K328</f>
        <v>3816732981</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92"/>
        <v>0</v>
      </c>
      <c r="J340" s="50" t="str">
        <f t="shared" si="93"/>
        <v/>
      </c>
      <c r="K340" s="194"/>
      <c r="L340" s="480">
        <f t="shared" ref="L340:W340" si="98">L170-L338</f>
        <v>0</v>
      </c>
      <c r="M340" s="481">
        <f t="shared" si="98"/>
        <v>0</v>
      </c>
      <c r="N340" s="481">
        <f t="shared" si="98"/>
        <v>0</v>
      </c>
      <c r="O340" s="481">
        <f t="shared" si="98"/>
        <v>0</v>
      </c>
      <c r="P340" s="481">
        <f t="shared" si="98"/>
        <v>0</v>
      </c>
      <c r="Q340" s="481">
        <f t="shared" si="98"/>
        <v>0</v>
      </c>
      <c r="R340" s="481">
        <f t="shared" si="98"/>
        <v>0</v>
      </c>
      <c r="S340" s="481">
        <f t="shared" si="98"/>
        <v>0</v>
      </c>
      <c r="T340" s="481">
        <f t="shared" si="98"/>
        <v>0</v>
      </c>
      <c r="U340" s="481">
        <f t="shared" si="98"/>
        <v>0</v>
      </c>
      <c r="V340" s="481">
        <f t="shared" si="98"/>
        <v>0</v>
      </c>
      <c r="W340" s="481">
        <f t="shared" si="98"/>
        <v>0</v>
      </c>
    </row>
    <row r="341" spans="1:24" s="486" customFormat="1" ht="11.25" customHeight="1" thickTop="1" x14ac:dyDescent="0.25">
      <c r="A341" s="886" t="str">
        <f>result</f>
        <v>Surplus/ (Deficit) for the year</v>
      </c>
      <c r="B341" s="477">
        <v>2</v>
      </c>
      <c r="C341" s="509">
        <f t="shared" ref="C341:H341" si="99">C171-C339</f>
        <v>898947132.99999905</v>
      </c>
      <c r="D341" s="512">
        <f t="shared" si="99"/>
        <v>1003110791</v>
      </c>
      <c r="E341" s="55">
        <f t="shared" si="99"/>
        <v>977865479</v>
      </c>
      <c r="F341" s="479">
        <f t="shared" si="99"/>
        <v>-37909091.639833331</v>
      </c>
      <c r="G341" s="55">
        <f t="shared" si="99"/>
        <v>670782734.3085165</v>
      </c>
      <c r="H341" s="479">
        <f t="shared" si="99"/>
        <v>814887899.16666651</v>
      </c>
      <c r="I341" s="55">
        <f t="shared" si="92"/>
        <v>-144105164.85815001</v>
      </c>
      <c r="J341" s="55">
        <f t="shared" si="93"/>
        <v>-0.17684047708343331</v>
      </c>
      <c r="K341" s="235">
        <f>K171-K339</f>
        <v>977865479</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F33" sqref="F33"/>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"&amp;S71B&amp; " - "&amp;date</f>
        <v>LIM354 Polokwane - Table C4 Monthly Budget Statement - Financial Performance (revenue and expenditure) - M10 April</v>
      </c>
      <c r="B1" s="1063"/>
      <c r="C1" s="1063"/>
      <c r="D1" s="1063"/>
      <c r="E1" s="1063"/>
      <c r="F1" s="1063"/>
      <c r="G1" s="1063"/>
      <c r="H1" s="1063"/>
      <c r="I1" s="1063"/>
      <c r="J1" s="1063"/>
      <c r="K1" s="1063"/>
    </row>
    <row r="2" spans="1:11" x14ac:dyDescent="0.25">
      <c r="A2" s="1052" t="str">
        <f>desc</f>
        <v>Description</v>
      </c>
      <c r="B2" s="1061" t="str">
        <f>head27</f>
        <v>Ref</v>
      </c>
      <c r="C2" s="158" t="str">
        <f>Head1</f>
        <v>2019/20</v>
      </c>
      <c r="D2" s="1047" t="str">
        <f>Head2</f>
        <v>Budget Year 2020/21</v>
      </c>
      <c r="E2" s="1048"/>
      <c r="F2" s="1048"/>
      <c r="G2" s="1048"/>
      <c r="H2" s="1048"/>
      <c r="I2" s="1048"/>
      <c r="J2" s="1048"/>
      <c r="K2" s="1049"/>
    </row>
    <row r="3" spans="1:11" ht="25.5" x14ac:dyDescent="0.25">
      <c r="A3" s="1053"/>
      <c r="B3" s="106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418"/>
      <c r="C4" s="187"/>
      <c r="D4" s="240"/>
      <c r="E4" s="241"/>
      <c r="F4" s="82"/>
      <c r="G4" s="82"/>
      <c r="H4" s="82"/>
      <c r="I4" s="82"/>
      <c r="J4" s="242" t="s">
        <v>577</v>
      </c>
      <c r="K4" s="223"/>
    </row>
    <row r="5" spans="1:11" ht="12.75" customHeight="1" x14ac:dyDescent="0.25">
      <c r="A5" s="182" t="s">
        <v>486</v>
      </c>
      <c r="B5" s="519"/>
      <c r="C5" s="170"/>
      <c r="D5" s="37"/>
      <c r="E5" s="36"/>
      <c r="F5" s="36"/>
      <c r="G5" s="36"/>
      <c r="H5" s="36"/>
      <c r="I5" s="36"/>
      <c r="J5" s="36"/>
      <c r="K5" s="226"/>
    </row>
    <row r="6" spans="1:11" ht="11.25" customHeight="1" x14ac:dyDescent="0.25">
      <c r="A6" s="39" t="s">
        <v>933</v>
      </c>
      <c r="B6" s="419"/>
      <c r="C6" s="748">
        <v>503869307</v>
      </c>
      <c r="D6" s="745">
        <v>526156799</v>
      </c>
      <c r="E6" s="733">
        <v>526156799</v>
      </c>
      <c r="F6" s="733">
        <v>42244821</v>
      </c>
      <c r="G6" s="733">
        <v>390950450</v>
      </c>
      <c r="H6" s="733">
        <f>E6/12*10</f>
        <v>438463999.16666663</v>
      </c>
      <c r="I6" s="44">
        <f t="shared" ref="I6:I22" si="0">G6-H6</f>
        <v>-47513549.166666627</v>
      </c>
      <c r="J6" s="330">
        <f t="shared" ref="J6:J22" si="1">IF(I6=0,"",I6/H6)</f>
        <v>-0.10836362679027162</v>
      </c>
      <c r="K6" s="735">
        <f>E6</f>
        <v>526156799</v>
      </c>
    </row>
    <row r="7" spans="1:11" ht="11.25" customHeight="1" x14ac:dyDescent="0.25">
      <c r="A7" s="39" t="s">
        <v>836</v>
      </c>
      <c r="B7" s="419"/>
      <c r="C7" s="748">
        <v>1048160757</v>
      </c>
      <c r="D7" s="745">
        <v>1234579062</v>
      </c>
      <c r="E7" s="733">
        <v>1234579062</v>
      </c>
      <c r="F7" s="733">
        <v>120184849</v>
      </c>
      <c r="G7" s="733">
        <v>870692303</v>
      </c>
      <c r="H7" s="733">
        <f>E7/12*10</f>
        <v>1028815885</v>
      </c>
      <c r="I7" s="44">
        <f t="shared" si="0"/>
        <v>-158123582</v>
      </c>
      <c r="J7" s="330">
        <f t="shared" si="1"/>
        <v>-0.15369473226980743</v>
      </c>
      <c r="K7" s="735">
        <f t="shared" ref="K7:K10" si="2">E7</f>
        <v>1234579062</v>
      </c>
    </row>
    <row r="8" spans="1:11" ht="11.25" customHeight="1" x14ac:dyDescent="0.25">
      <c r="A8" s="86" t="s">
        <v>837</v>
      </c>
      <c r="B8" s="421"/>
      <c r="C8" s="748">
        <v>251728048</v>
      </c>
      <c r="D8" s="745">
        <v>296542794</v>
      </c>
      <c r="E8" s="733">
        <v>253542794</v>
      </c>
      <c r="F8" s="733">
        <v>14110805</v>
      </c>
      <c r="G8" s="733">
        <v>172329059</v>
      </c>
      <c r="H8" s="733">
        <f>E8/12*10</f>
        <v>211285661.66666669</v>
      </c>
      <c r="I8" s="44">
        <f t="shared" si="0"/>
        <v>-38956602.666666687</v>
      </c>
      <c r="J8" s="330">
        <f t="shared" si="1"/>
        <v>-0.18437882797804941</v>
      </c>
      <c r="K8" s="735">
        <f t="shared" si="2"/>
        <v>253542794</v>
      </c>
    </row>
    <row r="9" spans="1:11" ht="11.25" customHeight="1" x14ac:dyDescent="0.25">
      <c r="A9" s="86" t="s">
        <v>838</v>
      </c>
      <c r="B9" s="421"/>
      <c r="C9" s="748">
        <v>115610416</v>
      </c>
      <c r="D9" s="745">
        <v>126897079</v>
      </c>
      <c r="E9" s="733">
        <v>126897079</v>
      </c>
      <c r="F9" s="733">
        <v>10719880</v>
      </c>
      <c r="G9" s="733">
        <v>94192378</v>
      </c>
      <c r="H9" s="733">
        <f>E9/12*10</f>
        <v>105747565.83333334</v>
      </c>
      <c r="I9" s="44">
        <f t="shared" si="0"/>
        <v>-11555187.833333343</v>
      </c>
      <c r="J9" s="330">
        <f t="shared" si="1"/>
        <v>-0.10927143090504085</v>
      </c>
      <c r="K9" s="735">
        <f t="shared" si="2"/>
        <v>126897079</v>
      </c>
    </row>
    <row r="10" spans="1:11" ht="11.25" customHeight="1" x14ac:dyDescent="0.25">
      <c r="A10" s="517" t="s">
        <v>72</v>
      </c>
      <c r="B10" s="421"/>
      <c r="C10" s="748">
        <v>110704627</v>
      </c>
      <c r="D10" s="745">
        <v>122015565</v>
      </c>
      <c r="E10" s="733">
        <v>122015565</v>
      </c>
      <c r="F10" s="733">
        <v>10302969</v>
      </c>
      <c r="G10" s="733">
        <v>104107298</v>
      </c>
      <c r="H10" s="733">
        <f>E10/12*10</f>
        <v>101679637.5</v>
      </c>
      <c r="I10" s="44">
        <f t="shared" si="0"/>
        <v>2427660.5</v>
      </c>
      <c r="J10" s="330">
        <f t="shared" si="1"/>
        <v>2.3875581775161227E-2</v>
      </c>
      <c r="K10" s="735">
        <f t="shared" si="2"/>
        <v>122015565</v>
      </c>
    </row>
    <row r="11" spans="1:11" ht="0.95" customHeight="1" x14ac:dyDescent="0.25">
      <c r="A11" s="86"/>
      <c r="B11" s="421"/>
      <c r="C11" s="648"/>
      <c r="D11" s="649"/>
      <c r="E11" s="408"/>
      <c r="F11" s="408"/>
      <c r="G11" s="408"/>
      <c r="H11" s="408"/>
      <c r="I11" s="408"/>
      <c r="J11" s="948"/>
      <c r="K11" s="642"/>
    </row>
    <row r="12" spans="1:11" ht="11.25" customHeight="1" x14ac:dyDescent="0.25">
      <c r="A12" s="86" t="s">
        <v>965</v>
      </c>
      <c r="B12" s="421"/>
      <c r="C12" s="748">
        <v>9045882</v>
      </c>
      <c r="D12" s="745">
        <v>21361950</v>
      </c>
      <c r="E12" s="733">
        <v>14361950</v>
      </c>
      <c r="F12" s="733">
        <v>580878</v>
      </c>
      <c r="G12" s="733">
        <v>4811630</v>
      </c>
      <c r="H12" s="733">
        <f t="shared" ref="H12:H21" si="3">E12/12*10</f>
        <v>11968291.666666668</v>
      </c>
      <c r="I12" s="44">
        <f t="shared" si="0"/>
        <v>-7156661.6666666679</v>
      </c>
      <c r="J12" s="330">
        <f t="shared" si="1"/>
        <v>-0.59796852098774889</v>
      </c>
      <c r="K12" s="735">
        <f>E12</f>
        <v>14361950</v>
      </c>
    </row>
    <row r="13" spans="1:11" ht="11.25" customHeight="1" x14ac:dyDescent="0.25">
      <c r="A13" s="86" t="s">
        <v>840</v>
      </c>
      <c r="B13" s="421"/>
      <c r="C13" s="748">
        <v>19871721</v>
      </c>
      <c r="D13" s="745">
        <v>13069489</v>
      </c>
      <c r="E13" s="733">
        <v>13069489</v>
      </c>
      <c r="F13" s="733">
        <v>246367</v>
      </c>
      <c r="G13" s="733">
        <v>3136158</v>
      </c>
      <c r="H13" s="733">
        <f t="shared" si="3"/>
        <v>10891240.833333332</v>
      </c>
      <c r="I13" s="44">
        <f t="shared" si="0"/>
        <v>-7755082.8333333321</v>
      </c>
      <c r="J13" s="330">
        <f t="shared" si="1"/>
        <v>-0.71204768602659219</v>
      </c>
      <c r="K13" s="735">
        <f t="shared" ref="K13:K20" si="4">E13</f>
        <v>13069489</v>
      </c>
    </row>
    <row r="14" spans="1:11" ht="11.25" customHeight="1" x14ac:dyDescent="0.25">
      <c r="A14" s="86" t="s">
        <v>841</v>
      </c>
      <c r="B14" s="421"/>
      <c r="C14" s="748">
        <v>108996559</v>
      </c>
      <c r="D14" s="745">
        <v>97347204</v>
      </c>
      <c r="E14" s="733">
        <v>97347204</v>
      </c>
      <c r="F14" s="733">
        <v>7470759</v>
      </c>
      <c r="G14" s="733">
        <v>73370826</v>
      </c>
      <c r="H14" s="733">
        <f t="shared" si="3"/>
        <v>81122670</v>
      </c>
      <c r="I14" s="44">
        <f t="shared" si="0"/>
        <v>-7751844</v>
      </c>
      <c r="J14" s="330">
        <f t="shared" si="1"/>
        <v>-9.5557061916231312E-2</v>
      </c>
      <c r="K14" s="735">
        <f t="shared" si="4"/>
        <v>97347204</v>
      </c>
    </row>
    <row r="15" spans="1:11" ht="11.25" customHeight="1" x14ac:dyDescent="0.25">
      <c r="A15" s="86" t="s">
        <v>923</v>
      </c>
      <c r="B15" s="421"/>
      <c r="C15" s="748">
        <v>0</v>
      </c>
      <c r="D15" s="745">
        <v>0</v>
      </c>
      <c r="E15" s="733">
        <v>0</v>
      </c>
      <c r="F15" s="733">
        <v>0</v>
      </c>
      <c r="G15" s="733">
        <v>0</v>
      </c>
      <c r="H15" s="733">
        <f t="shared" si="3"/>
        <v>0</v>
      </c>
      <c r="I15" s="44">
        <f t="shared" si="0"/>
        <v>0</v>
      </c>
      <c r="J15" s="330" t="str">
        <f t="shared" si="1"/>
        <v/>
      </c>
      <c r="K15" s="735">
        <f t="shared" si="4"/>
        <v>0</v>
      </c>
    </row>
    <row r="16" spans="1:11" ht="11.25" customHeight="1" x14ac:dyDescent="0.25">
      <c r="A16" s="86" t="s">
        <v>1109</v>
      </c>
      <c r="B16" s="421"/>
      <c r="C16" s="748">
        <v>31584439</v>
      </c>
      <c r="D16" s="745">
        <v>36673036</v>
      </c>
      <c r="E16" s="733">
        <v>36673036</v>
      </c>
      <c r="F16" s="733">
        <v>3619565</v>
      </c>
      <c r="G16" s="733">
        <v>16977177</v>
      </c>
      <c r="H16" s="733">
        <f t="shared" si="3"/>
        <v>30560863.333333336</v>
      </c>
      <c r="I16" s="44">
        <f t="shared" si="0"/>
        <v>-13583686.333333336</v>
      </c>
      <c r="J16" s="330">
        <f t="shared" si="1"/>
        <v>-0.44447979709124713</v>
      </c>
      <c r="K16" s="735">
        <f t="shared" si="4"/>
        <v>36673036</v>
      </c>
    </row>
    <row r="17" spans="1:11" ht="11.25" customHeight="1" x14ac:dyDescent="0.25">
      <c r="A17" s="86" t="s">
        <v>842</v>
      </c>
      <c r="B17" s="421"/>
      <c r="C17" s="748">
        <v>5467702</v>
      </c>
      <c r="D17" s="745">
        <v>16557436</v>
      </c>
      <c r="E17" s="733">
        <v>12771436</v>
      </c>
      <c r="F17" s="733">
        <v>788156</v>
      </c>
      <c r="G17" s="733">
        <v>7658211</v>
      </c>
      <c r="H17" s="733">
        <f t="shared" si="3"/>
        <v>10642863.333333332</v>
      </c>
      <c r="I17" s="44">
        <f t="shared" si="0"/>
        <v>-2984652.3333333321</v>
      </c>
      <c r="J17" s="330">
        <f t="shared" si="1"/>
        <v>-0.28043696887335134</v>
      </c>
      <c r="K17" s="735">
        <f t="shared" si="4"/>
        <v>12771436</v>
      </c>
    </row>
    <row r="18" spans="1:11" ht="11.25" customHeight="1" x14ac:dyDescent="0.25">
      <c r="A18" s="86" t="s">
        <v>582</v>
      </c>
      <c r="B18" s="421"/>
      <c r="C18" s="748">
        <v>21214389</v>
      </c>
      <c r="D18" s="745">
        <v>27798496</v>
      </c>
      <c r="E18" s="733">
        <v>27798496</v>
      </c>
      <c r="F18" s="733">
        <v>5250364</v>
      </c>
      <c r="G18" s="733">
        <v>80022658</v>
      </c>
      <c r="H18" s="733">
        <f t="shared" si="3"/>
        <v>23165413.333333336</v>
      </c>
      <c r="I18" s="44">
        <f t="shared" si="0"/>
        <v>56857244.666666664</v>
      </c>
      <c r="J18" s="330">
        <f t="shared" si="1"/>
        <v>2.4544023388891252</v>
      </c>
      <c r="K18" s="735">
        <f t="shared" si="4"/>
        <v>27798496</v>
      </c>
    </row>
    <row r="19" spans="1:11" ht="11.25" customHeight="1" x14ac:dyDescent="0.25">
      <c r="A19" s="518" t="s">
        <v>1110</v>
      </c>
      <c r="B19" s="421"/>
      <c r="C19" s="748">
        <v>1027440133</v>
      </c>
      <c r="D19" s="745">
        <v>1187428150</v>
      </c>
      <c r="E19" s="733">
        <v>1379700191</v>
      </c>
      <c r="F19" s="733">
        <f>'SC7(1)'!F8+'SC7(2)'!D8</f>
        <v>27558441.622000001</v>
      </c>
      <c r="G19" s="733">
        <f>'SC7(1)'!G8+'SC7(2)'!E8</f>
        <v>1274334760.7579997</v>
      </c>
      <c r="H19" s="733">
        <f t="shared" si="3"/>
        <v>1149750159.1666667</v>
      </c>
      <c r="I19" s="44">
        <f t="shared" si="0"/>
        <v>124584601.59133291</v>
      </c>
      <c r="J19" s="330">
        <f t="shared" si="1"/>
        <v>0.10835797725101531</v>
      </c>
      <c r="K19" s="735">
        <f t="shared" si="4"/>
        <v>1379700191</v>
      </c>
    </row>
    <row r="20" spans="1:11" ht="11.25" customHeight="1" x14ac:dyDescent="0.25">
      <c r="A20" s="86" t="s">
        <v>453</v>
      </c>
      <c r="B20" s="421"/>
      <c r="C20" s="748">
        <v>390368459</v>
      </c>
      <c r="D20" s="745">
        <v>100596017</v>
      </c>
      <c r="E20" s="733">
        <v>100596017</v>
      </c>
      <c r="F20" s="733">
        <v>5382860</v>
      </c>
      <c r="G20" s="733">
        <v>25434392</v>
      </c>
      <c r="H20" s="733">
        <f t="shared" si="3"/>
        <v>83830014.166666672</v>
      </c>
      <c r="I20" s="44">
        <f t="shared" si="0"/>
        <v>-58395622.166666672</v>
      </c>
      <c r="J20" s="330">
        <f t="shared" si="1"/>
        <v>-0.69659563757877219</v>
      </c>
      <c r="K20" s="735">
        <f t="shared" si="4"/>
        <v>100596017</v>
      </c>
    </row>
    <row r="21" spans="1:11" ht="11.25" customHeight="1" x14ac:dyDescent="0.25">
      <c r="A21" s="991" t="s">
        <v>1361</v>
      </c>
      <c r="B21" s="419"/>
      <c r="C21" s="748"/>
      <c r="D21" s="745"/>
      <c r="E21" s="733"/>
      <c r="F21" s="733">
        <v>0</v>
      </c>
      <c r="G21" s="733">
        <v>0</v>
      </c>
      <c r="H21" s="733">
        <f t="shared" si="3"/>
        <v>0</v>
      </c>
      <c r="I21" s="44">
        <f t="shared" si="0"/>
        <v>0</v>
      </c>
      <c r="J21" s="330" t="str">
        <f t="shared" si="1"/>
        <v/>
      </c>
      <c r="K21" s="735">
        <v>0</v>
      </c>
    </row>
    <row r="22" spans="1:11" ht="24.75" customHeight="1" x14ac:dyDescent="0.25">
      <c r="A22" s="586" t="s">
        <v>134</v>
      </c>
      <c r="B22" s="587"/>
      <c r="C22" s="522">
        <f t="shared" ref="C22:H22" si="5">SUM(C6:C10)+SUM(C12:C21)</f>
        <v>3644062439</v>
      </c>
      <c r="D22" s="523">
        <f t="shared" si="5"/>
        <v>3807023077</v>
      </c>
      <c r="E22" s="524">
        <f t="shared" si="5"/>
        <v>3945509118</v>
      </c>
      <c r="F22" s="524">
        <f t="shared" si="5"/>
        <v>248460714.62200001</v>
      </c>
      <c r="G22" s="524">
        <f t="shared" si="5"/>
        <v>3118017300.7579994</v>
      </c>
      <c r="H22" s="524">
        <f t="shared" si="5"/>
        <v>3287924265</v>
      </c>
      <c r="I22" s="524">
        <f t="shared" si="0"/>
        <v>-169906964.24200058</v>
      </c>
      <c r="J22" s="525">
        <f t="shared" si="1"/>
        <v>-5.1676057764061846E-2</v>
      </c>
      <c r="K22" s="526">
        <f>SUM(K6:K10)+SUM(K12:K21)</f>
        <v>3945509118</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843</v>
      </c>
      <c r="B25" s="421"/>
      <c r="C25" s="748">
        <v>922982023</v>
      </c>
      <c r="D25" s="745">
        <v>990053017</v>
      </c>
      <c r="E25" s="733">
        <v>1008031267</v>
      </c>
      <c r="F25" s="733">
        <v>79662253</v>
      </c>
      <c r="G25" s="733">
        <v>793096114</v>
      </c>
      <c r="H25" s="733">
        <f t="shared" ref="H25:H35" si="6">E25/12*10</f>
        <v>840026055.83333325</v>
      </c>
      <c r="I25" s="44">
        <f t="shared" ref="I25:I36" si="7">G25-H25</f>
        <v>-46929941.833333254</v>
      </c>
      <c r="J25" s="330">
        <f t="shared" ref="J25:J41" si="8">IF(I25=0,"",I25/H25)</f>
        <v>-5.5867245435354047E-2</v>
      </c>
      <c r="K25" s="735">
        <f>E25</f>
        <v>1008031267</v>
      </c>
    </row>
    <row r="26" spans="1:11" ht="12.75" customHeight="1" x14ac:dyDescent="0.25">
      <c r="A26" s="39" t="s">
        <v>477</v>
      </c>
      <c r="B26" s="419"/>
      <c r="C26" s="748">
        <v>38521740</v>
      </c>
      <c r="D26" s="745">
        <v>42510996</v>
      </c>
      <c r="E26" s="733">
        <v>42510996</v>
      </c>
      <c r="F26" s="733">
        <v>3191427</v>
      </c>
      <c r="G26" s="733">
        <v>32260922</v>
      </c>
      <c r="H26" s="733">
        <f t="shared" si="6"/>
        <v>35425830</v>
      </c>
      <c r="I26" s="44">
        <f t="shared" si="7"/>
        <v>-3164908</v>
      </c>
      <c r="J26" s="330">
        <f t="shared" si="8"/>
        <v>-8.933899361002974E-2</v>
      </c>
      <c r="K26" s="735">
        <f t="shared" ref="K26:K35" si="9">E26</f>
        <v>42510996</v>
      </c>
    </row>
    <row r="27" spans="1:11" ht="12.75" customHeight="1" x14ac:dyDescent="0.25">
      <c r="A27" s="86" t="s">
        <v>613</v>
      </c>
      <c r="B27" s="421"/>
      <c r="C27" s="748">
        <v>153372670</v>
      </c>
      <c r="D27" s="745">
        <v>250000000</v>
      </c>
      <c r="E27" s="733">
        <v>250000000</v>
      </c>
      <c r="F27" s="733">
        <f>E27/12</f>
        <v>20833333.333333332</v>
      </c>
      <c r="G27" s="733">
        <f>H27</f>
        <v>208333333.33333331</v>
      </c>
      <c r="H27" s="733">
        <f t="shared" si="6"/>
        <v>208333333.33333331</v>
      </c>
      <c r="I27" s="44">
        <f t="shared" si="7"/>
        <v>0</v>
      </c>
      <c r="J27" s="330" t="str">
        <f t="shared" si="8"/>
        <v/>
      </c>
      <c r="K27" s="735">
        <f t="shared" si="9"/>
        <v>250000000</v>
      </c>
    </row>
    <row r="28" spans="1:11" ht="12.75" customHeight="1" x14ac:dyDescent="0.25">
      <c r="A28" s="86" t="s">
        <v>666</v>
      </c>
      <c r="B28" s="421"/>
      <c r="C28" s="748">
        <v>734200046</v>
      </c>
      <c r="D28" s="745">
        <v>255000000</v>
      </c>
      <c r="E28" s="733">
        <v>255000000</v>
      </c>
      <c r="F28" s="733">
        <f>E28/12</f>
        <v>21250000</v>
      </c>
      <c r="G28" s="733">
        <f>H28</f>
        <v>212500000</v>
      </c>
      <c r="H28" s="733">
        <f t="shared" si="6"/>
        <v>212500000</v>
      </c>
      <c r="I28" s="44">
        <f t="shared" si="7"/>
        <v>0</v>
      </c>
      <c r="J28" s="330" t="str">
        <f t="shared" si="8"/>
        <v/>
      </c>
      <c r="K28" s="735">
        <f t="shared" si="9"/>
        <v>255000000</v>
      </c>
    </row>
    <row r="29" spans="1:11" ht="12.75" customHeight="1" x14ac:dyDescent="0.25">
      <c r="A29" s="86" t="s">
        <v>452</v>
      </c>
      <c r="B29" s="421"/>
      <c r="C29" s="748">
        <v>69673253</v>
      </c>
      <c r="D29" s="745">
        <v>97987467</v>
      </c>
      <c r="E29" s="733">
        <v>82987467</v>
      </c>
      <c r="F29" s="733">
        <v>0</v>
      </c>
      <c r="G29" s="733">
        <v>27646572</v>
      </c>
      <c r="H29" s="733">
        <f t="shared" si="6"/>
        <v>69156222.5</v>
      </c>
      <c r="I29" s="44">
        <f t="shared" si="7"/>
        <v>-41509650.5</v>
      </c>
      <c r="J29" s="330">
        <f t="shared" si="8"/>
        <v>-0.60023016005537322</v>
      </c>
      <c r="K29" s="735">
        <f t="shared" si="9"/>
        <v>82987467</v>
      </c>
    </row>
    <row r="30" spans="1:11" ht="12.75" customHeight="1" x14ac:dyDescent="0.25">
      <c r="A30" s="86" t="s">
        <v>846</v>
      </c>
      <c r="B30" s="421"/>
      <c r="C30" s="748">
        <v>920913470</v>
      </c>
      <c r="D30" s="745">
        <v>1051821725</v>
      </c>
      <c r="E30" s="733">
        <v>973071725</v>
      </c>
      <c r="F30" s="733">
        <v>96414668</v>
      </c>
      <c r="G30" s="733">
        <v>779298396</v>
      </c>
      <c r="H30" s="733">
        <f t="shared" si="6"/>
        <v>810893104.16666675</v>
      </c>
      <c r="I30" s="44">
        <f t="shared" si="7"/>
        <v>-31594708.166666746</v>
      </c>
      <c r="J30" s="330">
        <f t="shared" si="8"/>
        <v>-3.8962852198793557E-2</v>
      </c>
      <c r="K30" s="735">
        <f t="shared" si="9"/>
        <v>973071725</v>
      </c>
    </row>
    <row r="31" spans="1:11" ht="12.75" customHeight="1" x14ac:dyDescent="0.25">
      <c r="A31" s="86" t="s">
        <v>922</v>
      </c>
      <c r="B31" s="421"/>
      <c r="C31" s="748">
        <v>47063860</v>
      </c>
      <c r="D31" s="745">
        <v>89586798</v>
      </c>
      <c r="E31" s="733">
        <v>100683455</v>
      </c>
      <c r="F31" s="733">
        <v>9098492</v>
      </c>
      <c r="G31" s="733">
        <v>49820909</v>
      </c>
      <c r="H31" s="733">
        <f t="shared" si="6"/>
        <v>83902879.166666657</v>
      </c>
      <c r="I31" s="44">
        <f t="shared" si="7"/>
        <v>-34081970.166666657</v>
      </c>
      <c r="J31" s="330">
        <f t="shared" si="8"/>
        <v>-0.40620739723323951</v>
      </c>
      <c r="K31" s="735">
        <f t="shared" si="9"/>
        <v>100683455</v>
      </c>
    </row>
    <row r="32" spans="1:11" ht="12.75" customHeight="1" x14ac:dyDescent="0.25">
      <c r="A32" s="86" t="s">
        <v>847</v>
      </c>
      <c r="B32" s="421"/>
      <c r="C32" s="748">
        <v>759928938</v>
      </c>
      <c r="D32" s="745">
        <v>682020582</v>
      </c>
      <c r="E32" s="733">
        <v>855568114</v>
      </c>
      <c r="F32" s="733">
        <v>81214028</v>
      </c>
      <c r="G32" s="733">
        <v>668880938</v>
      </c>
      <c r="H32" s="733">
        <f t="shared" si="6"/>
        <v>712973428.33333325</v>
      </c>
      <c r="I32" s="44">
        <f t="shared" si="7"/>
        <v>-44092490.333333254</v>
      </c>
      <c r="J32" s="330">
        <f t="shared" si="8"/>
        <v>-6.184310463912393E-2</v>
      </c>
      <c r="K32" s="735">
        <f t="shared" si="9"/>
        <v>855568114</v>
      </c>
    </row>
    <row r="33" spans="1:12" ht="12.75" customHeight="1" x14ac:dyDescent="0.25">
      <c r="A33" s="517" t="s">
        <v>1110</v>
      </c>
      <c r="B33" s="421"/>
      <c r="C33" s="748">
        <v>179850619</v>
      </c>
      <c r="D33" s="745">
        <v>11500008</v>
      </c>
      <c r="E33" s="733">
        <v>39500008</v>
      </c>
      <c r="F33" s="733">
        <v>4955464</v>
      </c>
      <c r="G33" s="733">
        <v>15239354</v>
      </c>
      <c r="H33" s="733">
        <f t="shared" si="6"/>
        <v>32916673.333333336</v>
      </c>
      <c r="I33" s="44">
        <f t="shared" si="7"/>
        <v>-17677319.333333336</v>
      </c>
      <c r="J33" s="330">
        <f t="shared" si="8"/>
        <v>-0.53703237730989828</v>
      </c>
      <c r="K33" s="735">
        <f t="shared" si="9"/>
        <v>39500008</v>
      </c>
    </row>
    <row r="34" spans="1:12" ht="12.75" customHeight="1" x14ac:dyDescent="0.25">
      <c r="A34" s="86" t="s">
        <v>434</v>
      </c>
      <c r="B34" s="421"/>
      <c r="C34" s="748">
        <v>208183137</v>
      </c>
      <c r="D34" s="745">
        <v>208986543</v>
      </c>
      <c r="E34" s="733">
        <v>209379949</v>
      </c>
      <c r="F34" s="733">
        <v>26248289</v>
      </c>
      <c r="G34" s="733">
        <v>158142602</v>
      </c>
      <c r="H34" s="733">
        <f t="shared" si="6"/>
        <v>174483290.83333331</v>
      </c>
      <c r="I34" s="44">
        <f t="shared" si="7"/>
        <v>-16340688.833333313</v>
      </c>
      <c r="J34" s="330">
        <f t="shared" si="8"/>
        <v>-9.3651883543060657E-2</v>
      </c>
      <c r="K34" s="735">
        <f t="shared" si="9"/>
        <v>209379949</v>
      </c>
    </row>
    <row r="35" spans="1:12" ht="12.75" customHeight="1" x14ac:dyDescent="0.25">
      <c r="A35" s="991" t="s">
        <v>1362</v>
      </c>
      <c r="B35" s="419"/>
      <c r="C35" s="748">
        <v>1432906</v>
      </c>
      <c r="D35" s="745">
        <v>0</v>
      </c>
      <c r="E35" s="733">
        <v>0</v>
      </c>
      <c r="F35" s="733">
        <v>0</v>
      </c>
      <c r="G35" s="733">
        <v>0</v>
      </c>
      <c r="H35" s="733">
        <f t="shared" si="6"/>
        <v>0</v>
      </c>
      <c r="I35" s="44">
        <f t="shared" si="7"/>
        <v>0</v>
      </c>
      <c r="J35" s="330" t="str">
        <f t="shared" si="8"/>
        <v/>
      </c>
      <c r="K35" s="735">
        <f t="shared" si="9"/>
        <v>0</v>
      </c>
    </row>
    <row r="36" spans="1:12" ht="12.75" customHeight="1" x14ac:dyDescent="0.25">
      <c r="A36" s="92" t="s">
        <v>488</v>
      </c>
      <c r="B36" s="422"/>
      <c r="C36" s="243">
        <f t="shared" ref="C36:K36" si="10">SUM(C25:C35)</f>
        <v>4036122662</v>
      </c>
      <c r="D36" s="74">
        <f>SUM(D25:D35)</f>
        <v>3679467136</v>
      </c>
      <c r="E36" s="73">
        <f>SUM(E25:E35)</f>
        <v>3816732981</v>
      </c>
      <c r="F36" s="73">
        <f t="shared" si="10"/>
        <v>342867954.33333331</v>
      </c>
      <c r="G36" s="73">
        <f t="shared" si="10"/>
        <v>2945219140.333333</v>
      </c>
      <c r="H36" s="73">
        <f t="shared" si="10"/>
        <v>3180610817.5</v>
      </c>
      <c r="I36" s="73">
        <f t="shared" si="7"/>
        <v>-235391677.16666698</v>
      </c>
      <c r="J36" s="331">
        <f t="shared" si="8"/>
        <v>-7.4008324398420991E-2</v>
      </c>
      <c r="K36" s="145">
        <f t="shared" si="10"/>
        <v>3816732981</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1">C22-C36</f>
        <v>-392060223</v>
      </c>
      <c r="D38" s="51">
        <f t="shared" si="11"/>
        <v>127555941</v>
      </c>
      <c r="E38" s="50">
        <f t="shared" si="11"/>
        <v>128776137</v>
      </c>
      <c r="F38" s="50">
        <f t="shared" si="11"/>
        <v>-94407239.711333305</v>
      </c>
      <c r="G38" s="50">
        <f t="shared" si="11"/>
        <v>172798160.4246664</v>
      </c>
      <c r="H38" s="50">
        <f t="shared" si="11"/>
        <v>107313447.5</v>
      </c>
      <c r="I38" s="102">
        <f>I22-I36</f>
        <v>65484712.924666405</v>
      </c>
      <c r="J38" s="102">
        <f t="shared" si="8"/>
        <v>0.61021907738698267</v>
      </c>
      <c r="K38" s="194">
        <f>K22-K36</f>
        <v>128776137</v>
      </c>
    </row>
    <row r="39" spans="1:12" ht="19.899999999999999" customHeight="1" x14ac:dyDescent="0.25">
      <c r="A39" s="938" t="s">
        <v>1111</v>
      </c>
      <c r="B39" s="419"/>
      <c r="C39" s="748">
        <v>1291007356</v>
      </c>
      <c r="D39" s="745">
        <v>874054850</v>
      </c>
      <c r="E39" s="733">
        <v>847589342</v>
      </c>
      <c r="F39" s="733">
        <f>'SC7(1)'!F33</f>
        <v>56498148.071499996</v>
      </c>
      <c r="G39" s="733">
        <f>'SC7(1)'!G33</f>
        <v>497984573.8838501</v>
      </c>
      <c r="H39" s="733">
        <f>E39/12*10</f>
        <v>706324451.66666675</v>
      </c>
      <c r="I39" s="47">
        <f>G39-H39</f>
        <v>-208339877.78281665</v>
      </c>
      <c r="J39" s="102">
        <f t="shared" si="8"/>
        <v>-0.29496342267524639</v>
      </c>
      <c r="K39" s="735">
        <f>E39</f>
        <v>847589342</v>
      </c>
    </row>
    <row r="40" spans="1:12" ht="39.6" customHeight="1" x14ac:dyDescent="0.25">
      <c r="A40" s="938" t="s">
        <v>1112</v>
      </c>
      <c r="B40" s="419"/>
      <c r="C40" s="748">
        <v>0</v>
      </c>
      <c r="D40" s="745">
        <v>1500000</v>
      </c>
      <c r="E40" s="733">
        <v>1500000</v>
      </c>
      <c r="F40" s="733">
        <v>0</v>
      </c>
      <c r="G40" s="733">
        <v>0</v>
      </c>
      <c r="H40" s="733">
        <f>E40/12*10</f>
        <v>1250000</v>
      </c>
      <c r="I40" s="47">
        <f>G40-H40</f>
        <v>-1250000</v>
      </c>
      <c r="J40" s="102">
        <f t="shared" si="8"/>
        <v>-1</v>
      </c>
      <c r="K40" s="735">
        <f>E40</f>
        <v>1500000</v>
      </c>
    </row>
    <row r="41" spans="1:12" ht="12.75" customHeight="1" x14ac:dyDescent="0.25">
      <c r="A41" s="518" t="s">
        <v>1113</v>
      </c>
      <c r="B41" s="419"/>
      <c r="C41" s="749">
        <v>0</v>
      </c>
      <c r="D41" s="750">
        <v>0</v>
      </c>
      <c r="E41" s="751">
        <v>0</v>
      </c>
      <c r="F41" s="751">
        <v>0</v>
      </c>
      <c r="G41" s="751">
        <v>0</v>
      </c>
      <c r="H41" s="751">
        <f>E41/12*10</f>
        <v>0</v>
      </c>
      <c r="I41" s="47">
        <f>G41-H41</f>
        <v>0</v>
      </c>
      <c r="J41" s="102" t="str">
        <f t="shared" si="8"/>
        <v/>
      </c>
      <c r="K41" s="752">
        <v>0</v>
      </c>
    </row>
    <row r="42" spans="1:12" ht="25.5" x14ac:dyDescent="0.25">
      <c r="A42" s="250" t="s">
        <v>754</v>
      </c>
      <c r="B42" s="521"/>
      <c r="C42" s="252">
        <f t="shared" ref="C42:H42" si="12">C38+SUM(C39:C41)</f>
        <v>898947133</v>
      </c>
      <c r="D42" s="253">
        <f t="shared" si="12"/>
        <v>1003110791</v>
      </c>
      <c r="E42" s="254">
        <f t="shared" si="12"/>
        <v>977865479</v>
      </c>
      <c r="F42" s="254">
        <f t="shared" si="12"/>
        <v>-37909091.639833309</v>
      </c>
      <c r="G42" s="254">
        <f t="shared" si="12"/>
        <v>670782734.3085165</v>
      </c>
      <c r="H42" s="254">
        <f t="shared" si="12"/>
        <v>814887899.16666675</v>
      </c>
      <c r="I42" s="329"/>
      <c r="J42" s="329"/>
      <c r="K42" s="255">
        <f>K38+SUM(K39:K41)</f>
        <v>977865479</v>
      </c>
    </row>
    <row r="43" spans="1:12" ht="12.75" customHeight="1" x14ac:dyDescent="0.25">
      <c r="A43" s="39" t="s">
        <v>466</v>
      </c>
      <c r="B43" s="419"/>
      <c r="C43" s="749">
        <v>0</v>
      </c>
      <c r="D43" s="750">
        <v>0</v>
      </c>
      <c r="E43" s="751">
        <v>0</v>
      </c>
      <c r="F43" s="751">
        <v>0</v>
      </c>
      <c r="G43" s="751">
        <v>0</v>
      </c>
      <c r="H43" s="751">
        <f>E43/12*10</f>
        <v>0</v>
      </c>
      <c r="I43" s="99">
        <f>G43-H43</f>
        <v>0</v>
      </c>
      <c r="J43" s="99" t="str">
        <f>IF(I43=0,"",I43/H43)</f>
        <v/>
      </c>
      <c r="K43" s="752">
        <v>0</v>
      </c>
    </row>
    <row r="44" spans="1:12" ht="12.75" customHeight="1" x14ac:dyDescent="0.25">
      <c r="A44" s="87" t="s">
        <v>467</v>
      </c>
      <c r="B44" s="419"/>
      <c r="C44" s="109">
        <f t="shared" ref="C44:H44" si="13">C42-C43</f>
        <v>898947133</v>
      </c>
      <c r="D44" s="51">
        <f t="shared" si="13"/>
        <v>1003110791</v>
      </c>
      <c r="E44" s="50">
        <f t="shared" si="13"/>
        <v>977865479</v>
      </c>
      <c r="F44" s="50">
        <f t="shared" si="13"/>
        <v>-37909091.639833309</v>
      </c>
      <c r="G44" s="50">
        <f t="shared" si="13"/>
        <v>670782734.3085165</v>
      </c>
      <c r="H44" s="50">
        <f t="shared" si="13"/>
        <v>814887899.16666675</v>
      </c>
      <c r="I44" s="327"/>
      <c r="J44" s="327"/>
      <c r="K44" s="194">
        <f>K42-K43</f>
        <v>977865479</v>
      </c>
    </row>
    <row r="45" spans="1:12" ht="12.75" customHeight="1" x14ac:dyDescent="0.25">
      <c r="A45" s="39" t="s">
        <v>468</v>
      </c>
      <c r="B45" s="419"/>
      <c r="C45" s="748"/>
      <c r="D45" s="745"/>
      <c r="E45" s="733"/>
      <c r="F45" s="733"/>
      <c r="G45" s="733"/>
      <c r="H45" s="733">
        <f t="shared" ref="H45" si="14">E45/12*9</f>
        <v>0</v>
      </c>
      <c r="I45" s="273"/>
      <c r="J45" s="273"/>
      <c r="K45" s="735"/>
    </row>
    <row r="46" spans="1:12" ht="12.75" customHeight="1" x14ac:dyDescent="0.25">
      <c r="A46" s="527" t="s">
        <v>141</v>
      </c>
      <c r="B46" s="426"/>
      <c r="C46" s="529">
        <f t="shared" ref="C46:H46" si="15">SUM(C44:C45)</f>
        <v>898947133</v>
      </c>
      <c r="D46" s="530">
        <f t="shared" si="15"/>
        <v>1003110791</v>
      </c>
      <c r="E46" s="528">
        <f t="shared" si="15"/>
        <v>977865479</v>
      </c>
      <c r="F46" s="528">
        <f t="shared" si="15"/>
        <v>-37909091.639833309</v>
      </c>
      <c r="G46" s="528">
        <f t="shared" si="15"/>
        <v>670782734.3085165</v>
      </c>
      <c r="H46" s="528">
        <f t="shared" si="15"/>
        <v>814887899.16666675</v>
      </c>
      <c r="I46" s="273"/>
      <c r="J46" s="273"/>
      <c r="K46" s="529">
        <f>SUM(K44:K45)</f>
        <v>977865479</v>
      </c>
      <c r="L46" s="100"/>
    </row>
    <row r="47" spans="1:12" ht="12.75" customHeight="1" x14ac:dyDescent="0.25">
      <c r="A47" s="256" t="s">
        <v>478</v>
      </c>
      <c r="B47" s="520"/>
      <c r="C47" s="749">
        <v>0</v>
      </c>
      <c r="D47" s="750">
        <v>0</v>
      </c>
      <c r="E47" s="751">
        <v>0</v>
      </c>
      <c r="F47" s="751">
        <v>0</v>
      </c>
      <c r="G47" s="751">
        <v>0</v>
      </c>
      <c r="H47" s="1006">
        <f>E47/12*10</f>
        <v>0</v>
      </c>
      <c r="I47" s="328"/>
      <c r="J47" s="328"/>
      <c r="K47" s="752">
        <v>0</v>
      </c>
    </row>
    <row r="48" spans="1:12" ht="12.75" customHeight="1" x14ac:dyDescent="0.25">
      <c r="A48" s="94" t="s">
        <v>895</v>
      </c>
      <c r="B48" s="418"/>
      <c r="C48" s="244">
        <f t="shared" ref="C48:H48" si="16">C46+C47</f>
        <v>898947133</v>
      </c>
      <c r="D48" s="77">
        <f t="shared" si="16"/>
        <v>1003110791</v>
      </c>
      <c r="E48" s="76">
        <f t="shared" si="16"/>
        <v>977865479</v>
      </c>
      <c r="F48" s="76">
        <f t="shared" si="16"/>
        <v>-37909091.639833309</v>
      </c>
      <c r="G48" s="76">
        <f t="shared" si="16"/>
        <v>670782734.3085165</v>
      </c>
      <c r="H48" s="76">
        <f t="shared" si="16"/>
        <v>814887899.16666675</v>
      </c>
      <c r="I48" s="334"/>
      <c r="J48" s="334"/>
      <c r="K48" s="234">
        <f>K46+K47</f>
        <v>977865479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7">C22+SUM(C39:C41)</f>
        <v>4935069795</v>
      </c>
      <c r="D53" s="62">
        <f t="shared" si="17"/>
        <v>4682577927</v>
      </c>
      <c r="E53" s="62">
        <f t="shared" si="17"/>
        <v>4794598460</v>
      </c>
      <c r="F53" s="62">
        <f t="shared" si="17"/>
        <v>304958862.69349998</v>
      </c>
      <c r="G53" s="62">
        <f t="shared" si="17"/>
        <v>3616001874.6418495</v>
      </c>
      <c r="H53" s="62">
        <f t="shared" si="17"/>
        <v>3995498716.666667</v>
      </c>
      <c r="I53" s="62"/>
      <c r="J53" s="62"/>
      <c r="K53" s="62">
        <f>K22+SUM(K39:K41)</f>
        <v>4794598460</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54" activePane="bottomRight" state="frozen"/>
      <selection pane="topRight"/>
      <selection pane="bottomLeft"/>
      <selection pane="bottomRight" activeCell="F71" sqref="F71"/>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54" t="str">
        <f>muni&amp; " - "&amp;S71D&amp; " - "&amp;date</f>
        <v>LIM354 Polokwane - Table C5 Monthly Budget Statement - Capital Expenditure (municipal vote, functional classification and funding) - M10 April</v>
      </c>
      <c r="B1" s="1054"/>
      <c r="C1" s="1054"/>
      <c r="D1" s="1054"/>
      <c r="E1" s="1054"/>
      <c r="F1" s="1054"/>
      <c r="G1" s="1054"/>
      <c r="H1" s="1054"/>
      <c r="I1" s="1054"/>
      <c r="J1" s="1054"/>
      <c r="K1" s="1054"/>
    </row>
    <row r="2" spans="1:12" x14ac:dyDescent="0.25">
      <c r="A2" s="1052" t="str">
        <f>Vdesc</f>
        <v>Vote Description</v>
      </c>
      <c r="B2" s="1061" t="str">
        <f>head27</f>
        <v>Ref</v>
      </c>
      <c r="C2" s="139" t="str">
        <f>Head1</f>
        <v>2019/20</v>
      </c>
      <c r="D2" s="245" t="str">
        <f>Head2</f>
        <v>Budget Year 2020/21</v>
      </c>
      <c r="E2" s="229"/>
      <c r="F2" s="229"/>
      <c r="G2" s="229"/>
      <c r="H2" s="229"/>
      <c r="I2" s="229"/>
      <c r="J2" s="229"/>
      <c r="K2" s="230"/>
    </row>
    <row r="3" spans="1:12" ht="25.5" x14ac:dyDescent="0.25">
      <c r="A3" s="1053"/>
      <c r="B3" s="106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669</v>
      </c>
      <c r="B4" s="418">
        <v>1</v>
      </c>
      <c r="C4" s="187"/>
      <c r="D4" s="246"/>
      <c r="E4" s="241"/>
      <c r="F4" s="82"/>
      <c r="G4" s="82"/>
      <c r="H4" s="82"/>
      <c r="I4" s="82"/>
      <c r="J4" s="242" t="s">
        <v>577</v>
      </c>
      <c r="K4" s="223"/>
    </row>
    <row r="5" spans="1:12" ht="11.25" customHeight="1" x14ac:dyDescent="0.25">
      <c r="A5" s="182" t="s">
        <v>664</v>
      </c>
      <c r="B5" s="519">
        <v>2</v>
      </c>
      <c r="C5" s="134"/>
      <c r="D5" s="258"/>
      <c r="E5" s="44"/>
      <c r="F5" s="44"/>
      <c r="G5" s="44"/>
      <c r="H5" s="44"/>
      <c r="I5" s="44"/>
      <c r="J5" s="44"/>
      <c r="K5" s="144"/>
      <c r="L5" s="100"/>
    </row>
    <row r="6" spans="1:12" ht="13.5" customHeight="1" x14ac:dyDescent="0.25">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CHIEF OPERATION OFFICE</v>
      </c>
      <c r="B24" s="419"/>
      <c r="C24" s="134">
        <f>'C5C'!C176</f>
        <v>1243797.0704999999</v>
      </c>
      <c r="D24" s="258">
        <f>'C5C'!D176</f>
        <v>2796088</v>
      </c>
      <c r="E24" s="44">
        <f>'C5C'!E176</f>
        <v>9504499.4196346365</v>
      </c>
      <c r="F24" s="44">
        <f>'C5C'!F176</f>
        <v>0</v>
      </c>
      <c r="G24" s="44">
        <f>'C5C'!G176</f>
        <v>1622241.4855</v>
      </c>
      <c r="H24" s="44">
        <f>'C5C'!H176</f>
        <v>7920416.1830288637</v>
      </c>
      <c r="I24" s="44">
        <f>'C5C'!I176</f>
        <v>-6298174.6975288633</v>
      </c>
      <c r="J24" s="330">
        <f>IF(I24=0,"",I24/H24)</f>
        <v>-0.79518229244367367</v>
      </c>
      <c r="K24" s="144">
        <f>'C5C'!K176</f>
        <v>9504499.4196346365</v>
      </c>
      <c r="L24" s="100"/>
    </row>
    <row r="25" spans="1:12" ht="12.75" customHeight="1" x14ac:dyDescent="0.25">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WATER AND SANITATION</v>
      </c>
      <c r="B26" s="419"/>
      <c r="C26" s="134">
        <f>'C5C'!C198</f>
        <v>813961617.39700007</v>
      </c>
      <c r="D26" s="258">
        <f>'C5C'!D198</f>
        <v>536244332</v>
      </c>
      <c r="E26" s="44">
        <f>'C5C'!E198</f>
        <v>456284411</v>
      </c>
      <c r="F26" s="44">
        <f>'C5C'!F198</f>
        <v>33062287.824999999</v>
      </c>
      <c r="G26" s="44">
        <f>'C5C'!G198</f>
        <v>330010713.71149999</v>
      </c>
      <c r="H26" s="44">
        <f>'C5C'!H198</f>
        <v>380237009.16666663</v>
      </c>
      <c r="I26" s="44">
        <f>'C5C'!I198</f>
        <v>-50226295.455166638</v>
      </c>
      <c r="J26" s="330">
        <f t="shared" si="3"/>
        <v>-0.132092074796305</v>
      </c>
      <c r="K26" s="144">
        <f>'C5C'!K198</f>
        <v>456284411</v>
      </c>
      <c r="L26" s="697"/>
    </row>
    <row r="27" spans="1:12" ht="12.75" customHeight="1" x14ac:dyDescent="0.25">
      <c r="A27" s="407" t="str">
        <f>'Org structure'!A5</f>
        <v>Vote 4 - ENERGY</v>
      </c>
      <c r="B27" s="419"/>
      <c r="C27" s="134">
        <f>'C5C'!C209</f>
        <v>33642191.059500001</v>
      </c>
      <c r="D27" s="258">
        <f>'C5C'!D209</f>
        <v>20200867</v>
      </c>
      <c r="E27" s="44">
        <f>'C5C'!E209</f>
        <v>69738638</v>
      </c>
      <c r="F27" s="44">
        <f>'C5C'!F209</f>
        <v>3713597.5259999996</v>
      </c>
      <c r="G27" s="44">
        <f>'C5C'!G209</f>
        <v>22571856.380000003</v>
      </c>
      <c r="H27" s="44">
        <f>'C5C'!H209</f>
        <v>58115531.666666672</v>
      </c>
      <c r="I27" s="44">
        <f>'C5C'!I209</f>
        <v>-35543675.286666669</v>
      </c>
      <c r="J27" s="330">
        <f t="shared" si="3"/>
        <v>-0.61160371878785469</v>
      </c>
      <c r="K27" s="144">
        <f>'C5C'!K209</f>
        <v>69738638</v>
      </c>
      <c r="L27" s="697"/>
    </row>
    <row r="28" spans="1:12" ht="12.75" customHeight="1" x14ac:dyDescent="0.25">
      <c r="A28" s="407" t="str">
        <f>'Org structure'!A6</f>
        <v>Vote 5 - COMMUNITY SERVICES</v>
      </c>
      <c r="B28" s="419"/>
      <c r="C28" s="134">
        <f>'C5C'!C220</f>
        <v>37268718.690499991</v>
      </c>
      <c r="D28" s="258">
        <f>'C5C'!D220</f>
        <v>67311585</v>
      </c>
      <c r="E28" s="44">
        <f>'C5C'!E220</f>
        <v>88157031</v>
      </c>
      <c r="F28" s="44">
        <f>'C5C'!F220</f>
        <v>8889228.3355000019</v>
      </c>
      <c r="G28" s="44">
        <f>'C5C'!G220</f>
        <v>37514681.794500001</v>
      </c>
      <c r="H28" s="44">
        <f>'C5C'!H220</f>
        <v>73464192.5</v>
      </c>
      <c r="I28" s="44">
        <f>'C5C'!I220</f>
        <v>-35949510.705499999</v>
      </c>
      <c r="J28" s="330">
        <f t="shared" si="3"/>
        <v>-0.48934738791963173</v>
      </c>
      <c r="K28" s="144">
        <f>'C5C'!K220</f>
        <v>88157031</v>
      </c>
      <c r="L28" s="697"/>
    </row>
    <row r="29" spans="1:12" ht="12.75" customHeight="1" x14ac:dyDescent="0.25">
      <c r="A29" s="407" t="str">
        <f>'Org structure'!A7</f>
        <v>Vote 6 - PUBLIC SAFETY</v>
      </c>
      <c r="B29" s="419"/>
      <c r="C29" s="134">
        <f>'C5C'!C239</f>
        <v>797005.31750000012</v>
      </c>
      <c r="D29" s="258">
        <f>'C5C'!D239</f>
        <v>2526661</v>
      </c>
      <c r="E29" s="44">
        <f>'C5C'!E239</f>
        <v>1388543</v>
      </c>
      <c r="F29" s="44">
        <f>'C5C'!F239</f>
        <v>0</v>
      </c>
      <c r="G29" s="44">
        <f>'C5C'!G239</f>
        <v>1111298.1299999999</v>
      </c>
      <c r="H29" s="44">
        <f>'C5C'!H239</f>
        <v>1157119.1666666667</v>
      </c>
      <c r="I29" s="44">
        <f>'C5C'!I239</f>
        <v>-45821.036666666856</v>
      </c>
      <c r="J29" s="330">
        <f t="shared" si="3"/>
        <v>-3.9599237474100712E-2</v>
      </c>
      <c r="K29" s="144">
        <f>'C5C'!K239</f>
        <v>1388543</v>
      </c>
      <c r="L29" s="697"/>
    </row>
    <row r="30" spans="1:12" ht="12.75" customHeight="1" x14ac:dyDescent="0.25">
      <c r="A30" s="407" t="str">
        <f>'Org structure'!A8</f>
        <v>Vote 7 - CORPORATE AND SHARED SERVICES</v>
      </c>
      <c r="B30" s="419"/>
      <c r="C30" s="134">
        <f>'C5C'!C252</f>
        <v>17778969.486000001</v>
      </c>
      <c r="D30" s="258">
        <f>'C5C'!D252</f>
        <v>31043486</v>
      </c>
      <c r="E30" s="44">
        <f>'C5C'!E252</f>
        <v>48858486</v>
      </c>
      <c r="F30" s="44">
        <f>'C5C'!F252</f>
        <v>50618531.284000002</v>
      </c>
      <c r="G30" s="44">
        <f>'C5C'!G252</f>
        <v>55391170.192500003</v>
      </c>
      <c r="H30" s="44">
        <f>'C5C'!H252</f>
        <v>40715405</v>
      </c>
      <c r="I30" s="44">
        <f>'C5C'!I252</f>
        <v>14675765.192500003</v>
      </c>
      <c r="J30" s="330">
        <f t="shared" si="3"/>
        <v>0.36044748154905992</v>
      </c>
      <c r="K30" s="144">
        <f>'C5C'!K252</f>
        <v>48858486</v>
      </c>
      <c r="L30" s="697"/>
    </row>
    <row r="31" spans="1:12" ht="12.75" customHeight="1" x14ac:dyDescent="0.25">
      <c r="A31" s="407" t="str">
        <f>'Org structure'!A9</f>
        <v>Vote 8 - PLANNING AND ECONOMIC DEVELOPMENT</v>
      </c>
      <c r="B31" s="419"/>
      <c r="C31" s="134">
        <f>'C5C'!C270</f>
        <v>777184.24849999999</v>
      </c>
      <c r="D31" s="258">
        <f>'C5C'!D270</f>
        <v>5805203</v>
      </c>
      <c r="E31" s="44">
        <f>'C5C'!E270</f>
        <v>7186685</v>
      </c>
      <c r="F31" s="44">
        <f>'C5C'!F270</f>
        <v>396750</v>
      </c>
      <c r="G31" s="44">
        <f>'C5C'!G270</f>
        <v>2071814.5159999998</v>
      </c>
      <c r="H31" s="44">
        <f>'C5C'!H270</f>
        <v>5988904.166666666</v>
      </c>
      <c r="I31" s="44">
        <f>'C5C'!I270</f>
        <v>-3917089.6506666662</v>
      </c>
      <c r="J31" s="330">
        <f t="shared" si="3"/>
        <v>-0.65405782788587508</v>
      </c>
      <c r="K31" s="144">
        <f>'C5C'!K270</f>
        <v>7186685</v>
      </c>
      <c r="L31" s="697"/>
    </row>
    <row r="32" spans="1:12" ht="12.75" customHeight="1" x14ac:dyDescent="0.25">
      <c r="A32" s="407" t="str">
        <f>'Org structure'!A10</f>
        <v xml:space="preserve">Vote 9 - BUDGET AND TREASURY OFFICE </v>
      </c>
      <c r="B32" s="419"/>
      <c r="C32" s="134">
        <f>'C5C'!C283</f>
        <v>3387769.3789999997</v>
      </c>
      <c r="D32" s="258">
        <f>'C5C'!D283</f>
        <v>1000398</v>
      </c>
      <c r="E32" s="44">
        <f>'C5C'!E283</f>
        <v>31685084</v>
      </c>
      <c r="F32" s="44">
        <f>'C5C'!F283</f>
        <v>0</v>
      </c>
      <c r="G32" s="44">
        <f>'C5C'!G283</f>
        <v>1110381.83</v>
      </c>
      <c r="H32" s="44">
        <f>'C5C'!H283</f>
        <v>26404236.666666664</v>
      </c>
      <c r="I32" s="44">
        <f>'C5C'!I283</f>
        <v>-25293854.836666666</v>
      </c>
      <c r="J32" s="330">
        <f t="shared" si="3"/>
        <v>-0.95794683088105437</v>
      </c>
      <c r="K32" s="144">
        <f>'C5C'!K283</f>
        <v>31685084</v>
      </c>
      <c r="L32" s="697"/>
    </row>
    <row r="33" spans="1:12" ht="12.75" customHeight="1" x14ac:dyDescent="0.25">
      <c r="A33" s="407" t="str">
        <f>'Org structure'!A11</f>
        <v>Vote 10 - TRANSPORT SERVICES</v>
      </c>
      <c r="B33" s="419"/>
      <c r="C33" s="134">
        <f>'C5C'!C292</f>
        <v>284587626.98649991</v>
      </c>
      <c r="D33" s="258">
        <f>'C5C'!D292</f>
        <v>534570062</v>
      </c>
      <c r="E33" s="44">
        <f>'C5C'!E292</f>
        <v>327077664</v>
      </c>
      <c r="F33" s="44">
        <f>'C5C'!F292</f>
        <v>15204129.555500001</v>
      </c>
      <c r="G33" s="44">
        <f>'C5C'!G292</f>
        <v>151611475.07535002</v>
      </c>
      <c r="H33" s="44">
        <f>'C5C'!H292</f>
        <v>272564720</v>
      </c>
      <c r="I33" s="44">
        <f>'C5C'!I292</f>
        <v>-120953244.92464998</v>
      </c>
      <c r="J33" s="330">
        <f t="shared" si="3"/>
        <v>-0.44375972401949154</v>
      </c>
      <c r="K33" s="144">
        <f>'C5C'!K292</f>
        <v>327077664</v>
      </c>
      <c r="L33" s="697"/>
    </row>
    <row r="34" spans="1:12" ht="12.75" customHeight="1" x14ac:dyDescent="0.25">
      <c r="A34" s="407" t="str">
        <f>'Org structure'!A12</f>
        <v>Vote 11 - HUMAN SETTLEMENT</v>
      </c>
      <c r="B34" s="419"/>
      <c r="C34" s="134">
        <f>'C5C'!C303</f>
        <v>0</v>
      </c>
      <c r="D34" s="258">
        <f>'C5C'!D303</f>
        <v>0</v>
      </c>
      <c r="E34" s="44">
        <f>'C5C'!E303</f>
        <v>0</v>
      </c>
      <c r="F34" s="44">
        <f>'C5C'!F303</f>
        <v>0</v>
      </c>
      <c r="G34" s="44">
        <f>'C5C'!G303</f>
        <v>0</v>
      </c>
      <c r="H34" s="44">
        <f>'C5C'!H303</f>
        <v>0</v>
      </c>
      <c r="I34" s="44">
        <f>'C5C'!I303</f>
        <v>0</v>
      </c>
      <c r="J34" s="330" t="str">
        <f t="shared" si="3"/>
        <v/>
      </c>
      <c r="K34" s="144">
        <f>'C5C'!K303</f>
        <v>0</v>
      </c>
      <c r="L34" s="697"/>
    </row>
    <row r="35" spans="1:12" ht="12.75" customHeight="1" x14ac:dyDescent="0.25">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5">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5">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5">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5">
      <c r="A39" s="350" t="s">
        <v>762</v>
      </c>
      <c r="B39" s="520">
        <v>4</v>
      </c>
      <c r="C39" s="261">
        <f t="shared" ref="C39:I39" si="4">SUM(C24:C38)</f>
        <v>1193444879.635</v>
      </c>
      <c r="D39" s="262">
        <f t="shared" si="4"/>
        <v>1201498682</v>
      </c>
      <c r="E39" s="161">
        <f t="shared" si="4"/>
        <v>1039881041.4196346</v>
      </c>
      <c r="F39" s="161">
        <f t="shared" si="4"/>
        <v>111884524.52599999</v>
      </c>
      <c r="G39" s="161">
        <f t="shared" si="4"/>
        <v>603015633.11534989</v>
      </c>
      <c r="H39" s="161">
        <f t="shared" si="4"/>
        <v>866567534.51636219</v>
      </c>
      <c r="I39" s="73">
        <f t="shared" si="4"/>
        <v>-263551901.40101215</v>
      </c>
      <c r="J39" s="331">
        <f t="shared" si="3"/>
        <v>-0.30413313550697746</v>
      </c>
      <c r="K39" s="263">
        <f>SUM(K24:K38)</f>
        <v>1039881041.4196346</v>
      </c>
      <c r="L39" s="100"/>
    </row>
    <row r="40" spans="1:12" ht="12.75" customHeight="1" x14ac:dyDescent="0.25">
      <c r="A40" s="92" t="s">
        <v>763</v>
      </c>
      <c r="B40" s="422"/>
      <c r="C40" s="243">
        <f t="shared" ref="C40:I40" si="5">C39+C21</f>
        <v>1193444879.635</v>
      </c>
      <c r="D40" s="260">
        <f t="shared" si="5"/>
        <v>1201498682</v>
      </c>
      <c r="E40" s="73">
        <f t="shared" si="5"/>
        <v>1039881041.4196346</v>
      </c>
      <c r="F40" s="73">
        <f t="shared" si="5"/>
        <v>111884524.52599999</v>
      </c>
      <c r="G40" s="73">
        <f t="shared" si="5"/>
        <v>603015633.11534989</v>
      </c>
      <c r="H40" s="73">
        <f t="shared" si="5"/>
        <v>866567534.51636219</v>
      </c>
      <c r="I40" s="73">
        <f t="shared" si="5"/>
        <v>-263551901.40101215</v>
      </c>
      <c r="J40" s="331">
        <f>IF(I40=0,"",I40/H40)</f>
        <v>-0.30413313550697746</v>
      </c>
      <c r="K40" s="145">
        <f>K39+K21</f>
        <v>1039881041.4196346</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1206</v>
      </c>
      <c r="B42" s="419"/>
      <c r="C42" s="134"/>
      <c r="D42" s="258"/>
      <c r="E42" s="44"/>
      <c r="F42" s="44"/>
      <c r="G42" s="44"/>
      <c r="H42" s="44"/>
      <c r="I42" s="44"/>
      <c r="J42" s="330"/>
      <c r="K42" s="144"/>
      <c r="L42" s="100"/>
    </row>
    <row r="43" spans="1:12" ht="12.75" customHeight="1" x14ac:dyDescent="0.25">
      <c r="A43" s="414" t="s">
        <v>138</v>
      </c>
      <c r="B43" s="421"/>
      <c r="C43" s="641">
        <f t="shared" ref="C43:H43" si="6">SUM(C44:C46)</f>
        <v>21166738.870000001</v>
      </c>
      <c r="D43" s="669">
        <f t="shared" si="6"/>
        <v>32679133</v>
      </c>
      <c r="E43" s="637">
        <f t="shared" si="6"/>
        <v>81178819</v>
      </c>
      <c r="F43" s="637">
        <f t="shared" si="6"/>
        <v>50618531.284000002</v>
      </c>
      <c r="G43" s="637">
        <f t="shared" si="6"/>
        <v>58098229.150650054</v>
      </c>
      <c r="H43" s="637">
        <f t="shared" si="6"/>
        <v>67649015.833333328</v>
      </c>
      <c r="I43" s="44">
        <f t="shared" ref="I43:I62" si="7">G43-H43</f>
        <v>-9550786.6826832741</v>
      </c>
      <c r="J43" s="330">
        <f>IF(I43=0,"",I43/H43)</f>
        <v>-0.14118145792709708</v>
      </c>
      <c r="K43" s="641">
        <f>SUM(K44:K46)</f>
        <v>81178819</v>
      </c>
      <c r="L43" s="100"/>
    </row>
    <row r="44" spans="1:12" ht="12.75" customHeight="1" x14ac:dyDescent="0.25">
      <c r="A44" s="416" t="s">
        <v>108</v>
      </c>
      <c r="B44" s="419"/>
      <c r="C44" s="735">
        <v>0</v>
      </c>
      <c r="D44" s="753">
        <v>0</v>
      </c>
      <c r="E44" s="733">
        <v>0</v>
      </c>
      <c r="F44" s="733">
        <v>0</v>
      </c>
      <c r="G44" s="733">
        <v>0</v>
      </c>
      <c r="H44" s="733">
        <f>E44/12*10</f>
        <v>0</v>
      </c>
      <c r="I44" s="44">
        <f t="shared" si="7"/>
        <v>0</v>
      </c>
      <c r="J44" s="330" t="str">
        <f t="shared" ref="J44:J63" si="8">IF(I44=0,"",I44/H44)</f>
        <v/>
      </c>
      <c r="K44" s="735"/>
      <c r="L44" s="100"/>
    </row>
    <row r="45" spans="1:12" ht="12.75" customHeight="1" x14ac:dyDescent="0.25">
      <c r="A45" s="416" t="s">
        <v>1115</v>
      </c>
      <c r="B45" s="419"/>
      <c r="C45" s="754">
        <v>21166738.870000001</v>
      </c>
      <c r="D45" s="755">
        <v>32679133</v>
      </c>
      <c r="E45" s="756">
        <v>81178819</v>
      </c>
      <c r="F45" s="756">
        <v>50618531.284000002</v>
      </c>
      <c r="G45" s="756">
        <v>58098229.150650054</v>
      </c>
      <c r="H45" s="756">
        <f>E45/12*10</f>
        <v>67649015.833333328</v>
      </c>
      <c r="I45" s="44">
        <f t="shared" si="7"/>
        <v>-9550786.6826832741</v>
      </c>
      <c r="J45" s="330">
        <f t="shared" si="8"/>
        <v>-0.14118145792709708</v>
      </c>
      <c r="K45" s="754">
        <f>E45</f>
        <v>81178819</v>
      </c>
      <c r="L45" s="100"/>
    </row>
    <row r="46" spans="1:12" ht="12.75" customHeight="1" x14ac:dyDescent="0.25">
      <c r="A46" s="416" t="s">
        <v>1126</v>
      </c>
      <c r="B46" s="419"/>
      <c r="C46" s="735">
        <v>0</v>
      </c>
      <c r="D46" s="753">
        <v>0</v>
      </c>
      <c r="E46" s="733">
        <v>0</v>
      </c>
      <c r="F46" s="733">
        <v>0</v>
      </c>
      <c r="G46" s="733">
        <v>0</v>
      </c>
      <c r="H46" s="733">
        <f>E46/12*10</f>
        <v>0</v>
      </c>
      <c r="I46" s="44">
        <f t="shared" si="7"/>
        <v>0</v>
      </c>
      <c r="J46" s="330" t="str">
        <f t="shared" si="8"/>
        <v/>
      </c>
      <c r="K46" s="735"/>
      <c r="L46" s="100"/>
    </row>
    <row r="47" spans="1:12" ht="12.75" customHeight="1" x14ac:dyDescent="0.25">
      <c r="A47" s="414" t="s">
        <v>109</v>
      </c>
      <c r="B47" s="419"/>
      <c r="C47" s="641">
        <f t="shared" ref="C47:H47" si="9">SUM(C48:C52)</f>
        <v>31525806.75</v>
      </c>
      <c r="D47" s="669">
        <f t="shared" si="9"/>
        <v>62860932</v>
      </c>
      <c r="E47" s="637">
        <f t="shared" si="9"/>
        <v>83787330</v>
      </c>
      <c r="F47" s="637">
        <f t="shared" si="9"/>
        <v>8889228.3355000019</v>
      </c>
      <c r="G47" s="637">
        <f t="shared" si="9"/>
        <v>36346621.194000006</v>
      </c>
      <c r="H47" s="637">
        <f t="shared" si="9"/>
        <v>69822775</v>
      </c>
      <c r="I47" s="44">
        <f t="shared" si="7"/>
        <v>-33476153.805999994</v>
      </c>
      <c r="J47" s="330">
        <f t="shared" si="8"/>
        <v>-0.47944461969608043</v>
      </c>
      <c r="K47" s="641">
        <f>SUM(K48:K52)</f>
        <v>83787330</v>
      </c>
      <c r="L47" s="100"/>
    </row>
    <row r="48" spans="1:12" ht="12.75" customHeight="1" x14ac:dyDescent="0.25">
      <c r="A48" s="416" t="s">
        <v>110</v>
      </c>
      <c r="B48" s="419"/>
      <c r="C48" s="735">
        <v>6535804.9500000002</v>
      </c>
      <c r="D48" s="753">
        <v>4421675</v>
      </c>
      <c r="E48" s="733">
        <v>4711277</v>
      </c>
      <c r="F48" s="733"/>
      <c r="G48" s="733">
        <v>1203032.25</v>
      </c>
      <c r="H48" s="733">
        <f>E48/12*10</f>
        <v>3926064.166666667</v>
      </c>
      <c r="I48" s="44">
        <f t="shared" si="7"/>
        <v>-2723031.916666667</v>
      </c>
      <c r="J48" s="330">
        <f t="shared" si="8"/>
        <v>-0.69357804688622637</v>
      </c>
      <c r="K48" s="735">
        <f>E48</f>
        <v>4711277</v>
      </c>
      <c r="L48" s="100"/>
    </row>
    <row r="49" spans="1:12" ht="12.75" customHeight="1" x14ac:dyDescent="0.25">
      <c r="A49" s="416" t="s">
        <v>111</v>
      </c>
      <c r="B49" s="419"/>
      <c r="C49" s="735">
        <v>24990001.800000001</v>
      </c>
      <c r="D49" s="753">
        <v>58439257</v>
      </c>
      <c r="E49" s="733">
        <v>79076053</v>
      </c>
      <c r="F49" s="733">
        <v>8889228.3355000019</v>
      </c>
      <c r="G49" s="733">
        <v>34951330.564000003</v>
      </c>
      <c r="H49" s="733">
        <f>E49/12*10</f>
        <v>65896710.833333328</v>
      </c>
      <c r="I49" s="44">
        <f t="shared" si="7"/>
        <v>-30945380.269333325</v>
      </c>
      <c r="J49" s="330">
        <f t="shared" si="8"/>
        <v>-0.46960432285612425</v>
      </c>
      <c r="K49" s="735">
        <f>E49</f>
        <v>79076053</v>
      </c>
      <c r="L49" s="100"/>
    </row>
    <row r="50" spans="1:12" ht="12.75" customHeight="1" x14ac:dyDescent="0.25">
      <c r="A50" s="416" t="s">
        <v>112</v>
      </c>
      <c r="B50" s="419"/>
      <c r="C50" s="735">
        <v>0</v>
      </c>
      <c r="D50" s="753">
        <v>0</v>
      </c>
      <c r="E50" s="733">
        <v>0</v>
      </c>
      <c r="F50" s="733">
        <v>0</v>
      </c>
      <c r="G50" s="733">
        <v>192258.38</v>
      </c>
      <c r="H50" s="733">
        <f>E50/12*10</f>
        <v>0</v>
      </c>
      <c r="I50" s="44">
        <f t="shared" si="7"/>
        <v>192258.38</v>
      </c>
      <c r="J50" s="330" t="e">
        <f t="shared" si="8"/>
        <v>#DIV/0!</v>
      </c>
      <c r="K50" s="735">
        <v>0</v>
      </c>
      <c r="L50" s="100"/>
    </row>
    <row r="51" spans="1:12" ht="12.75" customHeight="1" x14ac:dyDescent="0.25">
      <c r="A51" s="416" t="s">
        <v>713</v>
      </c>
      <c r="B51" s="419"/>
      <c r="C51" s="735">
        <v>0</v>
      </c>
      <c r="D51" s="753">
        <v>0</v>
      </c>
      <c r="E51" s="733">
        <v>0</v>
      </c>
      <c r="F51" s="733">
        <v>0</v>
      </c>
      <c r="G51" s="733">
        <v>0</v>
      </c>
      <c r="H51" s="733">
        <f>E51/12*10</f>
        <v>0</v>
      </c>
      <c r="I51" s="44">
        <f t="shared" si="7"/>
        <v>0</v>
      </c>
      <c r="J51" s="330" t="str">
        <f t="shared" si="8"/>
        <v/>
      </c>
      <c r="K51" s="735">
        <v>0</v>
      </c>
      <c r="L51" s="100"/>
    </row>
    <row r="52" spans="1:12" ht="12.75" customHeight="1" x14ac:dyDescent="0.25">
      <c r="A52" s="416" t="s">
        <v>612</v>
      </c>
      <c r="B52" s="419"/>
      <c r="C52" s="754">
        <v>0</v>
      </c>
      <c r="D52" s="755">
        <v>0</v>
      </c>
      <c r="E52" s="756">
        <v>0</v>
      </c>
      <c r="F52" s="756">
        <v>0</v>
      </c>
      <c r="G52" s="756"/>
      <c r="H52" s="756">
        <f>E52/12*10</f>
        <v>0</v>
      </c>
      <c r="I52" s="44">
        <f t="shared" si="7"/>
        <v>0</v>
      </c>
      <c r="J52" s="330" t="str">
        <f t="shared" si="8"/>
        <v/>
      </c>
      <c r="K52" s="754">
        <v>0</v>
      </c>
      <c r="L52" s="100"/>
    </row>
    <row r="53" spans="1:12" ht="12.75" customHeight="1" x14ac:dyDescent="0.25">
      <c r="A53" s="414" t="s">
        <v>113</v>
      </c>
      <c r="B53" s="419"/>
      <c r="C53" s="641">
        <f t="shared" ref="C53:H53" si="10">SUM(C54:C56)</f>
        <v>285364810.85000002</v>
      </c>
      <c r="D53" s="669">
        <f t="shared" si="10"/>
        <v>541248068</v>
      </c>
      <c r="E53" s="637">
        <f t="shared" si="10"/>
        <v>333561844</v>
      </c>
      <c r="F53" s="637">
        <f t="shared" si="10"/>
        <v>15600879.555500001</v>
      </c>
      <c r="G53" s="637">
        <f t="shared" si="10"/>
        <v>153733579.37135002</v>
      </c>
      <c r="H53" s="637">
        <f t="shared" si="10"/>
        <v>277968203.33333337</v>
      </c>
      <c r="I53" s="44">
        <f t="shared" si="7"/>
        <v>-124234623.96198335</v>
      </c>
      <c r="J53" s="330">
        <f t="shared" si="8"/>
        <v>-0.44693825578677399</v>
      </c>
      <c r="K53" s="641">
        <f>SUM(K54:K56)</f>
        <v>333561844</v>
      </c>
      <c r="L53" s="100"/>
    </row>
    <row r="54" spans="1:12" ht="12.75" customHeight="1" x14ac:dyDescent="0.25">
      <c r="A54" s="416" t="s">
        <v>114</v>
      </c>
      <c r="B54" s="419"/>
      <c r="C54" s="735">
        <v>777184.23</v>
      </c>
      <c r="D54" s="753">
        <v>5805203</v>
      </c>
      <c r="E54" s="733">
        <v>6436685</v>
      </c>
      <c r="F54" s="733">
        <v>396750</v>
      </c>
      <c r="G54" s="733">
        <v>2071814.52</v>
      </c>
      <c r="H54" s="733">
        <f t="shared" ref="H54:H56" si="11">E54/12*10</f>
        <v>5363904.166666666</v>
      </c>
      <c r="I54" s="44">
        <f t="shared" si="7"/>
        <v>-3292089.646666666</v>
      </c>
      <c r="J54" s="330">
        <f t="shared" si="8"/>
        <v>-0.61374878155448021</v>
      </c>
      <c r="K54" s="735">
        <f>E54</f>
        <v>6436685</v>
      </c>
      <c r="L54" s="100"/>
    </row>
    <row r="55" spans="1:12" ht="12.75" customHeight="1" x14ac:dyDescent="0.25">
      <c r="A55" s="416" t="s">
        <v>115</v>
      </c>
      <c r="B55" s="419"/>
      <c r="C55" s="735">
        <v>284587626.62</v>
      </c>
      <c r="D55" s="753">
        <v>535442865</v>
      </c>
      <c r="E55" s="733">
        <v>327125159</v>
      </c>
      <c r="F55" s="733">
        <f>18331191.5555-3127062</f>
        <v>15204129.555500001</v>
      </c>
      <c r="G55" s="733">
        <f>154788832.86135-3127068.01</f>
        <v>151661764.85135001</v>
      </c>
      <c r="H55" s="733">
        <f t="shared" si="11"/>
        <v>272604299.16666669</v>
      </c>
      <c r="I55" s="44">
        <f t="shared" si="7"/>
        <v>-120942534.31531668</v>
      </c>
      <c r="J55" s="330">
        <f t="shared" si="8"/>
        <v>-0.4436560050044332</v>
      </c>
      <c r="K55" s="735">
        <f>E55</f>
        <v>327125159</v>
      </c>
      <c r="L55" s="100"/>
    </row>
    <row r="56" spans="1:12" ht="12.75" customHeight="1" x14ac:dyDescent="0.25">
      <c r="A56" s="416" t="s">
        <v>116</v>
      </c>
      <c r="B56" s="419"/>
      <c r="C56" s="735">
        <v>0</v>
      </c>
      <c r="D56" s="753"/>
      <c r="E56" s="733">
        <v>0</v>
      </c>
      <c r="F56" s="733">
        <v>0</v>
      </c>
      <c r="G56" s="733">
        <v>0</v>
      </c>
      <c r="H56" s="733">
        <f t="shared" si="11"/>
        <v>0</v>
      </c>
      <c r="I56" s="44">
        <f t="shared" si="7"/>
        <v>0</v>
      </c>
      <c r="J56" s="330" t="str">
        <f t="shared" si="8"/>
        <v/>
      </c>
      <c r="K56" s="735">
        <v>0</v>
      </c>
      <c r="L56" s="100"/>
    </row>
    <row r="57" spans="1:12" ht="12.75" customHeight="1" x14ac:dyDescent="0.25">
      <c r="A57" s="414" t="s">
        <v>117</v>
      </c>
      <c r="B57" s="419"/>
      <c r="C57" s="641">
        <f t="shared" ref="C57:H57" si="12">SUM(C58:C61)</f>
        <v>855387523.16000009</v>
      </c>
      <c r="D57" s="669">
        <f t="shared" si="12"/>
        <v>564710549</v>
      </c>
      <c r="E57" s="637">
        <f t="shared" si="12"/>
        <v>541353049</v>
      </c>
      <c r="F57" s="637">
        <f t="shared" si="12"/>
        <v>36775885.350999996</v>
      </c>
      <c r="G57" s="637">
        <f t="shared" si="12"/>
        <v>354837203.82149994</v>
      </c>
      <c r="H57" s="637">
        <f t="shared" si="12"/>
        <v>451127540.83333331</v>
      </c>
      <c r="I57" s="44">
        <f t="shared" si="7"/>
        <v>-96290337.01183337</v>
      </c>
      <c r="J57" s="330">
        <f t="shared" si="8"/>
        <v>-0.21344371224590636</v>
      </c>
      <c r="K57" s="641">
        <f>SUM(K58:K61)</f>
        <v>541353049</v>
      </c>
      <c r="L57" s="100"/>
    </row>
    <row r="58" spans="1:12" ht="12.75" customHeight="1" x14ac:dyDescent="0.25">
      <c r="A58" s="416" t="s">
        <v>1183</v>
      </c>
      <c r="B58" s="419"/>
      <c r="C58" s="735">
        <v>33642191.060000002</v>
      </c>
      <c r="D58" s="753">
        <v>20200867</v>
      </c>
      <c r="E58" s="733">
        <v>77138638</v>
      </c>
      <c r="F58" s="733">
        <v>3713597.5259999996</v>
      </c>
      <c r="G58" s="733">
        <v>22571856.379999999</v>
      </c>
      <c r="H58" s="733">
        <f t="shared" ref="H58:H62" si="13">E58/12*10</f>
        <v>64282198.333333328</v>
      </c>
      <c r="I58" s="44">
        <f t="shared" si="7"/>
        <v>-41710341.953333333</v>
      </c>
      <c r="J58" s="330">
        <f t="shared" si="8"/>
        <v>-0.64886302949761709</v>
      </c>
      <c r="K58" s="735">
        <f>E58</f>
        <v>77138638</v>
      </c>
      <c r="L58" s="100"/>
    </row>
    <row r="59" spans="1:12" ht="12.75" customHeight="1" x14ac:dyDescent="0.25">
      <c r="A59" s="416" t="s">
        <v>1187</v>
      </c>
      <c r="B59" s="419"/>
      <c r="C59" s="735">
        <v>329555168.10000002</v>
      </c>
      <c r="D59" s="753">
        <v>250087332</v>
      </c>
      <c r="E59" s="733">
        <v>243508034</v>
      </c>
      <c r="F59" s="733">
        <v>18421176.789999999</v>
      </c>
      <c r="G59" s="733">
        <v>159097883.3705</v>
      </c>
      <c r="H59" s="733">
        <f t="shared" si="13"/>
        <v>202923361.66666669</v>
      </c>
      <c r="I59" s="44">
        <f t="shared" si="7"/>
        <v>-43825478.296166688</v>
      </c>
      <c r="J59" s="330">
        <f t="shared" si="8"/>
        <v>-0.21597059075020095</v>
      </c>
      <c r="K59" s="735">
        <f>E59</f>
        <v>243508034</v>
      </c>
      <c r="L59" s="100"/>
    </row>
    <row r="60" spans="1:12" ht="12.75" customHeight="1" x14ac:dyDescent="0.25">
      <c r="A60" s="416" t="s">
        <v>118</v>
      </c>
      <c r="B60" s="419"/>
      <c r="C60" s="754">
        <v>484406449.67000002</v>
      </c>
      <c r="D60" s="755">
        <v>286157000</v>
      </c>
      <c r="E60" s="756">
        <v>213526377</v>
      </c>
      <c r="F60" s="756">
        <v>14641111.035</v>
      </c>
      <c r="G60" s="756">
        <v>170912830.34049997</v>
      </c>
      <c r="H60" s="756">
        <f t="shared" si="13"/>
        <v>177938647.5</v>
      </c>
      <c r="I60" s="44">
        <f t="shared" si="7"/>
        <v>-7025817.1595000327</v>
      </c>
      <c r="J60" s="330">
        <f t="shared" si="8"/>
        <v>-3.9484492313565732E-2</v>
      </c>
      <c r="K60" s="735">
        <f>E60</f>
        <v>213526377</v>
      </c>
      <c r="L60" s="100"/>
    </row>
    <row r="61" spans="1:12" ht="12.75" customHeight="1" x14ac:dyDescent="0.25">
      <c r="A61" s="416" t="s">
        <v>119</v>
      </c>
      <c r="B61" s="419"/>
      <c r="C61" s="735">
        <v>7783714.3300000001</v>
      </c>
      <c r="D61" s="753">
        <v>8265350</v>
      </c>
      <c r="E61" s="733">
        <v>7180000</v>
      </c>
      <c r="F61" s="733"/>
      <c r="G61" s="733">
        <v>2254633.7305000001</v>
      </c>
      <c r="H61" s="733">
        <f t="shared" si="13"/>
        <v>5983333.333333334</v>
      </c>
      <c r="I61" s="44">
        <f t="shared" si="7"/>
        <v>-3728699.6028333339</v>
      </c>
      <c r="J61" s="330">
        <f t="shared" si="8"/>
        <v>-0.62318099211699163</v>
      </c>
      <c r="K61" s="735">
        <f>E61</f>
        <v>7180000</v>
      </c>
      <c r="L61" s="100"/>
    </row>
    <row r="62" spans="1:12" ht="12.75" customHeight="1" x14ac:dyDescent="0.25">
      <c r="A62" s="414" t="s">
        <v>720</v>
      </c>
      <c r="B62" s="419"/>
      <c r="C62" s="735"/>
      <c r="D62" s="753">
        <v>0</v>
      </c>
      <c r="E62" s="733">
        <v>0</v>
      </c>
      <c r="F62" s="733">
        <v>0</v>
      </c>
      <c r="G62" s="733"/>
      <c r="H62" s="733">
        <f t="shared" si="13"/>
        <v>0</v>
      </c>
      <c r="I62" s="44">
        <f t="shared" si="7"/>
        <v>0</v>
      </c>
      <c r="J62" s="330" t="str">
        <f t="shared" si="8"/>
        <v/>
      </c>
      <c r="K62" s="735"/>
      <c r="L62" s="100"/>
    </row>
    <row r="63" spans="1:12" ht="12.75" customHeight="1" x14ac:dyDescent="0.25">
      <c r="A63" s="537" t="s">
        <v>1205</v>
      </c>
      <c r="B63" s="539">
        <v>3</v>
      </c>
      <c r="C63" s="540">
        <f>C43+C47+C53+C57+C62</f>
        <v>1193444879.6300001</v>
      </c>
      <c r="D63" s="541">
        <f t="shared" ref="D63:I63" si="14">D43+D47+D53+D57+D62</f>
        <v>1201498682</v>
      </c>
      <c r="E63" s="478">
        <f t="shared" si="14"/>
        <v>1039881042</v>
      </c>
      <c r="F63" s="478">
        <f t="shared" si="14"/>
        <v>111884524.52600001</v>
      </c>
      <c r="G63" s="478">
        <f t="shared" si="14"/>
        <v>603015633.53750002</v>
      </c>
      <c r="H63" s="478">
        <f t="shared" si="14"/>
        <v>866567535</v>
      </c>
      <c r="I63" s="478">
        <f t="shared" si="14"/>
        <v>-263551901.46249998</v>
      </c>
      <c r="J63" s="542">
        <f t="shared" si="8"/>
        <v>-0.30413313540819409</v>
      </c>
      <c r="K63" s="543">
        <f>K43+K47+K53+K57+K62</f>
        <v>1039881042</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1027067743.7</v>
      </c>
      <c r="D66" s="753">
        <v>874054850</v>
      </c>
      <c r="E66" s="733">
        <v>847589340</v>
      </c>
      <c r="F66" s="733">
        <v>56498148.071499996</v>
      </c>
      <c r="G66" s="733">
        <v>501336082.58235013</v>
      </c>
      <c r="H66" s="733">
        <f t="shared" ref="H66:H69" si="15">E66/12*10</f>
        <v>706324450</v>
      </c>
      <c r="I66" s="44">
        <f t="shared" ref="I66:I74" si="16">G66-H66</f>
        <v>-204988367.41764987</v>
      </c>
      <c r="J66" s="330">
        <f t="shared" ref="J66:J74" si="17">IF(I66=0,"",I66/H66)</f>
        <v>-0.29021842216795674</v>
      </c>
      <c r="K66" s="735">
        <f>E66</f>
        <v>847589340</v>
      </c>
      <c r="L66" s="100"/>
    </row>
    <row r="67" spans="1:12" ht="12.75" customHeight="1" x14ac:dyDescent="0.25">
      <c r="A67" s="107" t="s">
        <v>605</v>
      </c>
      <c r="B67" s="169"/>
      <c r="C67" s="748"/>
      <c r="D67" s="753"/>
      <c r="E67" s="733">
        <v>0</v>
      </c>
      <c r="F67" s="733">
        <v>0</v>
      </c>
      <c r="G67" s="733">
        <v>0</v>
      </c>
      <c r="H67" s="733">
        <f t="shared" si="15"/>
        <v>0</v>
      </c>
      <c r="I67" s="44">
        <f t="shared" si="16"/>
        <v>0</v>
      </c>
      <c r="J67" s="330" t="str">
        <f t="shared" si="17"/>
        <v/>
      </c>
      <c r="K67" s="735"/>
      <c r="L67" s="100"/>
    </row>
    <row r="68" spans="1:12" ht="12.75" customHeight="1" x14ac:dyDescent="0.25">
      <c r="A68" s="107" t="s">
        <v>606</v>
      </c>
      <c r="B68" s="169"/>
      <c r="C68" s="748"/>
      <c r="D68" s="753">
        <v>0</v>
      </c>
      <c r="E68" s="733">
        <v>0</v>
      </c>
      <c r="F68" s="733">
        <v>0</v>
      </c>
      <c r="G68" s="733">
        <v>0</v>
      </c>
      <c r="H68" s="733">
        <f t="shared" si="15"/>
        <v>0</v>
      </c>
      <c r="I68" s="44">
        <f t="shared" si="16"/>
        <v>0</v>
      </c>
      <c r="J68" s="330" t="str">
        <f t="shared" si="17"/>
        <v/>
      </c>
      <c r="K68" s="1003"/>
      <c r="L68" s="100"/>
    </row>
    <row r="69" spans="1:12" ht="43.15" customHeight="1" x14ac:dyDescent="0.25">
      <c r="A69" s="992" t="str">
        <f>'C4-FinPerf RE'!A40</f>
        <v>Transfers and subsidies - capital (monetary allocations) (National / Provincial Departmental Agencies, Households, Non-profit Institutions, Private Enterprises, Public Corporatons, Higher Educational Institutions)</v>
      </c>
      <c r="B69" s="248"/>
      <c r="C69" s="749">
        <v>843356.755</v>
      </c>
      <c r="D69" s="757">
        <v>1500000</v>
      </c>
      <c r="E69" s="751">
        <v>1500000</v>
      </c>
      <c r="F69" s="751">
        <v>0</v>
      </c>
      <c r="G69" s="751">
        <v>0</v>
      </c>
      <c r="H69" s="751">
        <f t="shared" si="15"/>
        <v>1250000</v>
      </c>
      <c r="I69" s="99">
        <f t="shared" si="16"/>
        <v>-1250000</v>
      </c>
      <c r="J69" s="335">
        <f t="shared" si="17"/>
        <v>-1</v>
      </c>
      <c r="K69" s="752">
        <v>1500000</v>
      </c>
      <c r="L69" s="100"/>
    </row>
    <row r="70" spans="1:12" ht="12.75" customHeight="1" x14ac:dyDescent="0.25">
      <c r="A70" s="692" t="s">
        <v>961</v>
      </c>
      <c r="B70" s="169"/>
      <c r="C70" s="109">
        <f t="shared" ref="C70:H70" si="18">SUM(C66:C69)</f>
        <v>1027911100.455</v>
      </c>
      <c r="D70" s="259">
        <f t="shared" si="18"/>
        <v>875554850</v>
      </c>
      <c r="E70" s="50">
        <f t="shared" si="18"/>
        <v>849089340</v>
      </c>
      <c r="F70" s="50">
        <f t="shared" si="18"/>
        <v>56498148.071499996</v>
      </c>
      <c r="G70" s="50">
        <f t="shared" si="18"/>
        <v>501336082.58235013</v>
      </c>
      <c r="H70" s="50">
        <f t="shared" si="18"/>
        <v>707574450</v>
      </c>
      <c r="I70" s="50">
        <f t="shared" si="16"/>
        <v>-206238367.41764987</v>
      </c>
      <c r="J70" s="146">
        <f t="shared" si="17"/>
        <v>-0.29147232127679268</v>
      </c>
      <c r="K70" s="50">
        <f>SUM(K66:K69)</f>
        <v>849089340</v>
      </c>
      <c r="L70" s="698"/>
    </row>
    <row r="71" spans="1:12" ht="0.95" customHeight="1" x14ac:dyDescent="0.25">
      <c r="A71" s="106"/>
      <c r="B71" s="169"/>
      <c r="C71" s="648"/>
      <c r="D71" s="670"/>
      <c r="E71" s="408"/>
      <c r="F71" s="408"/>
      <c r="G71" s="408"/>
      <c r="H71" s="408"/>
      <c r="I71" s="408"/>
      <c r="J71" s="948"/>
      <c r="K71" s="642"/>
      <c r="L71" s="100"/>
    </row>
    <row r="72" spans="1:12" ht="12.75" customHeight="1" x14ac:dyDescent="0.25">
      <c r="A72" s="106" t="s">
        <v>781</v>
      </c>
      <c r="B72" s="169">
        <v>6</v>
      </c>
      <c r="C72" s="748">
        <v>68562080.180000007</v>
      </c>
      <c r="D72" s="753">
        <v>234922529</v>
      </c>
      <c r="E72" s="733">
        <v>0</v>
      </c>
      <c r="F72" s="733">
        <v>0</v>
      </c>
      <c r="G72" s="733">
        <v>0</v>
      </c>
      <c r="H72" s="733">
        <f t="shared" ref="H72:H73" si="19">E72/12*10</f>
        <v>0</v>
      </c>
      <c r="I72" s="44">
        <f t="shared" si="16"/>
        <v>0</v>
      </c>
      <c r="J72" s="330" t="str">
        <f t="shared" si="17"/>
        <v/>
      </c>
      <c r="K72" s="735">
        <f>E72</f>
        <v>0</v>
      </c>
      <c r="L72" s="100"/>
    </row>
    <row r="73" spans="1:12" ht="12.75" customHeight="1" x14ac:dyDescent="0.25">
      <c r="A73" s="106" t="s">
        <v>472</v>
      </c>
      <c r="B73" s="248"/>
      <c r="C73" s="749">
        <v>96971699</v>
      </c>
      <c r="D73" s="757">
        <v>91021303</v>
      </c>
      <c r="E73" s="751">
        <v>190791702</v>
      </c>
      <c r="F73" s="751">
        <v>55386376.164499998</v>
      </c>
      <c r="G73" s="751">
        <v>101679550.52899998</v>
      </c>
      <c r="H73" s="751">
        <f t="shared" si="19"/>
        <v>158993085</v>
      </c>
      <c r="I73" s="99">
        <f t="shared" si="16"/>
        <v>-57313534.471000016</v>
      </c>
      <c r="J73" s="335">
        <f t="shared" si="17"/>
        <v>-0.36047815834883645</v>
      </c>
      <c r="K73" s="735">
        <f>E73</f>
        <v>190791702</v>
      </c>
      <c r="L73" s="100"/>
    </row>
    <row r="74" spans="1:12" ht="12.75" customHeight="1" x14ac:dyDescent="0.25">
      <c r="A74" s="538" t="s">
        <v>894</v>
      </c>
      <c r="B74" s="119"/>
      <c r="C74" s="244">
        <f t="shared" ref="C74:H74" si="20">+C70+C72+C73</f>
        <v>1193444879.635</v>
      </c>
      <c r="D74" s="265">
        <f t="shared" si="20"/>
        <v>1201498682</v>
      </c>
      <c r="E74" s="76">
        <f t="shared" si="20"/>
        <v>1039881042</v>
      </c>
      <c r="F74" s="76">
        <f t="shared" si="20"/>
        <v>111884524.236</v>
      </c>
      <c r="G74" s="76">
        <f t="shared" si="20"/>
        <v>603015633.11135006</v>
      </c>
      <c r="H74" s="76">
        <f t="shared" si="20"/>
        <v>866567535</v>
      </c>
      <c r="I74" s="76">
        <f t="shared" si="16"/>
        <v>-263551901.88864994</v>
      </c>
      <c r="J74" s="333">
        <f t="shared" si="17"/>
        <v>-0.30413313589996183</v>
      </c>
      <c r="K74" s="234">
        <f>+K70+K72+K73</f>
        <v>1039881042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4" t="s">
        <v>143</v>
      </c>
      <c r="B77" s="1064"/>
      <c r="C77" s="1064"/>
      <c r="D77" s="1064"/>
      <c r="E77" s="1064"/>
      <c r="F77" s="1064"/>
      <c r="G77" s="1064"/>
      <c r="H77" s="1064"/>
      <c r="I77" s="1064"/>
      <c r="J77" s="1064"/>
      <c r="K77" s="1064"/>
    </row>
    <row r="78" spans="1:12" ht="12" customHeight="1" x14ac:dyDescent="0.25">
      <c r="A78" s="1064" t="s">
        <v>1207</v>
      </c>
      <c r="B78" s="1064"/>
      <c r="C78" s="1064"/>
      <c r="D78" s="1064"/>
      <c r="E78" s="1064"/>
      <c r="F78" s="1064"/>
      <c r="G78" s="1064"/>
      <c r="H78" s="1064"/>
      <c r="I78" s="1064"/>
      <c r="J78" s="1064"/>
      <c r="K78" s="1064"/>
    </row>
    <row r="79" spans="1:12" ht="12" customHeight="1" x14ac:dyDescent="0.25">
      <c r="A79" s="1065" t="s">
        <v>524</v>
      </c>
      <c r="B79" s="1064"/>
      <c r="C79" s="1064"/>
      <c r="D79" s="1064"/>
      <c r="E79" s="1064"/>
      <c r="F79" s="1064"/>
      <c r="G79" s="1064"/>
      <c r="H79" s="1064"/>
      <c r="I79" s="1064"/>
      <c r="J79" s="1064"/>
      <c r="K79" s="106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722</v>
      </c>
      <c r="B86" s="64"/>
      <c r="C86" s="693">
        <f>C40-C74</f>
        <v>0</v>
      </c>
      <c r="D86" s="693">
        <f t="shared" ref="D86:K86" si="21">D40-D74</f>
        <v>0</v>
      </c>
      <c r="E86" s="693">
        <f t="shared" si="21"/>
        <v>-0.58036541938781738</v>
      </c>
      <c r="F86" s="693">
        <f t="shared" si="21"/>
        <v>0.28999999165534973</v>
      </c>
      <c r="G86" s="693">
        <f t="shared" si="21"/>
        <v>3.9998292922973633E-3</v>
      </c>
      <c r="H86" s="693">
        <f t="shared" si="21"/>
        <v>-0.48363780975341797</v>
      </c>
      <c r="I86" s="693"/>
      <c r="J86" s="693"/>
      <c r="K86" s="693">
        <f t="shared" si="21"/>
        <v>-0.58036541938781738</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X394"/>
  <sheetViews>
    <sheetView showGridLines="0" showZeros="0" zoomScaleNormal="100" workbookViewId="0">
      <pane xSplit="2" ySplit="4" topLeftCell="C350" activePane="bottomRight" state="frozen"/>
      <selection pane="topRight"/>
      <selection pane="bottomLeft"/>
      <selection pane="bottomRight" activeCell="G299" sqref="G299"/>
    </sheetView>
  </sheetViews>
  <sheetFormatPr defaultColWidth="9.140625" defaultRowHeight="12.75" x14ac:dyDescent="0.25"/>
  <cols>
    <col min="1" max="1" width="31.85546875" style="25" customWidth="1"/>
    <col min="2" max="2" width="3" style="494" customWidth="1"/>
    <col min="3" max="7" width="9.28515625" style="25" customWidth="1"/>
    <col min="8" max="8" width="11.7109375" style="25" customWidth="1"/>
    <col min="9" max="11" width="9.28515625" style="25" customWidth="1"/>
    <col min="12" max="23" width="0" style="25" hidden="1" customWidth="1"/>
    <col min="24" max="16384" width="9.140625" style="25"/>
  </cols>
  <sheetData>
    <row r="1" spans="1:23" ht="15" customHeight="1" x14ac:dyDescent="0.25">
      <c r="A1" s="1054" t="str">
        <f>muni&amp; " - "&amp;S71D&amp; " - "&amp;"A"&amp; " - "&amp;date</f>
        <v>LIM354 Polokwane - Table C5 Monthly Budget Statement - Capital Expenditure (municipal vote, functional classification and funding) - A - M10 April</v>
      </c>
      <c r="B1" s="1054"/>
      <c r="C1" s="1054"/>
      <c r="D1" s="1054"/>
      <c r="E1" s="1054"/>
      <c r="F1" s="1054"/>
      <c r="G1" s="1054"/>
      <c r="H1" s="1054"/>
      <c r="I1" s="1054"/>
      <c r="J1" s="1054"/>
      <c r="K1" s="1054"/>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CHIEF OPERATIONS OFFICE(ADMINISTRATION)</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LEGISLATIVE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structure'!E5</f>
        <v>1.3 - LEGAL SERVICES</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 xml:space="preserve">1.4 - INTERGRATED DEVELOPMENT PLAN </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t="str">
        <f>'Org structure'!E7</f>
        <v>1.5 - COMMUNICATIONS AND MARKETING</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t="str">
        <f>'Org structure'!E8</f>
        <v>1.6 - PROJECT MANAGEMENT UNIT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structure'!E9</f>
        <v>1.7 - PERFORMANCE MANAGEMENT</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t="str">
        <f>'Org structure'!E10</f>
        <v>1.8 - CLUSTER</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structure'!E11</f>
        <v>1.9 - EXECUTIVE SUPPORT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COUNCILLORS</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structure'!E15</f>
        <v>2.2 - MUNICIPAL MANAGER</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structure'!E16</f>
        <v>2.3 - RISK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t="str">
        <f>'Org structure'!E17</f>
        <v xml:space="preserve">2.4 - INTERNAL AUDIT </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WATER AND SANITATION ADMIN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structure'!E26</f>
        <v>3.2 - RETICULATION, DISTRIBUTIION AND MAITENANCE, WATER DEMAND AND COSERVATION</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structure'!E27</f>
        <v>3.3 - OPERATIONS, WATER AND WASTE WATER, QUALITY MANAGEMENT AND LABORATORY SERVICES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t="str">
        <f>'Org structure'!E28</f>
        <v>3.4 - QUALITY MONITORING SERVICES</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t="str">
        <f>'Org structure'!E29</f>
        <v>3.5 - RETICULATION, DISTRIBUTIION AND MAITENANCE, WATER DEMAND AND COSERVATION</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t="str">
        <f>'Org structure'!E30</f>
        <v>3.6 - RETICULATION, DISTRIBUTIION AND MAITENANCE, WATER DEMAND AND COSERVATION</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t="str">
        <f>'Org structure'!E31</f>
        <v>3.7 - INFRASTRUCTURE DEVELOPMENT, PLANNING AND RETICULATION DESIGN</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ENERGY SERVICES ADMIN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t="str">
        <f>'Org structure'!E37</f>
        <v>4.2 - ENERGY OPERATIONS AND MAITENANCE ADMINISTRATION</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t="str">
        <f>'Org structure'!E38</f>
        <v>4.3 - ENERGY SERVICES: 66KV OPERATIONS, MAITENANCE. SCADA AND PROTECTION</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structure'!E39</f>
        <v>4.4 - ENERGY SERVICES: 11KV OPERATIONS, MAITENANCE. AND CONSTRUCTION</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t="str">
        <f>'Org structure'!E40</f>
        <v>4.5 - ENERGY SERVICES : PLANNING AND DEVELOPMENT</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DIRECTORATE COMMUNITY SERVICES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structure'!E48</f>
        <v>5.2 - SPORT AND RECREATION (ADMINISTRATION)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t="str">
        <f>'Org structure'!E49</f>
        <v>5.3 - SPORTS FACILITIES MAINTENANCE(NEW)</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t="str">
        <f>'Org structure'!E50</f>
        <v>5.4 - RECREATION SERVICES (SWIMMING POOLS)</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t="str">
        <f>'Org structure'!E51</f>
        <v>5.5 - SPORTS FACILITIES MAINTENANCE(HORTICULTURAL SERVICES)</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t="str">
        <f>'Org structure'!E57</f>
        <v>5.11 - ENVIRONMENTAL MANAGEMENT (ADMINISTRATION)</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t="str">
        <f>'Org structure'!E62</f>
        <v>5.16 - WASTE MANAGEMENT (EDUCATION AND AWARENESS)</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t="e">
        <f>'Org structure'!#REF!</f>
        <v>#REF!</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t="e">
        <f>'Org structure'!#REF!</f>
        <v>#REF!</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t="e">
        <f>'Org structure'!#REF!</f>
        <v>#REF!</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structure'!E64</f>
        <v>6.1 - PUBLIC SAFETY(ADMINISTRATION)</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t="str">
        <f>'Org structure'!E65</f>
        <v>6.2 - TRAFFIC AND LICENSING (ADMINISTRATION)</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t="str">
        <f>'Org structure'!E66</f>
        <v>6.3 - TRAFFIC AND LICENCES (LICENSING)</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t="str">
        <f>'Org structure'!E67</f>
        <v>6.4 - TRAFFIC AND LICENSING(VEHICLE TESTING AND DRIVERS LICENSE TESTING)</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t="str">
        <f>'Org structure'!E68</f>
        <v>6.5 - TRAFFIC AND LICENSING (TRAFFIC SERVICES)</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t="str">
        <f>'Org structure'!E74</f>
        <v>6.11 - ENVIRONMENTAL HEALTH SERVICES (ADMINISTRATION)</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t="str">
        <f>'Org structure'!E75</f>
        <v>6.12 - ENVIRONMENTAL HEALTH SERVICES (AIR POLUTION CONTROL)</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t="str">
        <f>'Org structure'!E76</f>
        <v>6.13 - ENVIRONMENTAL HEALTH SERVICES (HEALTH INSPECTION)</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structure'!E77</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structure'!E78</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structure'!E80</f>
        <v>7.1 - CORPORATE AND SHARED SERVICES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t="str">
        <f>'Org structure'!E81</f>
        <v>7.2 - CORPORATE SERVICES - INFORMATION COMMUNICATION TECHNOLOGY</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t="str">
        <f>'Org structure'!E82</f>
        <v>7.3 - HUMAN RESOURCE DEVELOPMENT (ADMINISTRATION)</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t="str">
        <f>'Org structure'!E83</f>
        <v>7.4 - HUMAN RESOURCES DEVELOPMENT (ORGANISATION DEVELOPMENT)</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t="str">
        <f>'Org structure'!E84</f>
        <v>7.5 - HUMAN RESOURCES DEVELOPMENT (LEARNING AND DEVELOPMENT)</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t="str">
        <f>'Org structure'!E94</f>
        <v>7.15 - FLEET MANAGEMENT SERVICES</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structure'!E95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structure'!E96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structure'!E97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structure'!E98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structure'!E100</f>
        <v>8.1 - DIRECTORATE PLANNING AND DEVELOPMENT</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t="str">
        <f>'Org structure'!E101</f>
        <v>8.2 - PROPERTY MANAGEMENT</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t="str">
        <f>'Org structure'!E102</f>
        <v xml:space="preserve">8.3 - CITY AND REGIONAL PLANNING </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t="str">
        <f>'Org structure'!E103</f>
        <v>8.4 - CORPORATE GEO-INFORMATICS</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t="str">
        <f>'Org structure'!E104</f>
        <v>8.5 - BUILDING INSPECTIONS (ADMINISTRATION)</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t="str">
        <f>'Org structure'!E105</f>
        <v>8.6 - ECONOMIC DEVELOPMENT AND TOURISM</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t="str">
        <f>'Org structure'!E106</f>
        <v>8.7 - LOCAL ECONOMIC DEVELOPMENT</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t="str">
        <f>'Org structure'!E107</f>
        <v>8.8 - INVESTMENT PROMOTION</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t="str">
        <f>'Org structure'!E108</f>
        <v>8.9 - LED (ECONOMIC PLANNING)</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t="str">
        <f>'Org structure'!E109</f>
        <v>8.10 - LOCAL ECONOMIC DEVELOPMENT</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structure'!E111</f>
        <v>9.1 - BUDGET AND TREASURY OFFICE (ADMINISTRATION)</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t="str">
        <f>'Org structure'!E112</f>
        <v>9.2 - EXPENDITURE MANAGEMENT</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t="str">
        <f>'Org structure'!E113</f>
        <v>9.3 - REVENUE MANAGEMENTAND CUSTOMER CARE</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t="str">
        <f>'Org structure'!E114</f>
        <v>9.4 - SUPPLY CHAIN MANAGEMENT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t="str">
        <f>'Org structure'!E115</f>
        <v>9.5 - ASSETS MANAGEMENT</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t="str">
        <f>'Org structure'!E116</f>
        <v>9.6 - BUDGET AND FINANCIAL REPORTING</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t="str">
        <f>'Org structure'!E117</f>
        <v>9.7 - BUSINESS AND FINANCIAL PLANNING</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structure'!E122</f>
        <v>10.1 - TRANSPORT SERVICES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t="str">
        <f>'Org structure'!E123</f>
        <v>10.2 - TRANSPORT SERVICES (PLANNING AND OPERATIONS)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t="str">
        <f>'Org structure'!E124</f>
        <v xml:space="preserve">10.3 - TRANSPORT SERVICES(INTELLIGENT TRANSPORT SYSTEM MODELLING) </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t="str">
        <f>'Org structure'!E125</f>
        <v>10.4 - TRANSPORT SERVICES (PUBLIC TRANSPORT REGULATION AND MONITIRING)</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t="str">
        <f>'Org structure'!E126</f>
        <v>10.5 - ROADS AND STORMWATER (ADMINISTRATION)</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t="str">
        <f>'Org structure'!E127</f>
        <v xml:space="preserve">10.6 - STORM WATER MANAGEMENT AND TRAFFIC ENGINEERING  </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t="str">
        <f>'Org structure'!E128</f>
        <v>10.7 - ROADS AND STORMWATER (ROADS AND STREETS)</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t="str">
        <f>'Org structure'!E129</f>
        <v>10.8 - ROADS AND STORMWATER (STORMWATER)</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structure'!E133</f>
        <v>11.1 - HUMAN SETTLEMENT</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t="str">
        <f>'Org structure'!E134</f>
        <v>11.2 - HUMAN SETTLEMENT - HOUSING ADMINISTRATION</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t="str">
        <f>'Org structure'!E135</f>
        <v>11.3 - HUMAN SETTLEMENT RENTAL HOUSING AND PROGRAMME IMPLEMANTATION</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tr">
        <f>'Org structure'!A2</f>
        <v>Vote 1 - CHIEF OPERATION OFFICE</v>
      </c>
      <c r="B176" s="467"/>
      <c r="C176" s="507">
        <f t="shared" ref="C176:K176" si="23">SUM(C177:C186)</f>
        <v>1243797.0704999999</v>
      </c>
      <c r="D176" s="471">
        <f t="shared" si="23"/>
        <v>2796088</v>
      </c>
      <c r="E176" s="468">
        <f t="shared" si="23"/>
        <v>9504499.4196346365</v>
      </c>
      <c r="F176" s="470">
        <f t="shared" si="23"/>
        <v>0</v>
      </c>
      <c r="G176" s="468">
        <f t="shared" si="23"/>
        <v>1622241.4855</v>
      </c>
      <c r="H176" s="470">
        <f t="shared" si="23"/>
        <v>7920416.1830288637</v>
      </c>
      <c r="I176" s="44">
        <f t="shared" si="16"/>
        <v>-6298174.6975288633</v>
      </c>
      <c r="J176" s="330">
        <f t="shared" si="17"/>
        <v>-0.79518229244367367</v>
      </c>
      <c r="K176" s="469">
        <f t="shared" si="23"/>
        <v>9504499.4196346365</v>
      </c>
      <c r="L176" s="446"/>
      <c r="M176" s="40"/>
      <c r="N176" s="40"/>
      <c r="O176" s="40"/>
      <c r="P176" s="40"/>
      <c r="Q176" s="40"/>
      <c r="R176" s="40"/>
      <c r="S176" s="40"/>
      <c r="T176" s="40"/>
      <c r="U176" s="40"/>
      <c r="V176" s="40"/>
      <c r="W176" s="40"/>
    </row>
    <row r="177" spans="1:23" ht="11.25" customHeight="1" x14ac:dyDescent="0.25">
      <c r="A177" s="407" t="s">
        <v>1482</v>
      </c>
      <c r="B177" s="445"/>
      <c r="C177" s="744">
        <v>743797.0689999999</v>
      </c>
      <c r="D177" s="745">
        <v>0</v>
      </c>
      <c r="E177" s="733">
        <v>0</v>
      </c>
      <c r="F177" s="733">
        <v>0</v>
      </c>
      <c r="G177" s="733">
        <v>0</v>
      </c>
      <c r="H177" s="746">
        <f>E177/12*10</f>
        <v>0</v>
      </c>
      <c r="I177" s="44">
        <f t="shared" si="16"/>
        <v>0</v>
      </c>
      <c r="J177" s="330" t="str">
        <f t="shared" si="17"/>
        <v/>
      </c>
      <c r="K177" s="747">
        <f>E177</f>
        <v>0</v>
      </c>
      <c r="L177" s="446"/>
      <c r="M177" s="40"/>
      <c r="N177" s="40"/>
      <c r="O177" s="40"/>
      <c r="P177" s="40"/>
      <c r="Q177" s="40"/>
      <c r="R177" s="40"/>
      <c r="S177" s="40"/>
      <c r="T177" s="40"/>
      <c r="U177" s="40"/>
      <c r="V177" s="40"/>
      <c r="W177" s="40"/>
    </row>
    <row r="178" spans="1:23" ht="11.25" customHeight="1" x14ac:dyDescent="0.25">
      <c r="A178" s="407" t="s">
        <v>1483</v>
      </c>
      <c r="B178" s="445"/>
      <c r="C178" s="744">
        <v>0</v>
      </c>
      <c r="D178" s="745">
        <v>0</v>
      </c>
      <c r="E178" s="733">
        <v>0</v>
      </c>
      <c r="F178" s="733">
        <v>0</v>
      </c>
      <c r="G178" s="733">
        <v>0</v>
      </c>
      <c r="H178" s="746">
        <f t="shared" ref="H178:H186" si="24">E178/12*10</f>
        <v>0</v>
      </c>
      <c r="I178" s="44">
        <f t="shared" si="16"/>
        <v>0</v>
      </c>
      <c r="J178" s="330" t="str">
        <f t="shared" si="17"/>
        <v/>
      </c>
      <c r="K178" s="747">
        <f t="shared" ref="K178:K186" si="25">E178</f>
        <v>0</v>
      </c>
      <c r="L178" s="446"/>
      <c r="M178" s="40"/>
      <c r="N178" s="40"/>
      <c r="O178" s="40"/>
      <c r="P178" s="40"/>
      <c r="Q178" s="40"/>
      <c r="R178" s="40"/>
      <c r="S178" s="40"/>
      <c r="T178" s="40"/>
      <c r="U178" s="40"/>
      <c r="V178" s="40"/>
      <c r="W178" s="40"/>
    </row>
    <row r="179" spans="1:23" ht="11.25" customHeight="1" x14ac:dyDescent="0.25">
      <c r="A179" s="407" t="s">
        <v>1484</v>
      </c>
      <c r="B179" s="445"/>
      <c r="C179" s="744">
        <v>0</v>
      </c>
      <c r="D179" s="745">
        <v>0</v>
      </c>
      <c r="E179" s="733">
        <v>0</v>
      </c>
      <c r="F179" s="733">
        <v>0</v>
      </c>
      <c r="G179" s="733">
        <v>0</v>
      </c>
      <c r="H179" s="746">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5">
      <c r="A180" s="407" t="s">
        <v>1485</v>
      </c>
      <c r="B180" s="445"/>
      <c r="C180" s="744">
        <v>0</v>
      </c>
      <c r="D180" s="745">
        <v>0</v>
      </c>
      <c r="E180" s="733">
        <v>0</v>
      </c>
      <c r="F180" s="733">
        <v>0</v>
      </c>
      <c r="G180" s="733">
        <v>0</v>
      </c>
      <c r="H180" s="746">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5">
      <c r="A181" s="407" t="s">
        <v>1486</v>
      </c>
      <c r="B181" s="445"/>
      <c r="C181" s="744">
        <v>0</v>
      </c>
      <c r="D181" s="745">
        <v>0</v>
      </c>
      <c r="E181" s="733">
        <v>0</v>
      </c>
      <c r="F181" s="733">
        <v>0</v>
      </c>
      <c r="G181" s="733">
        <v>0</v>
      </c>
      <c r="H181" s="746">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5">
      <c r="A182" s="407" t="s">
        <v>1487</v>
      </c>
      <c r="B182" s="445"/>
      <c r="C182" s="744">
        <v>0</v>
      </c>
      <c r="D182" s="745">
        <v>0</v>
      </c>
      <c r="E182" s="733">
        <v>0</v>
      </c>
      <c r="F182" s="733"/>
      <c r="G182" s="733">
        <v>0</v>
      </c>
      <c r="H182" s="746">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5">
      <c r="A183" s="407" t="s">
        <v>1488</v>
      </c>
      <c r="B183" s="445"/>
      <c r="C183" s="744">
        <v>0</v>
      </c>
      <c r="D183" s="745">
        <v>0</v>
      </c>
      <c r="E183" s="733">
        <v>0</v>
      </c>
      <c r="F183" s="733">
        <v>0</v>
      </c>
      <c r="G183" s="733">
        <v>0</v>
      </c>
      <c r="H183" s="746">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5">
      <c r="A184" s="407" t="s">
        <v>1489</v>
      </c>
      <c r="B184" s="445"/>
      <c r="C184" s="744">
        <v>500000.00150000001</v>
      </c>
      <c r="D184" s="745">
        <v>2796088</v>
      </c>
      <c r="E184" s="733">
        <v>9504499.4196346365</v>
      </c>
      <c r="F184" s="733">
        <v>0</v>
      </c>
      <c r="G184" s="733">
        <v>1622241.4855</v>
      </c>
      <c r="H184" s="733">
        <f t="shared" si="24"/>
        <v>7920416.1830288637</v>
      </c>
      <c r="I184" s="44">
        <f t="shared" si="16"/>
        <v>-6298174.6975288633</v>
      </c>
      <c r="J184" s="330">
        <f t="shared" si="17"/>
        <v>-0.79518229244367367</v>
      </c>
      <c r="K184" s="747">
        <f t="shared" si="25"/>
        <v>9504499.4196346365</v>
      </c>
      <c r="L184" s="446"/>
      <c r="M184" s="40"/>
      <c r="N184" s="40"/>
      <c r="O184" s="40"/>
      <c r="P184" s="40"/>
      <c r="Q184" s="40"/>
      <c r="R184" s="40"/>
      <c r="S184" s="40"/>
      <c r="T184" s="40"/>
      <c r="U184" s="40"/>
      <c r="V184" s="40"/>
      <c r="W184" s="40"/>
    </row>
    <row r="185" spans="1:23" ht="11.25" customHeight="1" x14ac:dyDescent="0.25">
      <c r="A185" s="407" t="s">
        <v>1490</v>
      </c>
      <c r="B185" s="445"/>
      <c r="C185" s="744">
        <v>0</v>
      </c>
      <c r="D185" s="745">
        <v>0</v>
      </c>
      <c r="E185" s="733">
        <v>0</v>
      </c>
      <c r="F185" s="733">
        <v>0</v>
      </c>
      <c r="G185" s="733">
        <v>0</v>
      </c>
      <c r="H185" s="746">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5">
      <c r="A186" s="407">
        <f>'Org structure'!E12</f>
        <v>0</v>
      </c>
      <c r="B186" s="445"/>
      <c r="C186" s="744">
        <v>0</v>
      </c>
      <c r="D186" s="745">
        <v>0</v>
      </c>
      <c r="E186" s="733">
        <v>0</v>
      </c>
      <c r="F186" s="733">
        <v>0</v>
      </c>
      <c r="G186" s="733">
        <v>0</v>
      </c>
      <c r="H186" s="746">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5">
      <c r="A187" s="466" t="str">
        <f>'Org structure'!A3</f>
        <v>Vote 2 - MUNICIPAL MANAGER'S OFFICE</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5">
      <c r="A188" s="407" t="s">
        <v>1491</v>
      </c>
      <c r="B188" s="445"/>
      <c r="C188" s="744">
        <v>0</v>
      </c>
      <c r="D188" s="745">
        <v>0</v>
      </c>
      <c r="E188" s="733">
        <v>0</v>
      </c>
      <c r="F188" s="746">
        <v>0</v>
      </c>
      <c r="G188" s="733">
        <v>0</v>
      </c>
      <c r="H188" s="746">
        <f t="shared" ref="H188:H197" si="27">E188/12*10</f>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5">
      <c r="A189" s="407" t="s">
        <v>1492</v>
      </c>
      <c r="B189" s="445"/>
      <c r="C189" s="744">
        <v>0</v>
      </c>
      <c r="D189" s="745">
        <v>0</v>
      </c>
      <c r="E189" s="733">
        <v>0</v>
      </c>
      <c r="F189" s="746">
        <v>0</v>
      </c>
      <c r="G189" s="733">
        <v>0</v>
      </c>
      <c r="H189" s="746">
        <f t="shared" si="27"/>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5">
      <c r="A190" s="407" t="s">
        <v>1493</v>
      </c>
      <c r="B190" s="445"/>
      <c r="C190" s="744">
        <v>0</v>
      </c>
      <c r="D190" s="745">
        <v>0</v>
      </c>
      <c r="E190" s="733">
        <v>0</v>
      </c>
      <c r="F190" s="746">
        <v>0</v>
      </c>
      <c r="G190" s="733">
        <v>0</v>
      </c>
      <c r="H190" s="746">
        <f t="shared" si="27"/>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5">
      <c r="A191" s="407" t="s">
        <v>1494</v>
      </c>
      <c r="B191" s="445"/>
      <c r="C191" s="744">
        <v>0</v>
      </c>
      <c r="D191" s="745">
        <v>0</v>
      </c>
      <c r="E191" s="733">
        <v>0</v>
      </c>
      <c r="F191" s="746">
        <v>0</v>
      </c>
      <c r="G191" s="733">
        <v>0</v>
      </c>
      <c r="H191" s="746">
        <f t="shared" si="27"/>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v>0</v>
      </c>
      <c r="D192" s="745">
        <v>0</v>
      </c>
      <c r="E192" s="733">
        <v>0</v>
      </c>
      <c r="F192" s="746">
        <v>0</v>
      </c>
      <c r="G192" s="733">
        <v>0</v>
      </c>
      <c r="H192" s="746">
        <f t="shared" si="27"/>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v>0</v>
      </c>
      <c r="D193" s="745">
        <v>0</v>
      </c>
      <c r="E193" s="733">
        <v>0</v>
      </c>
      <c r="F193" s="746">
        <v>0</v>
      </c>
      <c r="G193" s="733">
        <v>0</v>
      </c>
      <c r="H193" s="746">
        <f t="shared" si="27"/>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v>0</v>
      </c>
      <c r="D194" s="745">
        <v>0</v>
      </c>
      <c r="E194" s="733">
        <v>0</v>
      </c>
      <c r="F194" s="746">
        <v>0</v>
      </c>
      <c r="G194" s="733">
        <v>0</v>
      </c>
      <c r="H194" s="746">
        <f t="shared" si="27"/>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v>0</v>
      </c>
      <c r="D195" s="745">
        <v>0</v>
      </c>
      <c r="E195" s="733">
        <v>0</v>
      </c>
      <c r="F195" s="746">
        <v>0</v>
      </c>
      <c r="G195" s="733">
        <v>0</v>
      </c>
      <c r="H195" s="746">
        <f t="shared" si="27"/>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v>0</v>
      </c>
      <c r="D196" s="745">
        <v>0</v>
      </c>
      <c r="E196" s="733">
        <v>0</v>
      </c>
      <c r="F196" s="746">
        <v>0</v>
      </c>
      <c r="G196" s="733">
        <v>0</v>
      </c>
      <c r="H196" s="746">
        <f t="shared" si="27"/>
        <v>0</v>
      </c>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v>0</v>
      </c>
      <c r="D197" s="745">
        <v>0</v>
      </c>
      <c r="E197" s="733">
        <v>0</v>
      </c>
      <c r="F197" s="746">
        <v>0</v>
      </c>
      <c r="G197" s="733">
        <v>0</v>
      </c>
      <c r="H197" s="746">
        <f t="shared" si="27"/>
        <v>0</v>
      </c>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5">
      <c r="A198" s="466" t="str">
        <f>'Org structure'!A4</f>
        <v>Vote 3 - WATER AND SANITATION</v>
      </c>
      <c r="B198" s="440"/>
      <c r="C198" s="503">
        <f t="shared" ref="C198:K198" si="28">SUM(C199:C208)</f>
        <v>813961617.39700007</v>
      </c>
      <c r="D198" s="444">
        <f t="shared" si="28"/>
        <v>536244332</v>
      </c>
      <c r="E198" s="441">
        <f t="shared" si="28"/>
        <v>456284411</v>
      </c>
      <c r="F198" s="443">
        <f t="shared" si="28"/>
        <v>33062287.824999999</v>
      </c>
      <c r="G198" s="441">
        <f t="shared" si="28"/>
        <v>330010713.71149999</v>
      </c>
      <c r="H198" s="443">
        <f t="shared" si="28"/>
        <v>380237009.16666663</v>
      </c>
      <c r="I198" s="44">
        <f t="shared" si="16"/>
        <v>-50226295.455166638</v>
      </c>
      <c r="J198" s="330">
        <f t="shared" si="17"/>
        <v>-0.132092074796305</v>
      </c>
      <c r="K198" s="442">
        <f t="shared" si="28"/>
        <v>456284411</v>
      </c>
      <c r="L198" s="48"/>
      <c r="M198" s="473"/>
      <c r="N198" s="473"/>
      <c r="O198" s="473"/>
      <c r="P198" s="473"/>
      <c r="Q198" s="473"/>
      <c r="R198" s="473"/>
      <c r="S198" s="473"/>
      <c r="T198" s="473"/>
      <c r="U198" s="473"/>
      <c r="V198" s="473"/>
      <c r="W198" s="473"/>
    </row>
    <row r="199" spans="1:23" ht="11.25" customHeight="1" x14ac:dyDescent="0.25">
      <c r="A199" s="407" t="s">
        <v>1495</v>
      </c>
      <c r="B199" s="445"/>
      <c r="C199" s="394">
        <v>0</v>
      </c>
      <c r="D199" s="745">
        <v>0</v>
      </c>
      <c r="E199" s="733">
        <v>0</v>
      </c>
      <c r="F199" s="746">
        <v>0</v>
      </c>
      <c r="G199" s="733">
        <v>0</v>
      </c>
      <c r="H199" s="746">
        <f t="shared" ref="H199:H208" si="29">E199/12*10</f>
        <v>0</v>
      </c>
      <c r="I199" s="44">
        <f t="shared" si="16"/>
        <v>0</v>
      </c>
      <c r="J199" s="330" t="str">
        <f t="shared" si="17"/>
        <v/>
      </c>
      <c r="K199" s="747">
        <v>0</v>
      </c>
      <c r="L199" s="48"/>
      <c r="M199" s="473"/>
      <c r="N199" s="473"/>
      <c r="O199" s="473"/>
      <c r="P199" s="473"/>
      <c r="Q199" s="473"/>
      <c r="R199" s="473"/>
      <c r="S199" s="473"/>
      <c r="T199" s="473"/>
      <c r="U199" s="473"/>
      <c r="V199" s="473"/>
      <c r="W199" s="473"/>
    </row>
    <row r="200" spans="1:23" ht="11.25" customHeight="1" x14ac:dyDescent="0.25">
      <c r="A200" s="407" t="s">
        <v>1496</v>
      </c>
      <c r="B200" s="445"/>
      <c r="C200" s="394">
        <v>0</v>
      </c>
      <c r="D200" s="745">
        <v>0</v>
      </c>
      <c r="E200" s="733">
        <v>0</v>
      </c>
      <c r="F200" s="746">
        <v>0</v>
      </c>
      <c r="G200" s="733">
        <v>0</v>
      </c>
      <c r="H200" s="746">
        <f t="shared" si="29"/>
        <v>0</v>
      </c>
      <c r="I200" s="44">
        <f t="shared" ref="I200:I282" si="30">G200-H200</f>
        <v>0</v>
      </c>
      <c r="J200" s="330" t="str">
        <f t="shared" ref="J200:J282" si="31">IF(I200=0,"",I200/H200)</f>
        <v/>
      </c>
      <c r="K200" s="395">
        <f t="shared" ref="K200:K202" si="32">E200</f>
        <v>0</v>
      </c>
      <c r="L200" s="48"/>
      <c r="M200" s="473"/>
      <c r="N200" s="473"/>
      <c r="O200" s="473"/>
      <c r="P200" s="473"/>
      <c r="Q200" s="473"/>
      <c r="R200" s="473"/>
      <c r="S200" s="473"/>
      <c r="T200" s="473"/>
      <c r="U200" s="473"/>
      <c r="V200" s="473"/>
      <c r="W200" s="473"/>
    </row>
    <row r="201" spans="1:23" ht="11.25" customHeight="1" x14ac:dyDescent="0.25">
      <c r="A201" s="407" t="s">
        <v>1497</v>
      </c>
      <c r="B201" s="445"/>
      <c r="C201" s="394">
        <v>0</v>
      </c>
      <c r="D201" s="383">
        <v>0</v>
      </c>
      <c r="E201" s="384">
        <v>0</v>
      </c>
      <c r="F201" s="472">
        <v>0</v>
      </c>
      <c r="G201" s="384">
        <v>0</v>
      </c>
      <c r="H201" s="746">
        <f t="shared" si="29"/>
        <v>0</v>
      </c>
      <c r="I201" s="44">
        <f t="shared" si="30"/>
        <v>0</v>
      </c>
      <c r="J201" s="330" t="str">
        <f t="shared" si="31"/>
        <v/>
      </c>
      <c r="K201" s="395">
        <f t="shared" si="32"/>
        <v>0</v>
      </c>
      <c r="L201" s="48"/>
      <c r="M201" s="473"/>
      <c r="N201" s="473"/>
      <c r="O201" s="473"/>
      <c r="P201" s="473"/>
      <c r="Q201" s="473"/>
      <c r="R201" s="473"/>
      <c r="S201" s="473"/>
      <c r="T201" s="473"/>
      <c r="U201" s="473"/>
      <c r="V201" s="473"/>
      <c r="W201" s="473"/>
    </row>
    <row r="202" spans="1:23" ht="11.25" customHeight="1" x14ac:dyDescent="0.25">
      <c r="A202" s="407" t="s">
        <v>1498</v>
      </c>
      <c r="B202" s="445"/>
      <c r="C202" s="394">
        <v>329555167.73050004</v>
      </c>
      <c r="D202" s="383">
        <v>0</v>
      </c>
      <c r="E202" s="384">
        <v>256053</v>
      </c>
      <c r="F202" s="472">
        <v>0</v>
      </c>
      <c r="G202" s="384">
        <v>0</v>
      </c>
      <c r="H202" s="746">
        <f t="shared" si="29"/>
        <v>213377.5</v>
      </c>
      <c r="I202" s="44">
        <f t="shared" si="30"/>
        <v>-213377.5</v>
      </c>
      <c r="J202" s="330">
        <f t="shared" si="31"/>
        <v>-1</v>
      </c>
      <c r="K202" s="395">
        <f t="shared" si="32"/>
        <v>256053</v>
      </c>
      <c r="L202" s="48"/>
      <c r="M202" s="473"/>
      <c r="N202" s="473"/>
      <c r="O202" s="473"/>
      <c r="P202" s="473"/>
      <c r="Q202" s="473"/>
      <c r="R202" s="473"/>
      <c r="S202" s="473"/>
      <c r="T202" s="473"/>
      <c r="U202" s="473"/>
      <c r="V202" s="473"/>
      <c r="W202" s="473"/>
    </row>
    <row r="203" spans="1:23" ht="11.25" customHeight="1" x14ac:dyDescent="0.25">
      <c r="A203" s="407" t="s">
        <v>1499</v>
      </c>
      <c r="B203" s="445"/>
      <c r="C203" s="394">
        <v>484406449.66649997</v>
      </c>
      <c r="D203" s="383">
        <v>536244332</v>
      </c>
      <c r="E203" s="384">
        <v>456028358</v>
      </c>
      <c r="F203" s="472">
        <v>33062287.824999999</v>
      </c>
      <c r="G203" s="384">
        <v>330010713.71149999</v>
      </c>
      <c r="H203" s="384">
        <f t="shared" si="29"/>
        <v>380023631.66666663</v>
      </c>
      <c r="I203" s="44">
        <f t="shared" si="30"/>
        <v>-50012917.955166638</v>
      </c>
      <c r="J203" s="330">
        <f t="shared" si="31"/>
        <v>-0.13160475767210944</v>
      </c>
      <c r="K203" s="395">
        <f>E203</f>
        <v>456028358</v>
      </c>
      <c r="L203" s="48"/>
      <c r="M203" s="473"/>
      <c r="N203" s="473"/>
      <c r="O203" s="473"/>
      <c r="P203" s="473"/>
      <c r="Q203" s="473"/>
      <c r="R203" s="473"/>
      <c r="S203" s="473"/>
      <c r="T203" s="473"/>
      <c r="U203" s="473"/>
      <c r="V203" s="473"/>
      <c r="W203" s="473"/>
    </row>
    <row r="204" spans="1:23" ht="11.25" customHeight="1" x14ac:dyDescent="0.25">
      <c r="A204" s="407" t="s">
        <v>1500</v>
      </c>
      <c r="B204" s="445"/>
      <c r="C204" s="394">
        <v>0</v>
      </c>
      <c r="D204" s="383">
        <v>0</v>
      </c>
      <c r="E204" s="384">
        <v>0</v>
      </c>
      <c r="F204" s="472">
        <v>0</v>
      </c>
      <c r="G204" s="384">
        <v>0</v>
      </c>
      <c r="H204" s="746">
        <f t="shared" si="29"/>
        <v>0</v>
      </c>
      <c r="I204" s="44">
        <f t="shared" si="30"/>
        <v>0</v>
      </c>
      <c r="J204" s="330" t="str">
        <f t="shared" si="31"/>
        <v/>
      </c>
      <c r="K204" s="395"/>
      <c r="L204" s="48"/>
      <c r="M204" s="473"/>
      <c r="N204" s="473"/>
      <c r="O204" s="473"/>
      <c r="P204" s="473"/>
      <c r="Q204" s="473"/>
      <c r="R204" s="473"/>
      <c r="S204" s="473"/>
      <c r="T204" s="473"/>
      <c r="U204" s="473"/>
      <c r="V204" s="473"/>
      <c r="W204" s="473"/>
    </row>
    <row r="205" spans="1:23" ht="11.25" customHeight="1" x14ac:dyDescent="0.25">
      <c r="A205" s="407" t="s">
        <v>1501</v>
      </c>
      <c r="B205" s="445"/>
      <c r="C205" s="394">
        <v>0</v>
      </c>
      <c r="D205" s="383">
        <v>0</v>
      </c>
      <c r="E205" s="384">
        <v>0</v>
      </c>
      <c r="F205" s="472">
        <v>0</v>
      </c>
      <c r="G205" s="384">
        <v>0</v>
      </c>
      <c r="H205" s="746">
        <f t="shared" si="29"/>
        <v>0</v>
      </c>
      <c r="I205" s="44">
        <f t="shared" si="30"/>
        <v>0</v>
      </c>
      <c r="J205" s="330" t="str">
        <f t="shared" si="31"/>
        <v/>
      </c>
      <c r="K205" s="395">
        <v>0</v>
      </c>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v>0</v>
      </c>
      <c r="D206" s="383">
        <v>0</v>
      </c>
      <c r="E206" s="384">
        <v>0</v>
      </c>
      <c r="F206" s="472">
        <v>0</v>
      </c>
      <c r="G206" s="384">
        <v>0</v>
      </c>
      <c r="H206" s="746">
        <f t="shared" si="29"/>
        <v>0</v>
      </c>
      <c r="I206" s="44">
        <f t="shared" si="30"/>
        <v>0</v>
      </c>
      <c r="J206" s="330" t="str">
        <f t="shared" si="31"/>
        <v/>
      </c>
      <c r="K206" s="395">
        <v>0</v>
      </c>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v>0</v>
      </c>
      <c r="D207" s="383">
        <v>0</v>
      </c>
      <c r="E207" s="384">
        <v>0</v>
      </c>
      <c r="F207" s="472"/>
      <c r="G207" s="384">
        <v>0</v>
      </c>
      <c r="H207" s="746">
        <f t="shared" si="29"/>
        <v>0</v>
      </c>
      <c r="I207" s="44">
        <f t="shared" si="30"/>
        <v>0</v>
      </c>
      <c r="J207" s="330" t="str">
        <f t="shared" si="31"/>
        <v/>
      </c>
      <c r="K207" s="395">
        <v>0</v>
      </c>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v>0</v>
      </c>
      <c r="D208" s="383">
        <v>0</v>
      </c>
      <c r="E208" s="384">
        <v>0</v>
      </c>
      <c r="F208" s="472">
        <v>0</v>
      </c>
      <c r="G208" s="384">
        <v>0</v>
      </c>
      <c r="H208" s="746">
        <f t="shared" si="29"/>
        <v>0</v>
      </c>
      <c r="I208" s="44">
        <f t="shared" si="30"/>
        <v>0</v>
      </c>
      <c r="J208" s="330" t="str">
        <f t="shared" si="31"/>
        <v/>
      </c>
      <c r="K208" s="395">
        <v>0</v>
      </c>
      <c r="L208" s="48"/>
      <c r="M208" s="473"/>
      <c r="N208" s="473"/>
      <c r="O208" s="473"/>
      <c r="P208" s="473"/>
      <c r="Q208" s="473"/>
      <c r="R208" s="473"/>
      <c r="S208" s="473"/>
      <c r="T208" s="473"/>
      <c r="U208" s="473"/>
      <c r="V208" s="473"/>
      <c r="W208" s="473"/>
    </row>
    <row r="209" spans="1:23" ht="11.25" customHeight="1" x14ac:dyDescent="0.25">
      <c r="A209" s="466" t="str">
        <f>'Org structure'!A5</f>
        <v>Vote 4 - ENERGY</v>
      </c>
      <c r="B209" s="440"/>
      <c r="C209" s="503">
        <f t="shared" ref="C209:K209" si="33">SUM(C210:C219)</f>
        <v>33642191.059500001</v>
      </c>
      <c r="D209" s="444">
        <f t="shared" si="33"/>
        <v>20200867</v>
      </c>
      <c r="E209" s="441">
        <f t="shared" si="33"/>
        <v>69738638</v>
      </c>
      <c r="F209" s="443">
        <f t="shared" si="33"/>
        <v>3713597.5259999996</v>
      </c>
      <c r="G209" s="441">
        <f t="shared" si="33"/>
        <v>22571856.380000003</v>
      </c>
      <c r="H209" s="443">
        <f t="shared" si="33"/>
        <v>58115531.666666672</v>
      </c>
      <c r="I209" s="44">
        <f t="shared" si="30"/>
        <v>-35543675.286666669</v>
      </c>
      <c r="J209" s="330">
        <f t="shared" si="31"/>
        <v>-0.61160371878785469</v>
      </c>
      <c r="K209" s="442">
        <f t="shared" si="33"/>
        <v>69738638</v>
      </c>
      <c r="L209" s="48"/>
      <c r="M209" s="473"/>
      <c r="N209" s="473"/>
      <c r="O209" s="473"/>
      <c r="P209" s="473"/>
      <c r="Q209" s="473"/>
      <c r="R209" s="473"/>
      <c r="S209" s="473"/>
      <c r="T209" s="473"/>
      <c r="U209" s="473"/>
      <c r="V209" s="473"/>
      <c r="W209" s="473"/>
    </row>
    <row r="210" spans="1:23" ht="11.25" customHeight="1" x14ac:dyDescent="0.25">
      <c r="A210" s="407" t="s">
        <v>1502</v>
      </c>
      <c r="B210" s="445"/>
      <c r="C210" s="394">
        <v>0</v>
      </c>
      <c r="D210" s="383">
        <v>20200867</v>
      </c>
      <c r="E210" s="384">
        <v>69738638</v>
      </c>
      <c r="F210" s="472">
        <v>3713597.5259999996</v>
      </c>
      <c r="G210" s="384">
        <v>22571856.380000003</v>
      </c>
      <c r="H210" s="384">
        <f t="shared" ref="H210:H219" si="34">E210/12*10</f>
        <v>58115531.666666672</v>
      </c>
      <c r="I210" s="44">
        <f t="shared" si="30"/>
        <v>-35543675.286666669</v>
      </c>
      <c r="J210" s="330">
        <f t="shared" si="31"/>
        <v>-0.61160371878785469</v>
      </c>
      <c r="K210" s="395">
        <f>E210</f>
        <v>69738638</v>
      </c>
      <c r="L210" s="48"/>
      <c r="M210" s="473"/>
      <c r="N210" s="473"/>
      <c r="O210" s="473"/>
      <c r="P210" s="473"/>
      <c r="Q210" s="473"/>
      <c r="R210" s="473"/>
      <c r="S210" s="473"/>
      <c r="T210" s="473"/>
      <c r="U210" s="473"/>
      <c r="V210" s="473"/>
      <c r="W210" s="473"/>
    </row>
    <row r="211" spans="1:23" ht="11.25" customHeight="1" x14ac:dyDescent="0.25">
      <c r="A211" s="407" t="s">
        <v>1503</v>
      </c>
      <c r="B211" s="445"/>
      <c r="C211" s="394">
        <v>0</v>
      </c>
      <c r="D211" s="383">
        <v>0</v>
      </c>
      <c r="E211" s="384">
        <v>0</v>
      </c>
      <c r="F211" s="472">
        <v>0</v>
      </c>
      <c r="G211" s="384">
        <v>0</v>
      </c>
      <c r="H211" s="472">
        <f t="shared" si="34"/>
        <v>0</v>
      </c>
      <c r="I211" s="44">
        <f t="shared" si="30"/>
        <v>0</v>
      </c>
      <c r="J211" s="330" t="str">
        <f t="shared" si="31"/>
        <v/>
      </c>
      <c r="K211" s="395">
        <v>0</v>
      </c>
      <c r="L211" s="48"/>
      <c r="M211" s="473"/>
      <c r="N211" s="473"/>
      <c r="O211" s="473"/>
      <c r="P211" s="473"/>
      <c r="Q211" s="473"/>
      <c r="R211" s="473"/>
      <c r="S211" s="473"/>
      <c r="T211" s="473"/>
      <c r="U211" s="473"/>
      <c r="V211" s="473"/>
      <c r="W211" s="473"/>
    </row>
    <row r="212" spans="1:23" ht="11.25" customHeight="1" x14ac:dyDescent="0.25">
      <c r="A212" s="407" t="s">
        <v>1504</v>
      </c>
      <c r="B212" s="445"/>
      <c r="C212" s="394">
        <v>0</v>
      </c>
      <c r="D212" s="383">
        <v>0</v>
      </c>
      <c r="E212" s="384">
        <v>0</v>
      </c>
      <c r="F212" s="472">
        <v>0</v>
      </c>
      <c r="G212" s="384">
        <v>0</v>
      </c>
      <c r="H212" s="472">
        <f t="shared" si="34"/>
        <v>0</v>
      </c>
      <c r="I212" s="44">
        <f t="shared" si="30"/>
        <v>0</v>
      </c>
      <c r="J212" s="330" t="str">
        <f t="shared" si="31"/>
        <v/>
      </c>
      <c r="K212" s="395">
        <v>0</v>
      </c>
      <c r="L212" s="48"/>
      <c r="M212" s="473"/>
      <c r="N212" s="473"/>
      <c r="O212" s="473"/>
      <c r="P212" s="473"/>
      <c r="Q212" s="473"/>
      <c r="R212" s="473"/>
      <c r="S212" s="473"/>
      <c r="T212" s="473"/>
      <c r="U212" s="473"/>
      <c r="V212" s="473"/>
      <c r="W212" s="473"/>
    </row>
    <row r="213" spans="1:23" ht="11.25" customHeight="1" x14ac:dyDescent="0.25">
      <c r="A213" s="407" t="s">
        <v>1505</v>
      </c>
      <c r="B213" s="445"/>
      <c r="C213" s="394">
        <v>0</v>
      </c>
      <c r="D213" s="383">
        <v>0</v>
      </c>
      <c r="E213" s="384">
        <v>0</v>
      </c>
      <c r="F213" s="472">
        <v>0</v>
      </c>
      <c r="G213" s="384">
        <v>0</v>
      </c>
      <c r="H213" s="472">
        <f t="shared" si="34"/>
        <v>0</v>
      </c>
      <c r="I213" s="44">
        <f t="shared" si="30"/>
        <v>0</v>
      </c>
      <c r="J213" s="330" t="str">
        <f t="shared" si="31"/>
        <v/>
      </c>
      <c r="K213" s="395">
        <v>0</v>
      </c>
      <c r="L213" s="48"/>
      <c r="M213" s="473"/>
      <c r="N213" s="473"/>
      <c r="O213" s="473"/>
      <c r="P213" s="473"/>
      <c r="Q213" s="473"/>
      <c r="R213" s="473"/>
      <c r="S213" s="473"/>
      <c r="T213" s="473"/>
      <c r="U213" s="473"/>
      <c r="V213" s="473"/>
      <c r="W213" s="473"/>
    </row>
    <row r="214" spans="1:23" ht="11.25" customHeight="1" x14ac:dyDescent="0.25">
      <c r="A214" s="407" t="s">
        <v>1506</v>
      </c>
      <c r="B214" s="445"/>
      <c r="C214" s="394">
        <f>35080616.9795-1438425.92</f>
        <v>33642191.059500001</v>
      </c>
      <c r="D214" s="383">
        <v>0</v>
      </c>
      <c r="E214" s="384">
        <v>0</v>
      </c>
      <c r="F214" s="472">
        <v>0</v>
      </c>
      <c r="G214" s="384">
        <v>0</v>
      </c>
      <c r="H214" s="472">
        <f t="shared" si="34"/>
        <v>0</v>
      </c>
      <c r="I214" s="44">
        <f t="shared" si="30"/>
        <v>0</v>
      </c>
      <c r="J214" s="330" t="str">
        <f t="shared" si="31"/>
        <v/>
      </c>
      <c r="K214" s="395">
        <v>0</v>
      </c>
      <c r="L214" s="48"/>
      <c r="M214" s="473"/>
      <c r="N214" s="473"/>
      <c r="O214" s="473"/>
      <c r="P214" s="473"/>
      <c r="Q214" s="473"/>
      <c r="R214" s="473"/>
      <c r="S214" s="473"/>
      <c r="T214" s="473"/>
      <c r="U214" s="473"/>
      <c r="V214" s="473"/>
      <c r="W214" s="473"/>
    </row>
    <row r="215" spans="1:23" ht="11.25" customHeight="1" x14ac:dyDescent="0.25">
      <c r="A215" s="407">
        <f>'Org structure'!E41</f>
        <v>0</v>
      </c>
      <c r="B215" s="445"/>
      <c r="C215" s="394">
        <v>0</v>
      </c>
      <c r="D215" s="383">
        <v>0</v>
      </c>
      <c r="E215" s="384">
        <v>0</v>
      </c>
      <c r="F215" s="472">
        <v>0</v>
      </c>
      <c r="G215" s="384">
        <v>0</v>
      </c>
      <c r="H215" s="472">
        <f t="shared" si="34"/>
        <v>0</v>
      </c>
      <c r="I215" s="44">
        <f t="shared" si="30"/>
        <v>0</v>
      </c>
      <c r="J215" s="330" t="str">
        <f t="shared" si="31"/>
        <v/>
      </c>
      <c r="K215" s="395">
        <v>0</v>
      </c>
      <c r="L215" s="48"/>
      <c r="M215" s="473"/>
      <c r="N215" s="473"/>
      <c r="O215" s="473"/>
      <c r="P215" s="473"/>
      <c r="Q215" s="473"/>
      <c r="R215" s="473"/>
      <c r="S215" s="473"/>
      <c r="T215" s="473"/>
      <c r="U215" s="473"/>
      <c r="V215" s="473"/>
      <c r="W215" s="473"/>
    </row>
    <row r="216" spans="1:23" ht="11.25" customHeight="1" x14ac:dyDescent="0.25">
      <c r="A216" s="407">
        <f>'Org structure'!E42</f>
        <v>0</v>
      </c>
      <c r="B216" s="445"/>
      <c r="C216" s="394">
        <v>0</v>
      </c>
      <c r="D216" s="383">
        <v>0</v>
      </c>
      <c r="E216" s="384">
        <v>0</v>
      </c>
      <c r="F216" s="472">
        <v>0</v>
      </c>
      <c r="G216" s="384">
        <v>0</v>
      </c>
      <c r="H216" s="472">
        <f t="shared" si="34"/>
        <v>0</v>
      </c>
      <c r="I216" s="44">
        <f t="shared" si="30"/>
        <v>0</v>
      </c>
      <c r="J216" s="330" t="str">
        <f t="shared" si="31"/>
        <v/>
      </c>
      <c r="K216" s="395">
        <v>0</v>
      </c>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v>0</v>
      </c>
      <c r="D217" s="383">
        <v>0</v>
      </c>
      <c r="E217" s="384">
        <v>0</v>
      </c>
      <c r="F217" s="472">
        <v>0</v>
      </c>
      <c r="G217" s="384">
        <v>0</v>
      </c>
      <c r="H217" s="472">
        <f t="shared" si="34"/>
        <v>0</v>
      </c>
      <c r="I217" s="44">
        <f t="shared" si="30"/>
        <v>0</v>
      </c>
      <c r="J217" s="330" t="str">
        <f t="shared" si="31"/>
        <v/>
      </c>
      <c r="K217" s="395">
        <v>0</v>
      </c>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v>0</v>
      </c>
      <c r="D218" s="383">
        <v>0</v>
      </c>
      <c r="E218" s="384">
        <v>0</v>
      </c>
      <c r="F218" s="472">
        <v>0</v>
      </c>
      <c r="G218" s="384">
        <v>0</v>
      </c>
      <c r="H218" s="472">
        <f t="shared" si="34"/>
        <v>0</v>
      </c>
      <c r="I218" s="44">
        <f t="shared" si="30"/>
        <v>0</v>
      </c>
      <c r="J218" s="330" t="str">
        <f t="shared" si="31"/>
        <v/>
      </c>
      <c r="K218" s="395">
        <v>0</v>
      </c>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v>0</v>
      </c>
      <c r="D219" s="383">
        <v>0</v>
      </c>
      <c r="E219" s="384">
        <v>0</v>
      </c>
      <c r="F219" s="472">
        <v>0</v>
      </c>
      <c r="G219" s="384">
        <v>0</v>
      </c>
      <c r="H219" s="472">
        <f t="shared" si="34"/>
        <v>0</v>
      </c>
      <c r="I219" s="44">
        <f t="shared" si="30"/>
        <v>0</v>
      </c>
      <c r="J219" s="330" t="str">
        <f t="shared" si="31"/>
        <v/>
      </c>
      <c r="K219" s="395">
        <v>0</v>
      </c>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35">SUM(C221:C238)</f>
        <v>37268718.690499991</v>
      </c>
      <c r="D220" s="444">
        <f t="shared" si="35"/>
        <v>67311585</v>
      </c>
      <c r="E220" s="441">
        <f t="shared" si="35"/>
        <v>88157031</v>
      </c>
      <c r="F220" s="443">
        <f t="shared" si="35"/>
        <v>8889228.3355000019</v>
      </c>
      <c r="G220" s="441">
        <f t="shared" si="35"/>
        <v>37514681.794500001</v>
      </c>
      <c r="H220" s="443">
        <f t="shared" si="35"/>
        <v>73464192.5</v>
      </c>
      <c r="I220" s="44">
        <f t="shared" si="30"/>
        <v>-35949510.705499999</v>
      </c>
      <c r="J220" s="330">
        <f t="shared" si="31"/>
        <v>-0.48934738791963173</v>
      </c>
      <c r="K220" s="442">
        <f t="shared" si="35"/>
        <v>88157031</v>
      </c>
      <c r="L220" s="48"/>
      <c r="M220" s="473"/>
      <c r="N220" s="473"/>
      <c r="O220" s="473"/>
      <c r="P220" s="473"/>
      <c r="Q220" s="473"/>
      <c r="R220" s="473"/>
      <c r="S220" s="473"/>
      <c r="T220" s="473"/>
      <c r="U220" s="473"/>
      <c r="V220" s="473"/>
      <c r="W220" s="473"/>
    </row>
    <row r="221" spans="1:23" ht="11.25" customHeight="1" x14ac:dyDescent="0.25">
      <c r="A221" s="407" t="s">
        <v>1507</v>
      </c>
      <c r="B221" s="445"/>
      <c r="C221" s="394">
        <v>0</v>
      </c>
      <c r="D221" s="383">
        <v>0</v>
      </c>
      <c r="E221" s="384">
        <v>0</v>
      </c>
      <c r="F221" s="472">
        <v>0</v>
      </c>
      <c r="G221" s="384">
        <v>0</v>
      </c>
      <c r="H221" s="472">
        <f t="shared" ref="H221:H238" si="36">E221/12*10</f>
        <v>0</v>
      </c>
      <c r="I221" s="44">
        <f t="shared" si="30"/>
        <v>0</v>
      </c>
      <c r="J221" s="330" t="str">
        <f t="shared" si="31"/>
        <v/>
      </c>
      <c r="K221" s="395">
        <v>0</v>
      </c>
      <c r="L221" s="48"/>
      <c r="M221" s="473"/>
      <c r="N221" s="473"/>
      <c r="O221" s="473"/>
      <c r="P221" s="473"/>
      <c r="Q221" s="473"/>
      <c r="R221" s="473"/>
      <c r="S221" s="473"/>
      <c r="T221" s="473"/>
      <c r="U221" s="473"/>
      <c r="V221" s="473"/>
      <c r="W221" s="473"/>
    </row>
    <row r="222" spans="1:23" ht="11.25" customHeight="1" x14ac:dyDescent="0.25">
      <c r="A222" s="407" t="s">
        <v>1508</v>
      </c>
      <c r="B222" s="445"/>
      <c r="C222" s="394">
        <v>24990001.802499998</v>
      </c>
      <c r="D222" s="383">
        <v>67311585</v>
      </c>
      <c r="E222" s="384">
        <v>88157031</v>
      </c>
      <c r="F222" s="472">
        <v>8889228.3355000019</v>
      </c>
      <c r="G222" s="384">
        <v>34951330.564000003</v>
      </c>
      <c r="H222" s="384">
        <f t="shared" si="36"/>
        <v>73464192.5</v>
      </c>
      <c r="I222" s="44">
        <f t="shared" si="30"/>
        <v>-38512861.935999997</v>
      </c>
      <c r="J222" s="330">
        <f t="shared" si="31"/>
        <v>-0.52423991369673051</v>
      </c>
      <c r="K222" s="395">
        <f>E222</f>
        <v>88157031</v>
      </c>
      <c r="L222" s="48"/>
      <c r="M222" s="473"/>
      <c r="N222" s="473"/>
      <c r="O222" s="473"/>
      <c r="P222" s="473"/>
      <c r="Q222" s="473"/>
      <c r="R222" s="473"/>
      <c r="S222" s="473"/>
      <c r="T222" s="473"/>
      <c r="U222" s="473"/>
      <c r="V222" s="473"/>
      <c r="W222" s="473"/>
    </row>
    <row r="223" spans="1:23" ht="11.25" customHeight="1" x14ac:dyDescent="0.25">
      <c r="A223" s="407" t="s">
        <v>1509</v>
      </c>
      <c r="B223" s="445"/>
      <c r="C223" s="394">
        <v>0</v>
      </c>
      <c r="D223" s="383">
        <v>0</v>
      </c>
      <c r="E223" s="384">
        <v>0</v>
      </c>
      <c r="F223" s="472">
        <v>0</v>
      </c>
      <c r="G223" s="384">
        <v>0</v>
      </c>
      <c r="H223" s="472">
        <f t="shared" si="36"/>
        <v>0</v>
      </c>
      <c r="I223" s="44">
        <f t="shared" si="30"/>
        <v>0</v>
      </c>
      <c r="J223" s="330" t="str">
        <f t="shared" si="31"/>
        <v/>
      </c>
      <c r="K223" s="395">
        <v>0</v>
      </c>
      <c r="L223" s="48"/>
      <c r="M223" s="473"/>
      <c r="N223" s="473"/>
      <c r="O223" s="473"/>
      <c r="P223" s="473"/>
      <c r="Q223" s="473"/>
      <c r="R223" s="473"/>
      <c r="S223" s="473"/>
      <c r="T223" s="473"/>
      <c r="U223" s="473"/>
      <c r="V223" s="473"/>
      <c r="W223" s="473"/>
    </row>
    <row r="224" spans="1:23" ht="11.25" customHeight="1" x14ac:dyDescent="0.25">
      <c r="A224" s="407" t="s">
        <v>1510</v>
      </c>
      <c r="B224" s="445"/>
      <c r="C224" s="394">
        <v>0</v>
      </c>
      <c r="D224" s="383">
        <v>0</v>
      </c>
      <c r="E224" s="384">
        <v>0</v>
      </c>
      <c r="F224" s="472">
        <v>0</v>
      </c>
      <c r="G224" s="384">
        <v>0</v>
      </c>
      <c r="H224" s="472">
        <f t="shared" si="36"/>
        <v>0</v>
      </c>
      <c r="I224" s="44">
        <f t="shared" si="30"/>
        <v>0</v>
      </c>
      <c r="J224" s="330" t="str">
        <f t="shared" si="31"/>
        <v/>
      </c>
      <c r="K224" s="395">
        <v>0</v>
      </c>
      <c r="L224" s="48"/>
      <c r="M224" s="473"/>
      <c r="N224" s="473"/>
      <c r="O224" s="473"/>
      <c r="P224" s="473"/>
      <c r="Q224" s="473"/>
      <c r="R224" s="473"/>
      <c r="S224" s="473"/>
      <c r="T224" s="473"/>
      <c r="U224" s="473"/>
      <c r="V224" s="473"/>
      <c r="W224" s="473"/>
    </row>
    <row r="225" spans="1:23" ht="11.25" customHeight="1" x14ac:dyDescent="0.25">
      <c r="A225" s="407" t="s">
        <v>1511</v>
      </c>
      <c r="B225" s="445"/>
      <c r="C225" s="394">
        <v>0</v>
      </c>
      <c r="D225" s="383">
        <v>0</v>
      </c>
      <c r="E225" s="384">
        <v>0</v>
      </c>
      <c r="F225" s="472">
        <v>0</v>
      </c>
      <c r="G225" s="384">
        <v>0</v>
      </c>
      <c r="H225" s="472">
        <f t="shared" si="36"/>
        <v>0</v>
      </c>
      <c r="I225" s="44">
        <f t="shared" si="30"/>
        <v>0</v>
      </c>
      <c r="J225" s="330" t="str">
        <f t="shared" si="31"/>
        <v/>
      </c>
      <c r="K225" s="395">
        <v>0</v>
      </c>
      <c r="L225" s="48"/>
      <c r="M225" s="473"/>
      <c r="N225" s="473"/>
      <c r="O225" s="473"/>
      <c r="P225" s="473"/>
      <c r="Q225" s="473"/>
      <c r="R225" s="473"/>
      <c r="S225" s="473"/>
      <c r="T225" s="473"/>
      <c r="U225" s="473"/>
      <c r="V225" s="473"/>
      <c r="W225" s="473"/>
    </row>
    <row r="226" spans="1:23" ht="11.25" customHeight="1" x14ac:dyDescent="0.25">
      <c r="A226" s="407" t="s">
        <v>1512</v>
      </c>
      <c r="B226" s="445"/>
      <c r="C226" s="394">
        <v>0</v>
      </c>
      <c r="D226" s="383">
        <v>0</v>
      </c>
      <c r="E226" s="384">
        <v>0</v>
      </c>
      <c r="F226" s="472">
        <v>0</v>
      </c>
      <c r="G226" s="384">
        <v>308717.5</v>
      </c>
      <c r="H226" s="472">
        <f t="shared" si="36"/>
        <v>0</v>
      </c>
      <c r="I226" s="44">
        <f t="shared" si="30"/>
        <v>308717.5</v>
      </c>
      <c r="J226" s="330" t="e">
        <f t="shared" si="31"/>
        <v>#DIV/0!</v>
      </c>
      <c r="K226" s="395">
        <v>0</v>
      </c>
      <c r="L226" s="48"/>
      <c r="M226" s="473"/>
      <c r="N226" s="473"/>
      <c r="O226" s="473"/>
      <c r="P226" s="473"/>
      <c r="Q226" s="473"/>
      <c r="R226" s="473"/>
      <c r="S226" s="473"/>
      <c r="T226" s="473"/>
      <c r="U226" s="473"/>
      <c r="V226" s="473"/>
      <c r="W226" s="473"/>
    </row>
    <row r="227" spans="1:23" ht="11.25" customHeight="1" x14ac:dyDescent="0.25">
      <c r="A227" s="407" t="s">
        <v>1513</v>
      </c>
      <c r="B227" s="445"/>
      <c r="C227" s="394">
        <v>698050</v>
      </c>
      <c r="D227" s="383">
        <v>0</v>
      </c>
      <c r="E227" s="384">
        <v>0</v>
      </c>
      <c r="F227" s="472">
        <v>0</v>
      </c>
      <c r="G227" s="384">
        <v>0</v>
      </c>
      <c r="H227" s="472">
        <f t="shared" si="36"/>
        <v>0</v>
      </c>
      <c r="I227" s="44"/>
      <c r="J227" s="330"/>
      <c r="K227" s="395">
        <v>0</v>
      </c>
      <c r="L227" s="48"/>
      <c r="M227" s="473"/>
      <c r="N227" s="473"/>
      <c r="O227" s="473"/>
      <c r="P227" s="473"/>
      <c r="Q227" s="473"/>
      <c r="R227" s="473"/>
      <c r="S227" s="473"/>
      <c r="T227" s="473"/>
      <c r="U227" s="473"/>
      <c r="V227" s="473"/>
      <c r="W227" s="473"/>
    </row>
    <row r="228" spans="1:23" ht="11.25" customHeight="1" x14ac:dyDescent="0.25">
      <c r="A228" s="407" t="s">
        <v>1514</v>
      </c>
      <c r="B228" s="445"/>
      <c r="C228" s="394">
        <v>0</v>
      </c>
      <c r="D228" s="383">
        <v>0</v>
      </c>
      <c r="E228" s="384">
        <v>0</v>
      </c>
      <c r="F228" s="472">
        <v>0</v>
      </c>
      <c r="G228" s="384">
        <v>0</v>
      </c>
      <c r="H228" s="472">
        <f t="shared" si="36"/>
        <v>0</v>
      </c>
      <c r="I228" s="44"/>
      <c r="J228" s="330"/>
      <c r="K228" s="395">
        <v>0</v>
      </c>
      <c r="L228" s="48"/>
      <c r="M228" s="473"/>
      <c r="N228" s="473"/>
      <c r="O228" s="473"/>
      <c r="P228" s="473"/>
      <c r="Q228" s="473"/>
      <c r="R228" s="473"/>
      <c r="S228" s="473"/>
      <c r="T228" s="473"/>
      <c r="U228" s="473"/>
      <c r="V228" s="473"/>
      <c r="W228" s="473"/>
    </row>
    <row r="229" spans="1:23" ht="11.25" customHeight="1" x14ac:dyDescent="0.25">
      <c r="A229" s="407" t="s">
        <v>1515</v>
      </c>
      <c r="B229" s="445"/>
      <c r="C229" s="394">
        <v>7783714.3260000004</v>
      </c>
      <c r="D229" s="383">
        <v>0</v>
      </c>
      <c r="E229" s="384">
        <v>0</v>
      </c>
      <c r="F229" s="472">
        <v>0</v>
      </c>
      <c r="G229" s="384">
        <v>0</v>
      </c>
      <c r="H229" s="472">
        <f t="shared" si="36"/>
        <v>0</v>
      </c>
      <c r="I229" s="44"/>
      <c r="J229" s="330"/>
      <c r="K229" s="395">
        <v>0</v>
      </c>
      <c r="L229" s="48"/>
      <c r="M229" s="473"/>
      <c r="N229" s="473"/>
      <c r="O229" s="473"/>
      <c r="P229" s="473"/>
      <c r="Q229" s="473"/>
      <c r="R229" s="473"/>
      <c r="S229" s="473"/>
      <c r="T229" s="473"/>
      <c r="U229" s="473"/>
      <c r="V229" s="473"/>
      <c r="W229" s="473"/>
    </row>
    <row r="230" spans="1:23" ht="11.25" customHeight="1" x14ac:dyDescent="0.25">
      <c r="A230" s="407" t="s">
        <v>1516</v>
      </c>
      <c r="B230" s="445"/>
      <c r="C230" s="394">
        <v>3758968.9475000002</v>
      </c>
      <c r="D230" s="383">
        <v>0</v>
      </c>
      <c r="E230" s="384"/>
      <c r="F230" s="472">
        <v>0</v>
      </c>
      <c r="G230" s="384">
        <v>0</v>
      </c>
      <c r="H230" s="472">
        <f t="shared" si="36"/>
        <v>0</v>
      </c>
      <c r="I230" s="44"/>
      <c r="J230" s="330"/>
      <c r="K230" s="395">
        <v>0</v>
      </c>
      <c r="L230" s="48"/>
      <c r="M230" s="473"/>
      <c r="N230" s="473"/>
      <c r="O230" s="473"/>
      <c r="P230" s="473"/>
      <c r="Q230" s="473"/>
      <c r="R230" s="473"/>
      <c r="S230" s="473"/>
      <c r="T230" s="473"/>
      <c r="U230" s="473"/>
      <c r="V230" s="473"/>
      <c r="W230" s="473"/>
    </row>
    <row r="231" spans="1:23" ht="11.25" customHeight="1" x14ac:dyDescent="0.25">
      <c r="A231" s="407" t="s">
        <v>1517</v>
      </c>
      <c r="B231" s="445"/>
      <c r="C231" s="394">
        <v>0</v>
      </c>
      <c r="D231" s="383">
        <v>0</v>
      </c>
      <c r="E231" s="384"/>
      <c r="F231" s="472">
        <v>0</v>
      </c>
      <c r="G231" s="384">
        <v>0</v>
      </c>
      <c r="H231" s="472">
        <f t="shared" si="36"/>
        <v>0</v>
      </c>
      <c r="I231" s="44"/>
      <c r="J231" s="330"/>
      <c r="K231" s="395">
        <v>0</v>
      </c>
      <c r="L231" s="48"/>
      <c r="M231" s="473"/>
      <c r="N231" s="473"/>
      <c r="O231" s="473"/>
      <c r="P231" s="473"/>
      <c r="Q231" s="473"/>
      <c r="R231" s="473"/>
      <c r="S231" s="473"/>
      <c r="T231" s="473"/>
      <c r="U231" s="473"/>
      <c r="V231" s="473"/>
      <c r="W231" s="473"/>
    </row>
    <row r="232" spans="1:23" ht="11.25" customHeight="1" x14ac:dyDescent="0.25">
      <c r="A232" s="407" t="s">
        <v>1518</v>
      </c>
      <c r="B232" s="445"/>
      <c r="C232" s="394">
        <v>0</v>
      </c>
      <c r="D232" s="383">
        <v>0</v>
      </c>
      <c r="E232" s="384"/>
      <c r="F232" s="472">
        <v>0</v>
      </c>
      <c r="G232" s="384">
        <v>0</v>
      </c>
      <c r="H232" s="472">
        <f t="shared" si="36"/>
        <v>0</v>
      </c>
      <c r="I232" s="44"/>
      <c r="J232" s="330"/>
      <c r="K232" s="395">
        <v>0</v>
      </c>
      <c r="L232" s="48"/>
      <c r="M232" s="473"/>
      <c r="N232" s="473"/>
      <c r="O232" s="473"/>
      <c r="P232" s="473"/>
      <c r="Q232" s="473"/>
      <c r="R232" s="473"/>
      <c r="S232" s="473"/>
      <c r="T232" s="473"/>
      <c r="U232" s="473"/>
      <c r="V232" s="473"/>
      <c r="W232" s="473"/>
    </row>
    <row r="233" spans="1:23" ht="11.25" customHeight="1" x14ac:dyDescent="0.25">
      <c r="A233" s="407" t="s">
        <v>1519</v>
      </c>
      <c r="B233" s="445"/>
      <c r="C233" s="394">
        <v>0</v>
      </c>
      <c r="D233" s="383">
        <v>0</v>
      </c>
      <c r="E233" s="384"/>
      <c r="F233" s="472">
        <v>0</v>
      </c>
      <c r="G233" s="384">
        <v>0</v>
      </c>
      <c r="H233" s="472">
        <f t="shared" si="36"/>
        <v>0</v>
      </c>
      <c r="I233" s="44"/>
      <c r="J233" s="330"/>
      <c r="K233" s="395">
        <v>0</v>
      </c>
      <c r="L233" s="48"/>
      <c r="M233" s="473"/>
      <c r="N233" s="473"/>
      <c r="O233" s="473"/>
      <c r="P233" s="473"/>
      <c r="Q233" s="473"/>
      <c r="R233" s="473"/>
      <c r="S233" s="473"/>
      <c r="T233" s="473"/>
      <c r="U233" s="473"/>
      <c r="V233" s="473"/>
      <c r="W233" s="473"/>
    </row>
    <row r="234" spans="1:23" ht="11.25" customHeight="1" x14ac:dyDescent="0.25">
      <c r="A234" s="407" t="s">
        <v>1520</v>
      </c>
      <c r="B234" s="445"/>
      <c r="C234" s="394">
        <v>37983.614499993622</v>
      </c>
      <c r="D234" s="383">
        <v>0</v>
      </c>
      <c r="E234" s="384"/>
      <c r="F234" s="472">
        <v>0</v>
      </c>
      <c r="G234" s="384">
        <v>0</v>
      </c>
      <c r="H234" s="472">
        <f t="shared" si="36"/>
        <v>0</v>
      </c>
      <c r="I234" s="44"/>
      <c r="J234" s="330"/>
      <c r="K234" s="395">
        <v>0</v>
      </c>
      <c r="L234" s="48"/>
      <c r="M234" s="473"/>
      <c r="N234" s="473"/>
      <c r="O234" s="473"/>
      <c r="P234" s="473"/>
      <c r="Q234" s="473"/>
      <c r="R234" s="473"/>
      <c r="S234" s="473"/>
      <c r="T234" s="473"/>
      <c r="U234" s="473"/>
      <c r="V234" s="473"/>
      <c r="W234" s="473"/>
    </row>
    <row r="235" spans="1:23" ht="11.25" customHeight="1" x14ac:dyDescent="0.25">
      <c r="A235" s="407" t="s">
        <v>1521</v>
      </c>
      <c r="B235" s="445"/>
      <c r="C235" s="394">
        <v>0</v>
      </c>
      <c r="D235" s="383"/>
      <c r="E235" s="384"/>
      <c r="F235" s="472">
        <v>0</v>
      </c>
      <c r="G235" s="384">
        <v>2254633.7305000001</v>
      </c>
      <c r="H235" s="384">
        <f t="shared" si="36"/>
        <v>0</v>
      </c>
      <c r="I235" s="44">
        <f>G235-H235</f>
        <v>2254633.7305000001</v>
      </c>
      <c r="J235" s="330" t="e">
        <f t="shared" si="31"/>
        <v>#DIV/0!</v>
      </c>
      <c r="K235" s="395">
        <f>E235</f>
        <v>0</v>
      </c>
      <c r="L235" s="48"/>
      <c r="M235" s="473"/>
      <c r="N235" s="473"/>
      <c r="O235" s="473"/>
      <c r="P235" s="473"/>
      <c r="Q235" s="473"/>
      <c r="R235" s="473"/>
      <c r="S235" s="473"/>
      <c r="T235" s="473"/>
      <c r="U235" s="473"/>
      <c r="V235" s="473"/>
      <c r="W235" s="473"/>
    </row>
    <row r="236" spans="1:23" ht="11.25" customHeight="1" x14ac:dyDescent="0.25">
      <c r="A236" s="407" t="s">
        <v>1522</v>
      </c>
      <c r="B236" s="445"/>
      <c r="C236" s="394">
        <v>0</v>
      </c>
      <c r="D236" s="383">
        <v>0</v>
      </c>
      <c r="E236" s="384"/>
      <c r="F236" s="472">
        <v>0</v>
      </c>
      <c r="G236" s="384">
        <v>0</v>
      </c>
      <c r="H236" s="472">
        <f t="shared" si="36"/>
        <v>0</v>
      </c>
      <c r="I236" s="44">
        <f t="shared" si="30"/>
        <v>0</v>
      </c>
      <c r="J236" s="330" t="str">
        <f t="shared" si="31"/>
        <v/>
      </c>
      <c r="K236" s="395">
        <v>0</v>
      </c>
      <c r="L236" s="48"/>
      <c r="M236" s="473"/>
      <c r="N236" s="473"/>
      <c r="O236" s="473"/>
      <c r="P236" s="473"/>
      <c r="Q236" s="473"/>
      <c r="R236" s="473"/>
      <c r="S236" s="473"/>
      <c r="T236" s="473"/>
      <c r="U236" s="473"/>
      <c r="V236" s="473"/>
      <c r="W236" s="473"/>
    </row>
    <row r="237" spans="1:23" ht="11.25" customHeight="1" x14ac:dyDescent="0.25">
      <c r="A237" s="407"/>
      <c r="B237" s="445"/>
      <c r="C237" s="394">
        <v>0</v>
      </c>
      <c r="D237" s="383">
        <v>0</v>
      </c>
      <c r="E237" s="384"/>
      <c r="F237" s="472">
        <v>0</v>
      </c>
      <c r="G237" s="384">
        <v>0</v>
      </c>
      <c r="H237" s="472">
        <f t="shared" si="36"/>
        <v>0</v>
      </c>
      <c r="I237" s="44">
        <f t="shared" si="30"/>
        <v>0</v>
      </c>
      <c r="J237" s="330" t="str">
        <f t="shared" si="31"/>
        <v/>
      </c>
      <c r="K237" s="395">
        <v>0</v>
      </c>
      <c r="L237" s="48"/>
      <c r="M237" s="473"/>
      <c r="N237" s="473"/>
      <c r="O237" s="473"/>
      <c r="P237" s="473"/>
      <c r="Q237" s="473"/>
      <c r="R237" s="473"/>
      <c r="S237" s="473"/>
      <c r="T237" s="473"/>
      <c r="U237" s="473"/>
      <c r="V237" s="473"/>
      <c r="W237" s="473"/>
    </row>
    <row r="238" spans="1:23" ht="11.25" customHeight="1" x14ac:dyDescent="0.25">
      <c r="A238" s="407"/>
      <c r="B238" s="445"/>
      <c r="C238" s="394">
        <v>0</v>
      </c>
      <c r="D238" s="383"/>
      <c r="E238" s="384"/>
      <c r="F238" s="472">
        <v>0</v>
      </c>
      <c r="G238" s="384">
        <v>0</v>
      </c>
      <c r="H238" s="472">
        <f t="shared" si="36"/>
        <v>0</v>
      </c>
      <c r="I238" s="44">
        <f t="shared" si="30"/>
        <v>0</v>
      </c>
      <c r="J238" s="330" t="str">
        <f t="shared" si="31"/>
        <v/>
      </c>
      <c r="K238" s="395">
        <v>0</v>
      </c>
      <c r="L238" s="48"/>
      <c r="M238" s="473"/>
      <c r="N238" s="473"/>
      <c r="O238" s="473"/>
      <c r="P238" s="473"/>
      <c r="Q238" s="473"/>
      <c r="R238" s="473"/>
      <c r="S238" s="473"/>
      <c r="T238" s="473"/>
      <c r="U238" s="473"/>
      <c r="V238" s="473"/>
      <c r="W238" s="473"/>
    </row>
    <row r="239" spans="1:23" ht="11.25" customHeight="1" x14ac:dyDescent="0.25">
      <c r="A239" s="466" t="str">
        <f>'Org structure'!A7</f>
        <v>Vote 6 - PUBLIC SAFETY</v>
      </c>
      <c r="B239" s="440"/>
      <c r="C239" s="503">
        <f t="shared" ref="C239:H239" si="37">SUM(C240:C251)</f>
        <v>797005.31750000012</v>
      </c>
      <c r="D239" s="444">
        <f t="shared" si="37"/>
        <v>2526661</v>
      </c>
      <c r="E239" s="441">
        <f>E240+E241+E242+E243+E244+E245+E246+E247+E248+E249</f>
        <v>1388543</v>
      </c>
      <c r="F239" s="443">
        <f t="shared" si="37"/>
        <v>0</v>
      </c>
      <c r="G239" s="441">
        <f t="shared" si="37"/>
        <v>1111298.1299999999</v>
      </c>
      <c r="H239" s="443">
        <f t="shared" si="37"/>
        <v>1157119.1666666667</v>
      </c>
      <c r="I239" s="44">
        <f t="shared" si="30"/>
        <v>-45821.036666666856</v>
      </c>
      <c r="J239" s="330">
        <f t="shared" si="31"/>
        <v>-3.9599237474100712E-2</v>
      </c>
      <c r="K239" s="442">
        <f>SUM(K240:K251)</f>
        <v>1388543</v>
      </c>
      <c r="L239" s="48"/>
      <c r="M239" s="473"/>
      <c r="N239" s="473"/>
      <c r="O239" s="473"/>
      <c r="P239" s="473"/>
      <c r="Q239" s="473"/>
      <c r="R239" s="473"/>
      <c r="S239" s="473"/>
      <c r="T239" s="473"/>
      <c r="U239" s="473"/>
      <c r="V239" s="473"/>
      <c r="W239" s="473"/>
    </row>
    <row r="240" spans="1:23" ht="11.25" customHeight="1" x14ac:dyDescent="0.25">
      <c r="A240" s="407" t="s">
        <v>1523</v>
      </c>
      <c r="B240" s="445"/>
      <c r="C240" s="394">
        <v>0</v>
      </c>
      <c r="D240" s="383">
        <v>0</v>
      </c>
      <c r="E240" s="384">
        <v>0</v>
      </c>
      <c r="F240" s="472">
        <v>0</v>
      </c>
      <c r="G240" s="384">
        <v>0</v>
      </c>
      <c r="H240" s="472">
        <f t="shared" ref="H240:H251" si="38">E240/12*10</f>
        <v>0</v>
      </c>
      <c r="I240" s="44">
        <f t="shared" si="30"/>
        <v>0</v>
      </c>
      <c r="J240" s="330" t="str">
        <f t="shared" si="31"/>
        <v/>
      </c>
      <c r="K240" s="395">
        <v>0</v>
      </c>
      <c r="L240" s="48"/>
      <c r="M240" s="473"/>
      <c r="N240" s="473"/>
      <c r="O240" s="473"/>
      <c r="P240" s="473"/>
      <c r="Q240" s="473"/>
      <c r="R240" s="473"/>
      <c r="S240" s="473"/>
      <c r="T240" s="473"/>
      <c r="U240" s="473"/>
      <c r="V240" s="473"/>
      <c r="W240" s="473"/>
    </row>
    <row r="241" spans="1:23" ht="11.25" customHeight="1" x14ac:dyDescent="0.25">
      <c r="A241" s="407" t="s">
        <v>1524</v>
      </c>
      <c r="B241" s="445"/>
      <c r="C241" s="394">
        <v>0</v>
      </c>
      <c r="D241" s="383">
        <v>0</v>
      </c>
      <c r="E241" s="384">
        <v>0</v>
      </c>
      <c r="F241" s="472">
        <v>0</v>
      </c>
      <c r="G241" s="384">
        <v>0</v>
      </c>
      <c r="H241" s="472">
        <f t="shared" si="38"/>
        <v>0</v>
      </c>
      <c r="I241" s="44">
        <f t="shared" si="30"/>
        <v>0</v>
      </c>
      <c r="J241" s="330" t="str">
        <f t="shared" si="31"/>
        <v/>
      </c>
      <c r="K241" s="395">
        <v>0</v>
      </c>
      <c r="L241" s="48"/>
      <c r="M241" s="473"/>
      <c r="N241" s="473"/>
      <c r="O241" s="473"/>
      <c r="P241" s="473"/>
      <c r="Q241" s="473"/>
      <c r="R241" s="473"/>
      <c r="S241" s="473"/>
      <c r="T241" s="473"/>
      <c r="U241" s="473"/>
      <c r="V241" s="473"/>
      <c r="W241" s="473"/>
    </row>
    <row r="242" spans="1:23" ht="11.25" customHeight="1" x14ac:dyDescent="0.25">
      <c r="A242" s="407" t="s">
        <v>1525</v>
      </c>
      <c r="B242" s="445"/>
      <c r="C242" s="394">
        <v>0</v>
      </c>
      <c r="D242" s="383">
        <v>0</v>
      </c>
      <c r="E242" s="384">
        <v>0</v>
      </c>
      <c r="F242" s="472">
        <v>0</v>
      </c>
      <c r="G242" s="384">
        <v>0</v>
      </c>
      <c r="H242" s="472">
        <f t="shared" si="38"/>
        <v>0</v>
      </c>
      <c r="I242" s="44">
        <f t="shared" si="30"/>
        <v>0</v>
      </c>
      <c r="J242" s="330" t="str">
        <f t="shared" si="31"/>
        <v/>
      </c>
      <c r="K242" s="395">
        <v>0</v>
      </c>
      <c r="L242" s="48"/>
      <c r="M242" s="473"/>
      <c r="N242" s="473"/>
      <c r="O242" s="473"/>
      <c r="P242" s="473"/>
      <c r="Q242" s="473"/>
      <c r="R242" s="473"/>
      <c r="S242" s="473"/>
      <c r="T242" s="473"/>
      <c r="U242" s="473"/>
      <c r="V242" s="473"/>
      <c r="W242" s="473"/>
    </row>
    <row r="243" spans="1:23" ht="11.25" customHeight="1" x14ac:dyDescent="0.25">
      <c r="A243" s="407" t="s">
        <v>1526</v>
      </c>
      <c r="B243" s="445"/>
      <c r="C243" s="394">
        <v>0</v>
      </c>
      <c r="D243" s="383">
        <v>0</v>
      </c>
      <c r="E243" s="384">
        <v>0</v>
      </c>
      <c r="F243" s="472">
        <v>0</v>
      </c>
      <c r="G243" s="384">
        <v>0</v>
      </c>
      <c r="H243" s="472">
        <f t="shared" si="38"/>
        <v>0</v>
      </c>
      <c r="I243" s="44">
        <f t="shared" si="30"/>
        <v>0</v>
      </c>
      <c r="J243" s="330" t="str">
        <f t="shared" si="31"/>
        <v/>
      </c>
      <c r="K243" s="395">
        <v>0</v>
      </c>
      <c r="L243" s="48"/>
      <c r="M243" s="473"/>
      <c r="N243" s="473"/>
      <c r="O243" s="473"/>
      <c r="P243" s="473"/>
      <c r="Q243" s="473"/>
      <c r="R243" s="473"/>
      <c r="S243" s="473"/>
      <c r="T243" s="473"/>
      <c r="U243" s="473"/>
      <c r="V243" s="473"/>
      <c r="W243" s="473"/>
    </row>
    <row r="244" spans="1:23" ht="11.25" customHeight="1" x14ac:dyDescent="0.25">
      <c r="A244" s="407" t="s">
        <v>1527</v>
      </c>
      <c r="B244" s="445"/>
      <c r="C244" s="394">
        <v>245329.5</v>
      </c>
      <c r="D244" s="383">
        <v>0</v>
      </c>
      <c r="E244" s="384">
        <v>0</v>
      </c>
      <c r="F244" s="472">
        <v>0</v>
      </c>
      <c r="G244" s="384">
        <v>0</v>
      </c>
      <c r="H244" s="472">
        <f t="shared" si="38"/>
        <v>0</v>
      </c>
      <c r="I244" s="44">
        <f t="shared" si="30"/>
        <v>0</v>
      </c>
      <c r="J244" s="330" t="str">
        <f t="shared" si="31"/>
        <v/>
      </c>
      <c r="K244" s="395">
        <v>0</v>
      </c>
      <c r="L244" s="48"/>
      <c r="M244" s="473"/>
      <c r="N244" s="473"/>
      <c r="O244" s="473"/>
      <c r="P244" s="473"/>
      <c r="Q244" s="473"/>
      <c r="R244" s="473"/>
      <c r="S244" s="473"/>
      <c r="T244" s="473"/>
      <c r="U244" s="473"/>
      <c r="V244" s="473"/>
      <c r="W244" s="473"/>
    </row>
    <row r="245" spans="1:23" ht="11.25" customHeight="1" x14ac:dyDescent="0.25">
      <c r="A245" s="407" t="s">
        <v>1528</v>
      </c>
      <c r="B245" s="445"/>
      <c r="C245" s="394">
        <v>0</v>
      </c>
      <c r="D245" s="383">
        <v>0</v>
      </c>
      <c r="E245" s="384">
        <v>0</v>
      </c>
      <c r="F245" s="472">
        <v>0</v>
      </c>
      <c r="G245" s="384">
        <v>0</v>
      </c>
      <c r="H245" s="472">
        <f t="shared" si="38"/>
        <v>0</v>
      </c>
      <c r="I245" s="44">
        <f t="shared" si="30"/>
        <v>0</v>
      </c>
      <c r="J245" s="330" t="str">
        <f t="shared" si="31"/>
        <v/>
      </c>
      <c r="K245" s="395">
        <v>0</v>
      </c>
      <c r="L245" s="48"/>
      <c r="M245" s="473"/>
      <c r="N245" s="473"/>
      <c r="O245" s="473"/>
      <c r="P245" s="473"/>
      <c r="Q245" s="473"/>
      <c r="R245" s="473"/>
      <c r="S245" s="473"/>
      <c r="T245" s="473"/>
      <c r="U245" s="473"/>
      <c r="V245" s="473"/>
      <c r="W245" s="473"/>
    </row>
    <row r="246" spans="1:23" ht="11.25" customHeight="1" x14ac:dyDescent="0.25">
      <c r="A246" s="407" t="s">
        <v>1529</v>
      </c>
      <c r="B246" s="445"/>
      <c r="C246" s="394">
        <v>0</v>
      </c>
      <c r="D246" s="383">
        <v>0</v>
      </c>
      <c r="E246" s="384">
        <v>0</v>
      </c>
      <c r="F246" s="472">
        <v>0</v>
      </c>
      <c r="G246" s="384">
        <v>0</v>
      </c>
      <c r="H246" s="472">
        <f t="shared" si="38"/>
        <v>0</v>
      </c>
      <c r="I246" s="44"/>
      <c r="J246" s="330"/>
      <c r="K246" s="395">
        <v>0</v>
      </c>
      <c r="L246" s="48"/>
      <c r="M246" s="473"/>
      <c r="N246" s="473"/>
      <c r="O246" s="473"/>
      <c r="P246" s="473"/>
      <c r="Q246" s="473"/>
      <c r="R246" s="473"/>
      <c r="S246" s="473"/>
      <c r="T246" s="473"/>
      <c r="U246" s="473"/>
      <c r="V246" s="473"/>
      <c r="W246" s="473"/>
    </row>
    <row r="247" spans="1:23" ht="11.25" customHeight="1" x14ac:dyDescent="0.25">
      <c r="A247" s="407" t="s">
        <v>1530</v>
      </c>
      <c r="B247" s="445"/>
      <c r="C247" s="394">
        <f>875564.9775-323889.16</f>
        <v>551675.81750000012</v>
      </c>
      <c r="D247" s="383">
        <v>0</v>
      </c>
      <c r="E247" s="384">
        <v>0</v>
      </c>
      <c r="F247" s="472">
        <v>0</v>
      </c>
      <c r="G247" s="384">
        <v>0</v>
      </c>
      <c r="H247" s="472">
        <f t="shared" si="38"/>
        <v>0</v>
      </c>
      <c r="I247" s="44"/>
      <c r="J247" s="330"/>
      <c r="K247" s="395">
        <v>0</v>
      </c>
      <c r="L247" s="48"/>
      <c r="M247" s="473"/>
      <c r="N247" s="473"/>
      <c r="O247" s="473"/>
      <c r="P247" s="473"/>
      <c r="Q247" s="473"/>
      <c r="R247" s="473"/>
      <c r="S247" s="473"/>
      <c r="T247" s="473"/>
      <c r="U247" s="473"/>
      <c r="V247" s="473"/>
      <c r="W247" s="473"/>
    </row>
    <row r="248" spans="1:23" ht="11.25" customHeight="1" x14ac:dyDescent="0.25">
      <c r="A248" s="407" t="s">
        <v>1531</v>
      </c>
      <c r="B248" s="445"/>
      <c r="C248" s="394">
        <v>0</v>
      </c>
      <c r="D248" s="383">
        <v>0</v>
      </c>
      <c r="E248" s="384">
        <v>0</v>
      </c>
      <c r="F248" s="472">
        <v>0</v>
      </c>
      <c r="G248" s="384">
        <v>0</v>
      </c>
      <c r="H248" s="472">
        <f t="shared" si="38"/>
        <v>0</v>
      </c>
      <c r="I248" s="44"/>
      <c r="J248" s="330"/>
      <c r="K248" s="395">
        <v>0</v>
      </c>
      <c r="L248" s="48"/>
      <c r="M248" s="473"/>
      <c r="N248" s="473"/>
      <c r="O248" s="473"/>
      <c r="P248" s="473"/>
      <c r="Q248" s="473"/>
      <c r="R248" s="473"/>
      <c r="S248" s="473"/>
      <c r="T248" s="473"/>
      <c r="U248" s="473"/>
      <c r="V248" s="473"/>
      <c r="W248" s="473"/>
    </row>
    <row r="249" spans="1:23" ht="11.25" customHeight="1" x14ac:dyDescent="0.25">
      <c r="A249" s="407" t="s">
        <v>1532</v>
      </c>
      <c r="B249" s="445"/>
      <c r="C249" s="394">
        <v>0</v>
      </c>
      <c r="D249" s="383">
        <v>2526661</v>
      </c>
      <c r="E249" s="384">
        <v>1388543</v>
      </c>
      <c r="F249" s="472">
        <v>0</v>
      </c>
      <c r="G249" s="384">
        <v>1111298.1299999999</v>
      </c>
      <c r="H249" s="384">
        <f t="shared" si="38"/>
        <v>1157119.1666666667</v>
      </c>
      <c r="I249" s="44"/>
      <c r="J249" s="330"/>
      <c r="K249" s="395">
        <f>E249</f>
        <v>1388543</v>
      </c>
      <c r="L249" s="48"/>
      <c r="M249" s="473"/>
      <c r="N249" s="473"/>
      <c r="O249" s="473"/>
      <c r="P249" s="473"/>
      <c r="Q249" s="473"/>
      <c r="R249" s="473"/>
      <c r="S249" s="473"/>
      <c r="T249" s="473"/>
      <c r="U249" s="473"/>
      <c r="V249" s="473"/>
      <c r="W249" s="473"/>
    </row>
    <row r="250" spans="1:23" ht="11.25" customHeight="1" x14ac:dyDescent="0.25">
      <c r="A250" s="407" t="str">
        <f>'Org structure'!E75</f>
        <v>6.12 - ENVIRONMENTAL HEALTH SERVICES (AIR POLUTION CONTROL)</v>
      </c>
      <c r="B250" s="445"/>
      <c r="C250" s="394"/>
      <c r="D250" s="383">
        <v>0</v>
      </c>
      <c r="E250" s="384">
        <v>0</v>
      </c>
      <c r="F250" s="472">
        <v>0</v>
      </c>
      <c r="G250" s="384">
        <v>0</v>
      </c>
      <c r="H250" s="472">
        <f t="shared" si="38"/>
        <v>0</v>
      </c>
      <c r="I250" s="44">
        <f t="shared" si="30"/>
        <v>0</v>
      </c>
      <c r="J250" s="330" t="str">
        <f t="shared" si="31"/>
        <v/>
      </c>
      <c r="K250" s="395">
        <v>0</v>
      </c>
      <c r="L250" s="48"/>
      <c r="M250" s="473"/>
      <c r="N250" s="473"/>
      <c r="O250" s="473"/>
      <c r="P250" s="473"/>
      <c r="Q250" s="473"/>
      <c r="R250" s="473"/>
      <c r="S250" s="473"/>
      <c r="T250" s="473"/>
      <c r="U250" s="473"/>
      <c r="V250" s="473"/>
      <c r="W250" s="473"/>
    </row>
    <row r="251" spans="1:23" ht="11.25" customHeight="1" x14ac:dyDescent="0.25">
      <c r="A251" s="407" t="str">
        <f>'Org structure'!E76</f>
        <v>6.13 - ENVIRONMENTAL HEALTH SERVICES (HEALTH INSPECTION)</v>
      </c>
      <c r="B251" s="445"/>
      <c r="C251" s="394"/>
      <c r="D251" s="383">
        <v>0</v>
      </c>
      <c r="E251" s="384">
        <v>0</v>
      </c>
      <c r="F251" s="472">
        <v>0</v>
      </c>
      <c r="G251" s="384">
        <v>0</v>
      </c>
      <c r="H251" s="472">
        <f t="shared" si="38"/>
        <v>0</v>
      </c>
      <c r="I251" s="44">
        <f t="shared" si="30"/>
        <v>0</v>
      </c>
      <c r="J251" s="330" t="str">
        <f t="shared" si="31"/>
        <v/>
      </c>
      <c r="K251" s="395">
        <v>0</v>
      </c>
      <c r="L251" s="48"/>
      <c r="M251" s="473"/>
      <c r="N251" s="473"/>
      <c r="O251" s="473"/>
      <c r="P251" s="473"/>
      <c r="Q251" s="473"/>
      <c r="R251" s="473"/>
      <c r="S251" s="473"/>
      <c r="T251" s="473"/>
      <c r="U251" s="473"/>
      <c r="V251" s="473"/>
      <c r="W251" s="473"/>
    </row>
    <row r="252" spans="1:23" ht="11.25" customHeight="1" x14ac:dyDescent="0.25">
      <c r="A252" s="466" t="str">
        <f>'Org structure'!A8</f>
        <v>Vote 7 - CORPORATE AND SHARED SERVICES</v>
      </c>
      <c r="B252" s="440"/>
      <c r="C252" s="503">
        <f t="shared" ref="C252:K252" si="39">SUM(C253:C269)</f>
        <v>17778969.486000001</v>
      </c>
      <c r="D252" s="444">
        <f t="shared" si="39"/>
        <v>31043486</v>
      </c>
      <c r="E252" s="441">
        <f t="shared" si="39"/>
        <v>48858486</v>
      </c>
      <c r="F252" s="443">
        <f t="shared" si="39"/>
        <v>50618531.284000002</v>
      </c>
      <c r="G252" s="441">
        <f t="shared" si="39"/>
        <v>55391170.192500003</v>
      </c>
      <c r="H252" s="443">
        <f t="shared" si="39"/>
        <v>40715405</v>
      </c>
      <c r="I252" s="44">
        <f t="shared" si="30"/>
        <v>14675765.192500003</v>
      </c>
      <c r="J252" s="330">
        <f t="shared" si="31"/>
        <v>0.36044748154905992</v>
      </c>
      <c r="K252" s="442">
        <f t="shared" si="39"/>
        <v>48858486</v>
      </c>
      <c r="L252" s="48"/>
      <c r="M252" s="473"/>
      <c r="N252" s="473"/>
      <c r="O252" s="473"/>
      <c r="P252" s="473"/>
      <c r="Q252" s="473"/>
      <c r="R252" s="473"/>
      <c r="S252" s="473"/>
      <c r="T252" s="473"/>
      <c r="U252" s="473"/>
      <c r="V252" s="473"/>
      <c r="W252" s="473"/>
    </row>
    <row r="253" spans="1:23" ht="11.25" customHeight="1" x14ac:dyDescent="0.25">
      <c r="A253" s="407" t="s">
        <v>1533</v>
      </c>
      <c r="B253" s="445"/>
      <c r="C253" s="394">
        <v>0</v>
      </c>
      <c r="D253" s="383">
        <v>31043486</v>
      </c>
      <c r="E253" s="384">
        <v>48858486</v>
      </c>
      <c r="F253" s="472">
        <v>0</v>
      </c>
      <c r="G253" s="384">
        <v>0</v>
      </c>
      <c r="H253" s="384">
        <f t="shared" ref="H253:H269" si="40">E253/12*10</f>
        <v>40715405</v>
      </c>
      <c r="I253" s="44">
        <f t="shared" si="30"/>
        <v>-40715405</v>
      </c>
      <c r="J253" s="330">
        <f t="shared" si="31"/>
        <v>-1</v>
      </c>
      <c r="K253" s="395">
        <f>E253</f>
        <v>48858486</v>
      </c>
      <c r="L253" s="48"/>
      <c r="M253" s="473"/>
      <c r="N253" s="473"/>
      <c r="O253" s="473"/>
      <c r="P253" s="473"/>
      <c r="Q253" s="473"/>
      <c r="R253" s="473"/>
      <c r="S253" s="473"/>
      <c r="T253" s="473"/>
      <c r="U253" s="473"/>
      <c r="V253" s="473"/>
      <c r="W253" s="473"/>
    </row>
    <row r="254" spans="1:23" ht="11.25" customHeight="1" x14ac:dyDescent="0.25">
      <c r="A254" s="407" t="s">
        <v>1534</v>
      </c>
      <c r="B254" s="445"/>
      <c r="C254" s="394">
        <f>12580687.0275-436287.2</f>
        <v>12144399.827500001</v>
      </c>
      <c r="D254" s="383">
        <v>0</v>
      </c>
      <c r="E254" s="384">
        <v>0</v>
      </c>
      <c r="F254" s="472">
        <v>876540.39600000007</v>
      </c>
      <c r="G254" s="384">
        <v>2158047.818</v>
      </c>
      <c r="H254" s="472">
        <f t="shared" si="40"/>
        <v>0</v>
      </c>
      <c r="I254" s="44">
        <f t="shared" si="30"/>
        <v>2158047.818</v>
      </c>
      <c r="J254" s="330" t="e">
        <f t="shared" si="31"/>
        <v>#DIV/0!</v>
      </c>
      <c r="K254" s="395">
        <v>0</v>
      </c>
      <c r="L254" s="48"/>
      <c r="M254" s="473"/>
      <c r="N254" s="473"/>
      <c r="O254" s="473"/>
      <c r="P254" s="473"/>
      <c r="Q254" s="473"/>
      <c r="R254" s="473"/>
      <c r="S254" s="473"/>
      <c r="T254" s="473"/>
      <c r="U254" s="473"/>
      <c r="V254" s="473"/>
      <c r="W254" s="473"/>
    </row>
    <row r="255" spans="1:23" ht="11.25" customHeight="1" x14ac:dyDescent="0.25">
      <c r="A255" s="407" t="s">
        <v>1535</v>
      </c>
      <c r="B255" s="445"/>
      <c r="C255" s="394">
        <v>0</v>
      </c>
      <c r="D255" s="383">
        <v>0</v>
      </c>
      <c r="E255" s="384">
        <v>0</v>
      </c>
      <c r="F255" s="472">
        <v>0</v>
      </c>
      <c r="G255" s="384">
        <v>0</v>
      </c>
      <c r="H255" s="472">
        <f t="shared" si="40"/>
        <v>0</v>
      </c>
      <c r="I255" s="44">
        <f t="shared" si="30"/>
        <v>0</v>
      </c>
      <c r="J255" s="330" t="str">
        <f t="shared" si="31"/>
        <v/>
      </c>
      <c r="K255" s="395">
        <v>0</v>
      </c>
      <c r="L255" s="48"/>
      <c r="M255" s="473"/>
      <c r="N255" s="473"/>
      <c r="O255" s="473"/>
      <c r="P255" s="473"/>
      <c r="Q255" s="473"/>
      <c r="R255" s="473"/>
      <c r="S255" s="473"/>
      <c r="T255" s="473"/>
      <c r="U255" s="473"/>
      <c r="V255" s="473"/>
      <c r="W255" s="473"/>
    </row>
    <row r="256" spans="1:23" ht="11.25" customHeight="1" x14ac:dyDescent="0.25">
      <c r="A256" s="407" t="s">
        <v>1536</v>
      </c>
      <c r="B256" s="445"/>
      <c r="C256" s="394">
        <v>0</v>
      </c>
      <c r="D256" s="383">
        <v>0</v>
      </c>
      <c r="E256" s="384">
        <v>0</v>
      </c>
      <c r="F256" s="472">
        <v>0</v>
      </c>
      <c r="G256" s="384">
        <v>0</v>
      </c>
      <c r="H256" s="472">
        <f t="shared" si="40"/>
        <v>0</v>
      </c>
      <c r="I256" s="44">
        <f t="shared" si="30"/>
        <v>0</v>
      </c>
      <c r="J256" s="330" t="str">
        <f t="shared" si="31"/>
        <v/>
      </c>
      <c r="K256" s="395">
        <v>0</v>
      </c>
      <c r="L256" s="48"/>
      <c r="M256" s="473"/>
      <c r="N256" s="473"/>
      <c r="O256" s="473"/>
      <c r="P256" s="473"/>
      <c r="Q256" s="473"/>
      <c r="R256" s="473"/>
      <c r="S256" s="473"/>
      <c r="T256" s="473"/>
      <c r="U256" s="473"/>
      <c r="V256" s="473"/>
      <c r="W256" s="473"/>
    </row>
    <row r="257" spans="1:23" ht="11.25" customHeight="1" x14ac:dyDescent="0.25">
      <c r="A257" s="407" t="s">
        <v>1537</v>
      </c>
      <c r="B257" s="445"/>
      <c r="C257" s="394">
        <v>5634569.6584999999</v>
      </c>
      <c r="D257" s="383">
        <v>0</v>
      </c>
      <c r="E257" s="384">
        <v>0</v>
      </c>
      <c r="F257" s="472">
        <v>0</v>
      </c>
      <c r="G257" s="384">
        <v>0</v>
      </c>
      <c r="H257" s="472">
        <f t="shared" si="40"/>
        <v>0</v>
      </c>
      <c r="I257" s="44">
        <f t="shared" si="30"/>
        <v>0</v>
      </c>
      <c r="J257" s="330" t="str">
        <f t="shared" si="31"/>
        <v/>
      </c>
      <c r="K257" s="395">
        <v>0</v>
      </c>
      <c r="L257" s="48"/>
      <c r="M257" s="473"/>
      <c r="N257" s="473"/>
      <c r="O257" s="473"/>
      <c r="P257" s="473"/>
      <c r="Q257" s="473"/>
      <c r="R257" s="473"/>
      <c r="S257" s="473"/>
      <c r="T257" s="473"/>
      <c r="U257" s="473"/>
      <c r="V257" s="473"/>
      <c r="W257" s="473"/>
    </row>
    <row r="258" spans="1:23" ht="11.25" customHeight="1" x14ac:dyDescent="0.25">
      <c r="A258" s="407" t="s">
        <v>1538</v>
      </c>
      <c r="B258" s="445"/>
      <c r="C258" s="394">
        <v>0</v>
      </c>
      <c r="D258" s="383">
        <v>0</v>
      </c>
      <c r="E258" s="384">
        <v>0</v>
      </c>
      <c r="F258" s="472">
        <v>0</v>
      </c>
      <c r="G258" s="384">
        <v>0</v>
      </c>
      <c r="H258" s="472">
        <f t="shared" si="40"/>
        <v>0</v>
      </c>
      <c r="I258" s="44">
        <f t="shared" si="30"/>
        <v>0</v>
      </c>
      <c r="J258" s="330" t="str">
        <f t="shared" si="31"/>
        <v/>
      </c>
      <c r="K258" s="395">
        <v>0</v>
      </c>
      <c r="L258" s="48"/>
      <c r="M258" s="473"/>
      <c r="N258" s="473"/>
      <c r="O258" s="473"/>
      <c r="P258" s="473"/>
      <c r="Q258" s="473"/>
      <c r="R258" s="473"/>
      <c r="S258" s="473"/>
      <c r="T258" s="473"/>
      <c r="U258" s="473"/>
      <c r="V258" s="473"/>
      <c r="W258" s="473"/>
    </row>
    <row r="259" spans="1:23" ht="11.25" customHeight="1" x14ac:dyDescent="0.25">
      <c r="A259" s="407" t="s">
        <v>1539</v>
      </c>
      <c r="B259" s="445"/>
      <c r="C259" s="394">
        <v>0</v>
      </c>
      <c r="D259" s="383">
        <v>0</v>
      </c>
      <c r="E259" s="384">
        <v>0</v>
      </c>
      <c r="F259" s="472">
        <v>0</v>
      </c>
      <c r="G259" s="384">
        <v>0</v>
      </c>
      <c r="H259" s="472">
        <f t="shared" si="40"/>
        <v>0</v>
      </c>
      <c r="I259" s="44"/>
      <c r="J259" s="330"/>
      <c r="K259" s="395">
        <v>0</v>
      </c>
      <c r="L259" s="48"/>
      <c r="M259" s="473"/>
      <c r="N259" s="473"/>
      <c r="O259" s="473"/>
      <c r="P259" s="473"/>
      <c r="Q259" s="473"/>
      <c r="R259" s="473"/>
      <c r="S259" s="473"/>
      <c r="T259" s="473"/>
      <c r="U259" s="473"/>
      <c r="V259" s="473"/>
      <c r="W259" s="473"/>
    </row>
    <row r="260" spans="1:23" ht="11.25" customHeight="1" x14ac:dyDescent="0.25">
      <c r="A260" s="407" t="s">
        <v>1540</v>
      </c>
      <c r="B260" s="445"/>
      <c r="C260" s="394">
        <v>0</v>
      </c>
      <c r="D260" s="383">
        <v>0</v>
      </c>
      <c r="E260" s="384">
        <v>0</v>
      </c>
      <c r="F260" s="472">
        <v>0</v>
      </c>
      <c r="G260" s="384">
        <v>0</v>
      </c>
      <c r="H260" s="472">
        <f t="shared" si="40"/>
        <v>0</v>
      </c>
      <c r="I260" s="44"/>
      <c r="J260" s="330"/>
      <c r="K260" s="395">
        <v>0</v>
      </c>
      <c r="L260" s="48"/>
      <c r="M260" s="473"/>
      <c r="N260" s="473"/>
      <c r="O260" s="473"/>
      <c r="P260" s="473"/>
      <c r="Q260" s="473"/>
      <c r="R260" s="473"/>
      <c r="S260" s="473"/>
      <c r="T260" s="473"/>
      <c r="U260" s="473"/>
      <c r="V260" s="473"/>
      <c r="W260" s="473"/>
    </row>
    <row r="261" spans="1:23" ht="11.25" customHeight="1" x14ac:dyDescent="0.25">
      <c r="A261" s="407" t="s">
        <v>1541</v>
      </c>
      <c r="B261" s="445"/>
      <c r="C261" s="394">
        <v>0</v>
      </c>
      <c r="D261" s="383">
        <v>0</v>
      </c>
      <c r="E261" s="384">
        <v>0</v>
      </c>
      <c r="F261" s="472">
        <v>0</v>
      </c>
      <c r="G261" s="384">
        <v>0</v>
      </c>
      <c r="H261" s="472">
        <f t="shared" si="40"/>
        <v>0</v>
      </c>
      <c r="I261" s="44"/>
      <c r="J261" s="330"/>
      <c r="K261" s="395">
        <v>0</v>
      </c>
      <c r="L261" s="48"/>
      <c r="M261" s="473"/>
      <c r="N261" s="473"/>
      <c r="O261" s="473"/>
      <c r="P261" s="473"/>
      <c r="Q261" s="473"/>
      <c r="R261" s="473"/>
      <c r="S261" s="473"/>
      <c r="T261" s="473"/>
      <c r="U261" s="473"/>
      <c r="V261" s="473"/>
      <c r="W261" s="473"/>
    </row>
    <row r="262" spans="1:23" ht="11.25" customHeight="1" x14ac:dyDescent="0.25">
      <c r="A262" s="407" t="s">
        <v>1542</v>
      </c>
      <c r="B262" s="445"/>
      <c r="C262" s="394">
        <v>0</v>
      </c>
      <c r="D262" s="383">
        <v>0</v>
      </c>
      <c r="E262" s="384"/>
      <c r="F262" s="472">
        <v>0</v>
      </c>
      <c r="G262" s="384">
        <v>0</v>
      </c>
      <c r="H262" s="472">
        <f t="shared" si="40"/>
        <v>0</v>
      </c>
      <c r="I262" s="44"/>
      <c r="J262" s="330"/>
      <c r="K262" s="395">
        <v>0</v>
      </c>
      <c r="L262" s="48"/>
      <c r="M262" s="473"/>
      <c r="N262" s="473"/>
      <c r="O262" s="473"/>
      <c r="P262" s="473"/>
      <c r="Q262" s="473"/>
      <c r="R262" s="473"/>
      <c r="S262" s="473"/>
      <c r="T262" s="473"/>
      <c r="U262" s="473"/>
      <c r="V262" s="473"/>
      <c r="W262" s="473"/>
    </row>
    <row r="263" spans="1:23" ht="11.25" customHeight="1" x14ac:dyDescent="0.25">
      <c r="A263" s="407" t="s">
        <v>1543</v>
      </c>
      <c r="B263" s="445"/>
      <c r="C263" s="394">
        <v>0</v>
      </c>
      <c r="D263" s="383">
        <v>0</v>
      </c>
      <c r="E263" s="384"/>
      <c r="F263" s="472">
        <v>0</v>
      </c>
      <c r="G263" s="384">
        <v>0</v>
      </c>
      <c r="H263" s="472">
        <f t="shared" si="40"/>
        <v>0</v>
      </c>
      <c r="I263" s="44"/>
      <c r="J263" s="330"/>
      <c r="K263" s="395">
        <v>0</v>
      </c>
      <c r="L263" s="48"/>
      <c r="M263" s="473"/>
      <c r="N263" s="473"/>
      <c r="O263" s="473"/>
      <c r="P263" s="473"/>
      <c r="Q263" s="473"/>
      <c r="R263" s="473"/>
      <c r="S263" s="473"/>
      <c r="T263" s="473"/>
      <c r="U263" s="473"/>
      <c r="V263" s="473"/>
      <c r="W263" s="473"/>
    </row>
    <row r="264" spans="1:23" ht="11.25" customHeight="1" x14ac:dyDescent="0.25">
      <c r="A264" s="407" t="s">
        <v>1544</v>
      </c>
      <c r="B264" s="445"/>
      <c r="C264" s="394">
        <v>0</v>
      </c>
      <c r="D264" s="383">
        <v>0</v>
      </c>
      <c r="E264" s="384"/>
      <c r="F264" s="472">
        <v>0</v>
      </c>
      <c r="G264" s="384">
        <v>33205.870499999997</v>
      </c>
      <c r="H264" s="472">
        <f t="shared" si="40"/>
        <v>0</v>
      </c>
      <c r="I264" s="44"/>
      <c r="J264" s="330"/>
      <c r="K264" s="395">
        <v>0</v>
      </c>
      <c r="L264" s="48"/>
      <c r="M264" s="473"/>
      <c r="N264" s="473"/>
      <c r="O264" s="473"/>
      <c r="P264" s="473"/>
      <c r="Q264" s="473"/>
      <c r="R264" s="473"/>
      <c r="S264" s="473"/>
      <c r="T264" s="473"/>
      <c r="U264" s="473"/>
      <c r="V264" s="473"/>
      <c r="W264" s="473"/>
    </row>
    <row r="265" spans="1:23" ht="11.25" customHeight="1" x14ac:dyDescent="0.25">
      <c r="A265" s="407" t="s">
        <v>1545</v>
      </c>
      <c r="B265" s="445"/>
      <c r="C265" s="394">
        <v>0</v>
      </c>
      <c r="D265" s="383">
        <v>0</v>
      </c>
      <c r="E265" s="384"/>
      <c r="F265" s="472">
        <v>0</v>
      </c>
      <c r="G265" s="384">
        <v>3457925.6159999999</v>
      </c>
      <c r="H265" s="472">
        <f t="shared" si="40"/>
        <v>0</v>
      </c>
      <c r="I265" s="44"/>
      <c r="J265" s="330"/>
      <c r="K265" s="395">
        <v>0</v>
      </c>
      <c r="L265" s="48"/>
      <c r="M265" s="473"/>
      <c r="N265" s="473"/>
      <c r="O265" s="473"/>
      <c r="P265" s="473"/>
      <c r="Q265" s="473"/>
      <c r="R265" s="473"/>
      <c r="S265" s="473"/>
      <c r="T265" s="473"/>
      <c r="U265" s="473"/>
      <c r="V265" s="473"/>
      <c r="W265" s="473"/>
    </row>
    <row r="266" spans="1:23" ht="11.25" customHeight="1" x14ac:dyDescent="0.25">
      <c r="A266" s="407" t="s">
        <v>1546</v>
      </c>
      <c r="B266" s="445"/>
      <c r="C266" s="394">
        <v>0</v>
      </c>
      <c r="D266" s="383"/>
      <c r="E266" s="384"/>
      <c r="F266" s="472">
        <v>49741990.888000004</v>
      </c>
      <c r="G266" s="384">
        <v>49741990.888000004</v>
      </c>
      <c r="H266" s="384">
        <f t="shared" si="40"/>
        <v>0</v>
      </c>
      <c r="I266" s="44">
        <f t="shared" si="30"/>
        <v>49741990.888000004</v>
      </c>
      <c r="J266" s="330" t="e">
        <f t="shared" si="31"/>
        <v>#DIV/0!</v>
      </c>
      <c r="K266" s="395">
        <f>E266</f>
        <v>0</v>
      </c>
      <c r="L266" s="48"/>
      <c r="M266" s="473"/>
      <c r="N266" s="473"/>
      <c r="O266" s="473"/>
      <c r="P266" s="473"/>
      <c r="Q266" s="473"/>
      <c r="R266" s="473"/>
      <c r="S266" s="473"/>
      <c r="T266" s="473"/>
      <c r="U266" s="473"/>
      <c r="V266" s="473"/>
      <c r="W266" s="473"/>
    </row>
    <row r="267" spans="1:23" ht="11.25" customHeight="1" x14ac:dyDescent="0.25">
      <c r="A267" s="407">
        <f>'Org structure'!E96</f>
        <v>0</v>
      </c>
      <c r="B267" s="445"/>
      <c r="C267" s="394">
        <v>0</v>
      </c>
      <c r="D267" s="383">
        <v>0</v>
      </c>
      <c r="E267" s="384"/>
      <c r="F267" s="472">
        <v>0</v>
      </c>
      <c r="G267" s="384">
        <v>0</v>
      </c>
      <c r="H267" s="472">
        <f t="shared" si="40"/>
        <v>0</v>
      </c>
      <c r="I267" s="44">
        <f t="shared" si="30"/>
        <v>0</v>
      </c>
      <c r="J267" s="330" t="str">
        <f t="shared" si="31"/>
        <v/>
      </c>
      <c r="K267" s="395">
        <v>0</v>
      </c>
      <c r="L267" s="48"/>
      <c r="M267" s="473"/>
      <c r="N267" s="473"/>
      <c r="O267" s="473"/>
      <c r="P267" s="473"/>
      <c r="Q267" s="473"/>
      <c r="R267" s="473"/>
      <c r="S267" s="473"/>
      <c r="T267" s="473"/>
      <c r="U267" s="473"/>
      <c r="V267" s="473"/>
      <c r="W267" s="473"/>
    </row>
    <row r="268" spans="1:23" ht="11.25" customHeight="1" x14ac:dyDescent="0.25">
      <c r="A268" s="407">
        <f>'Org structure'!E97</f>
        <v>0</v>
      </c>
      <c r="B268" s="445"/>
      <c r="C268" s="394">
        <v>0</v>
      </c>
      <c r="D268" s="383">
        <v>0</v>
      </c>
      <c r="E268" s="384">
        <v>0</v>
      </c>
      <c r="F268" s="472">
        <v>0</v>
      </c>
      <c r="G268" s="384">
        <v>0</v>
      </c>
      <c r="H268" s="472">
        <f t="shared" si="40"/>
        <v>0</v>
      </c>
      <c r="I268" s="44">
        <f t="shared" si="30"/>
        <v>0</v>
      </c>
      <c r="J268" s="330" t="str">
        <f t="shared" si="31"/>
        <v/>
      </c>
      <c r="K268" s="395">
        <v>0</v>
      </c>
      <c r="L268" s="48"/>
      <c r="M268" s="473"/>
      <c r="N268" s="473"/>
      <c r="O268" s="473"/>
      <c r="P268" s="473"/>
      <c r="Q268" s="473"/>
      <c r="R268" s="473"/>
      <c r="S268" s="473"/>
      <c r="T268" s="473"/>
      <c r="U268" s="473"/>
      <c r="V268" s="473"/>
      <c r="W268" s="473"/>
    </row>
    <row r="269" spans="1:23" ht="11.25" customHeight="1" x14ac:dyDescent="0.25">
      <c r="A269" s="407">
        <f>'Org structure'!E98</f>
        <v>0</v>
      </c>
      <c r="B269" s="445"/>
      <c r="C269" s="394">
        <v>0</v>
      </c>
      <c r="D269" s="383">
        <v>0</v>
      </c>
      <c r="E269" s="384">
        <v>0</v>
      </c>
      <c r="F269" s="472">
        <v>0</v>
      </c>
      <c r="G269" s="384">
        <v>0</v>
      </c>
      <c r="H269" s="472">
        <f t="shared" si="40"/>
        <v>0</v>
      </c>
      <c r="I269" s="44">
        <f t="shared" si="30"/>
        <v>0</v>
      </c>
      <c r="J269" s="330" t="str">
        <f t="shared" si="31"/>
        <v/>
      </c>
      <c r="K269" s="395">
        <v>0</v>
      </c>
      <c r="L269" s="48"/>
      <c r="M269" s="473"/>
      <c r="N269" s="473"/>
      <c r="O269" s="473"/>
      <c r="P269" s="473"/>
      <c r="Q269" s="473"/>
      <c r="R269" s="473"/>
      <c r="S269" s="473"/>
      <c r="T269" s="473"/>
      <c r="U269" s="473"/>
      <c r="V269" s="473"/>
      <c r="W269" s="473"/>
    </row>
    <row r="270" spans="1:23" ht="11.25" customHeight="1" x14ac:dyDescent="0.25">
      <c r="A270" s="466" t="str">
        <f>'Org structure'!A9</f>
        <v>Vote 8 - PLANNING AND ECONOMIC DEVELOPMENT</v>
      </c>
      <c r="B270" s="445"/>
      <c r="C270" s="503">
        <f t="shared" ref="C270:H270" si="41">SUM(C271:C282)</f>
        <v>777184.24849999999</v>
      </c>
      <c r="D270" s="444">
        <f t="shared" si="41"/>
        <v>5805203</v>
      </c>
      <c r="E270" s="441">
        <f t="shared" si="41"/>
        <v>7186685</v>
      </c>
      <c r="F270" s="443">
        <f t="shared" si="41"/>
        <v>396750</v>
      </c>
      <c r="G270" s="441">
        <f t="shared" si="41"/>
        <v>2071814.5159999998</v>
      </c>
      <c r="H270" s="443">
        <f t="shared" si="41"/>
        <v>5988904.166666666</v>
      </c>
      <c r="I270" s="44">
        <f t="shared" si="30"/>
        <v>-3917089.6506666662</v>
      </c>
      <c r="J270" s="330">
        <f t="shared" si="31"/>
        <v>-0.65405782788587508</v>
      </c>
      <c r="K270" s="442">
        <f>SUM(K271:K282)</f>
        <v>7186685</v>
      </c>
      <c r="L270" s="48"/>
      <c r="M270" s="473"/>
      <c r="N270" s="473"/>
      <c r="O270" s="473"/>
      <c r="P270" s="473"/>
      <c r="Q270" s="473"/>
      <c r="R270" s="473"/>
      <c r="S270" s="473"/>
      <c r="T270" s="473"/>
      <c r="U270" s="473"/>
      <c r="V270" s="473"/>
      <c r="W270" s="473"/>
    </row>
    <row r="271" spans="1:23" ht="11.25" customHeight="1" x14ac:dyDescent="0.25">
      <c r="A271" s="407" t="s">
        <v>1547</v>
      </c>
      <c r="B271" s="445"/>
      <c r="C271" s="394">
        <v>0</v>
      </c>
      <c r="D271" s="383">
        <v>0</v>
      </c>
      <c r="E271" s="384">
        <v>0</v>
      </c>
      <c r="F271" s="472">
        <v>0</v>
      </c>
      <c r="G271" s="384">
        <v>0</v>
      </c>
      <c r="H271" s="472">
        <f t="shared" ref="H271:H282" si="42">E271/12*10</f>
        <v>0</v>
      </c>
      <c r="I271" s="44">
        <f t="shared" si="30"/>
        <v>0</v>
      </c>
      <c r="J271" s="330" t="str">
        <f t="shared" si="31"/>
        <v/>
      </c>
      <c r="K271" s="395">
        <v>0</v>
      </c>
      <c r="L271" s="48"/>
      <c r="M271" s="473"/>
      <c r="N271" s="473"/>
      <c r="O271" s="473"/>
      <c r="P271" s="473"/>
      <c r="Q271" s="473"/>
      <c r="R271" s="473"/>
      <c r="S271" s="473"/>
      <c r="T271" s="473"/>
      <c r="U271" s="473"/>
      <c r="V271" s="473"/>
      <c r="W271" s="473"/>
    </row>
    <row r="272" spans="1:23" ht="11.25" customHeight="1" x14ac:dyDescent="0.25">
      <c r="A272" s="407" t="s">
        <v>1548</v>
      </c>
      <c r="B272" s="445"/>
      <c r="C272" s="394">
        <v>0</v>
      </c>
      <c r="D272" s="383"/>
      <c r="E272" s="384">
        <v>0</v>
      </c>
      <c r="F272" s="472">
        <v>0</v>
      </c>
      <c r="G272" s="384">
        <v>0</v>
      </c>
      <c r="H272" s="472">
        <f t="shared" si="42"/>
        <v>0</v>
      </c>
      <c r="I272" s="44">
        <f t="shared" si="30"/>
        <v>0</v>
      </c>
      <c r="J272" s="330" t="str">
        <f t="shared" si="31"/>
        <v/>
      </c>
      <c r="K272" s="395">
        <v>0</v>
      </c>
      <c r="L272" s="48"/>
      <c r="M272" s="473"/>
      <c r="N272" s="473"/>
      <c r="O272" s="473"/>
      <c r="P272" s="473"/>
      <c r="Q272" s="473"/>
      <c r="R272" s="473"/>
      <c r="S272" s="473"/>
      <c r="T272" s="473"/>
      <c r="U272" s="473"/>
      <c r="V272" s="473"/>
      <c r="W272" s="473"/>
    </row>
    <row r="273" spans="1:23" ht="11.25" customHeight="1" x14ac:dyDescent="0.25">
      <c r="A273" s="407" t="s">
        <v>1549</v>
      </c>
      <c r="B273" s="445"/>
      <c r="C273" s="394">
        <v>777184.24849999999</v>
      </c>
      <c r="D273" s="383">
        <v>5805203</v>
      </c>
      <c r="E273" s="384">
        <v>7186685</v>
      </c>
      <c r="F273" s="472">
        <v>396750</v>
      </c>
      <c r="G273" s="384">
        <v>1910124.5159999998</v>
      </c>
      <c r="H273" s="384">
        <f t="shared" si="42"/>
        <v>5988904.166666666</v>
      </c>
      <c r="I273" s="44">
        <f t="shared" si="30"/>
        <v>-4078779.6506666662</v>
      </c>
      <c r="J273" s="330">
        <f t="shared" si="31"/>
        <v>-0.68105608925394667</v>
      </c>
      <c r="K273" s="395">
        <f>E273</f>
        <v>7186685</v>
      </c>
      <c r="L273" s="48"/>
      <c r="M273" s="473"/>
      <c r="N273" s="473"/>
      <c r="O273" s="473"/>
      <c r="P273" s="473"/>
      <c r="Q273" s="473"/>
      <c r="R273" s="473"/>
      <c r="S273" s="473"/>
      <c r="T273" s="473"/>
      <c r="U273" s="473"/>
      <c r="V273" s="473"/>
      <c r="W273" s="473"/>
    </row>
    <row r="274" spans="1:23" ht="11.25" customHeight="1" x14ac:dyDescent="0.25">
      <c r="A274" s="407" t="s">
        <v>1550</v>
      </c>
      <c r="B274" s="445"/>
      <c r="C274" s="394">
        <v>0</v>
      </c>
      <c r="D274" s="383">
        <v>0</v>
      </c>
      <c r="E274" s="384">
        <v>0</v>
      </c>
      <c r="F274" s="472">
        <v>0</v>
      </c>
      <c r="G274" s="384">
        <v>161690</v>
      </c>
      <c r="H274" s="472">
        <f t="shared" si="42"/>
        <v>0</v>
      </c>
      <c r="I274" s="44">
        <f t="shared" si="30"/>
        <v>161690</v>
      </c>
      <c r="J274" s="330" t="e">
        <f t="shared" si="31"/>
        <v>#DIV/0!</v>
      </c>
      <c r="K274" s="395">
        <v>0</v>
      </c>
      <c r="L274" s="48"/>
      <c r="M274" s="473"/>
      <c r="N274" s="473"/>
      <c r="O274" s="473"/>
      <c r="P274" s="473"/>
      <c r="Q274" s="473"/>
      <c r="R274" s="473"/>
      <c r="S274" s="473"/>
      <c r="T274" s="473"/>
      <c r="U274" s="473"/>
      <c r="V274" s="473"/>
      <c r="W274" s="473"/>
    </row>
    <row r="275" spans="1:23" ht="11.25" customHeight="1" x14ac:dyDescent="0.25">
      <c r="A275" s="407" t="s">
        <v>1551</v>
      </c>
      <c r="B275" s="445"/>
      <c r="C275" s="394">
        <v>0</v>
      </c>
      <c r="D275" s="383">
        <v>0</v>
      </c>
      <c r="E275" s="384">
        <v>0</v>
      </c>
      <c r="F275" s="472">
        <v>0</v>
      </c>
      <c r="G275" s="384">
        <v>0</v>
      </c>
      <c r="H275" s="472">
        <f t="shared" si="42"/>
        <v>0</v>
      </c>
      <c r="I275" s="44">
        <f t="shared" si="30"/>
        <v>0</v>
      </c>
      <c r="J275" s="330" t="str">
        <f t="shared" si="31"/>
        <v/>
      </c>
      <c r="K275" s="395">
        <v>0</v>
      </c>
      <c r="L275" s="48"/>
      <c r="M275" s="473"/>
      <c r="N275" s="473"/>
      <c r="O275" s="473"/>
      <c r="P275" s="473"/>
      <c r="Q275" s="473"/>
      <c r="R275" s="473"/>
      <c r="S275" s="473"/>
      <c r="T275" s="473"/>
      <c r="U275" s="473"/>
      <c r="V275" s="473"/>
      <c r="W275" s="473"/>
    </row>
    <row r="276" spans="1:23" ht="11.25" customHeight="1" x14ac:dyDescent="0.25">
      <c r="A276" s="407" t="s">
        <v>1552</v>
      </c>
      <c r="B276" s="445"/>
      <c r="C276" s="394">
        <v>0</v>
      </c>
      <c r="D276" s="383">
        <v>0</v>
      </c>
      <c r="E276" s="384">
        <v>0</v>
      </c>
      <c r="F276" s="472">
        <v>0</v>
      </c>
      <c r="G276" s="384">
        <v>0</v>
      </c>
      <c r="H276" s="472">
        <f t="shared" si="42"/>
        <v>0</v>
      </c>
      <c r="I276" s="44">
        <f t="shared" si="30"/>
        <v>0</v>
      </c>
      <c r="J276" s="330" t="str">
        <f t="shared" si="31"/>
        <v/>
      </c>
      <c r="K276" s="395">
        <v>0</v>
      </c>
      <c r="L276" s="48"/>
      <c r="M276" s="473"/>
      <c r="N276" s="473"/>
      <c r="O276" s="473"/>
      <c r="P276" s="473"/>
      <c r="Q276" s="473"/>
      <c r="R276" s="473"/>
      <c r="S276" s="473"/>
      <c r="T276" s="473"/>
      <c r="U276" s="473"/>
      <c r="V276" s="473"/>
      <c r="W276" s="473"/>
    </row>
    <row r="277" spans="1:23" ht="11.25" customHeight="1" x14ac:dyDescent="0.25">
      <c r="A277" s="407" t="s">
        <v>1553</v>
      </c>
      <c r="B277" s="445"/>
      <c r="C277" s="394">
        <v>0</v>
      </c>
      <c r="D277" s="383">
        <v>0</v>
      </c>
      <c r="E277" s="384">
        <v>0</v>
      </c>
      <c r="F277" s="472">
        <v>0</v>
      </c>
      <c r="G277" s="384">
        <v>0</v>
      </c>
      <c r="H277" s="472">
        <f t="shared" si="42"/>
        <v>0</v>
      </c>
      <c r="I277" s="44"/>
      <c r="J277" s="330"/>
      <c r="K277" s="395">
        <v>0</v>
      </c>
      <c r="L277" s="48"/>
      <c r="M277" s="473"/>
      <c r="N277" s="473"/>
      <c r="O277" s="473"/>
      <c r="P277" s="473"/>
      <c r="Q277" s="473"/>
      <c r="R277" s="473"/>
      <c r="S277" s="473"/>
      <c r="T277" s="473"/>
      <c r="U277" s="473"/>
      <c r="V277" s="473"/>
      <c r="W277" s="473"/>
    </row>
    <row r="278" spans="1:23" ht="11.25" customHeight="1" x14ac:dyDescent="0.25">
      <c r="A278" s="407" t="s">
        <v>1554</v>
      </c>
      <c r="B278" s="445"/>
      <c r="C278" s="394">
        <v>0</v>
      </c>
      <c r="D278" s="383">
        <v>0</v>
      </c>
      <c r="E278" s="384">
        <v>0</v>
      </c>
      <c r="F278" s="472">
        <v>0</v>
      </c>
      <c r="G278" s="384">
        <v>0</v>
      </c>
      <c r="H278" s="472">
        <f t="shared" si="42"/>
        <v>0</v>
      </c>
      <c r="I278" s="44"/>
      <c r="J278" s="330"/>
      <c r="K278" s="395">
        <v>0</v>
      </c>
      <c r="L278" s="48"/>
      <c r="M278" s="473"/>
      <c r="N278" s="473"/>
      <c r="O278" s="473"/>
      <c r="P278" s="473"/>
      <c r="Q278" s="473"/>
      <c r="R278" s="473"/>
      <c r="S278" s="473"/>
      <c r="T278" s="473"/>
      <c r="U278" s="473"/>
      <c r="V278" s="473"/>
      <c r="W278" s="473"/>
    </row>
    <row r="279" spans="1:23" ht="11.25" customHeight="1" x14ac:dyDescent="0.25">
      <c r="A279" s="407" t="s">
        <v>1555</v>
      </c>
      <c r="B279" s="445"/>
      <c r="C279" s="394">
        <v>0</v>
      </c>
      <c r="D279" s="383">
        <v>0</v>
      </c>
      <c r="E279" s="384">
        <v>0</v>
      </c>
      <c r="F279" s="472">
        <v>0</v>
      </c>
      <c r="G279" s="384">
        <v>0</v>
      </c>
      <c r="H279" s="472">
        <f t="shared" si="42"/>
        <v>0</v>
      </c>
      <c r="I279" s="44"/>
      <c r="J279" s="330"/>
      <c r="K279" s="395">
        <v>0</v>
      </c>
      <c r="L279" s="48"/>
      <c r="M279" s="473"/>
      <c r="N279" s="473"/>
      <c r="O279" s="473"/>
      <c r="P279" s="473"/>
      <c r="Q279" s="473"/>
      <c r="R279" s="473"/>
      <c r="S279" s="473"/>
      <c r="T279" s="473"/>
      <c r="U279" s="473"/>
      <c r="V279" s="473"/>
      <c r="W279" s="473"/>
    </row>
    <row r="280" spans="1:23" ht="11.25" customHeight="1" x14ac:dyDescent="0.25">
      <c r="A280" s="407" t="s">
        <v>1556</v>
      </c>
      <c r="B280" s="445"/>
      <c r="C280" s="394">
        <v>0</v>
      </c>
      <c r="D280" s="383">
        <v>0</v>
      </c>
      <c r="E280" s="384"/>
      <c r="F280" s="472">
        <v>0</v>
      </c>
      <c r="G280" s="384">
        <v>0</v>
      </c>
      <c r="H280" s="472">
        <f t="shared" si="42"/>
        <v>0</v>
      </c>
      <c r="I280" s="44"/>
      <c r="J280" s="330"/>
      <c r="K280" s="395">
        <v>0</v>
      </c>
      <c r="L280" s="48"/>
      <c r="M280" s="473"/>
      <c r="N280" s="473"/>
      <c r="O280" s="473"/>
      <c r="P280" s="473"/>
      <c r="Q280" s="473"/>
      <c r="R280" s="473"/>
      <c r="S280" s="473"/>
      <c r="T280" s="473"/>
      <c r="U280" s="473"/>
      <c r="V280" s="473"/>
      <c r="W280" s="473"/>
    </row>
    <row r="281" spans="1:23" ht="11.25" customHeight="1" x14ac:dyDescent="0.25">
      <c r="A281" s="407" t="str">
        <f>'Org structure'!E106</f>
        <v>8.7 - LOCAL ECONOMIC DEVELOPMENT</v>
      </c>
      <c r="B281" s="445"/>
      <c r="C281" s="394"/>
      <c r="D281" s="383">
        <v>0</v>
      </c>
      <c r="E281" s="384"/>
      <c r="F281" s="472">
        <v>0</v>
      </c>
      <c r="G281" s="384">
        <v>0</v>
      </c>
      <c r="H281" s="472">
        <f t="shared" si="42"/>
        <v>0</v>
      </c>
      <c r="I281" s="44">
        <f t="shared" si="30"/>
        <v>0</v>
      </c>
      <c r="J281" s="330" t="str">
        <f t="shared" si="31"/>
        <v/>
      </c>
      <c r="K281" s="395">
        <v>0</v>
      </c>
      <c r="L281" s="48"/>
      <c r="M281" s="473"/>
      <c r="N281" s="473"/>
      <c r="O281" s="473"/>
      <c r="P281" s="473"/>
      <c r="Q281" s="473"/>
      <c r="R281" s="473"/>
      <c r="S281" s="473"/>
      <c r="T281" s="473"/>
      <c r="U281" s="473"/>
      <c r="V281" s="473"/>
      <c r="W281" s="473"/>
    </row>
    <row r="282" spans="1:23" ht="11.25" customHeight="1" x14ac:dyDescent="0.25">
      <c r="A282" s="407" t="str">
        <f>'Org structure'!E107</f>
        <v>8.8 - INVESTMENT PROMOTION</v>
      </c>
      <c r="B282" s="445"/>
      <c r="C282" s="394"/>
      <c r="D282" s="383">
        <v>0</v>
      </c>
      <c r="E282" s="384">
        <v>0</v>
      </c>
      <c r="F282" s="472">
        <v>0</v>
      </c>
      <c r="G282" s="384">
        <v>0</v>
      </c>
      <c r="H282" s="472">
        <f t="shared" si="42"/>
        <v>0</v>
      </c>
      <c r="I282" s="44">
        <f t="shared" si="30"/>
        <v>0</v>
      </c>
      <c r="J282" s="330" t="str">
        <f t="shared" si="31"/>
        <v/>
      </c>
      <c r="K282" s="395">
        <v>0</v>
      </c>
      <c r="L282" s="48"/>
      <c r="M282" s="473"/>
      <c r="N282" s="473"/>
      <c r="O282" s="473"/>
      <c r="P282" s="473"/>
      <c r="Q282" s="473"/>
      <c r="R282" s="473"/>
      <c r="S282" s="473"/>
      <c r="T282" s="473"/>
      <c r="U282" s="473"/>
      <c r="V282" s="473"/>
      <c r="W282" s="473"/>
    </row>
    <row r="283" spans="1:23" ht="11.25" customHeight="1" x14ac:dyDescent="0.25">
      <c r="A283" s="466" t="str">
        <f>'Org structure'!A10</f>
        <v xml:space="preserve">Vote 9 - BUDGET AND TREASURY OFFICE </v>
      </c>
      <c r="B283" s="445"/>
      <c r="C283" s="503">
        <f t="shared" ref="C283:H283" si="43">SUM(C284:C291)</f>
        <v>3387769.3789999997</v>
      </c>
      <c r="D283" s="444">
        <f t="shared" si="43"/>
        <v>1000398</v>
      </c>
      <c r="E283" s="441">
        <f t="shared" si="43"/>
        <v>31685084</v>
      </c>
      <c r="F283" s="443">
        <f t="shared" si="43"/>
        <v>0</v>
      </c>
      <c r="G283" s="441">
        <f t="shared" si="43"/>
        <v>1110381.83</v>
      </c>
      <c r="H283" s="443">
        <f t="shared" si="43"/>
        <v>26404236.666666664</v>
      </c>
      <c r="I283" s="44">
        <f t="shared" ref="I283:I340" si="44">G283-H283</f>
        <v>-25293854.836666666</v>
      </c>
      <c r="J283" s="330">
        <f t="shared" ref="J283:J340" si="45">IF(I283=0,"",I283/H283)</f>
        <v>-0.95794683088105437</v>
      </c>
      <c r="K283" s="442">
        <f>SUM(K284:K291)</f>
        <v>31685084</v>
      </c>
      <c r="L283" s="48"/>
      <c r="M283" s="473"/>
      <c r="N283" s="473"/>
      <c r="O283" s="473"/>
      <c r="P283" s="473"/>
      <c r="Q283" s="473"/>
      <c r="R283" s="473"/>
      <c r="S283" s="473"/>
      <c r="T283" s="473"/>
      <c r="U283" s="473"/>
      <c r="V283" s="473"/>
      <c r="W283" s="473"/>
    </row>
    <row r="284" spans="1:23" ht="11.25" customHeight="1" x14ac:dyDescent="0.25">
      <c r="A284" s="407" t="s">
        <v>1557</v>
      </c>
      <c r="B284" s="445"/>
      <c r="C284" s="394"/>
      <c r="D284" s="383">
        <v>0</v>
      </c>
      <c r="E284" s="384">
        <v>0</v>
      </c>
      <c r="F284" s="472">
        <v>0</v>
      </c>
      <c r="G284" s="384">
        <v>0</v>
      </c>
      <c r="H284" s="472">
        <f t="shared" ref="H284:H291" si="46">E284/12*10</f>
        <v>0</v>
      </c>
      <c r="I284" s="44">
        <f t="shared" si="44"/>
        <v>0</v>
      </c>
      <c r="J284" s="330" t="str">
        <f t="shared" si="45"/>
        <v/>
      </c>
      <c r="K284" s="395">
        <v>0</v>
      </c>
      <c r="L284" s="48"/>
      <c r="M284" s="473"/>
      <c r="N284" s="473"/>
      <c r="O284" s="473"/>
      <c r="P284" s="473"/>
      <c r="Q284" s="473"/>
      <c r="R284" s="473"/>
      <c r="S284" s="473"/>
      <c r="T284" s="473"/>
      <c r="U284" s="473"/>
      <c r="V284" s="473"/>
      <c r="W284" s="473"/>
    </row>
    <row r="285" spans="1:23" ht="11.25" customHeight="1" x14ac:dyDescent="0.25">
      <c r="A285" s="407" t="s">
        <v>1558</v>
      </c>
      <c r="B285" s="445"/>
      <c r="C285" s="394">
        <v>0</v>
      </c>
      <c r="D285" s="383">
        <v>0</v>
      </c>
      <c r="E285" s="384">
        <v>0</v>
      </c>
      <c r="F285" s="472">
        <v>0</v>
      </c>
      <c r="G285" s="384">
        <v>0</v>
      </c>
      <c r="H285" s="472">
        <f t="shared" si="46"/>
        <v>0</v>
      </c>
      <c r="I285" s="44">
        <f t="shared" si="44"/>
        <v>0</v>
      </c>
      <c r="J285" s="330" t="str">
        <f t="shared" si="45"/>
        <v/>
      </c>
      <c r="K285" s="395">
        <v>0</v>
      </c>
      <c r="L285" s="48"/>
      <c r="M285" s="473"/>
      <c r="N285" s="473"/>
      <c r="O285" s="473"/>
      <c r="P285" s="473"/>
      <c r="Q285" s="473"/>
      <c r="R285" s="473"/>
      <c r="S285" s="473"/>
      <c r="T285" s="473"/>
      <c r="U285" s="473"/>
      <c r="V285" s="473"/>
      <c r="W285" s="473"/>
    </row>
    <row r="286" spans="1:23" ht="11.25" customHeight="1" x14ac:dyDescent="0.25">
      <c r="A286" s="407" t="s">
        <v>1559</v>
      </c>
      <c r="B286" s="445"/>
      <c r="C286" s="394">
        <v>0</v>
      </c>
      <c r="D286" s="383">
        <v>0</v>
      </c>
      <c r="E286" s="384">
        <v>31685084</v>
      </c>
      <c r="F286" s="472">
        <v>0</v>
      </c>
      <c r="G286" s="384">
        <v>1110381.83</v>
      </c>
      <c r="H286" s="472">
        <f t="shared" si="46"/>
        <v>26404236.666666664</v>
      </c>
      <c r="I286" s="44">
        <f>G286-H286</f>
        <v>-25293854.836666666</v>
      </c>
      <c r="J286" s="330">
        <f t="shared" si="45"/>
        <v>-0.95794683088105437</v>
      </c>
      <c r="K286" s="395">
        <f>E286</f>
        <v>31685084</v>
      </c>
      <c r="L286" s="48"/>
      <c r="M286" s="473"/>
      <c r="N286" s="473"/>
      <c r="O286" s="473"/>
      <c r="P286" s="473"/>
      <c r="Q286" s="473"/>
      <c r="R286" s="473"/>
      <c r="S286" s="473"/>
      <c r="T286" s="473"/>
      <c r="U286" s="473"/>
      <c r="V286" s="473"/>
      <c r="W286" s="473"/>
    </row>
    <row r="287" spans="1:23" ht="11.25" customHeight="1" x14ac:dyDescent="0.25">
      <c r="A287" s="407" t="s">
        <v>1560</v>
      </c>
      <c r="B287" s="445"/>
      <c r="C287" s="394">
        <f>2721392.269+666377.11</f>
        <v>3387769.3789999997</v>
      </c>
      <c r="D287" s="383">
        <v>1000398</v>
      </c>
      <c r="E287" s="384">
        <v>0</v>
      </c>
      <c r="F287" s="472">
        <v>0</v>
      </c>
      <c r="G287" s="384">
        <v>0</v>
      </c>
      <c r="H287" s="384">
        <f t="shared" si="46"/>
        <v>0</v>
      </c>
      <c r="I287" s="44">
        <f>G287-H287</f>
        <v>0</v>
      </c>
      <c r="J287" s="330" t="str">
        <f t="shared" si="45"/>
        <v/>
      </c>
      <c r="K287" s="395">
        <f>E287</f>
        <v>0</v>
      </c>
      <c r="L287" s="48"/>
      <c r="M287" s="473"/>
      <c r="N287" s="473"/>
      <c r="O287" s="473"/>
      <c r="P287" s="473"/>
      <c r="Q287" s="473"/>
      <c r="R287" s="473"/>
      <c r="S287" s="473"/>
      <c r="T287" s="473"/>
      <c r="U287" s="473"/>
      <c r="V287" s="473"/>
      <c r="W287" s="473"/>
    </row>
    <row r="288" spans="1:23" ht="11.25" customHeight="1" x14ac:dyDescent="0.25">
      <c r="A288" s="407" t="s">
        <v>1561</v>
      </c>
      <c r="B288" s="445"/>
      <c r="C288" s="394">
        <v>0</v>
      </c>
      <c r="D288" s="383">
        <v>0</v>
      </c>
      <c r="E288" s="384">
        <v>0</v>
      </c>
      <c r="F288" s="472">
        <v>0</v>
      </c>
      <c r="G288" s="384">
        <v>0</v>
      </c>
      <c r="H288" s="472">
        <f t="shared" si="46"/>
        <v>0</v>
      </c>
      <c r="I288" s="44">
        <f t="shared" si="44"/>
        <v>0</v>
      </c>
      <c r="J288" s="330" t="str">
        <f t="shared" si="45"/>
        <v/>
      </c>
      <c r="K288" s="395">
        <v>0</v>
      </c>
      <c r="L288" s="48"/>
      <c r="M288" s="473"/>
      <c r="N288" s="473"/>
      <c r="O288" s="473"/>
      <c r="P288" s="473"/>
      <c r="Q288" s="473"/>
      <c r="R288" s="473"/>
      <c r="S288" s="473"/>
      <c r="T288" s="473"/>
      <c r="U288" s="473"/>
      <c r="V288" s="473"/>
      <c r="W288" s="473"/>
    </row>
    <row r="289" spans="1:23" ht="11.25" customHeight="1" x14ac:dyDescent="0.25">
      <c r="A289" s="407" t="s">
        <v>1562</v>
      </c>
      <c r="B289" s="445"/>
      <c r="C289" s="394"/>
      <c r="D289" s="383">
        <v>0</v>
      </c>
      <c r="E289" s="384">
        <v>0</v>
      </c>
      <c r="F289" s="472">
        <v>0</v>
      </c>
      <c r="G289" s="384">
        <v>0</v>
      </c>
      <c r="H289" s="472">
        <f t="shared" si="46"/>
        <v>0</v>
      </c>
      <c r="I289" s="44">
        <f t="shared" si="44"/>
        <v>0</v>
      </c>
      <c r="J289" s="330" t="str">
        <f t="shared" si="45"/>
        <v/>
      </c>
      <c r="K289" s="395">
        <v>0</v>
      </c>
      <c r="L289" s="48"/>
      <c r="M289" s="473"/>
      <c r="N289" s="473"/>
      <c r="O289" s="473"/>
      <c r="P289" s="473"/>
      <c r="Q289" s="473"/>
      <c r="R289" s="473"/>
      <c r="S289" s="473"/>
      <c r="T289" s="473"/>
      <c r="U289" s="473"/>
      <c r="V289" s="473"/>
      <c r="W289" s="473"/>
    </row>
    <row r="290" spans="1:23" ht="11.25" customHeight="1" x14ac:dyDescent="0.25">
      <c r="A290" s="407" t="s">
        <v>1563</v>
      </c>
      <c r="B290" s="445"/>
      <c r="C290" s="394"/>
      <c r="D290" s="383">
        <v>0</v>
      </c>
      <c r="E290" s="384">
        <v>0</v>
      </c>
      <c r="F290" s="472">
        <v>0</v>
      </c>
      <c r="G290" s="384">
        <v>0</v>
      </c>
      <c r="H290" s="472">
        <f t="shared" si="46"/>
        <v>0</v>
      </c>
      <c r="I290" s="44">
        <f t="shared" si="44"/>
        <v>0</v>
      </c>
      <c r="J290" s="330" t="str">
        <f t="shared" si="45"/>
        <v/>
      </c>
      <c r="K290" s="395">
        <v>0</v>
      </c>
      <c r="L290" s="48"/>
      <c r="M290" s="473"/>
      <c r="N290" s="473"/>
      <c r="O290" s="473"/>
      <c r="P290" s="473"/>
      <c r="Q290" s="473"/>
      <c r="R290" s="473"/>
      <c r="S290" s="473"/>
      <c r="T290" s="473"/>
      <c r="U290" s="473"/>
      <c r="V290" s="473"/>
      <c r="W290" s="473"/>
    </row>
    <row r="291" spans="1:23" ht="11.25" customHeight="1" x14ac:dyDescent="0.25">
      <c r="A291" s="407">
        <f>'Org structure'!E118</f>
        <v>0</v>
      </c>
      <c r="B291" s="445"/>
      <c r="C291" s="394"/>
      <c r="D291" s="383">
        <v>0</v>
      </c>
      <c r="E291" s="384">
        <v>0</v>
      </c>
      <c r="F291" s="472">
        <v>0</v>
      </c>
      <c r="G291" s="384">
        <v>0</v>
      </c>
      <c r="H291" s="472">
        <f t="shared" si="46"/>
        <v>0</v>
      </c>
      <c r="I291" s="44">
        <f t="shared" si="44"/>
        <v>0</v>
      </c>
      <c r="J291" s="330" t="str">
        <f t="shared" si="45"/>
        <v/>
      </c>
      <c r="K291" s="395">
        <v>0</v>
      </c>
      <c r="L291" s="48"/>
      <c r="M291" s="473"/>
      <c r="N291" s="473"/>
      <c r="O291" s="473"/>
      <c r="P291" s="473"/>
      <c r="Q291" s="473"/>
      <c r="R291" s="473"/>
      <c r="S291" s="473"/>
      <c r="T291" s="473"/>
      <c r="U291" s="473"/>
      <c r="V291" s="473"/>
      <c r="W291" s="473"/>
    </row>
    <row r="292" spans="1:23" ht="11.25" customHeight="1" x14ac:dyDescent="0.25">
      <c r="A292" s="466" t="str">
        <f>'Org structure'!A11</f>
        <v>Vote 10 - TRANSPORT SERVICES</v>
      </c>
      <c r="B292" s="445"/>
      <c r="C292" s="503">
        <f t="shared" ref="C292:H292" si="47">SUM(C293:C302)</f>
        <v>284587626.98649991</v>
      </c>
      <c r="D292" s="444">
        <f t="shared" si="47"/>
        <v>534570062</v>
      </c>
      <c r="E292" s="441">
        <f t="shared" si="47"/>
        <v>327077664</v>
      </c>
      <c r="F292" s="443">
        <f t="shared" si="47"/>
        <v>15204129.555500001</v>
      </c>
      <c r="G292" s="441">
        <f t="shared" si="47"/>
        <v>151611475.07535002</v>
      </c>
      <c r="H292" s="443">
        <f t="shared" si="47"/>
        <v>272564720</v>
      </c>
      <c r="I292" s="44">
        <f t="shared" si="44"/>
        <v>-120953244.92464998</v>
      </c>
      <c r="J292" s="330">
        <f t="shared" si="45"/>
        <v>-0.44375972401949154</v>
      </c>
      <c r="K292" s="442">
        <f>SUM(K293:K302)</f>
        <v>327077664</v>
      </c>
      <c r="L292" s="48"/>
      <c r="M292" s="473"/>
      <c r="N292" s="473"/>
      <c r="O292" s="473"/>
      <c r="P292" s="473"/>
      <c r="Q292" s="473"/>
      <c r="R292" s="473"/>
      <c r="S292" s="473"/>
      <c r="T292" s="473"/>
      <c r="U292" s="473"/>
      <c r="V292" s="473"/>
      <c r="W292" s="473"/>
    </row>
    <row r="293" spans="1:23" ht="11.25" customHeight="1" x14ac:dyDescent="0.25">
      <c r="A293" s="407" t="s">
        <v>1564</v>
      </c>
      <c r="B293" s="445"/>
      <c r="C293" s="394">
        <v>19542471.030499998</v>
      </c>
      <c r="D293" s="383">
        <v>0</v>
      </c>
      <c r="E293" s="383">
        <v>0</v>
      </c>
      <c r="F293" s="383">
        <v>0</v>
      </c>
      <c r="G293" s="383">
        <v>0</v>
      </c>
      <c r="H293" s="472">
        <f t="shared" ref="H293:H302" si="48">E293/12*10</f>
        <v>0</v>
      </c>
      <c r="I293" s="44">
        <f t="shared" si="44"/>
        <v>0</v>
      </c>
      <c r="J293" s="330" t="str">
        <f t="shared" si="45"/>
        <v/>
      </c>
      <c r="K293" s="395">
        <v>0</v>
      </c>
      <c r="L293" s="48"/>
      <c r="M293" s="473"/>
      <c r="N293" s="473"/>
      <c r="O293" s="473"/>
      <c r="P293" s="473"/>
      <c r="Q293" s="473"/>
      <c r="R293" s="473"/>
      <c r="S293" s="473"/>
      <c r="T293" s="473"/>
      <c r="U293" s="473"/>
      <c r="V293" s="473"/>
      <c r="W293" s="473"/>
    </row>
    <row r="294" spans="1:23" ht="11.25" customHeight="1" x14ac:dyDescent="0.25">
      <c r="A294" s="407" t="s">
        <v>1565</v>
      </c>
      <c r="B294" s="445"/>
      <c r="C294" s="394">
        <f>219803527.248369-166767646.03</f>
        <v>53035881.218369007</v>
      </c>
      <c r="D294" s="383">
        <v>0</v>
      </c>
      <c r="E294" s="384">
        <v>0</v>
      </c>
      <c r="F294" s="472">
        <v>0</v>
      </c>
      <c r="G294" s="384"/>
      <c r="H294" s="472">
        <f t="shared" si="48"/>
        <v>0</v>
      </c>
      <c r="I294" s="44">
        <f t="shared" si="44"/>
        <v>0</v>
      </c>
      <c r="J294" s="330" t="str">
        <f t="shared" si="45"/>
        <v/>
      </c>
      <c r="K294" s="395">
        <v>0</v>
      </c>
      <c r="L294" s="48"/>
      <c r="M294" s="473"/>
      <c r="N294" s="473"/>
      <c r="O294" s="473"/>
      <c r="P294" s="473"/>
      <c r="Q294" s="473"/>
      <c r="R294" s="473"/>
      <c r="S294" s="473"/>
      <c r="T294" s="473"/>
      <c r="U294" s="473"/>
      <c r="V294" s="473"/>
      <c r="W294" s="473"/>
    </row>
    <row r="295" spans="1:23" ht="11.25" customHeight="1" x14ac:dyDescent="0.25">
      <c r="A295" s="407" t="s">
        <v>1566</v>
      </c>
      <c r="B295" s="445"/>
      <c r="C295" s="394">
        <v>0</v>
      </c>
      <c r="D295" s="383">
        <v>0</v>
      </c>
      <c r="E295" s="384">
        <v>0</v>
      </c>
      <c r="F295" s="472">
        <v>0</v>
      </c>
      <c r="G295" s="384">
        <v>0</v>
      </c>
      <c r="H295" s="472">
        <f t="shared" si="48"/>
        <v>0</v>
      </c>
      <c r="I295" s="44">
        <f t="shared" si="44"/>
        <v>0</v>
      </c>
      <c r="J295" s="330" t="str">
        <f t="shared" si="45"/>
        <v/>
      </c>
      <c r="K295" s="395">
        <v>0</v>
      </c>
      <c r="L295" s="48"/>
      <c r="M295" s="473"/>
      <c r="N295" s="473"/>
      <c r="O295" s="473"/>
      <c r="P295" s="473"/>
      <c r="Q295" s="473"/>
      <c r="R295" s="473"/>
      <c r="S295" s="473"/>
      <c r="T295" s="473"/>
      <c r="U295" s="473"/>
      <c r="V295" s="473"/>
      <c r="W295" s="473"/>
    </row>
    <row r="296" spans="1:23" ht="11.25" customHeight="1" x14ac:dyDescent="0.25">
      <c r="A296" s="407" t="s">
        <v>1567</v>
      </c>
      <c r="B296" s="445"/>
      <c r="C296" s="394">
        <v>0</v>
      </c>
      <c r="D296" s="383">
        <v>0</v>
      </c>
      <c r="E296" s="384">
        <v>0</v>
      </c>
      <c r="F296" s="472">
        <v>0</v>
      </c>
      <c r="G296" s="384">
        <v>0</v>
      </c>
      <c r="H296" s="472">
        <f t="shared" si="48"/>
        <v>0</v>
      </c>
      <c r="I296" s="44">
        <f t="shared" si="44"/>
        <v>0</v>
      </c>
      <c r="J296" s="330" t="str">
        <f t="shared" si="45"/>
        <v/>
      </c>
      <c r="K296" s="395">
        <v>0</v>
      </c>
      <c r="L296" s="48"/>
      <c r="M296" s="473"/>
      <c r="N296" s="473"/>
      <c r="O296" s="473"/>
      <c r="P296" s="473"/>
      <c r="Q296" s="473"/>
      <c r="R296" s="473"/>
      <c r="S296" s="473"/>
      <c r="T296" s="473"/>
      <c r="U296" s="473"/>
      <c r="V296" s="473"/>
      <c r="W296" s="473"/>
    </row>
    <row r="297" spans="1:23" ht="11.25" customHeight="1" x14ac:dyDescent="0.25">
      <c r="A297" s="407" t="s">
        <v>1568</v>
      </c>
      <c r="B297" s="445"/>
      <c r="C297" s="394"/>
      <c r="D297" s="383">
        <v>0</v>
      </c>
      <c r="E297" s="384">
        <v>0</v>
      </c>
      <c r="F297" s="472">
        <v>0</v>
      </c>
      <c r="G297" s="384">
        <v>0</v>
      </c>
      <c r="H297" s="472">
        <f t="shared" si="48"/>
        <v>0</v>
      </c>
      <c r="I297" s="44">
        <f t="shared" si="44"/>
        <v>0</v>
      </c>
      <c r="J297" s="330" t="str">
        <f t="shared" si="45"/>
        <v/>
      </c>
      <c r="K297" s="395">
        <v>0</v>
      </c>
      <c r="L297" s="48"/>
      <c r="M297" s="473"/>
      <c r="N297" s="473"/>
      <c r="O297" s="473"/>
      <c r="P297" s="473"/>
      <c r="Q297" s="473"/>
      <c r="R297" s="473"/>
      <c r="S297" s="473"/>
      <c r="T297" s="473"/>
      <c r="U297" s="473"/>
      <c r="V297" s="473"/>
      <c r="W297" s="473"/>
    </row>
    <row r="298" spans="1:23" ht="11.25" customHeight="1" x14ac:dyDescent="0.25">
      <c r="A298" s="407" t="s">
        <v>1569</v>
      </c>
      <c r="B298" s="445"/>
      <c r="C298" s="394">
        <v>0</v>
      </c>
      <c r="D298" s="383">
        <v>0</v>
      </c>
      <c r="E298" s="384">
        <v>0</v>
      </c>
      <c r="F298" s="472">
        <v>0</v>
      </c>
      <c r="G298" s="384">
        <v>0</v>
      </c>
      <c r="H298" s="472">
        <f t="shared" si="48"/>
        <v>0</v>
      </c>
      <c r="I298" s="44">
        <f t="shared" si="44"/>
        <v>0</v>
      </c>
      <c r="J298" s="330" t="str">
        <f t="shared" si="45"/>
        <v/>
      </c>
      <c r="K298" s="395">
        <v>0</v>
      </c>
      <c r="L298" s="48"/>
      <c r="M298" s="473"/>
      <c r="N298" s="473"/>
      <c r="O298" s="473"/>
      <c r="P298" s="473"/>
      <c r="Q298" s="473"/>
      <c r="R298" s="473"/>
      <c r="S298" s="473"/>
      <c r="T298" s="473"/>
      <c r="U298" s="473"/>
      <c r="V298" s="473"/>
      <c r="W298" s="473"/>
    </row>
    <row r="299" spans="1:23" ht="11.25" customHeight="1" x14ac:dyDescent="0.25">
      <c r="A299" s="407" t="s">
        <v>1570</v>
      </c>
      <c r="B299" s="445"/>
      <c r="C299" s="394">
        <f>212009274.374+0.37</f>
        <v>212009274.74400002</v>
      </c>
      <c r="D299" s="383">
        <v>534570062</v>
      </c>
      <c r="E299" s="384">
        <v>327077664</v>
      </c>
      <c r="F299" s="472">
        <f>18331191.5555-3127062</f>
        <v>15204129.555500001</v>
      </c>
      <c r="G299" s="384">
        <f>154738543.08535-3127068.01</f>
        <v>151611475.07535002</v>
      </c>
      <c r="H299" s="384">
        <f t="shared" si="48"/>
        <v>272564720</v>
      </c>
      <c r="I299" s="44"/>
      <c r="J299" s="330"/>
      <c r="K299" s="395">
        <f>E299</f>
        <v>327077664</v>
      </c>
      <c r="L299" s="48"/>
      <c r="M299" s="473"/>
      <c r="N299" s="473"/>
      <c r="O299" s="473"/>
      <c r="P299" s="473"/>
      <c r="Q299" s="473"/>
      <c r="R299" s="473"/>
      <c r="S299" s="473"/>
      <c r="T299" s="473"/>
      <c r="U299" s="473"/>
      <c r="V299" s="473"/>
      <c r="W299" s="473"/>
    </row>
    <row r="300" spans="1:23" ht="11.25" customHeight="1" x14ac:dyDescent="0.25">
      <c r="A300" s="407" t="s">
        <v>1571</v>
      </c>
      <c r="B300" s="445"/>
      <c r="C300" s="394">
        <v>-6.3691139221191398E-3</v>
      </c>
      <c r="D300" s="383">
        <v>0</v>
      </c>
      <c r="E300" s="384">
        <v>0</v>
      </c>
      <c r="F300" s="472">
        <v>0</v>
      </c>
      <c r="G300" s="384">
        <v>0</v>
      </c>
      <c r="H300" s="472">
        <f t="shared" si="48"/>
        <v>0</v>
      </c>
      <c r="I300" s="44"/>
      <c r="J300" s="330"/>
      <c r="K300" s="395">
        <v>0</v>
      </c>
      <c r="L300" s="48"/>
      <c r="M300" s="473"/>
      <c r="N300" s="473"/>
      <c r="O300" s="473"/>
      <c r="P300" s="473"/>
      <c r="Q300" s="473"/>
      <c r="R300" s="473"/>
      <c r="S300" s="473"/>
      <c r="T300" s="473"/>
      <c r="U300" s="473"/>
      <c r="V300" s="473"/>
      <c r="W300" s="473"/>
    </row>
    <row r="301" spans="1:23" ht="11.25" customHeight="1" x14ac:dyDescent="0.25">
      <c r="A301" s="407"/>
      <c r="B301" s="445"/>
      <c r="C301" s="394">
        <v>0</v>
      </c>
      <c r="D301" s="383">
        <v>0</v>
      </c>
      <c r="E301" s="384">
        <v>0</v>
      </c>
      <c r="F301" s="472">
        <v>0</v>
      </c>
      <c r="G301" s="384">
        <v>0</v>
      </c>
      <c r="H301" s="472">
        <f t="shared" si="48"/>
        <v>0</v>
      </c>
      <c r="I301" s="44"/>
      <c r="J301" s="330"/>
      <c r="K301" s="395">
        <v>0</v>
      </c>
      <c r="L301" s="48"/>
      <c r="M301" s="473"/>
      <c r="N301" s="473"/>
      <c r="O301" s="473"/>
      <c r="P301" s="473"/>
      <c r="Q301" s="473"/>
      <c r="R301" s="473"/>
      <c r="S301" s="473"/>
      <c r="T301" s="473"/>
      <c r="U301" s="473"/>
      <c r="V301" s="473"/>
      <c r="W301" s="473"/>
    </row>
    <row r="302" spans="1:23" ht="11.25" customHeight="1" x14ac:dyDescent="0.25">
      <c r="A302" s="407"/>
      <c r="B302" s="445"/>
      <c r="C302" s="394"/>
      <c r="D302" s="383">
        <v>0</v>
      </c>
      <c r="E302" s="384">
        <v>0</v>
      </c>
      <c r="F302" s="472">
        <v>0</v>
      </c>
      <c r="G302" s="384">
        <v>0</v>
      </c>
      <c r="H302" s="472">
        <f t="shared" si="48"/>
        <v>0</v>
      </c>
      <c r="I302" s="44"/>
      <c r="J302" s="330"/>
      <c r="K302" s="395">
        <v>0</v>
      </c>
      <c r="L302" s="48"/>
      <c r="M302" s="473"/>
      <c r="N302" s="473"/>
      <c r="O302" s="473"/>
      <c r="P302" s="473"/>
      <c r="Q302" s="473"/>
      <c r="R302" s="473"/>
      <c r="S302" s="473"/>
      <c r="T302" s="473"/>
      <c r="U302" s="473"/>
      <c r="V302" s="473"/>
      <c r="W302" s="473"/>
    </row>
    <row r="303" spans="1:23" ht="11.25" customHeight="1" x14ac:dyDescent="0.25">
      <c r="A303" s="466" t="str">
        <f>'Org structure'!A12</f>
        <v>Vote 11 - HUMAN SETTLEMENT</v>
      </c>
      <c r="B303" s="445"/>
      <c r="C303" s="503">
        <f t="shared" ref="C303:H303" si="49">SUM(C304:C309)</f>
        <v>0</v>
      </c>
      <c r="D303" s="444">
        <f t="shared" si="49"/>
        <v>0</v>
      </c>
      <c r="E303" s="441">
        <f t="shared" si="49"/>
        <v>0</v>
      </c>
      <c r="F303" s="443">
        <f t="shared" si="49"/>
        <v>0</v>
      </c>
      <c r="G303" s="441">
        <f t="shared" si="49"/>
        <v>0</v>
      </c>
      <c r="H303" s="443">
        <f t="shared" si="49"/>
        <v>0</v>
      </c>
      <c r="I303" s="44">
        <f t="shared" si="44"/>
        <v>0</v>
      </c>
      <c r="J303" s="330" t="str">
        <f t="shared" si="45"/>
        <v/>
      </c>
      <c r="K303" s="442">
        <f>SUM(K304:K309)</f>
        <v>0</v>
      </c>
      <c r="L303" s="48"/>
      <c r="M303" s="473"/>
      <c r="N303" s="473"/>
      <c r="O303" s="473"/>
      <c r="P303" s="473"/>
      <c r="Q303" s="473"/>
      <c r="R303" s="473"/>
      <c r="S303" s="473"/>
      <c r="T303" s="473"/>
      <c r="U303" s="473"/>
      <c r="V303" s="473"/>
      <c r="W303" s="473"/>
    </row>
    <row r="304" spans="1:23" ht="11.25" customHeight="1" x14ac:dyDescent="0.25">
      <c r="A304" s="407" t="s">
        <v>1572</v>
      </c>
      <c r="B304" s="445"/>
      <c r="C304" s="394"/>
      <c r="D304" s="383">
        <v>0</v>
      </c>
      <c r="E304" s="384">
        <v>0</v>
      </c>
      <c r="F304" s="472">
        <v>0</v>
      </c>
      <c r="G304" s="384">
        <v>0</v>
      </c>
      <c r="H304" s="472">
        <f t="shared" ref="H304:H309" si="50">E304/12*9</f>
        <v>0</v>
      </c>
      <c r="I304" s="44">
        <f t="shared" si="44"/>
        <v>0</v>
      </c>
      <c r="J304" s="330" t="str">
        <f t="shared" si="45"/>
        <v/>
      </c>
      <c r="K304" s="395"/>
      <c r="L304" s="48"/>
      <c r="M304" s="473"/>
      <c r="N304" s="473"/>
      <c r="O304" s="473"/>
      <c r="P304" s="473"/>
      <c r="Q304" s="473"/>
      <c r="R304" s="473"/>
      <c r="S304" s="473"/>
      <c r="T304" s="473"/>
      <c r="U304" s="473"/>
      <c r="V304" s="473"/>
      <c r="W304" s="473"/>
    </row>
    <row r="305" spans="1:23" ht="11.25" customHeight="1" x14ac:dyDescent="0.25">
      <c r="A305" s="407" t="s">
        <v>1573</v>
      </c>
      <c r="B305" s="445"/>
      <c r="C305" s="394"/>
      <c r="D305" s="383">
        <v>0</v>
      </c>
      <c r="E305" s="384">
        <v>0</v>
      </c>
      <c r="F305" s="472">
        <v>0</v>
      </c>
      <c r="G305" s="384">
        <v>0</v>
      </c>
      <c r="H305" s="472">
        <f t="shared" si="50"/>
        <v>0</v>
      </c>
      <c r="I305" s="44">
        <f t="shared" si="44"/>
        <v>0</v>
      </c>
      <c r="J305" s="330" t="str">
        <f t="shared" si="45"/>
        <v/>
      </c>
      <c r="K305" s="395">
        <v>0</v>
      </c>
      <c r="L305" s="48"/>
      <c r="M305" s="473"/>
      <c r="N305" s="473"/>
      <c r="O305" s="473"/>
      <c r="P305" s="473"/>
      <c r="Q305" s="473"/>
      <c r="R305" s="473"/>
      <c r="S305" s="473"/>
      <c r="T305" s="473"/>
      <c r="U305" s="473"/>
      <c r="V305" s="473"/>
      <c r="W305" s="473"/>
    </row>
    <row r="306" spans="1:23" ht="11.25" customHeight="1" x14ac:dyDescent="0.25">
      <c r="A306" s="407" t="s">
        <v>1574</v>
      </c>
      <c r="B306" s="445"/>
      <c r="C306" s="394"/>
      <c r="D306" s="383">
        <v>0</v>
      </c>
      <c r="E306" s="384">
        <v>0</v>
      </c>
      <c r="F306" s="472">
        <v>0</v>
      </c>
      <c r="G306" s="384">
        <v>0</v>
      </c>
      <c r="H306" s="472">
        <f t="shared" si="50"/>
        <v>0</v>
      </c>
      <c r="I306" s="44">
        <f t="shared" si="44"/>
        <v>0</v>
      </c>
      <c r="J306" s="330" t="str">
        <f t="shared" si="45"/>
        <v/>
      </c>
      <c r="K306" s="395">
        <v>0</v>
      </c>
      <c r="L306" s="48"/>
      <c r="M306" s="473"/>
      <c r="N306" s="473"/>
      <c r="O306" s="473"/>
      <c r="P306" s="473"/>
      <c r="Q306" s="473"/>
      <c r="R306" s="473"/>
      <c r="S306" s="473"/>
      <c r="T306" s="473"/>
      <c r="U306" s="473"/>
      <c r="V306" s="473"/>
      <c r="W306" s="473"/>
    </row>
    <row r="307" spans="1:23" ht="11.25" customHeight="1" x14ac:dyDescent="0.25">
      <c r="A307" s="407">
        <f>'Org structure'!E136</f>
        <v>0</v>
      </c>
      <c r="B307" s="445"/>
      <c r="C307" s="394"/>
      <c r="D307" s="383">
        <v>0</v>
      </c>
      <c r="E307" s="384">
        <v>0</v>
      </c>
      <c r="F307" s="472">
        <v>0</v>
      </c>
      <c r="G307" s="384">
        <v>0</v>
      </c>
      <c r="H307" s="472">
        <f t="shared" si="50"/>
        <v>0</v>
      </c>
      <c r="I307" s="44">
        <f t="shared" si="44"/>
        <v>0</v>
      </c>
      <c r="J307" s="330" t="str">
        <f t="shared" si="45"/>
        <v/>
      </c>
      <c r="K307" s="395">
        <v>0</v>
      </c>
      <c r="L307" s="48"/>
      <c r="M307" s="473"/>
      <c r="N307" s="473"/>
      <c r="O307" s="473"/>
      <c r="P307" s="473"/>
      <c r="Q307" s="473"/>
      <c r="R307" s="473"/>
      <c r="S307" s="473"/>
      <c r="T307" s="473"/>
      <c r="U307" s="473"/>
      <c r="V307" s="473"/>
      <c r="W307" s="473"/>
    </row>
    <row r="308" spans="1:23" ht="11.25" customHeight="1" x14ac:dyDescent="0.25">
      <c r="A308" s="407">
        <f>'Org structure'!E137</f>
        <v>0</v>
      </c>
      <c r="B308" s="445"/>
      <c r="C308" s="394"/>
      <c r="D308" s="383">
        <v>0</v>
      </c>
      <c r="E308" s="384">
        <v>0</v>
      </c>
      <c r="F308" s="472">
        <v>0</v>
      </c>
      <c r="G308" s="384">
        <v>0</v>
      </c>
      <c r="H308" s="472">
        <f t="shared" si="50"/>
        <v>0</v>
      </c>
      <c r="I308" s="44">
        <f t="shared" si="44"/>
        <v>0</v>
      </c>
      <c r="J308" s="330" t="str">
        <f t="shared" si="45"/>
        <v/>
      </c>
      <c r="K308" s="395">
        <v>0</v>
      </c>
      <c r="L308" s="48"/>
      <c r="M308" s="473"/>
      <c r="N308" s="473"/>
      <c r="O308" s="473"/>
      <c r="P308" s="473"/>
      <c r="Q308" s="473"/>
      <c r="R308" s="473"/>
      <c r="S308" s="473"/>
      <c r="T308" s="473"/>
      <c r="U308" s="473"/>
      <c r="V308" s="473"/>
      <c r="W308" s="473"/>
    </row>
    <row r="309" spans="1:23" ht="11.25" customHeight="1" x14ac:dyDescent="0.25">
      <c r="A309" s="407">
        <f>'Org structure'!E138</f>
        <v>0</v>
      </c>
      <c r="B309" s="445"/>
      <c r="C309" s="394"/>
      <c r="D309" s="383"/>
      <c r="E309" s="384"/>
      <c r="F309" s="472"/>
      <c r="G309" s="384"/>
      <c r="H309" s="472">
        <f t="shared" si="50"/>
        <v>0</v>
      </c>
      <c r="I309" s="44">
        <f t="shared" si="44"/>
        <v>0</v>
      </c>
      <c r="J309" s="330" t="str">
        <f t="shared" si="45"/>
        <v/>
      </c>
      <c r="K309" s="395">
        <v>0</v>
      </c>
      <c r="L309" s="48"/>
      <c r="M309" s="473"/>
      <c r="N309" s="473"/>
      <c r="O309" s="473"/>
      <c r="P309" s="473"/>
      <c r="Q309" s="473"/>
      <c r="R309" s="473"/>
      <c r="S309" s="473"/>
      <c r="T309" s="473"/>
      <c r="U309" s="473"/>
      <c r="V309" s="473"/>
      <c r="W309" s="473"/>
    </row>
    <row r="310" spans="1:23" ht="11.25" customHeight="1" x14ac:dyDescent="0.25">
      <c r="A310" s="466" t="str">
        <f>'Org structure'!A13</f>
        <v>Vote 12 - [NAME OF VOTE 12]</v>
      </c>
      <c r="B310" s="445"/>
      <c r="C310" s="503">
        <f t="shared" ref="C310:K310" si="51">SUM(C311:C320)</f>
        <v>0</v>
      </c>
      <c r="D310" s="444">
        <f t="shared" si="51"/>
        <v>0</v>
      </c>
      <c r="E310" s="441">
        <f t="shared" si="51"/>
        <v>0</v>
      </c>
      <c r="F310" s="443">
        <f t="shared" si="51"/>
        <v>0</v>
      </c>
      <c r="G310" s="441">
        <f t="shared" si="51"/>
        <v>0</v>
      </c>
      <c r="H310" s="443">
        <f t="shared" si="51"/>
        <v>0</v>
      </c>
      <c r="I310" s="44">
        <f t="shared" si="44"/>
        <v>0</v>
      </c>
      <c r="J310" s="330" t="str">
        <f t="shared" si="45"/>
        <v/>
      </c>
      <c r="K310" s="442">
        <f t="shared" si="51"/>
        <v>0</v>
      </c>
      <c r="L310" s="48"/>
      <c r="M310" s="473"/>
      <c r="N310" s="473"/>
      <c r="O310" s="473"/>
      <c r="P310" s="473"/>
      <c r="Q310" s="473"/>
      <c r="R310" s="473"/>
      <c r="S310" s="473"/>
      <c r="T310" s="473"/>
      <c r="U310" s="473"/>
      <c r="V310" s="473"/>
      <c r="W310" s="473"/>
    </row>
    <row r="311" spans="1:23" ht="11.25" customHeight="1" x14ac:dyDescent="0.25">
      <c r="A311" s="407" t="str">
        <f>'Org structure'!E144</f>
        <v>12.1 - [Name of sub-vote]</v>
      </c>
      <c r="B311" s="445"/>
      <c r="C311" s="394"/>
      <c r="D311" s="383">
        <v>0</v>
      </c>
      <c r="E311" s="384">
        <v>0</v>
      </c>
      <c r="F311" s="472">
        <v>0</v>
      </c>
      <c r="G311" s="384">
        <v>0</v>
      </c>
      <c r="H311" s="472">
        <v>0</v>
      </c>
      <c r="I311" s="44">
        <f t="shared" si="44"/>
        <v>0</v>
      </c>
      <c r="J311" s="330" t="str">
        <f t="shared" si="45"/>
        <v/>
      </c>
      <c r="K311" s="395">
        <v>0</v>
      </c>
      <c r="L311" s="48"/>
      <c r="M311" s="473"/>
      <c r="N311" s="473"/>
      <c r="O311" s="473"/>
      <c r="P311" s="473"/>
      <c r="Q311" s="473"/>
      <c r="R311" s="473"/>
      <c r="S311" s="473"/>
      <c r="T311" s="473"/>
      <c r="U311" s="473"/>
      <c r="V311" s="473"/>
      <c r="W311" s="473"/>
    </row>
    <row r="312" spans="1:23" ht="11.25" customHeight="1" x14ac:dyDescent="0.25">
      <c r="A312" s="407">
        <f>'Org structure'!E145</f>
        <v>0</v>
      </c>
      <c r="B312" s="445"/>
      <c r="C312" s="394"/>
      <c r="D312" s="383">
        <v>0</v>
      </c>
      <c r="E312" s="384">
        <v>0</v>
      </c>
      <c r="F312" s="472">
        <v>0</v>
      </c>
      <c r="G312" s="384">
        <v>0</v>
      </c>
      <c r="H312" s="472">
        <v>0</v>
      </c>
      <c r="I312" s="44">
        <f t="shared" si="44"/>
        <v>0</v>
      </c>
      <c r="J312" s="330" t="str">
        <f t="shared" si="45"/>
        <v/>
      </c>
      <c r="K312" s="395">
        <v>0</v>
      </c>
      <c r="L312" s="48"/>
      <c r="M312" s="473"/>
      <c r="N312" s="473"/>
      <c r="O312" s="473"/>
      <c r="P312" s="473"/>
      <c r="Q312" s="473"/>
      <c r="R312" s="473"/>
      <c r="S312" s="473"/>
      <c r="T312" s="473"/>
      <c r="U312" s="473"/>
      <c r="V312" s="473"/>
      <c r="W312" s="473"/>
    </row>
    <row r="313" spans="1:23" ht="11.25" customHeight="1" x14ac:dyDescent="0.25">
      <c r="A313" s="407">
        <f>'Org structure'!E146</f>
        <v>0</v>
      </c>
      <c r="B313" s="445"/>
      <c r="C313" s="394"/>
      <c r="D313" s="383">
        <v>0</v>
      </c>
      <c r="E313" s="384">
        <v>0</v>
      </c>
      <c r="F313" s="472">
        <v>0</v>
      </c>
      <c r="G313" s="384">
        <v>0</v>
      </c>
      <c r="H313" s="472">
        <v>0</v>
      </c>
      <c r="I313" s="44">
        <f t="shared" si="44"/>
        <v>0</v>
      </c>
      <c r="J313" s="330" t="str">
        <f t="shared" si="45"/>
        <v/>
      </c>
      <c r="K313" s="395">
        <v>0</v>
      </c>
      <c r="L313" s="48"/>
      <c r="M313" s="473"/>
      <c r="N313" s="473"/>
      <c r="O313" s="473"/>
      <c r="P313" s="473"/>
      <c r="Q313" s="473"/>
      <c r="R313" s="473"/>
      <c r="S313" s="473"/>
      <c r="T313" s="473"/>
      <c r="U313" s="473"/>
      <c r="V313" s="473"/>
      <c r="W313" s="473"/>
    </row>
    <row r="314" spans="1:23" ht="11.25" customHeight="1" x14ac:dyDescent="0.25">
      <c r="A314" s="407">
        <f>'Org structure'!E147</f>
        <v>0</v>
      </c>
      <c r="B314" s="445"/>
      <c r="C314" s="394"/>
      <c r="D314" s="383">
        <v>0</v>
      </c>
      <c r="E314" s="384">
        <v>0</v>
      </c>
      <c r="F314" s="472">
        <v>0</v>
      </c>
      <c r="G314" s="384">
        <v>0</v>
      </c>
      <c r="H314" s="472">
        <v>0</v>
      </c>
      <c r="I314" s="44">
        <f t="shared" si="44"/>
        <v>0</v>
      </c>
      <c r="J314" s="330" t="str">
        <f t="shared" si="45"/>
        <v/>
      </c>
      <c r="K314" s="395">
        <v>0</v>
      </c>
      <c r="L314" s="48"/>
      <c r="M314" s="473"/>
      <c r="N314" s="473"/>
      <c r="O314" s="473"/>
      <c r="P314" s="473"/>
      <c r="Q314" s="473"/>
      <c r="R314" s="473"/>
      <c r="S314" s="473"/>
      <c r="T314" s="473"/>
      <c r="U314" s="473"/>
      <c r="V314" s="473"/>
      <c r="W314" s="473"/>
    </row>
    <row r="315" spans="1:23" ht="11.25" customHeight="1" x14ac:dyDescent="0.25">
      <c r="A315" s="407">
        <f>'Org structure'!E148</f>
        <v>0</v>
      </c>
      <c r="B315" s="445"/>
      <c r="C315" s="394"/>
      <c r="D315" s="383">
        <v>0</v>
      </c>
      <c r="E315" s="384">
        <v>0</v>
      </c>
      <c r="F315" s="472">
        <v>0</v>
      </c>
      <c r="G315" s="384">
        <v>0</v>
      </c>
      <c r="H315" s="472">
        <v>0</v>
      </c>
      <c r="I315" s="44">
        <f t="shared" si="44"/>
        <v>0</v>
      </c>
      <c r="J315" s="330" t="str">
        <f t="shared" si="45"/>
        <v/>
      </c>
      <c r="K315" s="395">
        <v>0</v>
      </c>
      <c r="L315" s="48"/>
      <c r="M315" s="473"/>
      <c r="N315" s="473"/>
      <c r="O315" s="473"/>
      <c r="P315" s="473"/>
      <c r="Q315" s="473"/>
      <c r="R315" s="473"/>
      <c r="S315" s="473"/>
      <c r="T315" s="473"/>
      <c r="U315" s="473"/>
      <c r="V315" s="473"/>
      <c r="W315" s="473"/>
    </row>
    <row r="316" spans="1:23" ht="11.25" customHeight="1" x14ac:dyDescent="0.25">
      <c r="A316" s="407">
        <f>'Org structure'!E149</f>
        <v>0</v>
      </c>
      <c r="B316" s="445"/>
      <c r="C316" s="394"/>
      <c r="D316" s="383">
        <v>0</v>
      </c>
      <c r="E316" s="384">
        <v>0</v>
      </c>
      <c r="F316" s="472">
        <v>0</v>
      </c>
      <c r="G316" s="384">
        <v>0</v>
      </c>
      <c r="H316" s="472">
        <v>0</v>
      </c>
      <c r="I316" s="44">
        <f t="shared" si="44"/>
        <v>0</v>
      </c>
      <c r="J316" s="330" t="str">
        <f t="shared" si="45"/>
        <v/>
      </c>
      <c r="K316" s="395">
        <v>0</v>
      </c>
      <c r="L316" s="48"/>
      <c r="M316" s="473"/>
      <c r="N316" s="473"/>
      <c r="O316" s="473"/>
      <c r="P316" s="473"/>
      <c r="Q316" s="473"/>
      <c r="R316" s="473"/>
      <c r="S316" s="473"/>
      <c r="T316" s="473"/>
      <c r="U316" s="473"/>
      <c r="V316" s="473"/>
      <c r="W316" s="473"/>
    </row>
    <row r="317" spans="1:23" ht="11.25" customHeight="1" x14ac:dyDescent="0.25">
      <c r="A317" s="407">
        <f>'Org structure'!E150</f>
        <v>0</v>
      </c>
      <c r="B317" s="445"/>
      <c r="C317" s="394"/>
      <c r="D317" s="383">
        <v>0</v>
      </c>
      <c r="E317" s="384">
        <v>0</v>
      </c>
      <c r="F317" s="472">
        <v>0</v>
      </c>
      <c r="G317" s="384">
        <v>0</v>
      </c>
      <c r="H317" s="472">
        <v>0</v>
      </c>
      <c r="I317" s="44">
        <f t="shared" si="44"/>
        <v>0</v>
      </c>
      <c r="J317" s="330" t="str">
        <f t="shared" si="45"/>
        <v/>
      </c>
      <c r="K317" s="395">
        <v>0</v>
      </c>
      <c r="L317" s="48"/>
      <c r="M317" s="473"/>
      <c r="N317" s="473"/>
      <c r="O317" s="473"/>
      <c r="P317" s="473"/>
      <c r="Q317" s="473"/>
      <c r="R317" s="473"/>
      <c r="S317" s="473"/>
      <c r="T317" s="473"/>
      <c r="U317" s="473"/>
      <c r="V317" s="473"/>
      <c r="W317" s="473"/>
    </row>
    <row r="318" spans="1:23" ht="11.25" customHeight="1" x14ac:dyDescent="0.25">
      <c r="A318" s="407">
        <f>'Org structure'!E151</f>
        <v>0</v>
      </c>
      <c r="B318" s="445"/>
      <c r="C318" s="394"/>
      <c r="D318" s="383">
        <v>0</v>
      </c>
      <c r="E318" s="384">
        <v>0</v>
      </c>
      <c r="F318" s="472">
        <v>0</v>
      </c>
      <c r="G318" s="384">
        <v>0</v>
      </c>
      <c r="H318" s="472">
        <v>0</v>
      </c>
      <c r="I318" s="44">
        <f t="shared" si="44"/>
        <v>0</v>
      </c>
      <c r="J318" s="330" t="str">
        <f t="shared" si="45"/>
        <v/>
      </c>
      <c r="K318" s="395">
        <v>0</v>
      </c>
      <c r="L318" s="48"/>
      <c r="M318" s="473"/>
      <c r="N318" s="473"/>
      <c r="O318" s="473"/>
      <c r="P318" s="473"/>
      <c r="Q318" s="473"/>
      <c r="R318" s="473"/>
      <c r="S318" s="473"/>
      <c r="T318" s="473"/>
      <c r="U318" s="473"/>
      <c r="V318" s="473"/>
      <c r="W318" s="473"/>
    </row>
    <row r="319" spans="1:23" ht="11.25" customHeight="1" x14ac:dyDescent="0.25">
      <c r="A319" s="407">
        <f>'Org structure'!E152</f>
        <v>0</v>
      </c>
      <c r="B319" s="445"/>
      <c r="C319" s="394"/>
      <c r="D319" s="383">
        <v>0</v>
      </c>
      <c r="E319" s="384">
        <v>0</v>
      </c>
      <c r="F319" s="472">
        <v>0</v>
      </c>
      <c r="G319" s="384">
        <v>0</v>
      </c>
      <c r="H319" s="472">
        <v>0</v>
      </c>
      <c r="I319" s="44">
        <f t="shared" si="44"/>
        <v>0</v>
      </c>
      <c r="J319" s="330" t="str">
        <f t="shared" si="45"/>
        <v/>
      </c>
      <c r="K319" s="395">
        <v>0</v>
      </c>
      <c r="L319" s="48"/>
      <c r="M319" s="473"/>
      <c r="N319" s="473"/>
      <c r="O319" s="473"/>
      <c r="P319" s="473"/>
      <c r="Q319" s="473"/>
      <c r="R319" s="473"/>
      <c r="S319" s="473"/>
      <c r="T319" s="473"/>
      <c r="U319" s="473"/>
      <c r="V319" s="473"/>
      <c r="W319" s="473"/>
    </row>
    <row r="320" spans="1:23" ht="11.25" customHeight="1" x14ac:dyDescent="0.25">
      <c r="A320" s="407">
        <f>'Org structure'!E153</f>
        <v>0</v>
      </c>
      <c r="B320" s="445"/>
      <c r="C320" s="394"/>
      <c r="D320" s="383">
        <v>0</v>
      </c>
      <c r="E320" s="384">
        <v>0</v>
      </c>
      <c r="F320" s="472">
        <v>0</v>
      </c>
      <c r="G320" s="384">
        <v>0</v>
      </c>
      <c r="H320" s="472">
        <v>0</v>
      </c>
      <c r="I320" s="44">
        <f t="shared" si="44"/>
        <v>0</v>
      </c>
      <c r="J320" s="330" t="str">
        <f t="shared" si="45"/>
        <v/>
      </c>
      <c r="K320" s="395">
        <v>0</v>
      </c>
      <c r="L320" s="48"/>
      <c r="M320" s="473"/>
      <c r="N320" s="473"/>
      <c r="O320" s="473"/>
      <c r="P320" s="473"/>
      <c r="Q320" s="473"/>
      <c r="R320" s="473"/>
      <c r="S320" s="473"/>
      <c r="T320" s="473"/>
      <c r="U320" s="473"/>
      <c r="V320" s="473"/>
      <c r="W320" s="473"/>
    </row>
    <row r="321" spans="1:23" ht="11.25" customHeight="1" x14ac:dyDescent="0.25">
      <c r="A321" s="466" t="str">
        <f>'Org structure'!A14</f>
        <v>Vote 13 - [NAME OF VOTE 13]</v>
      </c>
      <c r="B321" s="445"/>
      <c r="C321" s="503">
        <f t="shared" ref="C321:K321" si="52">SUM(C322:C331)</f>
        <v>0</v>
      </c>
      <c r="D321" s="444">
        <f t="shared" si="52"/>
        <v>0</v>
      </c>
      <c r="E321" s="441">
        <f t="shared" si="52"/>
        <v>0</v>
      </c>
      <c r="F321" s="443">
        <f t="shared" si="52"/>
        <v>0</v>
      </c>
      <c r="G321" s="441">
        <f t="shared" si="52"/>
        <v>0</v>
      </c>
      <c r="H321" s="443">
        <f t="shared" si="52"/>
        <v>0</v>
      </c>
      <c r="I321" s="44">
        <f t="shared" si="44"/>
        <v>0</v>
      </c>
      <c r="J321" s="330" t="str">
        <f t="shared" si="45"/>
        <v/>
      </c>
      <c r="K321" s="442">
        <f t="shared" si="52"/>
        <v>0</v>
      </c>
      <c r="L321" s="48"/>
      <c r="M321" s="473"/>
      <c r="N321" s="473"/>
      <c r="O321" s="473"/>
      <c r="P321" s="473"/>
      <c r="Q321" s="473"/>
      <c r="R321" s="473"/>
      <c r="S321" s="473"/>
      <c r="T321" s="473"/>
      <c r="U321" s="473"/>
      <c r="V321" s="473"/>
      <c r="W321" s="473"/>
    </row>
    <row r="322" spans="1:23" ht="11.25" customHeight="1" x14ac:dyDescent="0.25">
      <c r="A322" s="407" t="str">
        <f>'Org structure'!E155</f>
        <v>13.1 - [Name of sub-vote]</v>
      </c>
      <c r="B322" s="445"/>
      <c r="C322" s="394"/>
      <c r="D322" s="383">
        <v>0</v>
      </c>
      <c r="E322" s="384">
        <v>0</v>
      </c>
      <c r="F322" s="472">
        <v>0</v>
      </c>
      <c r="G322" s="384">
        <v>0</v>
      </c>
      <c r="H322" s="472">
        <v>0</v>
      </c>
      <c r="I322" s="44">
        <f t="shared" si="44"/>
        <v>0</v>
      </c>
      <c r="J322" s="330" t="str">
        <f t="shared" si="45"/>
        <v/>
      </c>
      <c r="K322" s="395">
        <v>0</v>
      </c>
      <c r="L322" s="48"/>
      <c r="M322" s="473"/>
      <c r="N322" s="473"/>
      <c r="O322" s="473"/>
      <c r="P322" s="473"/>
      <c r="Q322" s="473"/>
      <c r="R322" s="473"/>
      <c r="S322" s="473"/>
      <c r="T322" s="473"/>
      <c r="U322" s="473"/>
      <c r="V322" s="473"/>
      <c r="W322" s="473"/>
    </row>
    <row r="323" spans="1:23" ht="11.25" customHeight="1" x14ac:dyDescent="0.25">
      <c r="A323" s="407">
        <f>'Org structure'!E156</f>
        <v>0</v>
      </c>
      <c r="B323" s="445"/>
      <c r="C323" s="394"/>
      <c r="D323" s="383">
        <v>0</v>
      </c>
      <c r="E323" s="384">
        <v>0</v>
      </c>
      <c r="F323" s="472">
        <v>0</v>
      </c>
      <c r="G323" s="384">
        <v>0</v>
      </c>
      <c r="H323" s="472">
        <v>0</v>
      </c>
      <c r="I323" s="44">
        <f t="shared" si="44"/>
        <v>0</v>
      </c>
      <c r="J323" s="330" t="str">
        <f t="shared" si="45"/>
        <v/>
      </c>
      <c r="K323" s="395">
        <v>0</v>
      </c>
      <c r="L323" s="48"/>
      <c r="M323" s="473"/>
      <c r="N323" s="473"/>
      <c r="O323" s="473"/>
      <c r="P323" s="473"/>
      <c r="Q323" s="473"/>
      <c r="R323" s="473"/>
      <c r="S323" s="473"/>
      <c r="T323" s="473"/>
      <c r="U323" s="473"/>
      <c r="V323" s="473"/>
      <c r="W323" s="473"/>
    </row>
    <row r="324" spans="1:23" ht="11.25" customHeight="1" x14ac:dyDescent="0.25">
      <c r="A324" s="407">
        <f>'Org structure'!E157</f>
        <v>0</v>
      </c>
      <c r="B324" s="445"/>
      <c r="C324" s="394"/>
      <c r="D324" s="383">
        <v>0</v>
      </c>
      <c r="E324" s="384">
        <v>0</v>
      </c>
      <c r="F324" s="472">
        <v>0</v>
      </c>
      <c r="G324" s="384">
        <v>0</v>
      </c>
      <c r="H324" s="472">
        <v>0</v>
      </c>
      <c r="I324" s="44">
        <f t="shared" si="44"/>
        <v>0</v>
      </c>
      <c r="J324" s="330" t="str">
        <f t="shared" si="45"/>
        <v/>
      </c>
      <c r="K324" s="395">
        <v>0</v>
      </c>
      <c r="L324" s="48"/>
      <c r="M324" s="473"/>
      <c r="N324" s="473"/>
      <c r="O324" s="473"/>
      <c r="P324" s="473"/>
      <c r="Q324" s="473"/>
      <c r="R324" s="473"/>
      <c r="S324" s="473"/>
      <c r="T324" s="473"/>
      <c r="U324" s="473"/>
      <c r="V324" s="473"/>
      <c r="W324" s="473"/>
    </row>
    <row r="325" spans="1:23" ht="11.25" customHeight="1" x14ac:dyDescent="0.25">
      <c r="A325" s="407">
        <f>'Org structure'!E158</f>
        <v>0</v>
      </c>
      <c r="B325" s="445"/>
      <c r="C325" s="394"/>
      <c r="D325" s="383">
        <v>0</v>
      </c>
      <c r="E325" s="384">
        <v>0</v>
      </c>
      <c r="F325" s="472">
        <v>0</v>
      </c>
      <c r="G325" s="384">
        <v>0</v>
      </c>
      <c r="H325" s="472">
        <v>0</v>
      </c>
      <c r="I325" s="44">
        <f t="shared" si="44"/>
        <v>0</v>
      </c>
      <c r="J325" s="330" t="str">
        <f t="shared" si="45"/>
        <v/>
      </c>
      <c r="K325" s="395">
        <v>0</v>
      </c>
      <c r="L325" s="48"/>
      <c r="M325" s="473"/>
      <c r="N325" s="473"/>
      <c r="O325" s="473"/>
      <c r="P325" s="473"/>
      <c r="Q325" s="473"/>
      <c r="R325" s="473"/>
      <c r="S325" s="473"/>
      <c r="T325" s="473"/>
      <c r="U325" s="473"/>
      <c r="V325" s="473"/>
      <c r="W325" s="473"/>
    </row>
    <row r="326" spans="1:23" ht="11.25" customHeight="1" x14ac:dyDescent="0.25">
      <c r="A326" s="407">
        <f>'Org structure'!E159</f>
        <v>0</v>
      </c>
      <c r="B326" s="445"/>
      <c r="C326" s="394"/>
      <c r="D326" s="383">
        <v>0</v>
      </c>
      <c r="E326" s="384">
        <v>0</v>
      </c>
      <c r="F326" s="472">
        <v>0</v>
      </c>
      <c r="G326" s="384">
        <v>0</v>
      </c>
      <c r="H326" s="472">
        <v>0</v>
      </c>
      <c r="I326" s="44">
        <f t="shared" si="44"/>
        <v>0</v>
      </c>
      <c r="J326" s="330" t="str">
        <f t="shared" si="45"/>
        <v/>
      </c>
      <c r="K326" s="395">
        <v>0</v>
      </c>
      <c r="L326" s="48"/>
      <c r="M326" s="473"/>
      <c r="N326" s="473"/>
      <c r="O326" s="473"/>
      <c r="P326" s="473"/>
      <c r="Q326" s="473"/>
      <c r="R326" s="473"/>
      <c r="S326" s="473"/>
      <c r="T326" s="473"/>
      <c r="U326" s="473"/>
      <c r="V326" s="473"/>
      <c r="W326" s="473"/>
    </row>
    <row r="327" spans="1:23" ht="11.25" customHeight="1" x14ac:dyDescent="0.25">
      <c r="A327" s="407">
        <f>'Org structure'!E160</f>
        <v>0</v>
      </c>
      <c r="B327" s="445"/>
      <c r="C327" s="394"/>
      <c r="D327" s="383">
        <v>0</v>
      </c>
      <c r="E327" s="384">
        <v>0</v>
      </c>
      <c r="F327" s="472">
        <v>0</v>
      </c>
      <c r="G327" s="384">
        <v>0</v>
      </c>
      <c r="H327" s="472">
        <v>0</v>
      </c>
      <c r="I327" s="44">
        <f t="shared" si="44"/>
        <v>0</v>
      </c>
      <c r="J327" s="330" t="str">
        <f t="shared" si="45"/>
        <v/>
      </c>
      <c r="K327" s="395">
        <v>0</v>
      </c>
      <c r="L327" s="48"/>
      <c r="M327" s="473"/>
      <c r="N327" s="473"/>
      <c r="O327" s="473"/>
      <c r="P327" s="473"/>
      <c r="Q327" s="473"/>
      <c r="R327" s="473"/>
      <c r="S327" s="473"/>
      <c r="T327" s="473"/>
      <c r="U327" s="473"/>
      <c r="V327" s="473"/>
      <c r="W327" s="473"/>
    </row>
    <row r="328" spans="1:23" ht="11.25" customHeight="1" x14ac:dyDescent="0.25">
      <c r="A328" s="407">
        <f>'Org structure'!E161</f>
        <v>0</v>
      </c>
      <c r="B328" s="445"/>
      <c r="C328" s="394"/>
      <c r="D328" s="383">
        <v>0</v>
      </c>
      <c r="E328" s="384">
        <v>0</v>
      </c>
      <c r="F328" s="472">
        <v>0</v>
      </c>
      <c r="G328" s="384">
        <v>0</v>
      </c>
      <c r="H328" s="472">
        <v>0</v>
      </c>
      <c r="I328" s="44">
        <f t="shared" si="44"/>
        <v>0</v>
      </c>
      <c r="J328" s="330" t="str">
        <f t="shared" si="45"/>
        <v/>
      </c>
      <c r="K328" s="395">
        <v>0</v>
      </c>
      <c r="L328" s="48"/>
      <c r="M328" s="473"/>
      <c r="N328" s="473"/>
      <c r="O328" s="473"/>
      <c r="P328" s="473"/>
      <c r="Q328" s="473"/>
      <c r="R328" s="473"/>
      <c r="S328" s="473"/>
      <c r="T328" s="473"/>
      <c r="U328" s="473"/>
      <c r="V328" s="473"/>
      <c r="W328" s="473"/>
    </row>
    <row r="329" spans="1:23" ht="11.25" customHeight="1" x14ac:dyDescent="0.25">
      <c r="A329" s="407">
        <f>'Org structure'!E162</f>
        <v>0</v>
      </c>
      <c r="B329" s="445"/>
      <c r="C329" s="394"/>
      <c r="D329" s="383">
        <v>0</v>
      </c>
      <c r="E329" s="384">
        <v>0</v>
      </c>
      <c r="F329" s="472">
        <v>0</v>
      </c>
      <c r="G329" s="384">
        <v>0</v>
      </c>
      <c r="H329" s="472">
        <v>0</v>
      </c>
      <c r="I329" s="44">
        <f t="shared" si="44"/>
        <v>0</v>
      </c>
      <c r="J329" s="330" t="str">
        <f t="shared" si="45"/>
        <v/>
      </c>
      <c r="K329" s="395">
        <v>0</v>
      </c>
      <c r="L329" s="48"/>
      <c r="M329" s="473"/>
      <c r="N329" s="473"/>
      <c r="O329" s="473"/>
      <c r="P329" s="473"/>
      <c r="Q329" s="473"/>
      <c r="R329" s="473"/>
      <c r="S329" s="473"/>
      <c r="T329" s="473"/>
      <c r="U329" s="473"/>
      <c r="V329" s="473"/>
      <c r="W329" s="473"/>
    </row>
    <row r="330" spans="1:23" ht="11.25" customHeight="1" x14ac:dyDescent="0.25">
      <c r="A330" s="407">
        <f>'Org structure'!E163</f>
        <v>0</v>
      </c>
      <c r="B330" s="445"/>
      <c r="C330" s="394"/>
      <c r="D330" s="383">
        <v>0</v>
      </c>
      <c r="E330" s="384">
        <v>0</v>
      </c>
      <c r="F330" s="472">
        <v>0</v>
      </c>
      <c r="G330" s="384">
        <v>0</v>
      </c>
      <c r="H330" s="472">
        <v>0</v>
      </c>
      <c r="I330" s="44">
        <f t="shared" si="44"/>
        <v>0</v>
      </c>
      <c r="J330" s="330" t="str">
        <f t="shared" si="45"/>
        <v/>
      </c>
      <c r="K330" s="395">
        <v>0</v>
      </c>
      <c r="L330" s="48"/>
      <c r="M330" s="473"/>
      <c r="N330" s="473"/>
      <c r="O330" s="473"/>
      <c r="P330" s="473"/>
      <c r="Q330" s="473"/>
      <c r="R330" s="473"/>
      <c r="S330" s="473"/>
      <c r="T330" s="473"/>
      <c r="U330" s="473"/>
      <c r="V330" s="473"/>
      <c r="W330" s="473"/>
    </row>
    <row r="331" spans="1:23" ht="11.25" customHeight="1" x14ac:dyDescent="0.25">
      <c r="A331" s="407">
        <f>'Org structure'!E164</f>
        <v>0</v>
      </c>
      <c r="B331" s="445"/>
      <c r="C331" s="394"/>
      <c r="D331" s="383">
        <v>0</v>
      </c>
      <c r="E331" s="384">
        <v>0</v>
      </c>
      <c r="F331" s="472">
        <v>0</v>
      </c>
      <c r="G331" s="384">
        <v>0</v>
      </c>
      <c r="H331" s="472">
        <v>0</v>
      </c>
      <c r="I331" s="44">
        <f t="shared" si="44"/>
        <v>0</v>
      </c>
      <c r="J331" s="330" t="str">
        <f t="shared" si="45"/>
        <v/>
      </c>
      <c r="K331" s="395">
        <v>0</v>
      </c>
      <c r="L331" s="48"/>
      <c r="M331" s="473"/>
      <c r="N331" s="473"/>
      <c r="O331" s="473"/>
      <c r="P331" s="473"/>
      <c r="Q331" s="473"/>
      <c r="R331" s="473"/>
      <c r="S331" s="473"/>
      <c r="T331" s="473"/>
      <c r="U331" s="473"/>
      <c r="V331" s="473"/>
      <c r="W331" s="473"/>
    </row>
    <row r="332" spans="1:23" ht="11.25" customHeight="1" x14ac:dyDescent="0.25">
      <c r="A332" s="466" t="str">
        <f>'Org structure'!A15</f>
        <v>Vote 14 - [NAME OF VOTE 14]</v>
      </c>
      <c r="B332" s="445"/>
      <c r="C332" s="503">
        <f t="shared" ref="C332:H332" si="53">SUM(C333:C342)</f>
        <v>0</v>
      </c>
      <c r="D332" s="444">
        <f t="shared" si="53"/>
        <v>0</v>
      </c>
      <c r="E332" s="441">
        <f t="shared" si="53"/>
        <v>0</v>
      </c>
      <c r="F332" s="443">
        <f t="shared" si="53"/>
        <v>0</v>
      </c>
      <c r="G332" s="441">
        <f t="shared" si="53"/>
        <v>0</v>
      </c>
      <c r="H332" s="443">
        <f t="shared" si="53"/>
        <v>0</v>
      </c>
      <c r="I332" s="44">
        <f t="shared" si="44"/>
        <v>0</v>
      </c>
      <c r="J332" s="330" t="str">
        <f t="shared" si="45"/>
        <v/>
      </c>
      <c r="K332" s="442">
        <f>SUM(K333:K342)</f>
        <v>0</v>
      </c>
      <c r="L332" s="48"/>
      <c r="M332" s="473"/>
      <c r="N332" s="473"/>
      <c r="O332" s="473"/>
      <c r="P332" s="473"/>
      <c r="Q332" s="473"/>
      <c r="R332" s="473"/>
      <c r="S332" s="473"/>
      <c r="T332" s="473"/>
      <c r="U332" s="473"/>
      <c r="V332" s="473"/>
      <c r="W332" s="473"/>
    </row>
    <row r="333" spans="1:23" ht="11.25" customHeight="1" x14ac:dyDescent="0.25">
      <c r="A333" s="407" t="str">
        <f>'Org structure'!E166</f>
        <v>14.1 - [Name of sub-vote]</v>
      </c>
      <c r="B333" s="445"/>
      <c r="C333" s="394"/>
      <c r="D333" s="383">
        <v>0</v>
      </c>
      <c r="E333" s="384">
        <v>0</v>
      </c>
      <c r="F333" s="472">
        <v>0</v>
      </c>
      <c r="G333" s="384">
        <v>0</v>
      </c>
      <c r="H333" s="472">
        <v>0</v>
      </c>
      <c r="I333" s="44">
        <f t="shared" si="44"/>
        <v>0</v>
      </c>
      <c r="J333" s="330" t="str">
        <f t="shared" si="45"/>
        <v/>
      </c>
      <c r="K333" s="395">
        <v>0</v>
      </c>
      <c r="L333" s="48"/>
      <c r="M333" s="473"/>
      <c r="N333" s="473"/>
      <c r="O333" s="473"/>
      <c r="P333" s="473"/>
      <c r="Q333" s="473"/>
      <c r="R333" s="473"/>
      <c r="S333" s="473"/>
      <c r="T333" s="473"/>
      <c r="U333" s="473"/>
      <c r="V333" s="473"/>
      <c r="W333" s="473"/>
    </row>
    <row r="334" spans="1:23" ht="11.25" customHeight="1" x14ac:dyDescent="0.25">
      <c r="A334" s="407">
        <f>'Org structure'!E167</f>
        <v>0</v>
      </c>
      <c r="B334" s="445"/>
      <c r="C334" s="394"/>
      <c r="D334" s="383">
        <v>0</v>
      </c>
      <c r="E334" s="384">
        <v>0</v>
      </c>
      <c r="F334" s="472">
        <v>0</v>
      </c>
      <c r="G334" s="384">
        <v>0</v>
      </c>
      <c r="H334" s="472">
        <v>0</v>
      </c>
      <c r="I334" s="44">
        <f t="shared" si="44"/>
        <v>0</v>
      </c>
      <c r="J334" s="330" t="str">
        <f t="shared" si="45"/>
        <v/>
      </c>
      <c r="K334" s="395">
        <v>0</v>
      </c>
      <c r="L334" s="48"/>
      <c r="M334" s="473"/>
      <c r="N334" s="473"/>
      <c r="O334" s="473"/>
      <c r="P334" s="473"/>
      <c r="Q334" s="473"/>
      <c r="R334" s="473"/>
      <c r="S334" s="473"/>
      <c r="T334" s="473"/>
      <c r="U334" s="473"/>
      <c r="V334" s="473"/>
      <c r="W334" s="473"/>
    </row>
    <row r="335" spans="1:23" ht="11.25" customHeight="1" x14ac:dyDescent="0.25">
      <c r="A335" s="407">
        <f>'Org structure'!E168</f>
        <v>0</v>
      </c>
      <c r="B335" s="445"/>
      <c r="C335" s="394"/>
      <c r="D335" s="383">
        <v>0</v>
      </c>
      <c r="E335" s="384">
        <v>0</v>
      </c>
      <c r="F335" s="472">
        <v>0</v>
      </c>
      <c r="G335" s="384">
        <v>0</v>
      </c>
      <c r="H335" s="472">
        <v>0</v>
      </c>
      <c r="I335" s="44">
        <f t="shared" si="44"/>
        <v>0</v>
      </c>
      <c r="J335" s="330" t="str">
        <f t="shared" si="45"/>
        <v/>
      </c>
      <c r="K335" s="395">
        <v>0</v>
      </c>
      <c r="L335" s="48"/>
      <c r="M335" s="473"/>
      <c r="N335" s="473"/>
      <c r="O335" s="473"/>
      <c r="P335" s="473"/>
      <c r="Q335" s="473"/>
      <c r="R335" s="473"/>
      <c r="S335" s="473"/>
      <c r="T335" s="473"/>
      <c r="U335" s="473"/>
      <c r="V335" s="473"/>
      <c r="W335" s="473"/>
    </row>
    <row r="336" spans="1:23" ht="11.25" customHeight="1" x14ac:dyDescent="0.25">
      <c r="A336" s="407">
        <f>'Org structure'!E169</f>
        <v>0</v>
      </c>
      <c r="B336" s="445"/>
      <c r="C336" s="394"/>
      <c r="D336" s="383">
        <v>0</v>
      </c>
      <c r="E336" s="384">
        <v>0</v>
      </c>
      <c r="F336" s="472">
        <v>0</v>
      </c>
      <c r="G336" s="384">
        <v>0</v>
      </c>
      <c r="H336" s="472">
        <v>0</v>
      </c>
      <c r="I336" s="44">
        <f t="shared" si="44"/>
        <v>0</v>
      </c>
      <c r="J336" s="330" t="str">
        <f t="shared" si="45"/>
        <v/>
      </c>
      <c r="K336" s="395">
        <v>0</v>
      </c>
      <c r="L336" s="48"/>
      <c r="M336" s="473"/>
      <c r="N336" s="473"/>
      <c r="O336" s="473"/>
      <c r="P336" s="473"/>
      <c r="Q336" s="473"/>
      <c r="R336" s="473"/>
      <c r="S336" s="473"/>
      <c r="T336" s="473"/>
      <c r="U336" s="473"/>
      <c r="V336" s="473"/>
      <c r="W336" s="473"/>
    </row>
    <row r="337" spans="1:23" ht="11.25" customHeight="1" x14ac:dyDescent="0.25">
      <c r="A337" s="407">
        <f>'Org structure'!E170</f>
        <v>0</v>
      </c>
      <c r="B337" s="445"/>
      <c r="C337" s="394"/>
      <c r="D337" s="383">
        <v>0</v>
      </c>
      <c r="E337" s="384">
        <v>0</v>
      </c>
      <c r="F337" s="472">
        <v>0</v>
      </c>
      <c r="G337" s="384">
        <v>0</v>
      </c>
      <c r="H337" s="472">
        <v>0</v>
      </c>
      <c r="I337" s="44">
        <f t="shared" si="44"/>
        <v>0</v>
      </c>
      <c r="J337" s="330" t="str">
        <f t="shared" si="45"/>
        <v/>
      </c>
      <c r="K337" s="395">
        <v>0</v>
      </c>
      <c r="L337" s="48"/>
      <c r="M337" s="473"/>
      <c r="N337" s="473"/>
      <c r="O337" s="473"/>
      <c r="P337" s="473"/>
      <c r="Q337" s="473"/>
      <c r="R337" s="473"/>
      <c r="S337" s="473"/>
      <c r="T337" s="473"/>
      <c r="U337" s="473"/>
      <c r="V337" s="473"/>
      <c r="W337" s="473"/>
    </row>
    <row r="338" spans="1:23" ht="11.25" customHeight="1" x14ac:dyDescent="0.25">
      <c r="A338" s="407">
        <f>'Org structure'!E171</f>
        <v>0</v>
      </c>
      <c r="B338" s="445"/>
      <c r="C338" s="394"/>
      <c r="D338" s="383">
        <v>0</v>
      </c>
      <c r="E338" s="384">
        <v>0</v>
      </c>
      <c r="F338" s="472">
        <v>0</v>
      </c>
      <c r="G338" s="384">
        <v>0</v>
      </c>
      <c r="H338" s="472">
        <v>0</v>
      </c>
      <c r="I338" s="44">
        <f t="shared" si="44"/>
        <v>0</v>
      </c>
      <c r="J338" s="330" t="str">
        <f t="shared" si="45"/>
        <v/>
      </c>
      <c r="K338" s="395">
        <v>0</v>
      </c>
      <c r="L338" s="48"/>
      <c r="M338" s="473"/>
      <c r="N338" s="473"/>
      <c r="O338" s="473"/>
      <c r="P338" s="473"/>
      <c r="Q338" s="473"/>
      <c r="R338" s="473"/>
      <c r="S338" s="473"/>
      <c r="T338" s="473"/>
      <c r="U338" s="473"/>
      <c r="V338" s="473"/>
      <c r="W338" s="473"/>
    </row>
    <row r="339" spans="1:23" ht="11.25" customHeight="1" x14ac:dyDescent="0.25">
      <c r="A339" s="407">
        <f>'Org structure'!E172</f>
        <v>0</v>
      </c>
      <c r="B339" s="445"/>
      <c r="C339" s="394"/>
      <c r="D339" s="383">
        <v>0</v>
      </c>
      <c r="E339" s="384">
        <v>0</v>
      </c>
      <c r="F339" s="472">
        <v>0</v>
      </c>
      <c r="G339" s="384">
        <v>0</v>
      </c>
      <c r="H339" s="472">
        <v>0</v>
      </c>
      <c r="I339" s="44">
        <f t="shared" si="44"/>
        <v>0</v>
      </c>
      <c r="J339" s="330" t="str">
        <f t="shared" si="45"/>
        <v/>
      </c>
      <c r="K339" s="395">
        <v>0</v>
      </c>
      <c r="L339" s="48"/>
      <c r="M339" s="473"/>
      <c r="N339" s="473"/>
      <c r="O339" s="473"/>
      <c r="P339" s="473"/>
      <c r="Q339" s="473"/>
      <c r="R339" s="473"/>
      <c r="S339" s="473"/>
      <c r="T339" s="473"/>
      <c r="U339" s="473"/>
      <c r="V339" s="473"/>
      <c r="W339" s="473"/>
    </row>
    <row r="340" spans="1:23" ht="11.25" customHeight="1" x14ac:dyDescent="0.25">
      <c r="A340" s="407">
        <f>'Org structure'!E173</f>
        <v>0</v>
      </c>
      <c r="B340" s="445"/>
      <c r="C340" s="394"/>
      <c r="D340" s="383">
        <v>0</v>
      </c>
      <c r="E340" s="384">
        <v>0</v>
      </c>
      <c r="F340" s="472">
        <v>0</v>
      </c>
      <c r="G340" s="384">
        <v>0</v>
      </c>
      <c r="H340" s="472">
        <v>0</v>
      </c>
      <c r="I340" s="44">
        <f t="shared" si="44"/>
        <v>0</v>
      </c>
      <c r="J340" s="330" t="str">
        <f t="shared" si="45"/>
        <v/>
      </c>
      <c r="K340" s="395">
        <v>0</v>
      </c>
      <c r="L340" s="48"/>
      <c r="M340" s="473"/>
      <c r="N340" s="473"/>
      <c r="O340" s="473"/>
      <c r="P340" s="473"/>
      <c r="Q340" s="473"/>
      <c r="R340" s="473"/>
      <c r="S340" s="473"/>
      <c r="T340" s="473"/>
      <c r="U340" s="473"/>
      <c r="V340" s="473"/>
      <c r="W340" s="473"/>
    </row>
    <row r="341" spans="1:23" ht="11.25" customHeight="1" x14ac:dyDescent="0.25">
      <c r="A341" s="407">
        <f>'Org structure'!E174</f>
        <v>0</v>
      </c>
      <c r="B341" s="445"/>
      <c r="C341" s="394"/>
      <c r="D341" s="383">
        <v>0</v>
      </c>
      <c r="E341" s="384">
        <v>0</v>
      </c>
      <c r="F341" s="472">
        <v>0</v>
      </c>
      <c r="G341" s="384">
        <v>0</v>
      </c>
      <c r="H341" s="472">
        <v>0</v>
      </c>
      <c r="I341" s="44">
        <f t="shared" ref="I341:I356" si="54">G341-H341</f>
        <v>0</v>
      </c>
      <c r="J341" s="330" t="str">
        <f t="shared" ref="J341:J356" si="55">IF(I341=0,"",I341/H341)</f>
        <v/>
      </c>
      <c r="K341" s="395">
        <v>0</v>
      </c>
      <c r="L341" s="48"/>
      <c r="M341" s="473"/>
      <c r="N341" s="473"/>
      <c r="O341" s="473"/>
      <c r="P341" s="473"/>
      <c r="Q341" s="473"/>
      <c r="R341" s="473"/>
      <c r="S341" s="473"/>
      <c r="T341" s="473"/>
      <c r="U341" s="473"/>
      <c r="V341" s="473"/>
      <c r="W341" s="473"/>
    </row>
    <row r="342" spans="1:23" ht="11.25" customHeight="1" x14ac:dyDescent="0.25">
      <c r="A342" s="407">
        <f>'Org structure'!E175</f>
        <v>0</v>
      </c>
      <c r="B342" s="445"/>
      <c r="C342" s="394"/>
      <c r="D342" s="383">
        <v>0</v>
      </c>
      <c r="E342" s="384">
        <v>0</v>
      </c>
      <c r="F342" s="472">
        <v>0</v>
      </c>
      <c r="G342" s="384">
        <v>0</v>
      </c>
      <c r="H342" s="472">
        <v>0</v>
      </c>
      <c r="I342" s="44">
        <f t="shared" si="54"/>
        <v>0</v>
      </c>
      <c r="J342" s="330" t="str">
        <f t="shared" si="55"/>
        <v/>
      </c>
      <c r="K342" s="395">
        <v>0</v>
      </c>
      <c r="L342" s="48"/>
      <c r="M342" s="473"/>
      <c r="N342" s="473"/>
      <c r="O342" s="473"/>
      <c r="P342" s="473"/>
      <c r="Q342" s="473"/>
      <c r="R342" s="473"/>
      <c r="S342" s="473"/>
      <c r="T342" s="473"/>
      <c r="U342" s="473"/>
      <c r="V342" s="473"/>
      <c r="W342" s="473"/>
    </row>
    <row r="343" spans="1:23" ht="11.25" customHeight="1" x14ac:dyDescent="0.25">
      <c r="A343" s="466" t="str">
        <f>'Org structure'!A16</f>
        <v>Vote 15 - [NAME OF VOTE 15]</v>
      </c>
      <c r="B343" s="445"/>
      <c r="C343" s="503">
        <f t="shared" ref="C343:K343" si="56">SUM(C344:C353)</f>
        <v>0</v>
      </c>
      <c r="D343" s="444">
        <f t="shared" si="56"/>
        <v>0</v>
      </c>
      <c r="E343" s="441">
        <f t="shared" si="56"/>
        <v>0</v>
      </c>
      <c r="F343" s="443">
        <f t="shared" si="56"/>
        <v>0</v>
      </c>
      <c r="G343" s="441">
        <f t="shared" si="56"/>
        <v>0</v>
      </c>
      <c r="H343" s="443">
        <f t="shared" si="56"/>
        <v>0</v>
      </c>
      <c r="I343" s="44">
        <f t="shared" si="54"/>
        <v>0</v>
      </c>
      <c r="J343" s="330" t="str">
        <f t="shared" si="55"/>
        <v/>
      </c>
      <c r="K343" s="442">
        <f t="shared" si="56"/>
        <v>0</v>
      </c>
      <c r="L343" s="48"/>
      <c r="M343" s="473"/>
      <c r="N343" s="473"/>
      <c r="O343" s="473"/>
      <c r="P343" s="473"/>
      <c r="Q343" s="473"/>
      <c r="R343" s="473"/>
      <c r="S343" s="473"/>
      <c r="T343" s="473"/>
      <c r="U343" s="473"/>
      <c r="V343" s="473"/>
      <c r="W343" s="473"/>
    </row>
    <row r="344" spans="1:23" ht="11.25" customHeight="1" x14ac:dyDescent="0.25">
      <c r="A344" s="407" t="str">
        <f>'Org structure'!E177</f>
        <v>15.1 - [Name of sub-vote]</v>
      </c>
      <c r="B344" s="445"/>
      <c r="C344" s="394"/>
      <c r="D344" s="383">
        <v>0</v>
      </c>
      <c r="E344" s="384">
        <v>0</v>
      </c>
      <c r="F344" s="472">
        <v>0</v>
      </c>
      <c r="G344" s="384">
        <v>0</v>
      </c>
      <c r="H344" s="472">
        <v>0</v>
      </c>
      <c r="I344" s="44">
        <f t="shared" si="54"/>
        <v>0</v>
      </c>
      <c r="J344" s="330" t="str">
        <f t="shared" si="55"/>
        <v/>
      </c>
      <c r="K344" s="395">
        <v>0</v>
      </c>
      <c r="L344" s="48"/>
      <c r="M344" s="473"/>
      <c r="N344" s="473"/>
      <c r="O344" s="473"/>
      <c r="P344" s="473"/>
      <c r="Q344" s="473"/>
      <c r="R344" s="473"/>
      <c r="S344" s="473"/>
      <c r="T344" s="473"/>
      <c r="U344" s="473"/>
      <c r="V344" s="473"/>
      <c r="W344" s="473"/>
    </row>
    <row r="345" spans="1:23" ht="11.25" customHeight="1" x14ac:dyDescent="0.25">
      <c r="A345" s="407">
        <f>'Org structure'!E178</f>
        <v>0</v>
      </c>
      <c r="B345" s="445"/>
      <c r="C345" s="394"/>
      <c r="D345" s="383">
        <v>0</v>
      </c>
      <c r="E345" s="384">
        <v>0</v>
      </c>
      <c r="F345" s="472">
        <v>0</v>
      </c>
      <c r="G345" s="384">
        <v>0</v>
      </c>
      <c r="H345" s="472">
        <v>0</v>
      </c>
      <c r="I345" s="44">
        <f t="shared" si="54"/>
        <v>0</v>
      </c>
      <c r="J345" s="330" t="str">
        <f t="shared" si="55"/>
        <v/>
      </c>
      <c r="K345" s="395">
        <v>0</v>
      </c>
      <c r="L345" s="48"/>
      <c r="M345" s="473"/>
      <c r="N345" s="473"/>
      <c r="O345" s="473"/>
      <c r="P345" s="473"/>
      <c r="Q345" s="473"/>
      <c r="R345" s="473"/>
      <c r="S345" s="473"/>
      <c r="T345" s="473"/>
      <c r="U345" s="473"/>
      <c r="V345" s="473"/>
      <c r="W345" s="473"/>
    </row>
    <row r="346" spans="1:23" ht="11.25" customHeight="1" x14ac:dyDescent="0.25">
      <c r="A346" s="407">
        <f>'Org structure'!E179</f>
        <v>0</v>
      </c>
      <c r="B346" s="445"/>
      <c r="C346" s="394"/>
      <c r="D346" s="383">
        <v>0</v>
      </c>
      <c r="E346" s="384">
        <v>0</v>
      </c>
      <c r="F346" s="472">
        <v>0</v>
      </c>
      <c r="G346" s="384">
        <v>0</v>
      </c>
      <c r="H346" s="472">
        <v>0</v>
      </c>
      <c r="I346" s="44">
        <f t="shared" si="54"/>
        <v>0</v>
      </c>
      <c r="J346" s="330" t="str">
        <f t="shared" si="55"/>
        <v/>
      </c>
      <c r="K346" s="395">
        <v>0</v>
      </c>
      <c r="L346" s="48"/>
      <c r="M346" s="473"/>
      <c r="N346" s="473"/>
      <c r="O346" s="473"/>
      <c r="P346" s="473"/>
      <c r="Q346" s="473"/>
      <c r="R346" s="473"/>
      <c r="S346" s="473"/>
      <c r="T346" s="473"/>
      <c r="U346" s="473"/>
      <c r="V346" s="473"/>
      <c r="W346" s="473"/>
    </row>
    <row r="347" spans="1:23" ht="11.25" customHeight="1" x14ac:dyDescent="0.25">
      <c r="A347" s="407">
        <f>'Org structure'!E180</f>
        <v>0</v>
      </c>
      <c r="B347" s="445"/>
      <c r="C347" s="394"/>
      <c r="D347" s="383">
        <v>0</v>
      </c>
      <c r="E347" s="384">
        <v>0</v>
      </c>
      <c r="F347" s="472">
        <v>0</v>
      </c>
      <c r="G347" s="384">
        <v>0</v>
      </c>
      <c r="H347" s="472">
        <v>0</v>
      </c>
      <c r="I347" s="44">
        <f t="shared" si="54"/>
        <v>0</v>
      </c>
      <c r="J347" s="330" t="str">
        <f t="shared" si="55"/>
        <v/>
      </c>
      <c r="K347" s="395">
        <v>0</v>
      </c>
      <c r="L347" s="48"/>
      <c r="M347" s="473"/>
      <c r="N347" s="473"/>
      <c r="O347" s="473"/>
      <c r="P347" s="473"/>
      <c r="Q347" s="473"/>
      <c r="R347" s="473"/>
      <c r="S347" s="473"/>
      <c r="T347" s="473"/>
      <c r="U347" s="473"/>
      <c r="V347" s="473"/>
      <c r="W347" s="473"/>
    </row>
    <row r="348" spans="1:23" ht="11.25" customHeight="1" x14ac:dyDescent="0.25">
      <c r="A348" s="407">
        <f>'Org structure'!E181</f>
        <v>0</v>
      </c>
      <c r="B348" s="445"/>
      <c r="C348" s="394"/>
      <c r="D348" s="383">
        <v>0</v>
      </c>
      <c r="E348" s="384">
        <v>0</v>
      </c>
      <c r="F348" s="472">
        <v>0</v>
      </c>
      <c r="G348" s="384">
        <v>0</v>
      </c>
      <c r="H348" s="472">
        <v>0</v>
      </c>
      <c r="I348" s="44">
        <f t="shared" si="54"/>
        <v>0</v>
      </c>
      <c r="J348" s="330" t="str">
        <f t="shared" si="55"/>
        <v/>
      </c>
      <c r="K348" s="395">
        <v>0</v>
      </c>
      <c r="L348" s="48"/>
      <c r="M348" s="473"/>
      <c r="N348" s="473"/>
      <c r="O348" s="473"/>
      <c r="P348" s="473"/>
      <c r="Q348" s="473"/>
      <c r="R348" s="473"/>
      <c r="S348" s="473"/>
      <c r="T348" s="473"/>
      <c r="U348" s="473"/>
      <c r="V348" s="473"/>
      <c r="W348" s="473"/>
    </row>
    <row r="349" spans="1:23" ht="11.25" customHeight="1" x14ac:dyDescent="0.25">
      <c r="A349" s="407">
        <f>'Org structure'!E182</f>
        <v>0</v>
      </c>
      <c r="B349" s="445"/>
      <c r="C349" s="394"/>
      <c r="D349" s="383">
        <v>0</v>
      </c>
      <c r="E349" s="384">
        <v>0</v>
      </c>
      <c r="F349" s="472">
        <v>0</v>
      </c>
      <c r="G349" s="384">
        <v>0</v>
      </c>
      <c r="H349" s="472">
        <v>0</v>
      </c>
      <c r="I349" s="44">
        <f t="shared" si="54"/>
        <v>0</v>
      </c>
      <c r="J349" s="330" t="str">
        <f t="shared" si="55"/>
        <v/>
      </c>
      <c r="K349" s="395">
        <v>0</v>
      </c>
      <c r="L349" s="48"/>
      <c r="M349" s="473"/>
      <c r="N349" s="473"/>
      <c r="O349" s="473"/>
      <c r="P349" s="473"/>
      <c r="Q349" s="473"/>
      <c r="R349" s="473"/>
      <c r="S349" s="473"/>
      <c r="T349" s="473"/>
      <c r="U349" s="473"/>
      <c r="V349" s="473"/>
      <c r="W349" s="473"/>
    </row>
    <row r="350" spans="1:23" ht="11.25" customHeight="1" x14ac:dyDescent="0.25">
      <c r="A350" s="407">
        <f>'Org structure'!E183</f>
        <v>0</v>
      </c>
      <c r="B350" s="445"/>
      <c r="C350" s="394"/>
      <c r="D350" s="383">
        <v>0</v>
      </c>
      <c r="E350" s="384">
        <v>0</v>
      </c>
      <c r="F350" s="472">
        <v>0</v>
      </c>
      <c r="G350" s="384">
        <v>0</v>
      </c>
      <c r="H350" s="472">
        <v>0</v>
      </c>
      <c r="I350" s="44">
        <f t="shared" si="54"/>
        <v>0</v>
      </c>
      <c r="J350" s="330" t="str">
        <f t="shared" si="55"/>
        <v/>
      </c>
      <c r="K350" s="395">
        <v>0</v>
      </c>
      <c r="L350" s="48"/>
      <c r="M350" s="473"/>
      <c r="N350" s="473"/>
      <c r="O350" s="473"/>
      <c r="P350" s="473"/>
      <c r="Q350" s="473"/>
      <c r="R350" s="473"/>
      <c r="S350" s="473"/>
      <c r="T350" s="473"/>
      <c r="U350" s="473"/>
      <c r="V350" s="473"/>
      <c r="W350" s="473"/>
    </row>
    <row r="351" spans="1:23" ht="11.25" customHeight="1" x14ac:dyDescent="0.25">
      <c r="A351" s="407">
        <f>'Org structure'!E184</f>
        <v>0</v>
      </c>
      <c r="B351" s="445"/>
      <c r="C351" s="394"/>
      <c r="D351" s="383">
        <v>0</v>
      </c>
      <c r="E351" s="384">
        <v>0</v>
      </c>
      <c r="F351" s="1002">
        <v>0</v>
      </c>
      <c r="G351" s="384">
        <v>0</v>
      </c>
      <c r="H351" s="472">
        <v>0</v>
      </c>
      <c r="I351" s="44">
        <f t="shared" si="54"/>
        <v>0</v>
      </c>
      <c r="J351" s="330" t="str">
        <f t="shared" si="55"/>
        <v/>
      </c>
      <c r="K351" s="395">
        <v>0</v>
      </c>
      <c r="L351" s="48"/>
      <c r="M351" s="473"/>
      <c r="N351" s="473"/>
      <c r="O351" s="473"/>
      <c r="P351" s="473"/>
      <c r="Q351" s="473"/>
      <c r="R351" s="473"/>
      <c r="S351" s="473"/>
      <c r="T351" s="473"/>
      <c r="U351" s="473"/>
      <c r="V351" s="473"/>
      <c r="W351" s="473"/>
    </row>
    <row r="352" spans="1:23" ht="11.25" customHeight="1" x14ac:dyDescent="0.25">
      <c r="A352" s="407">
        <f>'Org structure'!E185</f>
        <v>0</v>
      </c>
      <c r="B352" s="445"/>
      <c r="C352" s="394"/>
      <c r="D352" s="383">
        <v>0</v>
      </c>
      <c r="E352" s="384">
        <v>0</v>
      </c>
      <c r="F352" s="472">
        <v>0</v>
      </c>
      <c r="G352" s="384">
        <v>0</v>
      </c>
      <c r="H352" s="472">
        <v>0</v>
      </c>
      <c r="I352" s="44">
        <f t="shared" si="54"/>
        <v>0</v>
      </c>
      <c r="J352" s="330" t="str">
        <f t="shared" si="55"/>
        <v/>
      </c>
      <c r="K352" s="395">
        <v>0</v>
      </c>
      <c r="L352" s="48"/>
      <c r="M352" s="473"/>
      <c r="N352" s="473"/>
      <c r="O352" s="473"/>
      <c r="P352" s="473"/>
      <c r="Q352" s="473"/>
      <c r="R352" s="473"/>
      <c r="S352" s="473"/>
      <c r="T352" s="473"/>
      <c r="U352" s="473"/>
      <c r="V352" s="473"/>
      <c r="W352" s="473"/>
    </row>
    <row r="353" spans="1:24" ht="11.25" customHeight="1" x14ac:dyDescent="0.25">
      <c r="A353" s="407">
        <f>'Org structure'!E186</f>
        <v>0</v>
      </c>
      <c r="B353" s="445"/>
      <c r="C353" s="394"/>
      <c r="D353" s="383">
        <v>0</v>
      </c>
      <c r="E353" s="384">
        <v>0</v>
      </c>
      <c r="F353" s="472">
        <v>0</v>
      </c>
      <c r="G353" s="384">
        <v>0</v>
      </c>
      <c r="H353" s="472">
        <v>0</v>
      </c>
      <c r="I353" s="44">
        <f t="shared" si="54"/>
        <v>0</v>
      </c>
      <c r="J353" s="330" t="str">
        <f t="shared" si="55"/>
        <v/>
      </c>
      <c r="K353" s="395">
        <v>0</v>
      </c>
      <c r="L353" s="452">
        <f t="shared" ref="L353:W353" si="57">SUM(L175:L268)</f>
        <v>0</v>
      </c>
      <c r="M353" s="453">
        <f t="shared" si="57"/>
        <v>0</v>
      </c>
      <c r="N353" s="453">
        <f t="shared" si="57"/>
        <v>0</v>
      </c>
      <c r="O353" s="453">
        <f t="shared" si="57"/>
        <v>0</v>
      </c>
      <c r="P353" s="453">
        <f t="shared" si="57"/>
        <v>0</v>
      </c>
      <c r="Q353" s="453">
        <f t="shared" si="57"/>
        <v>0</v>
      </c>
      <c r="R353" s="453">
        <f t="shared" si="57"/>
        <v>0</v>
      </c>
      <c r="S353" s="453">
        <f t="shared" si="57"/>
        <v>0</v>
      </c>
      <c r="T353" s="453">
        <f t="shared" si="57"/>
        <v>0</v>
      </c>
      <c r="U353" s="453">
        <f t="shared" si="57"/>
        <v>0</v>
      </c>
      <c r="V353" s="453">
        <f t="shared" si="57"/>
        <v>0</v>
      </c>
      <c r="W353" s="453">
        <f t="shared" si="57"/>
        <v>0</v>
      </c>
    </row>
    <row r="354" spans="1:24" ht="12.75" customHeight="1" x14ac:dyDescent="0.25">
      <c r="A354" s="711" t="s">
        <v>801</v>
      </c>
      <c r="B354" s="712"/>
      <c r="C354" s="508">
        <f t="shared" ref="C354:H354" si="58">C176+C187+C198+C209+C220+C239+C252+C270+C283+C303+C310+C321+C332+C343+C292</f>
        <v>1193444879.635</v>
      </c>
      <c r="D354" s="475">
        <f t="shared" si="58"/>
        <v>1201498682</v>
      </c>
      <c r="E354" s="430">
        <f t="shared" si="58"/>
        <v>1039881041.4196346</v>
      </c>
      <c r="F354" s="474">
        <f t="shared" si="58"/>
        <v>111884524.52599999</v>
      </c>
      <c r="G354" s="430">
        <f t="shared" si="58"/>
        <v>603015633.11534989</v>
      </c>
      <c r="H354" s="474">
        <f t="shared" si="58"/>
        <v>866567534.51636219</v>
      </c>
      <c r="I354" s="430">
        <f t="shared" si="54"/>
        <v>-263551901.4010123</v>
      </c>
      <c r="J354" s="430">
        <f t="shared" si="55"/>
        <v>-0.30413313550697763</v>
      </c>
      <c r="K354" s="513">
        <f>K176+K187+K198+K209+K220+K239+K252+K270+K283+K303+K310+K321+K332+K343+K292</f>
        <v>1039881041.4196346</v>
      </c>
      <c r="L354" s="476"/>
      <c r="M354" s="52"/>
      <c r="N354" s="52"/>
      <c r="O354" s="52"/>
      <c r="P354" s="52"/>
      <c r="Q354" s="52"/>
      <c r="R354" s="52"/>
      <c r="S354" s="52"/>
      <c r="T354" s="52"/>
      <c r="U354" s="52"/>
      <c r="V354" s="52"/>
      <c r="W354" s="52"/>
    </row>
    <row r="355" spans="1:24" ht="4.5" customHeight="1" thickBot="1" x14ac:dyDescent="0.3">
      <c r="A355" s="42"/>
      <c r="B355" s="445"/>
      <c r="C355" s="110"/>
      <c r="D355" s="51"/>
      <c r="E355" s="50"/>
      <c r="F355" s="49"/>
      <c r="G355" s="50"/>
      <c r="H355" s="49"/>
      <c r="I355" s="50">
        <f t="shared" si="54"/>
        <v>0</v>
      </c>
      <c r="J355" s="50" t="str">
        <f t="shared" si="55"/>
        <v/>
      </c>
      <c r="K355" s="194"/>
      <c r="L355" s="480">
        <f t="shared" ref="L355:W355" si="59">L171-L353</f>
        <v>0</v>
      </c>
      <c r="M355" s="481">
        <f t="shared" si="59"/>
        <v>0</v>
      </c>
      <c r="N355" s="481">
        <f t="shared" si="59"/>
        <v>0</v>
      </c>
      <c r="O355" s="481">
        <f t="shared" si="59"/>
        <v>0</v>
      </c>
      <c r="P355" s="481">
        <f t="shared" si="59"/>
        <v>0</v>
      </c>
      <c r="Q355" s="481">
        <f t="shared" si="59"/>
        <v>0</v>
      </c>
      <c r="R355" s="481">
        <f t="shared" si="59"/>
        <v>0</v>
      </c>
      <c r="S355" s="481">
        <f t="shared" si="59"/>
        <v>0</v>
      </c>
      <c r="T355" s="481">
        <f t="shared" si="59"/>
        <v>0</v>
      </c>
      <c r="U355" s="481">
        <f t="shared" si="59"/>
        <v>0</v>
      </c>
      <c r="V355" s="481">
        <f t="shared" si="59"/>
        <v>0</v>
      </c>
      <c r="W355" s="481">
        <f t="shared" si="59"/>
        <v>0</v>
      </c>
    </row>
    <row r="356" spans="1:24" s="486" customFormat="1" ht="13.5" customHeight="1" thickTop="1" x14ac:dyDescent="0.25">
      <c r="A356" s="53" t="s">
        <v>763</v>
      </c>
      <c r="B356" s="477"/>
      <c r="C356" s="509">
        <f t="shared" ref="C356:H356" si="60">C172+C354</f>
        <v>1193444879.635</v>
      </c>
      <c r="D356" s="512">
        <f t="shared" si="60"/>
        <v>1201498682</v>
      </c>
      <c r="E356" s="55">
        <f t="shared" si="60"/>
        <v>1039881041.4196346</v>
      </c>
      <c r="F356" s="479">
        <f t="shared" si="60"/>
        <v>111884524.52599999</v>
      </c>
      <c r="G356" s="55">
        <f t="shared" si="60"/>
        <v>603015633.11534989</v>
      </c>
      <c r="H356" s="479">
        <f t="shared" si="60"/>
        <v>866567534.51636219</v>
      </c>
      <c r="I356" s="55">
        <f t="shared" si="54"/>
        <v>-263551901.4010123</v>
      </c>
      <c r="J356" s="55">
        <f t="shared" si="55"/>
        <v>-0.30413313550697763</v>
      </c>
      <c r="K356" s="235">
        <f>K172+K354</f>
        <v>1039881041.4196346</v>
      </c>
    </row>
    <row r="357" spans="1:24" s="486" customFormat="1" ht="11.25" customHeight="1" x14ac:dyDescent="0.25">
      <c r="A357" s="482" t="str">
        <f>head27a</f>
        <v>References</v>
      </c>
      <c r="B357" s="483"/>
      <c r="C357" s="484"/>
      <c r="D357" s="485"/>
      <c r="E357" s="485"/>
      <c r="F357" s="485"/>
      <c r="G357" s="485"/>
      <c r="H357" s="485"/>
      <c r="I357" s="485"/>
      <c r="J357" s="485"/>
      <c r="K357" s="485"/>
    </row>
    <row r="358" spans="1:24" s="486" customFormat="1" ht="11.25" customHeight="1" x14ac:dyDescent="0.25">
      <c r="A358" s="487" t="s">
        <v>121</v>
      </c>
      <c r="B358" s="483"/>
      <c r="C358" s="488"/>
      <c r="D358" s="488"/>
      <c r="E358" s="489"/>
      <c r="F358" s="489"/>
      <c r="G358" s="489"/>
      <c r="H358" s="489"/>
      <c r="I358" s="489"/>
      <c r="J358" s="489"/>
      <c r="K358" s="489"/>
    </row>
    <row r="359" spans="1:24" s="486" customFormat="1" ht="11.25" customHeight="1" x14ac:dyDescent="0.25">
      <c r="A359" s="490"/>
      <c r="B359" s="483"/>
      <c r="C359" s="488"/>
      <c r="D359" s="488"/>
      <c r="E359" s="489"/>
      <c r="F359" s="489"/>
      <c r="G359" s="489"/>
      <c r="H359" s="489"/>
      <c r="I359" s="489"/>
      <c r="J359" s="489"/>
      <c r="K359" s="489"/>
    </row>
    <row r="360" spans="1:24" ht="11.25" customHeight="1" x14ac:dyDescent="0.25">
      <c r="A360" s="490"/>
      <c r="B360" s="491"/>
      <c r="C360" s="492"/>
      <c r="D360" s="492"/>
      <c r="E360" s="493"/>
      <c r="F360" s="493"/>
      <c r="G360" s="493"/>
      <c r="H360" s="493"/>
      <c r="I360" s="493"/>
      <c r="J360" s="493"/>
      <c r="K360" s="493"/>
    </row>
    <row r="361" spans="1:24" ht="11.25" customHeight="1" x14ac:dyDescent="0.25">
      <c r="A361" s="67"/>
    </row>
    <row r="362" spans="1:24" ht="11.25" customHeight="1" x14ac:dyDescent="0.25">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5">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5">
      <c r="A364" s="67"/>
    </row>
    <row r="365" spans="1:24" ht="11.25" customHeight="1" x14ac:dyDescent="0.25">
      <c r="A365" s="67"/>
    </row>
    <row r="366" spans="1:24" ht="11.25" customHeight="1" x14ac:dyDescent="0.25">
      <c r="A366" s="67"/>
    </row>
    <row r="367" spans="1:24" ht="11.25" customHeight="1" x14ac:dyDescent="0.25"/>
    <row r="368" spans="1:24"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tabSelected="1" zoomScaleNormal="100" workbookViewId="0">
      <pane xSplit="2" ySplit="4" topLeftCell="C21" activePane="bottomRight" state="frozen"/>
      <selection pane="topRight"/>
      <selection pane="bottomLeft"/>
      <selection pane="bottomRight" activeCell="Q33" sqref="Q33"/>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67" t="str">
        <f>muni&amp; " - "&amp;S71E&amp; " - "&amp;date</f>
        <v>LIM354 Polokwane - Table C6 Monthly Budget Statement - Financial Position - M10 April</v>
      </c>
      <c r="B1" s="1067"/>
      <c r="C1" s="1067"/>
      <c r="D1" s="1067"/>
      <c r="E1" s="1067"/>
      <c r="F1" s="1067"/>
      <c r="G1" s="1067"/>
    </row>
    <row r="2" spans="1:8" x14ac:dyDescent="0.25">
      <c r="A2" s="1052" t="str">
        <f>desc</f>
        <v>Description</v>
      </c>
      <c r="B2" s="1045" t="str">
        <f>head27</f>
        <v>Ref</v>
      </c>
      <c r="C2" s="140" t="str">
        <f>Head1</f>
        <v>2019/20</v>
      </c>
      <c r="D2" s="245" t="str">
        <f>Head2</f>
        <v>Budget Year 2020/21</v>
      </c>
      <c r="E2" s="229"/>
      <c r="F2" s="229"/>
      <c r="G2" s="230"/>
    </row>
    <row r="3" spans="1:8" ht="25.5" x14ac:dyDescent="0.25">
      <c r="A3" s="1053"/>
      <c r="B3" s="1056"/>
      <c r="C3" s="140" t="str">
        <f>Head5</f>
        <v>Audited Outcome</v>
      </c>
      <c r="D3" s="257" t="str">
        <f>Head6</f>
        <v>Original Budget</v>
      </c>
      <c r="E3" s="141" t="str">
        <f>Head7</f>
        <v>Adjusted Budget</v>
      </c>
      <c r="F3" s="141" t="str">
        <f>Head39</f>
        <v>YearTD actual</v>
      </c>
      <c r="G3" s="164" t="str">
        <f>Head8</f>
        <v>Full Year Forecast</v>
      </c>
    </row>
    <row r="4" spans="1:8" x14ac:dyDescent="0.25">
      <c r="A4" s="34" t="s">
        <v>669</v>
      </c>
      <c r="B4" s="119">
        <v>1</v>
      </c>
      <c r="C4" s="187"/>
      <c r="D4" s="246"/>
      <c r="E4" s="241"/>
      <c r="F4" s="82"/>
      <c r="G4" s="223"/>
    </row>
    <row r="5" spans="1:8" ht="11.25" customHeight="1" x14ac:dyDescent="0.25">
      <c r="A5" s="182" t="s">
        <v>544</v>
      </c>
      <c r="B5" s="186"/>
      <c r="C5" s="170"/>
      <c r="D5" s="267"/>
      <c r="E5" s="36"/>
      <c r="F5" s="36"/>
      <c r="G5" s="226"/>
    </row>
    <row r="6" spans="1:8" ht="11.25" customHeight="1" x14ac:dyDescent="0.25">
      <c r="A6" s="87" t="s">
        <v>545</v>
      </c>
      <c r="B6" s="169"/>
      <c r="C6" s="40"/>
      <c r="D6" s="268"/>
      <c r="E6" s="103"/>
      <c r="F6" s="103"/>
      <c r="G6" s="266"/>
    </row>
    <row r="7" spans="1:8" ht="12.75" customHeight="1" x14ac:dyDescent="0.25">
      <c r="A7" s="39" t="s">
        <v>787</v>
      </c>
      <c r="B7" s="169"/>
      <c r="C7" s="748">
        <v>420294249</v>
      </c>
      <c r="D7" s="753">
        <v>99851590.068651438</v>
      </c>
      <c r="E7" s="733">
        <v>276504149.46999896</v>
      </c>
      <c r="F7" s="733">
        <f>'C7-CFlow'!G41</f>
        <v>604935157.24999964</v>
      </c>
      <c r="G7" s="735">
        <v>187252904.76999998</v>
      </c>
    </row>
    <row r="8" spans="1:8" ht="12.75" customHeight="1" x14ac:dyDescent="0.25">
      <c r="A8" s="39" t="s">
        <v>592</v>
      </c>
      <c r="B8" s="169"/>
      <c r="C8" s="748">
        <v>0</v>
      </c>
      <c r="D8" s="753">
        <v>96000000</v>
      </c>
      <c r="E8" s="733">
        <v>0</v>
      </c>
      <c r="F8" s="733">
        <v>0</v>
      </c>
      <c r="G8" s="735">
        <v>96000000</v>
      </c>
    </row>
    <row r="9" spans="1:8" ht="12.75" customHeight="1" x14ac:dyDescent="0.25">
      <c r="A9" s="39" t="s">
        <v>590</v>
      </c>
      <c r="B9" s="169"/>
      <c r="C9" s="748">
        <v>142766606</v>
      </c>
      <c r="D9" s="753">
        <v>501565270</v>
      </c>
      <c r="E9" s="733">
        <v>501565270</v>
      </c>
      <c r="F9" s="733">
        <f>'SC3'!K15</f>
        <v>1515158928</v>
      </c>
      <c r="G9" s="735">
        <v>501565270</v>
      </c>
    </row>
    <row r="10" spans="1:8" ht="12.75" customHeight="1" x14ac:dyDescent="0.25">
      <c r="A10" s="39" t="s">
        <v>591</v>
      </c>
      <c r="B10" s="169"/>
      <c r="C10" s="748">
        <f>20524609+494040133+48895158+25246315-3891</f>
        <v>588702324</v>
      </c>
      <c r="D10" s="753">
        <v>45000000</v>
      </c>
      <c r="E10" s="733">
        <v>45000000</v>
      </c>
      <c r="F10" s="733">
        <v>42862000</v>
      </c>
      <c r="G10" s="735">
        <v>45000000</v>
      </c>
    </row>
    <row r="11" spans="1:8" ht="12.75" customHeight="1" x14ac:dyDescent="0.25">
      <c r="A11" s="39" t="s">
        <v>788</v>
      </c>
      <c r="B11" s="169"/>
      <c r="C11" s="748">
        <v>3891</v>
      </c>
      <c r="D11" s="753">
        <v>500000</v>
      </c>
      <c r="E11" s="733">
        <v>500000</v>
      </c>
      <c r="F11" s="733">
        <v>763057</v>
      </c>
      <c r="G11" s="735">
        <v>500000</v>
      </c>
    </row>
    <row r="12" spans="1:8" ht="12.75" customHeight="1" x14ac:dyDescent="0.25">
      <c r="A12" s="39" t="s">
        <v>589</v>
      </c>
      <c r="B12" s="169"/>
      <c r="C12" s="748">
        <v>154851074</v>
      </c>
      <c r="D12" s="753">
        <v>96214114</v>
      </c>
      <c r="E12" s="733">
        <v>96214114</v>
      </c>
      <c r="F12" s="733">
        <v>140455000</v>
      </c>
      <c r="G12" s="735">
        <v>96214114</v>
      </c>
    </row>
    <row r="13" spans="1:8" ht="12.75" customHeight="1" x14ac:dyDescent="0.25">
      <c r="A13" s="92" t="s">
        <v>634</v>
      </c>
      <c r="B13" s="233"/>
      <c r="C13" s="243">
        <f>SUM(C7:C12)</f>
        <v>1306618144</v>
      </c>
      <c r="D13" s="260">
        <f>SUM(D7:D12)</f>
        <v>839130974.06865144</v>
      </c>
      <c r="E13" s="73">
        <f>SUM(E7:E12)</f>
        <v>919783533.46999896</v>
      </c>
      <c r="F13" s="73">
        <f>SUM(F7:F12)</f>
        <v>2304174142.2499995</v>
      </c>
      <c r="G13" s="145">
        <f>SUM(G7:G12)</f>
        <v>926532288.76999998</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588</v>
      </c>
      <c r="B16" s="169"/>
      <c r="C16" s="748">
        <v>144352.41</v>
      </c>
      <c r="D16" s="753">
        <v>0</v>
      </c>
      <c r="E16" s="733">
        <v>0</v>
      </c>
      <c r="F16" s="733">
        <v>144352</v>
      </c>
      <c r="G16" s="735">
        <v>0</v>
      </c>
      <c r="H16" s="39"/>
    </row>
    <row r="17" spans="1:8" ht="12.75" customHeight="1" x14ac:dyDescent="0.25">
      <c r="A17" s="39" t="s">
        <v>546</v>
      </c>
      <c r="B17" s="169"/>
      <c r="C17" s="748">
        <v>0</v>
      </c>
      <c r="D17" s="753">
        <v>0</v>
      </c>
      <c r="E17" s="733">
        <v>0</v>
      </c>
      <c r="F17" s="733">
        <v>0</v>
      </c>
      <c r="G17" s="735">
        <v>0</v>
      </c>
      <c r="H17" s="39"/>
    </row>
    <row r="18" spans="1:8" ht="12.75" customHeight="1" x14ac:dyDescent="0.25">
      <c r="A18" s="39" t="s">
        <v>587</v>
      </c>
      <c r="B18" s="169"/>
      <c r="C18" s="748">
        <v>1115883515</v>
      </c>
      <c r="D18" s="753">
        <v>732808388</v>
      </c>
      <c r="E18" s="733">
        <v>732558388</v>
      </c>
      <c r="F18" s="733">
        <v>1117199493.0700002</v>
      </c>
      <c r="G18" s="735">
        <v>732808388</v>
      </c>
      <c r="H18" s="39"/>
    </row>
    <row r="19" spans="1:8" ht="12.75" customHeight="1" x14ac:dyDescent="0.25">
      <c r="A19" s="39" t="s">
        <v>278</v>
      </c>
      <c r="B19" s="169"/>
      <c r="C19" s="748">
        <v>1000</v>
      </c>
      <c r="D19" s="753">
        <v>1000</v>
      </c>
      <c r="E19" s="733">
        <v>1000</v>
      </c>
      <c r="F19" s="733">
        <v>1000</v>
      </c>
      <c r="G19" s="735">
        <v>1000</v>
      </c>
      <c r="H19" s="39"/>
    </row>
    <row r="20" spans="1:8" ht="12.75" customHeight="1" x14ac:dyDescent="0.25">
      <c r="A20" s="39" t="s">
        <v>586</v>
      </c>
      <c r="B20" s="169"/>
      <c r="C20" s="748">
        <f>15569843949+21899818</f>
        <v>15591743767</v>
      </c>
      <c r="D20" s="753">
        <v>16541784334</v>
      </c>
      <c r="E20" s="733">
        <v>16380416698</v>
      </c>
      <c r="F20" s="733">
        <v>16019310811.059999</v>
      </c>
      <c r="G20" s="735">
        <v>16571427334</v>
      </c>
    </row>
    <row r="21" spans="1:8" ht="0.95" customHeight="1" x14ac:dyDescent="0.25">
      <c r="A21" s="39"/>
      <c r="B21" s="169"/>
      <c r="C21" s="648"/>
      <c r="D21" s="670"/>
      <c r="E21" s="408"/>
      <c r="F21" s="408"/>
      <c r="G21" s="642"/>
      <c r="H21" s="39"/>
    </row>
    <row r="22" spans="1:8" ht="12.75" customHeight="1" x14ac:dyDescent="0.25">
      <c r="A22" s="39" t="s">
        <v>1325</v>
      </c>
      <c r="B22" s="169"/>
      <c r="C22" s="748">
        <v>4450352</v>
      </c>
      <c r="D22" s="753">
        <v>11833140</v>
      </c>
      <c r="E22" s="733">
        <v>11833140</v>
      </c>
      <c r="F22" s="733">
        <v>4450351.92</v>
      </c>
      <c r="G22" s="735">
        <v>11833140</v>
      </c>
      <c r="H22" s="39"/>
    </row>
    <row r="23" spans="1:8" ht="12.75" customHeight="1" x14ac:dyDescent="0.25">
      <c r="A23" s="39" t="s">
        <v>1326</v>
      </c>
      <c r="B23" s="169"/>
      <c r="C23" s="748">
        <v>30156632</v>
      </c>
      <c r="D23" s="753">
        <v>11383052</v>
      </c>
      <c r="E23" s="733">
        <v>11383052</v>
      </c>
      <c r="F23" s="733">
        <v>30297230.620000001</v>
      </c>
      <c r="G23" s="735">
        <v>11383052</v>
      </c>
      <c r="H23" s="39"/>
    </row>
    <row r="24" spans="1:8" ht="12.75" customHeight="1" x14ac:dyDescent="0.25">
      <c r="A24" s="39" t="s">
        <v>797</v>
      </c>
      <c r="B24" s="169"/>
      <c r="C24" s="748">
        <v>0</v>
      </c>
      <c r="D24" s="753">
        <v>0</v>
      </c>
      <c r="E24" s="733">
        <v>0</v>
      </c>
      <c r="F24" s="733">
        <v>0</v>
      </c>
      <c r="G24" s="735">
        <v>0</v>
      </c>
      <c r="H24" s="39"/>
    </row>
    <row r="25" spans="1:8" ht="12.75" customHeight="1" x14ac:dyDescent="0.25">
      <c r="A25" s="92" t="s">
        <v>633</v>
      </c>
      <c r="B25" s="233"/>
      <c r="C25" s="243">
        <f>SUM(C16:C20)+SUM(C22:C24)</f>
        <v>16742379618.41</v>
      </c>
      <c r="D25" s="260">
        <f>SUM(D16:D20)+SUM(D22:D24)</f>
        <v>17297809914</v>
      </c>
      <c r="E25" s="73">
        <f>SUM(E16:E20)+SUM(E22:E24)</f>
        <v>17136192278</v>
      </c>
      <c r="F25" s="73">
        <f>SUM(F16:F20)+SUM(F22:F24)</f>
        <v>17171403238.67</v>
      </c>
      <c r="G25" s="145">
        <f>SUM(G16:G20)+SUM(G22:G24)</f>
        <v>17327452914</v>
      </c>
      <c r="H25" s="39"/>
    </row>
    <row r="26" spans="1:8" ht="12.75" customHeight="1" x14ac:dyDescent="0.25">
      <c r="A26" s="92" t="s">
        <v>780</v>
      </c>
      <c r="B26" s="233"/>
      <c r="C26" s="243">
        <f>C13+C25</f>
        <v>18048997762.41</v>
      </c>
      <c r="D26" s="260">
        <f>D13+D25</f>
        <v>18136940888.068653</v>
      </c>
      <c r="E26" s="73">
        <f>E13+E25</f>
        <v>18055975811.469997</v>
      </c>
      <c r="F26" s="73">
        <f>F13+F25</f>
        <v>19475577380.919998</v>
      </c>
      <c r="G26" s="145">
        <f>G13+G25</f>
        <v>18253985202.77</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547</v>
      </c>
      <c r="B29" s="175"/>
      <c r="C29" s="134"/>
      <c r="D29" s="258"/>
      <c r="E29" s="44"/>
      <c r="F29" s="44"/>
      <c r="G29" s="144"/>
    </row>
    <row r="30" spans="1:8" ht="12.75" customHeight="1" x14ac:dyDescent="0.25">
      <c r="A30" s="39" t="s">
        <v>746</v>
      </c>
      <c r="B30" s="169"/>
      <c r="C30" s="748">
        <v>0</v>
      </c>
      <c r="D30" s="753">
        <v>0</v>
      </c>
      <c r="E30" s="733">
        <v>0</v>
      </c>
      <c r="F30" s="733">
        <v>0</v>
      </c>
      <c r="G30" s="735">
        <v>0</v>
      </c>
    </row>
    <row r="31" spans="1:8" ht="12.75" customHeight="1" x14ac:dyDescent="0.25">
      <c r="A31" s="39" t="s">
        <v>781</v>
      </c>
      <c r="B31" s="169"/>
      <c r="C31" s="748">
        <f>5171543+49599769</f>
        <v>54771312</v>
      </c>
      <c r="D31" s="753">
        <v>50433331</v>
      </c>
      <c r="E31" s="733">
        <v>50433331</v>
      </c>
      <c r="F31" s="733">
        <f>71803665.79+'C7-CFlow'!F36</f>
        <v>71803665.790000007</v>
      </c>
      <c r="G31" s="735">
        <v>50433331</v>
      </c>
    </row>
    <row r="32" spans="1:8" ht="12.75" customHeight="1" x14ac:dyDescent="0.25">
      <c r="A32" s="39" t="s">
        <v>585</v>
      </c>
      <c r="B32" s="169"/>
      <c r="C32" s="748">
        <v>71199462</v>
      </c>
      <c r="D32" s="753">
        <v>73500000</v>
      </c>
      <c r="E32" s="733">
        <v>73500000</v>
      </c>
      <c r="F32" s="733">
        <v>69361000</v>
      </c>
      <c r="G32" s="735">
        <v>73500000</v>
      </c>
    </row>
    <row r="33" spans="1:7" ht="12.75" customHeight="1" x14ac:dyDescent="0.25">
      <c r="A33" s="39" t="s">
        <v>789</v>
      </c>
      <c r="B33" s="169"/>
      <c r="C33" s="748">
        <f>1113398948+147917307</f>
        <v>1261316255</v>
      </c>
      <c r="D33" s="753">
        <v>538279000</v>
      </c>
      <c r="E33" s="733">
        <v>538279000</v>
      </c>
      <c r="F33" s="733">
        <v>925264730.45000005</v>
      </c>
      <c r="G33" s="735">
        <v>538279000</v>
      </c>
    </row>
    <row r="34" spans="1:7" ht="12.75" customHeight="1" x14ac:dyDescent="0.25">
      <c r="A34" s="39" t="s">
        <v>548</v>
      </c>
      <c r="B34" s="169"/>
      <c r="C34" s="748">
        <v>8177040</v>
      </c>
      <c r="D34" s="753">
        <v>10277842</v>
      </c>
      <c r="E34" s="733">
        <v>10277842</v>
      </c>
      <c r="F34" s="733">
        <f>C34</f>
        <v>8177040</v>
      </c>
      <c r="G34" s="735">
        <v>10277842</v>
      </c>
    </row>
    <row r="35" spans="1:7" ht="12.75" customHeight="1" x14ac:dyDescent="0.25">
      <c r="A35" s="92" t="s">
        <v>459</v>
      </c>
      <c r="B35" s="233"/>
      <c r="C35" s="243">
        <f>SUM(C30:C34)</f>
        <v>1395464069</v>
      </c>
      <c r="D35" s="260">
        <f>SUM(D30:D34)</f>
        <v>672490173</v>
      </c>
      <c r="E35" s="73">
        <f>SUM(E30:E34)</f>
        <v>672490173</v>
      </c>
      <c r="F35" s="73">
        <f>SUM(F30:F34)</f>
        <v>1074606436.24</v>
      </c>
      <c r="G35" s="145">
        <f>SUM(G30:G34)</f>
        <v>672490173</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781</v>
      </c>
      <c r="B38" s="169"/>
      <c r="C38" s="748">
        <f>416451291+7092516</f>
        <v>423543807</v>
      </c>
      <c r="D38" s="753">
        <v>712580796</v>
      </c>
      <c r="E38" s="733">
        <v>477658267</v>
      </c>
      <c r="F38" s="733">
        <f>C38</f>
        <v>423543807</v>
      </c>
      <c r="G38" s="735">
        <v>712580796</v>
      </c>
    </row>
    <row r="39" spans="1:7" ht="12.75" customHeight="1" x14ac:dyDescent="0.25">
      <c r="A39" s="39" t="s">
        <v>548</v>
      </c>
      <c r="B39" s="169"/>
      <c r="C39" s="748">
        <f>186698031+197335000</f>
        <v>384033031</v>
      </c>
      <c r="D39" s="753">
        <v>390281857</v>
      </c>
      <c r="E39" s="733">
        <v>390281857</v>
      </c>
      <c r="F39" s="733">
        <f>C39</f>
        <v>384033031</v>
      </c>
      <c r="G39" s="735">
        <v>390281857</v>
      </c>
    </row>
    <row r="40" spans="1:7" ht="12.75" customHeight="1" x14ac:dyDescent="0.25">
      <c r="A40" s="92" t="s">
        <v>458</v>
      </c>
      <c r="B40" s="233"/>
      <c r="C40" s="243">
        <f>SUM(C38:C39)</f>
        <v>807576838</v>
      </c>
      <c r="D40" s="260">
        <f>SUM(D38:D39)</f>
        <v>1102862653</v>
      </c>
      <c r="E40" s="73">
        <f>SUM(E38:E39)</f>
        <v>867940124</v>
      </c>
      <c r="F40" s="73">
        <f>SUM(F38:F39)</f>
        <v>807576838</v>
      </c>
      <c r="G40" s="145">
        <f>SUM(G38:G39)</f>
        <v>1102862653</v>
      </c>
    </row>
    <row r="41" spans="1:7" ht="12.75" customHeight="1" x14ac:dyDescent="0.25">
      <c r="A41" s="92" t="s">
        <v>1</v>
      </c>
      <c r="B41" s="233"/>
      <c r="C41" s="243">
        <f>C35+C40</f>
        <v>2203040907</v>
      </c>
      <c r="D41" s="260">
        <f>D35+D40</f>
        <v>1775352826</v>
      </c>
      <c r="E41" s="73">
        <f>E35+E40</f>
        <v>1540430297</v>
      </c>
      <c r="F41" s="73">
        <f>F35+F40</f>
        <v>1882183274.24</v>
      </c>
      <c r="G41" s="145">
        <f>G35+G40</f>
        <v>1775352826</v>
      </c>
    </row>
    <row r="42" spans="1:7" ht="5.0999999999999996" customHeight="1" x14ac:dyDescent="0.25">
      <c r="A42" s="42"/>
      <c r="B42" s="169"/>
      <c r="C42" s="134"/>
      <c r="D42" s="258"/>
      <c r="E42" s="44"/>
      <c r="F42" s="44"/>
      <c r="G42" s="144"/>
    </row>
    <row r="43" spans="1:7" ht="12.75" customHeight="1" x14ac:dyDescent="0.25">
      <c r="A43" s="94" t="s">
        <v>779</v>
      </c>
      <c r="B43" s="119">
        <v>2</v>
      </c>
      <c r="C43" s="244">
        <f>C26-C41</f>
        <v>15845956855.41</v>
      </c>
      <c r="D43" s="265">
        <f>D26-D41</f>
        <v>16361588062.068653</v>
      </c>
      <c r="E43" s="76">
        <f>E26-E41</f>
        <v>16515545514.469997</v>
      </c>
      <c r="F43" s="76">
        <f>F26-F41</f>
        <v>17593394106.679996</v>
      </c>
      <c r="G43" s="234">
        <f>G26-G41</f>
        <v>16478632376.77</v>
      </c>
    </row>
    <row r="44" spans="1:7" ht="5.0999999999999996" customHeight="1" x14ac:dyDescent="0.25">
      <c r="A44" s="42"/>
      <c r="B44" s="169"/>
      <c r="C44" s="134"/>
      <c r="D44" s="258"/>
      <c r="E44" s="44"/>
      <c r="F44" s="44"/>
      <c r="G44" s="144"/>
    </row>
    <row r="45" spans="1:7" ht="12.75" customHeight="1" x14ac:dyDescent="0.25">
      <c r="A45" s="35" t="s">
        <v>635</v>
      </c>
      <c r="B45" s="169"/>
      <c r="C45" s="134"/>
      <c r="D45" s="258"/>
      <c r="E45" s="44"/>
      <c r="F45" s="44"/>
      <c r="G45" s="144"/>
    </row>
    <row r="46" spans="1:7" ht="12.75" customHeight="1" x14ac:dyDescent="0.25">
      <c r="A46" s="39" t="s">
        <v>571</v>
      </c>
      <c r="B46" s="169"/>
      <c r="C46" s="748">
        <v>6251854608.4099998</v>
      </c>
      <c r="D46" s="753">
        <v>8859914224.0686531</v>
      </c>
      <c r="E46" s="733">
        <v>9013871676.4699974</v>
      </c>
      <c r="F46" s="733">
        <v>7999291859.1799965</v>
      </c>
      <c r="G46" s="735">
        <v>8976958538.7700005</v>
      </c>
    </row>
    <row r="47" spans="1:7" ht="12.75" customHeight="1" x14ac:dyDescent="0.25">
      <c r="A47" s="39" t="s">
        <v>904</v>
      </c>
      <c r="B47" s="169"/>
      <c r="C47" s="748">
        <v>9594102247</v>
      </c>
      <c r="D47" s="753">
        <v>7501673838</v>
      </c>
      <c r="E47" s="733">
        <v>7501673838</v>
      </c>
      <c r="F47" s="733">
        <v>9594102247.5</v>
      </c>
      <c r="G47" s="735">
        <v>7501673838</v>
      </c>
    </row>
    <row r="48" spans="1:7" ht="12.75" customHeight="1" x14ac:dyDescent="0.25">
      <c r="A48" s="53" t="s">
        <v>628</v>
      </c>
      <c r="B48" s="236">
        <v>2</v>
      </c>
      <c r="C48" s="112">
        <f>SUM(C46:C47)</f>
        <v>15845956855.41</v>
      </c>
      <c r="D48" s="271">
        <f>SUM(D46:D47)</f>
        <v>16361588062.068653</v>
      </c>
      <c r="E48" s="55">
        <f>SUM(E46:E47)</f>
        <v>16515545514.469997</v>
      </c>
      <c r="F48" s="55">
        <f>SUM(F46:F47)</f>
        <v>17593394106.679996</v>
      </c>
      <c r="G48" s="235">
        <f>SUM(G46:G47)</f>
        <v>16478632376.77</v>
      </c>
    </row>
    <row r="49" spans="1:7" ht="12.75" customHeight="1" x14ac:dyDescent="0.25">
      <c r="A49" s="78" t="str">
        <f>head27a</f>
        <v>References</v>
      </c>
      <c r="B49" s="58"/>
      <c r="C49" s="49"/>
      <c r="D49" s="49"/>
      <c r="E49" s="49"/>
      <c r="F49" s="49"/>
      <c r="G49" s="49"/>
    </row>
    <row r="50" spans="1:7" ht="13.5" customHeight="1" x14ac:dyDescent="0.25">
      <c r="A50" s="1066" t="s">
        <v>145</v>
      </c>
      <c r="B50" s="1066"/>
      <c r="C50" s="1066"/>
      <c r="D50" s="1066"/>
      <c r="E50" s="1066"/>
      <c r="F50" s="1066"/>
      <c r="G50" s="1066"/>
    </row>
    <row r="51" spans="1:7" ht="13.5" customHeight="1" x14ac:dyDescent="0.25">
      <c r="A51" s="80" t="s">
        <v>900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722</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G16" sqref="G16"/>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"&amp;S71F&amp; " - "&amp;date</f>
        <v>LIM354 Polokwane - Table C7 Monthly Budget Statement - Cash Flow  - M10 April</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119">
        <v>1</v>
      </c>
      <c r="C4" s="187"/>
      <c r="D4" s="240"/>
      <c r="E4" s="241"/>
      <c r="F4" s="82"/>
      <c r="G4" s="82"/>
      <c r="H4" s="82"/>
      <c r="I4" s="82"/>
      <c r="J4" s="242" t="s">
        <v>577</v>
      </c>
      <c r="K4" s="223"/>
    </row>
    <row r="5" spans="1:11" ht="12.75" customHeight="1" x14ac:dyDescent="0.25">
      <c r="A5" s="272" t="s">
        <v>839</v>
      </c>
      <c r="B5" s="186"/>
      <c r="C5" s="170"/>
      <c r="D5" s="37"/>
      <c r="E5" s="36"/>
      <c r="F5" s="36"/>
      <c r="G5" s="36"/>
      <c r="H5" s="36"/>
      <c r="I5" s="36"/>
      <c r="J5" s="36"/>
      <c r="K5" s="226"/>
    </row>
    <row r="6" spans="1:11" ht="12.75" customHeight="1" x14ac:dyDescent="0.25">
      <c r="A6" s="87" t="s">
        <v>898</v>
      </c>
      <c r="B6" s="169"/>
      <c r="C6" s="40"/>
      <c r="D6" s="104"/>
      <c r="E6" s="103"/>
      <c r="F6" s="103"/>
      <c r="G6" s="103"/>
      <c r="H6" s="103"/>
      <c r="I6" s="103"/>
      <c r="J6" s="103"/>
      <c r="K6" s="266"/>
    </row>
    <row r="7" spans="1:11" ht="12.75" customHeight="1" x14ac:dyDescent="0.25">
      <c r="A7" s="518" t="s">
        <v>933</v>
      </c>
      <c r="B7" s="169"/>
      <c r="C7" s="748">
        <v>421147314.07999998</v>
      </c>
      <c r="D7" s="745">
        <v>463017935</v>
      </c>
      <c r="E7" s="733">
        <v>463017935</v>
      </c>
      <c r="F7" s="733">
        <v>21486543.920000009</v>
      </c>
      <c r="G7" s="733">
        <v>311529235.69000036</v>
      </c>
      <c r="H7" s="733">
        <f>E7/12*10</f>
        <v>385848279.16666663</v>
      </c>
      <c r="I7" s="44">
        <f t="shared" ref="I7:I13" si="0">G7-H7</f>
        <v>-74319043.476666272</v>
      </c>
      <c r="J7" s="330">
        <f>IF(I7=0,"",I7/H7)</f>
        <v>-0.19261209000899615</v>
      </c>
      <c r="K7" s="735">
        <f>E7</f>
        <v>463017935</v>
      </c>
    </row>
    <row r="8" spans="1:11" ht="12.75" customHeight="1" x14ac:dyDescent="0.25">
      <c r="A8" s="518" t="s">
        <v>964</v>
      </c>
      <c r="B8" s="169"/>
      <c r="C8" s="748">
        <v>1403569040</v>
      </c>
      <c r="D8" s="745">
        <v>1566430377</v>
      </c>
      <c r="E8" s="733">
        <v>1528590384</v>
      </c>
      <c r="F8" s="733">
        <v>162063990.02000001</v>
      </c>
      <c r="G8" s="733">
        <v>1261930720.74</v>
      </c>
      <c r="H8" s="733">
        <f t="shared" ref="H8:H13" si="1">E8/12*10</f>
        <v>1273825320</v>
      </c>
      <c r="I8" s="44">
        <f t="shared" si="0"/>
        <v>-11894599.25999999</v>
      </c>
      <c r="J8" s="330">
        <f>IF(I8=0,"",I8/H8)</f>
        <v>-9.337700447028318E-3</v>
      </c>
      <c r="K8" s="735">
        <f t="shared" ref="K8:K13" si="2">E8</f>
        <v>1528590384</v>
      </c>
    </row>
    <row r="9" spans="1:11" ht="12.75" customHeight="1" x14ac:dyDescent="0.25">
      <c r="A9" s="518" t="s">
        <v>453</v>
      </c>
      <c r="B9" s="169"/>
      <c r="C9" s="748">
        <v>130701800.92000008</v>
      </c>
      <c r="D9" s="745">
        <v>166563806</v>
      </c>
      <c r="E9" s="733">
        <v>283641027</v>
      </c>
      <c r="F9" s="733">
        <v>13739211.43</v>
      </c>
      <c r="G9" s="733">
        <v>405835448.87999946</v>
      </c>
      <c r="H9" s="733">
        <f t="shared" si="1"/>
        <v>236367522.5</v>
      </c>
      <c r="I9" s="44">
        <f t="shared" si="0"/>
        <v>169467926.37999946</v>
      </c>
      <c r="J9" s="330">
        <f>IF(I9=0,"",I9/H9)</f>
        <v>0.71696790061333171</v>
      </c>
      <c r="K9" s="735">
        <f t="shared" si="2"/>
        <v>283641027</v>
      </c>
    </row>
    <row r="10" spans="1:11" ht="12.75" customHeight="1" x14ac:dyDescent="0.25">
      <c r="A10" s="993" t="s">
        <v>1364</v>
      </c>
      <c r="B10" s="171"/>
      <c r="C10" s="748">
        <v>2318447489</v>
      </c>
      <c r="D10" s="745">
        <v>1187428150</v>
      </c>
      <c r="E10" s="733">
        <v>1341779522</v>
      </c>
      <c r="F10" s="733">
        <f>'SC6'!F8</f>
        <v>0</v>
      </c>
      <c r="G10" s="733">
        <f>'SC6'!G8</f>
        <v>1331782301.29</v>
      </c>
      <c r="H10" s="733">
        <f t="shared" si="1"/>
        <v>1118149601.6666667</v>
      </c>
      <c r="I10" s="44">
        <f t="shared" si="0"/>
        <v>213632699.62333322</v>
      </c>
      <c r="J10" s="330">
        <f>IF(I10=0,"",I10/H10)</f>
        <v>0.19105913851321979</v>
      </c>
      <c r="K10" s="735">
        <f t="shared" si="2"/>
        <v>1341779522</v>
      </c>
    </row>
    <row r="11" spans="1:11" ht="12.75" customHeight="1" x14ac:dyDescent="0.25">
      <c r="A11" s="993" t="s">
        <v>1365</v>
      </c>
      <c r="B11" s="171"/>
      <c r="C11" s="748">
        <v>0</v>
      </c>
      <c r="D11" s="745">
        <v>875554850</v>
      </c>
      <c r="E11" s="733">
        <v>789797478</v>
      </c>
      <c r="F11" s="733">
        <f>'SC6'!F69</f>
        <v>0</v>
      </c>
      <c r="G11" s="733">
        <f>'SC6'!G69</f>
        <v>836017339</v>
      </c>
      <c r="H11" s="733">
        <f t="shared" si="1"/>
        <v>658164565</v>
      </c>
      <c r="I11" s="44">
        <f t="shared" si="0"/>
        <v>177852774</v>
      </c>
      <c r="J11" s="330">
        <f t="shared" ref="J11:J18" si="3">IF(I11=0,"",I11/H11)</f>
        <v>0.27022538656422501</v>
      </c>
      <c r="K11" s="735">
        <f t="shared" si="2"/>
        <v>789797478</v>
      </c>
    </row>
    <row r="12" spans="1:11" ht="12.75" customHeight="1" x14ac:dyDescent="0.25">
      <c r="A12" s="86" t="s">
        <v>888</v>
      </c>
      <c r="B12" s="171"/>
      <c r="C12" s="748">
        <v>19871721</v>
      </c>
      <c r="D12" s="745">
        <v>97166690</v>
      </c>
      <c r="E12" s="733">
        <v>80859734</v>
      </c>
      <c r="F12" s="733">
        <v>7935847.2200000016</v>
      </c>
      <c r="G12" s="733">
        <v>13913357.48</v>
      </c>
      <c r="H12" s="733">
        <f t="shared" si="1"/>
        <v>67383111.666666672</v>
      </c>
      <c r="I12" s="44">
        <f t="shared" si="0"/>
        <v>-53469754.186666667</v>
      </c>
      <c r="J12" s="330">
        <f t="shared" si="3"/>
        <v>-0.79351862601971945</v>
      </c>
      <c r="K12" s="735">
        <f t="shared" si="2"/>
        <v>80859734</v>
      </c>
    </row>
    <row r="13" spans="1:11" ht="12.75" customHeight="1" x14ac:dyDescent="0.25">
      <c r="A13" s="86" t="s">
        <v>668</v>
      </c>
      <c r="B13" s="171"/>
      <c r="C13" s="748">
        <v>0</v>
      </c>
      <c r="D13" s="745">
        <v>0</v>
      </c>
      <c r="E13" s="733">
        <v>0</v>
      </c>
      <c r="F13" s="733">
        <v>0</v>
      </c>
      <c r="G13" s="733">
        <v>0</v>
      </c>
      <c r="H13" s="733">
        <f t="shared" si="1"/>
        <v>0</v>
      </c>
      <c r="I13" s="44">
        <f t="shared" si="0"/>
        <v>0</v>
      </c>
      <c r="J13" s="330" t="str">
        <f t="shared" si="3"/>
        <v/>
      </c>
      <c r="K13" s="735">
        <f t="shared" si="2"/>
        <v>0</v>
      </c>
    </row>
    <row r="14" spans="1:11" ht="12.75" customHeight="1" x14ac:dyDescent="0.25">
      <c r="A14" s="88" t="s">
        <v>899</v>
      </c>
      <c r="B14" s="171"/>
      <c r="C14" s="134"/>
      <c r="D14" s="46"/>
      <c r="E14" s="44"/>
      <c r="F14" s="44"/>
      <c r="G14" s="44"/>
      <c r="H14" s="44"/>
      <c r="I14" s="44"/>
      <c r="J14" s="330"/>
      <c r="K14" s="144"/>
    </row>
    <row r="15" spans="1:11" ht="12.75" customHeight="1" x14ac:dyDescent="0.25">
      <c r="A15" s="86" t="s">
        <v>698</v>
      </c>
      <c r="B15" s="171"/>
      <c r="C15" s="748">
        <v>-2852940418.5700002</v>
      </c>
      <c r="D15" s="745">
        <v>-3163230682</v>
      </c>
      <c r="E15" s="733">
        <v>-3449215782</v>
      </c>
      <c r="F15" s="733">
        <v>-251292941.03000003</v>
      </c>
      <c r="G15" s="733">
        <f>-3022674598.034-18401652.5706495-287645637.794</f>
        <v>-3328721888.3986497</v>
      </c>
      <c r="H15" s="733">
        <f t="shared" ref="H15:H17" si="4">E15/12*10</f>
        <v>-2874346485</v>
      </c>
      <c r="I15" s="44">
        <f>H15-G15</f>
        <v>454375403.39864969</v>
      </c>
      <c r="J15" s="330">
        <f t="shared" si="3"/>
        <v>-0.15807955156757997</v>
      </c>
      <c r="K15" s="735">
        <f>E15</f>
        <v>-3449215782</v>
      </c>
    </row>
    <row r="16" spans="1:11" ht="12.75" customHeight="1" x14ac:dyDescent="0.25">
      <c r="A16" s="86" t="s">
        <v>452</v>
      </c>
      <c r="B16" s="171"/>
      <c r="C16" s="748">
        <v>-69673253</v>
      </c>
      <c r="D16" s="745">
        <v>-97987467</v>
      </c>
      <c r="E16" s="733">
        <v>-64588094</v>
      </c>
      <c r="F16" s="733">
        <v>0</v>
      </c>
      <c r="G16" s="733">
        <v>-2880208</v>
      </c>
      <c r="H16" s="384">
        <f t="shared" si="4"/>
        <v>-53823411.666666672</v>
      </c>
      <c r="I16" s="44">
        <f>H16-G16</f>
        <v>-50943203.666666672</v>
      </c>
      <c r="J16" s="330">
        <f t="shared" si="3"/>
        <v>0.94648782173383228</v>
      </c>
      <c r="K16" s="735">
        <f>E16</f>
        <v>-64588094</v>
      </c>
    </row>
    <row r="17" spans="1:11" ht="12.75" customHeight="1" x14ac:dyDescent="0.25">
      <c r="A17" s="86" t="s">
        <v>69</v>
      </c>
      <c r="B17" s="171"/>
      <c r="C17" s="748">
        <v>-24725618.43</v>
      </c>
      <c r="D17" s="745">
        <v>-10925008</v>
      </c>
      <c r="E17" s="733">
        <v>-39500008</v>
      </c>
      <c r="F17" s="733">
        <v>-4955464</v>
      </c>
      <c r="G17" s="733">
        <v>-15239354</v>
      </c>
      <c r="H17" s="733">
        <f t="shared" si="4"/>
        <v>-32916673.333333336</v>
      </c>
      <c r="I17" s="44">
        <f>H17-G17</f>
        <v>-17677319.333333336</v>
      </c>
      <c r="J17" s="330">
        <f t="shared" si="3"/>
        <v>0.53703237730989828</v>
      </c>
      <c r="K17" s="735">
        <f>E17</f>
        <v>-39500008</v>
      </c>
    </row>
    <row r="18" spans="1:11" ht="12.75" customHeight="1" x14ac:dyDescent="0.25">
      <c r="A18" s="92" t="s">
        <v>891</v>
      </c>
      <c r="B18" s="233"/>
      <c r="C18" s="243">
        <f t="shared" ref="C18:H18" si="5">SUM(C7:C13)+SUM(C15:C17)</f>
        <v>1346398075</v>
      </c>
      <c r="D18" s="74">
        <f t="shared" si="5"/>
        <v>1084018651</v>
      </c>
      <c r="E18" s="73">
        <f t="shared" si="5"/>
        <v>934382196</v>
      </c>
      <c r="F18" s="73">
        <f t="shared" si="5"/>
        <v>-51022812.439999998</v>
      </c>
      <c r="G18" s="73">
        <f t="shared" si="5"/>
        <v>814166952.68134975</v>
      </c>
      <c r="H18" s="73">
        <f t="shared" si="5"/>
        <v>778651829.99999952</v>
      </c>
      <c r="I18" s="73">
        <f>H18-G18</f>
        <v>-35515122.681350231</v>
      </c>
      <c r="J18" s="331">
        <f t="shared" si="3"/>
        <v>-4.5611043746407495E-2</v>
      </c>
      <c r="K18" s="145">
        <f>SUM(K7:K13)+SUM(K15:K17)</f>
        <v>934382196</v>
      </c>
    </row>
    <row r="19" spans="1:11" ht="5.0999999999999996" customHeight="1" x14ac:dyDescent="0.25">
      <c r="A19" s="42"/>
      <c r="B19" s="169"/>
      <c r="C19" s="134"/>
      <c r="D19" s="46"/>
      <c r="E19" s="44"/>
      <c r="F19" s="44"/>
      <c r="G19" s="44"/>
      <c r="H19" s="44"/>
      <c r="I19" s="44"/>
      <c r="J19" s="44"/>
      <c r="K19" s="144"/>
    </row>
    <row r="20" spans="1:11" ht="12.75" customHeight="1" x14ac:dyDescent="0.25">
      <c r="A20" s="87" t="s">
        <v>723</v>
      </c>
      <c r="B20" s="169"/>
      <c r="C20" s="134"/>
      <c r="D20" s="46"/>
      <c r="E20" s="44"/>
      <c r="F20" s="44"/>
      <c r="G20" s="44"/>
      <c r="H20" s="44"/>
      <c r="I20" s="44"/>
      <c r="J20" s="44"/>
      <c r="K20" s="144"/>
    </row>
    <row r="21" spans="1:11" ht="12.75" customHeight="1" x14ac:dyDescent="0.25">
      <c r="A21" s="87" t="s">
        <v>898</v>
      </c>
      <c r="B21" s="169"/>
      <c r="C21" s="134"/>
      <c r="D21" s="46"/>
      <c r="E21" s="44"/>
      <c r="F21" s="44"/>
      <c r="G21" s="44"/>
      <c r="H21" s="44"/>
      <c r="I21" s="44"/>
      <c r="J21" s="44"/>
      <c r="K21" s="144"/>
    </row>
    <row r="22" spans="1:11" ht="12.75" customHeight="1" x14ac:dyDescent="0.25">
      <c r="A22" s="86" t="s">
        <v>924</v>
      </c>
      <c r="B22" s="169"/>
      <c r="C22" s="748">
        <v>0</v>
      </c>
      <c r="D22" s="745">
        <v>0</v>
      </c>
      <c r="E22" s="733">
        <v>0</v>
      </c>
      <c r="F22" s="733">
        <v>0</v>
      </c>
      <c r="G22" s="733">
        <v>0</v>
      </c>
      <c r="H22" s="733">
        <v>0</v>
      </c>
      <c r="I22" s="44">
        <f>G22-H22</f>
        <v>0</v>
      </c>
      <c r="J22" s="330" t="str">
        <f t="shared" ref="J22:J28" si="6">IF(I22=0,"",I22/H22)</f>
        <v/>
      </c>
      <c r="K22" s="735">
        <v>0</v>
      </c>
    </row>
    <row r="23" spans="1:11" ht="12.75" hidden="1" customHeight="1" x14ac:dyDescent="0.25">
      <c r="A23" s="39"/>
      <c r="B23" s="169"/>
      <c r="C23" s="648"/>
      <c r="D23" s="649"/>
      <c r="E23" s="408"/>
      <c r="F23" s="408"/>
      <c r="G23" s="408"/>
      <c r="H23" s="408"/>
      <c r="I23" s="408"/>
      <c r="J23" s="948"/>
      <c r="K23" s="642"/>
    </row>
    <row r="24" spans="1:11" ht="12.75" customHeight="1" x14ac:dyDescent="0.25">
      <c r="A24" s="993" t="s">
        <v>1363</v>
      </c>
      <c r="B24" s="175"/>
      <c r="C24" s="748">
        <v>0</v>
      </c>
      <c r="D24" s="745">
        <v>0</v>
      </c>
      <c r="E24" s="733">
        <v>0</v>
      </c>
      <c r="F24" s="733">
        <v>0</v>
      </c>
      <c r="G24" s="733">
        <v>0</v>
      </c>
      <c r="H24" s="733">
        <v>0</v>
      </c>
      <c r="I24" s="44">
        <f>G24-H24</f>
        <v>0</v>
      </c>
      <c r="J24" s="330" t="str">
        <f t="shared" si="6"/>
        <v/>
      </c>
      <c r="K24" s="735">
        <v>0</v>
      </c>
    </row>
    <row r="25" spans="1:11" ht="12.75" customHeight="1" x14ac:dyDescent="0.25">
      <c r="A25" s="39" t="s">
        <v>890</v>
      </c>
      <c r="B25" s="169"/>
      <c r="C25" s="748">
        <v>54359324.670000002</v>
      </c>
      <c r="D25" s="745">
        <v>0</v>
      </c>
      <c r="E25" s="733">
        <v>0</v>
      </c>
      <c r="F25" s="733">
        <v>0</v>
      </c>
      <c r="G25" s="733">
        <v>0</v>
      </c>
      <c r="H25" s="733">
        <v>0</v>
      </c>
      <c r="I25" s="44">
        <f>G25-H25</f>
        <v>0</v>
      </c>
      <c r="J25" s="330" t="str">
        <f t="shared" si="6"/>
        <v/>
      </c>
      <c r="K25" s="735">
        <v>0</v>
      </c>
    </row>
    <row r="26" spans="1:11" ht="12.75" customHeight="1" x14ac:dyDescent="0.25">
      <c r="A26" s="87" t="s">
        <v>899</v>
      </c>
      <c r="B26" s="169"/>
      <c r="C26" s="134"/>
      <c r="D26" s="46"/>
      <c r="E26" s="44"/>
      <c r="F26" s="44"/>
      <c r="G26" s="44"/>
      <c r="H26" s="44"/>
      <c r="I26" s="44"/>
      <c r="J26" s="44"/>
      <c r="K26" s="144"/>
    </row>
    <row r="27" spans="1:11" ht="12.75" customHeight="1" x14ac:dyDescent="0.25">
      <c r="A27" s="39" t="s">
        <v>699</v>
      </c>
      <c r="B27" s="169"/>
      <c r="C27" s="748">
        <v>-1043610803</v>
      </c>
      <c r="D27" s="745">
        <v>-1165453720</v>
      </c>
      <c r="E27" s="733">
        <v>-1008770125</v>
      </c>
      <c r="F27" s="733">
        <f>-'C5-Capex'!F74</f>
        <v>-111884524.236</v>
      </c>
      <c r="G27" s="733">
        <f>-'C5-Capex'!G74</f>
        <v>-603015633.11135006</v>
      </c>
      <c r="H27" s="733">
        <f>E27/12*10</f>
        <v>-840641770.83333325</v>
      </c>
      <c r="I27" s="44">
        <f>H27-G27</f>
        <v>-237626137.72198319</v>
      </c>
      <c r="J27" s="330">
        <f t="shared" si="6"/>
        <v>0.2826722939147111</v>
      </c>
      <c r="K27" s="735">
        <f>E27</f>
        <v>-1008770125</v>
      </c>
    </row>
    <row r="28" spans="1:11" ht="12.75" customHeight="1" x14ac:dyDescent="0.25">
      <c r="A28" s="92" t="s">
        <v>892</v>
      </c>
      <c r="B28" s="233"/>
      <c r="C28" s="545">
        <f t="shared" ref="C28:H28" si="7">SUM(C22:C25)+C27</f>
        <v>-989251478.33000004</v>
      </c>
      <c r="D28" s="74">
        <f>SUM(D22:D25)+D27</f>
        <v>-1165453720</v>
      </c>
      <c r="E28" s="73">
        <f t="shared" si="7"/>
        <v>-1008770125</v>
      </c>
      <c r="F28" s="73">
        <f t="shared" si="7"/>
        <v>-111884524.236</v>
      </c>
      <c r="G28" s="73">
        <f t="shared" si="7"/>
        <v>-603015633.11135006</v>
      </c>
      <c r="H28" s="73">
        <f t="shared" si="7"/>
        <v>-840641770.83333325</v>
      </c>
      <c r="I28" s="73">
        <f>H28-G28</f>
        <v>-237626137.72198319</v>
      </c>
      <c r="J28" s="331">
        <f t="shared" si="6"/>
        <v>0.2826722939147111</v>
      </c>
      <c r="K28" s="145">
        <f>SUM(K22:K25)+K27</f>
        <v>-1008770125</v>
      </c>
    </row>
    <row r="29" spans="1:11" ht="5.0999999999999996" customHeight="1" x14ac:dyDescent="0.25">
      <c r="A29" s="42"/>
      <c r="B29" s="169"/>
      <c r="C29" s="134"/>
      <c r="D29" s="46"/>
      <c r="E29" s="44"/>
      <c r="F29" s="44"/>
      <c r="G29" s="44"/>
      <c r="H29" s="44"/>
      <c r="I29" s="44"/>
      <c r="J29" s="44"/>
      <c r="K29" s="144"/>
    </row>
    <row r="30" spans="1:11" ht="12.75" customHeight="1" x14ac:dyDescent="0.25">
      <c r="A30" s="87" t="s">
        <v>745</v>
      </c>
      <c r="B30" s="169"/>
      <c r="C30" s="134"/>
      <c r="D30" s="46"/>
      <c r="E30" s="44"/>
      <c r="F30" s="44"/>
      <c r="G30" s="44"/>
      <c r="H30" s="44"/>
      <c r="I30" s="44"/>
      <c r="J30" s="44"/>
      <c r="K30" s="144"/>
    </row>
    <row r="31" spans="1:11" ht="12.75" customHeight="1" x14ac:dyDescent="0.25">
      <c r="A31" s="87" t="s">
        <v>898</v>
      </c>
      <c r="B31" s="169"/>
      <c r="C31" s="134"/>
      <c r="D31" s="46"/>
      <c r="E31" s="44"/>
      <c r="F31" s="44"/>
      <c r="G31" s="44"/>
      <c r="H31" s="44"/>
      <c r="I31" s="44"/>
      <c r="J31" s="44"/>
      <c r="K31" s="144"/>
    </row>
    <row r="32" spans="1:11" ht="12.75" customHeight="1" x14ac:dyDescent="0.25">
      <c r="A32" s="39" t="s">
        <v>902</v>
      </c>
      <c r="B32" s="169"/>
      <c r="C32" s="748">
        <v>0</v>
      </c>
      <c r="D32" s="745">
        <v>0</v>
      </c>
      <c r="E32" s="733">
        <v>0</v>
      </c>
      <c r="F32" s="733">
        <v>0</v>
      </c>
      <c r="G32" s="733">
        <v>0</v>
      </c>
      <c r="H32" s="733">
        <f t="shared" ref="H32:H34" si="8">E32/12*10</f>
        <v>0</v>
      </c>
      <c r="I32" s="44">
        <f>G32-H32</f>
        <v>0</v>
      </c>
      <c r="J32" s="330" t="str">
        <f t="shared" ref="J32:J37" si="9">IF(I32=0,"",I32/H32)</f>
        <v/>
      </c>
      <c r="K32" s="735">
        <v>0</v>
      </c>
    </row>
    <row r="33" spans="1:11" ht="12.75" customHeight="1" x14ac:dyDescent="0.25">
      <c r="A33" s="39" t="s">
        <v>960</v>
      </c>
      <c r="B33" s="169"/>
      <c r="C33" s="748">
        <v>0</v>
      </c>
      <c r="D33" s="745">
        <v>234922537</v>
      </c>
      <c r="E33" s="733">
        <v>0</v>
      </c>
      <c r="F33" s="733">
        <v>0</v>
      </c>
      <c r="G33" s="733">
        <v>0</v>
      </c>
      <c r="H33" s="733">
        <f t="shared" si="8"/>
        <v>0</v>
      </c>
      <c r="I33" s="44">
        <f>G33-H33</f>
        <v>0</v>
      </c>
      <c r="J33" s="330" t="str">
        <f t="shared" si="9"/>
        <v/>
      </c>
      <c r="K33" s="735"/>
    </row>
    <row r="34" spans="1:11" ht="12.75" customHeight="1" x14ac:dyDescent="0.25">
      <c r="A34" s="39" t="s">
        <v>70</v>
      </c>
      <c r="B34" s="169"/>
      <c r="C34" s="748">
        <v>-1902172</v>
      </c>
      <c r="D34" s="745">
        <v>0</v>
      </c>
      <c r="E34" s="733">
        <v>500000</v>
      </c>
      <c r="F34" s="733">
        <v>0</v>
      </c>
      <c r="G34" s="733">
        <v>0</v>
      </c>
      <c r="H34" s="733">
        <f t="shared" si="8"/>
        <v>416666.66666666663</v>
      </c>
      <c r="I34" s="44">
        <f>G34-H34</f>
        <v>-416666.66666666663</v>
      </c>
      <c r="J34" s="330">
        <f t="shared" si="9"/>
        <v>-1</v>
      </c>
      <c r="K34" s="735">
        <f>E34</f>
        <v>500000</v>
      </c>
    </row>
    <row r="35" spans="1:11" ht="12.75" customHeight="1" x14ac:dyDescent="0.25">
      <c r="A35" s="87" t="s">
        <v>899</v>
      </c>
      <c r="B35" s="169"/>
      <c r="C35" s="134"/>
      <c r="D35" s="46"/>
      <c r="E35" s="44"/>
      <c r="F35" s="44"/>
      <c r="G35" s="44"/>
      <c r="H35" s="44"/>
      <c r="I35" s="44"/>
      <c r="J35" s="330" t="str">
        <f t="shared" si="9"/>
        <v/>
      </c>
      <c r="K35" s="144"/>
    </row>
    <row r="36" spans="1:11" ht="12.75" customHeight="1" x14ac:dyDescent="0.25">
      <c r="A36" s="39" t="s">
        <v>901</v>
      </c>
      <c r="B36" s="169"/>
      <c r="C36" s="748">
        <v>-66210305</v>
      </c>
      <c r="D36" s="745">
        <v>-64205000</v>
      </c>
      <c r="E36" s="733">
        <v>-64205000</v>
      </c>
      <c r="F36" s="733">
        <v>0</v>
      </c>
      <c r="G36" s="733">
        <v>-20813208.59</v>
      </c>
      <c r="H36" s="733">
        <f>E36/12*10</f>
        <v>-53504166.666666672</v>
      </c>
      <c r="I36" s="44">
        <f>H36-G36</f>
        <v>-32690958.076666672</v>
      </c>
      <c r="J36" s="330">
        <f t="shared" si="9"/>
        <v>0.61099835981621375</v>
      </c>
      <c r="K36" s="735">
        <v>-64205000</v>
      </c>
    </row>
    <row r="37" spans="1:11" ht="12.75" customHeight="1" x14ac:dyDescent="0.25">
      <c r="A37" s="92" t="s">
        <v>893</v>
      </c>
      <c r="B37" s="233"/>
      <c r="C37" s="545">
        <f t="shared" ref="C37:H37" si="10">SUM(C32:C34)+C36</f>
        <v>-68112477</v>
      </c>
      <c r="D37" s="74">
        <f t="shared" si="10"/>
        <v>170717537</v>
      </c>
      <c r="E37" s="73">
        <f t="shared" si="10"/>
        <v>-63705000</v>
      </c>
      <c r="F37" s="73">
        <f t="shared" si="10"/>
        <v>0</v>
      </c>
      <c r="G37" s="73">
        <f t="shared" si="10"/>
        <v>-20813208.59</v>
      </c>
      <c r="H37" s="73">
        <f t="shared" si="10"/>
        <v>-53087500.000000007</v>
      </c>
      <c r="I37" s="73">
        <f>H37-G37</f>
        <v>-32274291.410000008</v>
      </c>
      <c r="J37" s="331">
        <f t="shared" si="9"/>
        <v>0.60794521139627977</v>
      </c>
      <c r="K37" s="145">
        <f>SUM(K32:K34)+K36</f>
        <v>-63705000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903</v>
      </c>
      <c r="B39" s="169"/>
      <c r="C39" s="109">
        <f t="shared" ref="C39:H39" si="11">C18+C28+C37</f>
        <v>289034119.66999996</v>
      </c>
      <c r="D39" s="51">
        <f t="shared" si="11"/>
        <v>89282468</v>
      </c>
      <c r="E39" s="50">
        <f t="shared" si="11"/>
        <v>-138092929</v>
      </c>
      <c r="F39" s="50">
        <f t="shared" si="11"/>
        <v>-162907336.676</v>
      </c>
      <c r="G39" s="50">
        <f t="shared" si="11"/>
        <v>190338110.97999969</v>
      </c>
      <c r="H39" s="50">
        <f t="shared" si="11"/>
        <v>-115077440.83333373</v>
      </c>
      <c r="I39" s="327"/>
      <c r="J39" s="327"/>
      <c r="K39" s="194">
        <f>K18+K28+K37</f>
        <v>-138092929</v>
      </c>
    </row>
    <row r="40" spans="1:11" ht="12.75" customHeight="1" x14ac:dyDescent="0.25">
      <c r="A40" s="39" t="s">
        <v>505</v>
      </c>
      <c r="B40" s="169"/>
      <c r="C40" s="748">
        <v>131260132</v>
      </c>
      <c r="D40" s="745">
        <v>106569085</v>
      </c>
      <c r="E40" s="733">
        <v>414597082.76999998</v>
      </c>
      <c r="F40" s="273"/>
      <c r="G40" s="733">
        <v>414597046.26999998</v>
      </c>
      <c r="H40" s="44">
        <f>IF(E40=0, D40, E40)</f>
        <v>414597082.76999998</v>
      </c>
      <c r="I40" s="273"/>
      <c r="J40" s="273"/>
      <c r="K40" s="385">
        <f>G40</f>
        <v>414597046.26999998</v>
      </c>
    </row>
    <row r="41" spans="1:11" ht="12.75" customHeight="1" x14ac:dyDescent="0.25">
      <c r="A41" s="129" t="s">
        <v>55</v>
      </c>
      <c r="B41" s="119"/>
      <c r="C41" s="225">
        <f>C39+C40</f>
        <v>420294251.66999996</v>
      </c>
      <c r="D41" s="116">
        <f>D39+D40</f>
        <v>195851553</v>
      </c>
      <c r="E41" s="115">
        <f>E39+E40</f>
        <v>276504153.76999998</v>
      </c>
      <c r="F41" s="274"/>
      <c r="G41" s="115">
        <f>G39+G40</f>
        <v>604935157.24999964</v>
      </c>
      <c r="H41" s="115">
        <f>H39+H40</f>
        <v>299519641.93666625</v>
      </c>
      <c r="I41" s="274"/>
      <c r="J41" s="274"/>
      <c r="K41" s="190">
        <f>K39+K40</f>
        <v>276504117.26999998</v>
      </c>
    </row>
    <row r="42" spans="1:11" ht="11.25" customHeight="1" x14ac:dyDescent="0.25">
      <c r="A42" s="57" t="s">
        <v>648</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67"/>
  <sheetViews>
    <sheetView showGridLines="0" zoomScaleNormal="100" workbookViewId="0">
      <pane xSplit="2" ySplit="4" topLeftCell="C21" activePane="bottomRight" state="frozen"/>
      <selection pane="topRight"/>
      <selection pane="bottomLeft"/>
      <selection pane="bottomRight" activeCell="B4" sqref="B4:E34"/>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63" t="str">
        <f>muni&amp; " - "&amp;S71G&amp; " - "&amp;date</f>
        <v>LIM354 Polokwane - Supporting Table SC1 Material variance explanations  - M10 April</v>
      </c>
      <c r="B1" s="1063"/>
      <c r="C1" s="1063"/>
      <c r="D1" s="1063"/>
      <c r="E1" s="1063"/>
    </row>
    <row r="2" spans="1:5" x14ac:dyDescent="0.25">
      <c r="A2" s="1045" t="str">
        <f>head27</f>
        <v>Ref</v>
      </c>
      <c r="B2" s="1052" t="str">
        <f>desc</f>
        <v>Description</v>
      </c>
      <c r="C2" s="269"/>
      <c r="D2" s="269"/>
      <c r="E2" s="275"/>
    </row>
    <row r="3" spans="1:5" x14ac:dyDescent="0.25">
      <c r="A3" s="1056"/>
      <c r="B3" s="1053"/>
      <c r="C3" s="159" t="s">
        <v>438</v>
      </c>
      <c r="D3" s="159" t="s">
        <v>497</v>
      </c>
      <c r="E3" s="28" t="s">
        <v>498</v>
      </c>
    </row>
    <row r="4" spans="1:5" x14ac:dyDescent="0.25">
      <c r="A4" s="119"/>
      <c r="B4" s="34" t="s">
        <v>669</v>
      </c>
      <c r="C4" s="187"/>
      <c r="D4" s="157"/>
      <c r="E4" s="31"/>
    </row>
    <row r="5" spans="1:5" ht="11.25" customHeight="1" x14ac:dyDescent="0.25">
      <c r="A5" s="186">
        <v>1</v>
      </c>
      <c r="B5" s="180" t="str">
        <f>'C4-FinPerf RE'!A5</f>
        <v>Revenue By Source</v>
      </c>
      <c r="C5" s="179"/>
      <c r="D5" s="179"/>
      <c r="E5" s="179"/>
    </row>
    <row r="6" spans="1:5" ht="11.25" customHeight="1" x14ac:dyDescent="0.25">
      <c r="A6" s="169"/>
      <c r="B6" s="1011" t="str">
        <f>'C4-FinPerf RE'!A6</f>
        <v>Property rates</v>
      </c>
      <c r="C6" s="1012">
        <f>'C4-FinPerf RE'!J6</f>
        <v>-0.10836362679027162</v>
      </c>
      <c r="D6" s="1010" t="s">
        <v>1657</v>
      </c>
      <c r="E6" s="1010" t="s">
        <v>1656</v>
      </c>
    </row>
    <row r="7" spans="1:5" ht="76.5" x14ac:dyDescent="0.25">
      <c r="A7" s="169"/>
      <c r="B7" s="1011" t="str">
        <f>'C4-FinPerf RE'!A7</f>
        <v>Service charges - electricity revenue</v>
      </c>
      <c r="C7" s="1012">
        <f>'C4-FinPerf RE'!J7</f>
        <v>-0.15369473226980743</v>
      </c>
      <c r="D7" s="1010" t="s">
        <v>1665</v>
      </c>
      <c r="E7" s="1010" t="s">
        <v>1666</v>
      </c>
    </row>
    <row r="8" spans="1:5" ht="11.25" customHeight="1" x14ac:dyDescent="0.25">
      <c r="A8" s="169"/>
      <c r="B8" s="1011"/>
      <c r="C8" s="1012"/>
      <c r="D8" s="1010"/>
      <c r="E8" s="1010"/>
    </row>
    <row r="9" spans="1:5" ht="11.25" customHeight="1" x14ac:dyDescent="0.25">
      <c r="A9" s="169"/>
      <c r="B9" s="1011"/>
      <c r="C9" s="1012"/>
      <c r="D9" s="1010"/>
      <c r="E9" s="1010"/>
    </row>
    <row r="10" spans="1:5" ht="38.25" x14ac:dyDescent="0.25">
      <c r="A10" s="169"/>
      <c r="B10" s="1011" t="str">
        <f>'C4-FinPerf RE'!A8</f>
        <v>Service charges - water revenue</v>
      </c>
      <c r="C10" s="1012">
        <f>'C4-FinPerf RE'!J8</f>
        <v>-0.18437882797804941</v>
      </c>
      <c r="D10" s="1010" t="s">
        <v>1664</v>
      </c>
      <c r="E10" s="1010"/>
    </row>
    <row r="11" spans="1:5" ht="11.25" customHeight="1" x14ac:dyDescent="0.25">
      <c r="A11" s="169"/>
      <c r="B11" s="1011" t="str">
        <f>'C4-FinPerf RE'!A9</f>
        <v>Service charges - sanitation revenue</v>
      </c>
      <c r="C11" s="1012">
        <f>'C4-FinPerf RE'!J9</f>
        <v>-0.10927143090504085</v>
      </c>
      <c r="D11" s="1010"/>
      <c r="E11" s="1010"/>
    </row>
    <row r="12" spans="1:5" ht="11.25" customHeight="1" x14ac:dyDescent="0.25">
      <c r="A12" s="169"/>
      <c r="B12" s="1011" t="str">
        <f>'C4-FinPerf RE'!A10</f>
        <v>Service charges - refuse revenue</v>
      </c>
      <c r="C12" s="1012">
        <f>'C4-FinPerf RE'!J10</f>
        <v>2.3875581775161227E-2</v>
      </c>
      <c r="D12" s="1010"/>
      <c r="E12" s="1010"/>
    </row>
    <row r="13" spans="1:5" ht="11.25" customHeight="1" x14ac:dyDescent="0.25">
      <c r="A13" s="169"/>
      <c r="B13" s="1011">
        <f>'C4-FinPerf RE'!A11</f>
        <v>0</v>
      </c>
      <c r="C13" s="1012">
        <f>'C4-FinPerf RE'!J11</f>
        <v>0</v>
      </c>
      <c r="D13" s="1010"/>
      <c r="E13" s="1010"/>
    </row>
    <row r="14" spans="1:5" ht="11.25" customHeight="1" x14ac:dyDescent="0.25">
      <c r="A14" s="169"/>
      <c r="B14" s="1011" t="str">
        <f>'C4-FinPerf RE'!A12</f>
        <v>Rental of facilities and equipment</v>
      </c>
      <c r="C14" s="1012">
        <f>'C4-FinPerf RE'!J12</f>
        <v>-0.59796852098774889</v>
      </c>
      <c r="D14" s="1010" t="s">
        <v>1667</v>
      </c>
      <c r="E14" s="1010" t="s">
        <v>1668</v>
      </c>
    </row>
    <row r="15" spans="1:5" ht="63.75" x14ac:dyDescent="0.25">
      <c r="A15" s="169"/>
      <c r="B15" s="1011" t="str">
        <f>'C4-FinPerf RE'!A13</f>
        <v>Interest earned - external investments</v>
      </c>
      <c r="C15" s="1012">
        <f>'C4-FinPerf RE'!J13</f>
        <v>-0.71204768602659219</v>
      </c>
      <c r="D15" s="1010" t="s">
        <v>1669</v>
      </c>
      <c r="E15" s="1010"/>
    </row>
    <row r="16" spans="1:5" ht="11.25" customHeight="1" x14ac:dyDescent="0.25">
      <c r="A16" s="169"/>
      <c r="B16" s="1008" t="str">
        <f>'C4-FinPerf RE'!A14</f>
        <v>Interest earned - outstanding debtors</v>
      </c>
      <c r="C16" s="1009">
        <f>'C4-FinPerf RE'!J14</f>
        <v>-9.5557061916231312E-2</v>
      </c>
      <c r="D16" s="1010" t="s">
        <v>1671</v>
      </c>
      <c r="E16" s="1010"/>
    </row>
    <row r="17" spans="1:5" ht="11.25" customHeight="1" x14ac:dyDescent="0.25">
      <c r="A17" s="169"/>
      <c r="B17" s="1008" t="str">
        <f>'C4-FinPerf RE'!A15</f>
        <v>Dividends received</v>
      </c>
      <c r="C17" s="1009" t="str">
        <f>'C4-FinPerf RE'!J15</f>
        <v/>
      </c>
      <c r="D17" s="1010"/>
      <c r="E17" s="1010"/>
    </row>
    <row r="18" spans="1:5" ht="11.25" customHeight="1" x14ac:dyDescent="0.25">
      <c r="A18" s="169"/>
      <c r="B18" s="1008" t="str">
        <f>'C4-FinPerf RE'!A16</f>
        <v>Fines, penalties and forfeits</v>
      </c>
      <c r="C18" s="1009">
        <f>'C4-FinPerf RE'!J16</f>
        <v>-0.44447979709124713</v>
      </c>
      <c r="D18" s="1010" t="s">
        <v>1663</v>
      </c>
      <c r="E18" s="1010" t="s">
        <v>1668</v>
      </c>
    </row>
    <row r="19" spans="1:5" ht="11.25" customHeight="1" x14ac:dyDescent="0.25">
      <c r="A19" s="169"/>
      <c r="B19" s="1008" t="str">
        <f>'C4-FinPerf RE'!A17</f>
        <v>Licences and permits</v>
      </c>
      <c r="C19" s="1009">
        <f>'C4-FinPerf RE'!J17</f>
        <v>-0.28043696887335134</v>
      </c>
      <c r="D19" s="1010" t="s">
        <v>1670</v>
      </c>
      <c r="E19" s="1010" t="s">
        <v>1668</v>
      </c>
    </row>
    <row r="20" spans="1:5" ht="25.5" x14ac:dyDescent="0.25">
      <c r="A20" s="169"/>
      <c r="B20" s="1008" t="str">
        <f>'C4-FinPerf RE'!A18</f>
        <v>Agency services</v>
      </c>
      <c r="C20" s="1009">
        <f>'C4-FinPerf RE'!J18</f>
        <v>2.4544023388891252</v>
      </c>
      <c r="D20" s="1010" t="s">
        <v>1661</v>
      </c>
      <c r="E20" s="1010" t="s">
        <v>1662</v>
      </c>
    </row>
    <row r="21" spans="1:5" ht="11.25" customHeight="1" x14ac:dyDescent="0.25">
      <c r="A21" s="169"/>
      <c r="B21" s="1008" t="str">
        <f>'C4-FinPerf RE'!A19</f>
        <v>Transfers and subsidies</v>
      </c>
      <c r="C21" s="1009">
        <f>'C4-FinPerf RE'!J19</f>
        <v>0.10835797725101531</v>
      </c>
      <c r="D21" s="1010"/>
      <c r="E21" s="1010"/>
    </row>
    <row r="22" spans="1:5" ht="11.25" customHeight="1" x14ac:dyDescent="0.25">
      <c r="A22" s="169"/>
      <c r="B22" s="1008" t="str">
        <f>'C4-FinPerf RE'!A20</f>
        <v>Other revenue</v>
      </c>
      <c r="C22" s="1009">
        <f>'C4-FinPerf RE'!J20</f>
        <v>-0.69659563757877219</v>
      </c>
      <c r="D22" s="1010"/>
      <c r="E22" s="1010"/>
    </row>
    <row r="23" spans="1:5" ht="11.25" customHeight="1" x14ac:dyDescent="0.25">
      <c r="A23" s="169"/>
      <c r="B23" s="1008" t="str">
        <f>'C4-FinPerf RE'!A21</f>
        <v>Gains</v>
      </c>
      <c r="C23" s="1009" t="str">
        <f>'C4-FinPerf RE'!J21</f>
        <v/>
      </c>
      <c r="D23" s="1010"/>
      <c r="E23" s="1010"/>
    </row>
    <row r="24" spans="1:5" ht="11.25" customHeight="1" x14ac:dyDescent="0.25">
      <c r="A24" s="169">
        <v>2</v>
      </c>
      <c r="B24" s="386" t="str">
        <f>'C4-FinPerf RE'!A24</f>
        <v>Expenditure By Type</v>
      </c>
      <c r="C24" s="387"/>
      <c r="D24" s="1007"/>
      <c r="E24" s="1007"/>
    </row>
    <row r="25" spans="1:5" ht="11.25" customHeight="1" x14ac:dyDescent="0.25">
      <c r="A25" s="169"/>
      <c r="B25" s="1008" t="str">
        <f>'C4-FinPerf RE'!A25</f>
        <v>Employee related costs</v>
      </c>
      <c r="C25" s="1009">
        <f>'C4-FinPerf RE'!J25</f>
        <v>-5.5867245435354047E-2</v>
      </c>
      <c r="D25" s="1010" t="s">
        <v>1657</v>
      </c>
      <c r="E25" s="1010"/>
    </row>
    <row r="26" spans="1:5" ht="11.25" customHeight="1" x14ac:dyDescent="0.25">
      <c r="A26" s="169"/>
      <c r="B26" s="1008" t="str">
        <f>'C4-FinPerf RE'!A26</f>
        <v>Remuneration of councillors</v>
      </c>
      <c r="C26" s="1009">
        <f>'C4-FinPerf RE'!J26</f>
        <v>-8.933899361002974E-2</v>
      </c>
      <c r="D26" s="1010" t="s">
        <v>1657</v>
      </c>
      <c r="E26" s="1010"/>
    </row>
    <row r="27" spans="1:5" ht="11.25" customHeight="1" x14ac:dyDescent="0.25">
      <c r="A27" s="169"/>
      <c r="B27" s="1008" t="str">
        <f>'C4-FinPerf RE'!A27</f>
        <v>Debt impairment</v>
      </c>
      <c r="C27" s="1009" t="str">
        <f>'C4-FinPerf RE'!J27</f>
        <v/>
      </c>
      <c r="D27" s="1010"/>
      <c r="E27" s="1010"/>
    </row>
    <row r="28" spans="1:5" ht="11.25" customHeight="1" x14ac:dyDescent="0.25">
      <c r="A28" s="169"/>
      <c r="B28" s="1008" t="str">
        <f>'C4-FinPerf RE'!A28</f>
        <v>Depreciation &amp; asset impairment</v>
      </c>
      <c r="C28" s="1009" t="str">
        <f>'C4-FinPerf RE'!J28</f>
        <v/>
      </c>
      <c r="D28" s="1010"/>
      <c r="E28" s="1010"/>
    </row>
    <row r="29" spans="1:5" ht="11.25" customHeight="1" x14ac:dyDescent="0.25">
      <c r="A29" s="169"/>
      <c r="B29" s="1008" t="str">
        <f>'C4-FinPerf RE'!A29</f>
        <v>Finance charges</v>
      </c>
      <c r="C29" s="1009">
        <f>'C4-FinPerf RE'!J29</f>
        <v>-0.60023016005537322</v>
      </c>
      <c r="D29" s="1010" t="s">
        <v>1658</v>
      </c>
      <c r="E29" s="1010" t="s">
        <v>1656</v>
      </c>
    </row>
    <row r="30" spans="1:5" ht="11.25" customHeight="1" x14ac:dyDescent="0.25">
      <c r="A30" s="169"/>
      <c r="B30" s="1008" t="str">
        <f>'C4-FinPerf RE'!A30</f>
        <v>Bulk purchases</v>
      </c>
      <c r="C30" s="1009">
        <f>'C4-FinPerf RE'!J30</f>
        <v>-3.8962852198793557E-2</v>
      </c>
      <c r="D30" s="1010" t="s">
        <v>1659</v>
      </c>
      <c r="E30" s="1010" t="s">
        <v>1656</v>
      </c>
    </row>
    <row r="31" spans="1:5" ht="38.25" x14ac:dyDescent="0.25">
      <c r="A31" s="169"/>
      <c r="B31" s="1008" t="str">
        <f>'C4-FinPerf RE'!A31</f>
        <v>Other materials</v>
      </c>
      <c r="C31" s="1009">
        <f>'C4-FinPerf RE'!J31</f>
        <v>-0.40620739723323951</v>
      </c>
      <c r="D31" s="1010" t="s">
        <v>1672</v>
      </c>
      <c r="E31" s="1010" t="s">
        <v>1656</v>
      </c>
    </row>
    <row r="32" spans="1:5" ht="11.25" customHeight="1" x14ac:dyDescent="0.25">
      <c r="A32" s="169"/>
      <c r="B32" s="1008" t="str">
        <f>'C4-FinPerf RE'!A32</f>
        <v>Contracted services</v>
      </c>
      <c r="C32" s="1009">
        <f>'C4-FinPerf RE'!J32</f>
        <v>-6.184310463912393E-2</v>
      </c>
      <c r="D32" s="1010"/>
      <c r="E32" s="1010"/>
    </row>
    <row r="33" spans="1:5" ht="11.25" customHeight="1" x14ac:dyDescent="0.25">
      <c r="A33" s="169"/>
      <c r="B33" s="1008" t="str">
        <f>'C4-FinPerf RE'!A33</f>
        <v>Transfers and subsidies</v>
      </c>
      <c r="C33" s="1009">
        <f>'C4-FinPerf RE'!J33</f>
        <v>-0.53703237730989828</v>
      </c>
      <c r="D33" s="1010" t="s">
        <v>1660</v>
      </c>
      <c r="E33" s="1010" t="s">
        <v>1656</v>
      </c>
    </row>
    <row r="34" spans="1:5" ht="11.25" customHeight="1" x14ac:dyDescent="0.25">
      <c r="A34" s="169"/>
      <c r="B34" s="1008" t="str">
        <f>'C4-FinPerf RE'!A34</f>
        <v>Other expenditure</v>
      </c>
      <c r="C34" s="1009">
        <f>'C4-FinPerf RE'!J34</f>
        <v>-9.3651883543060657E-2</v>
      </c>
      <c r="D34" s="1010"/>
      <c r="E34" s="1010"/>
    </row>
    <row r="35" spans="1:5" ht="11.25" customHeight="1" x14ac:dyDescent="0.25">
      <c r="A35" s="169">
        <v>3</v>
      </c>
      <c r="B35" s="386" t="str">
        <f>RIGHT('C5-Capex'!A40,19)</f>
        <v>Capital Expenditure</v>
      </c>
      <c r="C35" s="387"/>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v>4</v>
      </c>
      <c r="B40" s="386" t="s">
        <v>79</v>
      </c>
      <c r="C40" s="387"/>
      <c r="D40" s="387"/>
      <c r="E40" s="387"/>
    </row>
    <row r="41" spans="1:5" ht="11.25" customHeight="1" x14ac:dyDescent="0.25">
      <c r="A41" s="169"/>
      <c r="B41" s="758"/>
      <c r="C41" s="748"/>
      <c r="D41" s="758"/>
      <c r="E41" s="758"/>
    </row>
    <row r="42" spans="1:5" ht="11.25" customHeight="1" x14ac:dyDescent="0.25">
      <c r="A42" s="169"/>
      <c r="B42" s="758"/>
      <c r="C42" s="748"/>
      <c r="D42" s="758"/>
      <c r="E42" s="758"/>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v>5</v>
      </c>
      <c r="B45" s="386" t="s">
        <v>80</v>
      </c>
      <c r="C45" s="387"/>
      <c r="D45" s="387"/>
      <c r="E45" s="387"/>
    </row>
    <row r="46" spans="1:5" ht="11.25" customHeight="1" x14ac:dyDescent="0.25">
      <c r="A46" s="169"/>
      <c r="B46" s="758"/>
      <c r="C46" s="748"/>
      <c r="D46" s="758"/>
      <c r="E46" s="758"/>
    </row>
    <row r="47" spans="1:5" ht="11.25" customHeight="1" x14ac:dyDescent="0.25">
      <c r="A47" s="169"/>
      <c r="B47" s="758"/>
      <c r="C47" s="748"/>
      <c r="D47" s="758"/>
      <c r="E47" s="758"/>
    </row>
    <row r="48" spans="1:5" ht="11.25" customHeight="1" x14ac:dyDescent="0.25">
      <c r="A48" s="169"/>
      <c r="B48" s="758"/>
      <c r="C48" s="748"/>
      <c r="D48" s="758"/>
      <c r="E48" s="758"/>
    </row>
    <row r="49" spans="1:5" ht="11.25" customHeight="1" x14ac:dyDescent="0.25">
      <c r="A49" s="169"/>
      <c r="B49" s="758"/>
      <c r="C49" s="748"/>
      <c r="D49" s="758"/>
      <c r="E49" s="758"/>
    </row>
    <row r="50" spans="1:5" ht="11.25" customHeight="1" x14ac:dyDescent="0.25">
      <c r="A50" s="169">
        <v>6</v>
      </c>
      <c r="B50" s="386" t="s">
        <v>81</v>
      </c>
      <c r="C50" s="388"/>
      <c r="D50" s="387"/>
      <c r="E50" s="387"/>
    </row>
    <row r="51" spans="1:5" ht="11.25" customHeight="1" x14ac:dyDescent="0.25">
      <c r="A51" s="169"/>
      <c r="B51" s="758"/>
      <c r="C51" s="748"/>
      <c r="D51" s="758"/>
      <c r="E51" s="758"/>
    </row>
    <row r="52" spans="1:5" ht="11.25" customHeight="1" x14ac:dyDescent="0.25">
      <c r="A52" s="169"/>
      <c r="B52" s="758"/>
      <c r="C52" s="748"/>
      <c r="D52" s="758"/>
      <c r="E52" s="758"/>
    </row>
    <row r="53" spans="1:5" ht="11.25" customHeight="1" x14ac:dyDescent="0.25">
      <c r="A53" s="169"/>
      <c r="B53" s="758"/>
      <c r="C53" s="748"/>
      <c r="D53" s="758"/>
      <c r="E53" s="758"/>
    </row>
    <row r="54" spans="1:5" ht="11.25" customHeight="1" x14ac:dyDescent="0.25">
      <c r="A54" s="169"/>
      <c r="B54" s="758"/>
      <c r="C54" s="748"/>
      <c r="D54" s="758"/>
      <c r="E54" s="758"/>
    </row>
    <row r="55" spans="1:5" ht="11.25" customHeight="1" x14ac:dyDescent="0.25">
      <c r="A55" s="169">
        <v>7</v>
      </c>
      <c r="B55" s="386" t="s">
        <v>82</v>
      </c>
      <c r="C55" s="388"/>
      <c r="D55" s="387"/>
      <c r="E55" s="387"/>
    </row>
    <row r="56" spans="1:5" ht="11.25" customHeight="1" x14ac:dyDescent="0.25">
      <c r="A56" s="169"/>
      <c r="B56" s="758"/>
      <c r="C56" s="748"/>
      <c r="D56" s="758"/>
      <c r="E56" s="758"/>
    </row>
    <row r="57" spans="1:5" ht="11.25" customHeight="1" x14ac:dyDescent="0.25">
      <c r="A57" s="169"/>
      <c r="B57" s="758"/>
      <c r="C57" s="748"/>
      <c r="D57" s="758"/>
      <c r="E57" s="758"/>
    </row>
    <row r="58" spans="1:5" ht="11.25" customHeight="1" x14ac:dyDescent="0.25">
      <c r="A58" s="169"/>
      <c r="B58" s="758"/>
      <c r="C58" s="748"/>
      <c r="D58" s="758"/>
      <c r="E58" s="758"/>
    </row>
    <row r="59" spans="1:5" ht="11.25" customHeight="1" x14ac:dyDescent="0.25">
      <c r="A59" s="169"/>
      <c r="B59" s="758"/>
      <c r="C59" s="748"/>
      <c r="D59" s="758"/>
      <c r="E59" s="758"/>
    </row>
    <row r="60" spans="1:5" ht="11.25" customHeight="1" x14ac:dyDescent="0.25">
      <c r="A60" s="119"/>
      <c r="B60" s="759"/>
      <c r="C60" s="760"/>
      <c r="D60" s="759"/>
      <c r="E60" s="759"/>
    </row>
    <row r="61" spans="1:5" ht="11.25" customHeight="1" x14ac:dyDescent="0.25">
      <c r="A61" s="78" t="str">
        <f>head27a</f>
        <v>References</v>
      </c>
      <c r="B61" s="67"/>
      <c r="C61" s="67"/>
      <c r="D61" s="67"/>
      <c r="E61" s="67"/>
    </row>
    <row r="62" spans="1:5" ht="11.25" customHeight="1" x14ac:dyDescent="0.25">
      <c r="A62" s="33" t="s">
        <v>856</v>
      </c>
    </row>
    <row r="63" spans="1:5" ht="11.25" customHeight="1" x14ac:dyDescent="0.25">
      <c r="A63" s="33" t="s">
        <v>857</v>
      </c>
    </row>
    <row r="64" spans="1:5" ht="11.25" customHeight="1" x14ac:dyDescent="0.25">
      <c r="A64" s="33" t="s">
        <v>858</v>
      </c>
    </row>
    <row r="65" spans="1:1" ht="11.25" customHeight="1" x14ac:dyDescent="0.25">
      <c r="A65" s="33" t="s">
        <v>859</v>
      </c>
    </row>
    <row r="66" spans="1:1" ht="11.25" customHeight="1" x14ac:dyDescent="0.25">
      <c r="A66" s="33" t="s">
        <v>860</v>
      </c>
    </row>
    <row r="67" spans="1:1" ht="11.25" customHeight="1" x14ac:dyDescent="0.25">
      <c r="A67"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zoomScaleNormal="100" workbookViewId="0">
      <pane xSplit="3" ySplit="4" topLeftCell="D27" activePane="bottomRight" state="frozen"/>
      <selection pane="topRight"/>
      <selection pane="bottomLeft"/>
      <selection pane="bottomRight" activeCell="G38" sqref="G38"/>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63" t="str">
        <f>muni&amp; " - "&amp;S71H&amp; " - "&amp;Head57</f>
        <v>LIM354 Polokwane - Supporting Table SC2 Monthly Budget Statement - performance indicators   - M10 April</v>
      </c>
      <c r="B1" s="1063"/>
      <c r="C1" s="1063"/>
      <c r="D1" s="1063"/>
      <c r="E1" s="1063"/>
      <c r="F1" s="1063"/>
      <c r="G1" s="1063"/>
      <c r="H1" s="1063"/>
    </row>
    <row r="2" spans="1:11" ht="12.75" x14ac:dyDescent="0.25">
      <c r="A2" s="1068" t="s">
        <v>556</v>
      </c>
      <c r="B2" s="1052" t="s">
        <v>774</v>
      </c>
      <c r="C2" s="1045" t="str">
        <f>head27</f>
        <v>Ref</v>
      </c>
      <c r="D2" s="138" t="str">
        <f>Head1</f>
        <v>2019/20</v>
      </c>
      <c r="E2" s="245" t="str">
        <f>Head2</f>
        <v>Budget Year 2020/21</v>
      </c>
      <c r="F2" s="229"/>
      <c r="G2" s="229"/>
      <c r="H2" s="230"/>
    </row>
    <row r="3" spans="1:11" ht="25.5" x14ac:dyDescent="0.25">
      <c r="A3" s="1069"/>
      <c r="B3" s="1053"/>
      <c r="C3" s="105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822</v>
      </c>
      <c r="B7" s="123" t="s">
        <v>83</v>
      </c>
      <c r="C7" s="174"/>
      <c r="D7" s="120">
        <f>IF(ISERROR((D42-D43)/D45),0,((D42-D43)/D45))</f>
        <v>8.5798879023265922E-4</v>
      </c>
      <c r="E7" s="282">
        <f>IF(ISERROR((E42+E44)/E45),0,((E42+E44)/E45))</f>
        <v>9.5934398637879281E-2</v>
      </c>
      <c r="F7" s="124">
        <f>IF(ISERROR((F42+F44)/F45),0,((F42+F44)/F45))</f>
        <v>8.8554129587405897E-2</v>
      </c>
      <c r="G7" s="124">
        <f>IF(ISERROR((G42+G44)/G45),0,((G42+G44)/G45))</f>
        <v>9.3869320694659839E-3</v>
      </c>
      <c r="H7" s="276">
        <f>IF(ISERROR((H42+H44)/H45),0,((H42+H44)/H45))</f>
        <v>3.288112205510349E-2</v>
      </c>
    </row>
    <row r="8" spans="1:11" ht="30" customHeight="1" x14ac:dyDescent="0.25">
      <c r="A8" s="126" t="s">
        <v>1048</v>
      </c>
      <c r="B8" s="123" t="s">
        <v>66</v>
      </c>
      <c r="C8" s="174"/>
      <c r="D8" s="120">
        <f>IF(ISERROR(D47/D46),0,(D47/D46))</f>
        <v>5.7448887124949458E-2</v>
      </c>
      <c r="E8" s="282">
        <f>IF(ISERROR(E47/E46),0,(E47/E46))</f>
        <v>0.1955245831888478</v>
      </c>
      <c r="F8" s="124">
        <f>IF(ISERROR(F47/F46),0,(F47/F46))</f>
        <v>0</v>
      </c>
      <c r="G8" s="124">
        <f>IF(ISERROR(G47/G46),0,(G47/G46))</f>
        <v>0</v>
      </c>
      <c r="H8" s="276">
        <f>IF(ISERROR(H47/H46),0,(H47/H46))</f>
        <v>0</v>
      </c>
      <c r="J8" s="341"/>
    </row>
    <row r="9" spans="1:11" ht="12.75" customHeight="1" x14ac:dyDescent="0.25">
      <c r="A9" s="127" t="s">
        <v>738</v>
      </c>
      <c r="B9" s="123"/>
      <c r="C9" s="174"/>
      <c r="D9" s="120"/>
      <c r="E9" s="282"/>
      <c r="F9" s="124"/>
      <c r="G9" s="124"/>
      <c r="H9" s="276"/>
    </row>
    <row r="10" spans="1:11" ht="25.5" x14ac:dyDescent="0.25">
      <c r="A10" s="126" t="s">
        <v>7</v>
      </c>
      <c r="B10" s="123" t="s">
        <v>962</v>
      </c>
      <c r="C10" s="174"/>
      <c r="D10" s="120">
        <f>IF(ISERROR(D48/D49),0,(D48/D49))</f>
        <v>0.10978392721081208</v>
      </c>
      <c r="E10" s="282">
        <f>IF(ISERROR(E48/E49),0,(E48/E49))</f>
        <v>7.9533424387869159E-2</v>
      </c>
      <c r="F10" s="124">
        <f>IF(ISERROR(F48/F49),0,(F48/F49))</f>
        <v>6.4567688488745695E-2</v>
      </c>
      <c r="G10" s="124">
        <f>IF(ISERROR(G48/G49),0,(G48/G49))</f>
        <v>8.0746909585832041E-2</v>
      </c>
      <c r="H10" s="276">
        <f>IF(ISERROR(H48/H49),0,(H48/H49))</f>
        <v>7.8968514937831774E-2</v>
      </c>
    </row>
    <row r="11" spans="1:11" ht="12.75" customHeight="1" x14ac:dyDescent="0.25">
      <c r="A11" s="126" t="s">
        <v>737</v>
      </c>
      <c r="B11" s="123" t="s">
        <v>721</v>
      </c>
      <c r="C11" s="174"/>
      <c r="D11" s="120">
        <f>IF(ISERROR(D51/D50),0,(D51/D50))</f>
        <v>4.4146267789926752E-2</v>
      </c>
      <c r="E11" s="282">
        <f>IF(ISERROR(E51/E50),0,(E51/E50))</f>
        <v>9.498957317904122E-2</v>
      </c>
      <c r="F11" s="124">
        <f>IF(ISERROR(F51/F50),0,(F51/F50))</f>
        <v>6.3673558370453909E-2</v>
      </c>
      <c r="G11" s="124">
        <f>IF(ISERROR(G51/G50),0,(G51/G50))</f>
        <v>4.4146267787626058E-2</v>
      </c>
      <c r="H11" s="276">
        <f>IF(ISERROR(H51/H50),0,(H51/H50))</f>
        <v>9.498957317904122E-2</v>
      </c>
    </row>
    <row r="12" spans="1:11" ht="12.75" customHeight="1" x14ac:dyDescent="0.25">
      <c r="A12" s="127" t="s">
        <v>739</v>
      </c>
      <c r="B12" s="123"/>
      <c r="C12" s="174"/>
      <c r="D12" s="120"/>
      <c r="E12" s="282"/>
      <c r="F12" s="124"/>
      <c r="G12" s="124"/>
      <c r="H12" s="276"/>
    </row>
    <row r="13" spans="1:11" ht="12.75" customHeight="1" x14ac:dyDescent="0.25">
      <c r="A13" s="126" t="s">
        <v>1049</v>
      </c>
      <c r="B13" s="123" t="s">
        <v>540</v>
      </c>
      <c r="C13" s="169">
        <v>1</v>
      </c>
      <c r="D13" s="120">
        <f>IF(ISERROR(D52/D53),0,(D52/D53))</f>
        <v>0.93633234493549689</v>
      </c>
      <c r="E13" s="282">
        <f>IF(ISERROR(E52/E53),0,(E52/E53))</f>
        <v>1.2477966337043433</v>
      </c>
      <c r="F13" s="124">
        <f>IF(ISERROR(F52/F53),0,(F52/F53))</f>
        <v>1.367727842574733</v>
      </c>
      <c r="G13" s="124">
        <f>IF(ISERROR(G52/G53),0,(G52/G53))</f>
        <v>2.1442028118798562</v>
      </c>
      <c r="H13" s="276">
        <f>IF(ISERROR(H52/H53),0,(H52/H53))</f>
        <v>1.3777633130856173</v>
      </c>
    </row>
    <row r="14" spans="1:11" ht="12.75" customHeight="1" x14ac:dyDescent="0.25">
      <c r="A14" s="126" t="s">
        <v>740</v>
      </c>
      <c r="B14" s="123" t="s">
        <v>436</v>
      </c>
      <c r="C14" s="174"/>
      <c r="D14" s="120">
        <f>IF(ISERROR(D54/D53),0,(D54/D53))</f>
        <v>0.30118600567135062</v>
      </c>
      <c r="E14" s="282">
        <f>IF(ISERROR(E54/E53),0,(E54/E53))</f>
        <v>0.29123338590205905</v>
      </c>
      <c r="F14" s="124">
        <f>IF(ISERROR(F54/F53),0,(F54/F53))</f>
        <v>0.41116459477244877</v>
      </c>
      <c r="G14" s="124">
        <f>IF(ISERROR(G54/G53),0,(G54/G53))</f>
        <v>0.5629364731581552</v>
      </c>
      <c r="H14" s="276">
        <f>IF(ISERROR(H54/H53),0,(H54/H53))</f>
        <v>0.42120006528333309</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642</v>
      </c>
      <c r="C17" s="174"/>
      <c r="D17" s="120">
        <f>IF(ISERROR(D59/D55),0,(D59/D55))</f>
        <v>0.20076965904315558</v>
      </c>
      <c r="E17" s="282">
        <f>IF(ISERROR(E59/E55),0,(E59/E55))</f>
        <v>0.14369896345127933</v>
      </c>
      <c r="F17" s="124">
        <f>IF(ISERROR(F59/F55),0,(F59/F55))</f>
        <v>0.13865517823902795</v>
      </c>
      <c r="G17" s="124">
        <f>IF(ISERROR(G59/G55),0,(G59/G55))</f>
        <v>0.49997424216376857</v>
      </c>
      <c r="H17" s="276">
        <f>IF(ISERROR(H59/H55),0,(H59/H55))</f>
        <v>0.13865517823902795</v>
      </c>
    </row>
    <row r="18" spans="1:8" ht="25.5" x14ac:dyDescent="0.25">
      <c r="A18" s="126" t="s">
        <v>1050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794</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759</v>
      </c>
      <c r="C26" s="174"/>
      <c r="D26" s="120">
        <f>IF(ISERROR(D40/D55),0,(D40/D55))</f>
        <v>0.25328381125469512</v>
      </c>
      <c r="E26" s="282">
        <f>IF(ISERROR(E40/E55),0,(E40/E55))</f>
        <v>0.26005963110162678</v>
      </c>
      <c r="F26" s="124">
        <f>IF(ISERROR(F40/F55),0,(F40/F55))</f>
        <v>0.25548826193334878</v>
      </c>
      <c r="G26" s="124">
        <f>IF(ISERROR(G40/G55),0,(G40/G55))</f>
        <v>0.25435911269869987</v>
      </c>
      <c r="H26" s="276">
        <f>IF(ISERROR(H40/H55),0,(H40/H55))</f>
        <v>0.25548826193334878</v>
      </c>
    </row>
    <row r="27" spans="1:8" ht="27.75" customHeight="1" x14ac:dyDescent="0.25">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758</v>
      </c>
      <c r="B28" s="123" t="s">
        <v>741</v>
      </c>
      <c r="C28" s="174"/>
      <c r="D28" s="120">
        <f>IF(ISERROR((D42+D44)/D55),0,((D42+D44)/D55))</f>
        <v>0.22059811335740945</v>
      </c>
      <c r="E28" s="282">
        <f>IF(ISERROR((E42+E44)/E55),0,((E42+E44)/E55))</f>
        <v>9.2720075465936025E-2</v>
      </c>
      <c r="F28" s="124">
        <f>IF(ISERROR((F42+F44)/F55),0,((F42+F44)/F55))</f>
        <v>8.5663841317220851E-2</v>
      </c>
      <c r="G28" s="124">
        <f>IF(ISERROR((G42+G44)/G55),0,((G42+G44)/G55))</f>
        <v>8.8667153941958676E-3</v>
      </c>
      <c r="H28" s="276">
        <f>IF(ISERROR((H42+H44)/H55),0,((H42+H44)/H55))</f>
        <v>3.1807926238836284E-2</v>
      </c>
    </row>
    <row r="29" spans="1:8" ht="12.75" customHeight="1" x14ac:dyDescent="0.25">
      <c r="A29" s="281" t="s">
        <v>653</v>
      </c>
      <c r="B29" s="128"/>
      <c r="C29" s="283"/>
      <c r="D29" s="120"/>
      <c r="E29" s="282"/>
      <c r="F29" s="124"/>
      <c r="G29" s="124"/>
      <c r="H29" s="276"/>
    </row>
    <row r="30" spans="1:8" ht="27.75" customHeight="1" x14ac:dyDescent="0.25">
      <c r="A30" s="126" t="s">
        <v>654</v>
      </c>
      <c r="B30" s="123" t="s">
        <v>790</v>
      </c>
      <c r="C30" s="174"/>
      <c r="D30" s="761"/>
      <c r="E30" s="762"/>
      <c r="F30" s="763"/>
      <c r="G30" s="763"/>
      <c r="H30" s="764"/>
    </row>
    <row r="31" spans="1:8" ht="25.5" x14ac:dyDescent="0.25">
      <c r="A31" s="126" t="s">
        <v>795</v>
      </c>
      <c r="B31" s="123" t="s">
        <v>491</v>
      </c>
      <c r="C31" s="174"/>
      <c r="D31" s="761"/>
      <c r="E31" s="762"/>
      <c r="F31" s="763"/>
      <c r="G31" s="763"/>
      <c r="H31" s="764"/>
    </row>
    <row r="32" spans="1:8" ht="25.5" x14ac:dyDescent="0.25">
      <c r="A32" s="277" t="s">
        <v>655</v>
      </c>
      <c r="B32" s="132" t="s">
        <v>445</v>
      </c>
      <c r="C32" s="178"/>
      <c r="D32" s="765"/>
      <c r="E32" s="766"/>
      <c r="F32" s="767"/>
      <c r="G32" s="767"/>
      <c r="H32" s="768"/>
    </row>
    <row r="33" spans="1:9" ht="12.75" customHeight="1" x14ac:dyDescent="0.25">
      <c r="A33" s="57" t="s">
        <v>648</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897</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423543807</v>
      </c>
      <c r="E38" s="84">
        <f>'C6-FinPos'!D38</f>
        <v>712580796</v>
      </c>
      <c r="F38" s="84">
        <f>'C6-FinPos'!E38</f>
        <v>477658267</v>
      </c>
      <c r="G38" s="97">
        <f>'C6-FinPos'!F38</f>
        <v>423543807</v>
      </c>
      <c r="H38" s="48">
        <v>0</v>
      </c>
    </row>
    <row r="39" spans="1:9" ht="12.75" customHeight="1" x14ac:dyDescent="0.25">
      <c r="A39" s="42" t="s">
        <v>528</v>
      </c>
      <c r="B39" s="67"/>
      <c r="C39" s="67"/>
      <c r="D39" s="84">
        <f>'C6-FinPos'!C26</f>
        <v>18048997762.41</v>
      </c>
      <c r="E39" s="84">
        <f>'C6-FinPos'!D26</f>
        <v>18136940888.068653</v>
      </c>
      <c r="F39" s="84">
        <f>'C6-FinPos'!E26</f>
        <v>18055975811.469997</v>
      </c>
      <c r="G39" s="97">
        <f>'C6-FinPos'!F26</f>
        <v>19475577380.919998</v>
      </c>
      <c r="H39" s="48">
        <f>'C6-FinPos'!G26</f>
        <v>18253985202.77</v>
      </c>
    </row>
    <row r="40" spans="1:9" ht="12.75" customHeight="1" x14ac:dyDescent="0.25">
      <c r="A40" s="42" t="str">
        <f>'C4-FinPerf RE'!A25</f>
        <v>Employee related costs</v>
      </c>
      <c r="B40" s="67"/>
      <c r="C40" s="67"/>
      <c r="D40" s="84">
        <f>'C4-FinPerf RE'!C25</f>
        <v>922982023</v>
      </c>
      <c r="E40" s="84">
        <f>'C4-FinPerf RE'!D25</f>
        <v>990053017</v>
      </c>
      <c r="F40" s="84">
        <f>'C4-FinPerf RE'!E25</f>
        <v>1008031267</v>
      </c>
      <c r="G40" s="97">
        <f>'C4-FinPerf RE'!G25</f>
        <v>793096114</v>
      </c>
      <c r="H40" s="48">
        <f>'C4-FinPerf RE'!K25</f>
        <v>1008031267</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69673253</v>
      </c>
      <c r="E42" s="84">
        <f>'C4-FinPerf RE'!D29</f>
        <v>97987467</v>
      </c>
      <c r="F42" s="84">
        <f>'C4-FinPerf RE'!E29</f>
        <v>82987467</v>
      </c>
      <c r="G42" s="97">
        <f>'C4-FinPerf RE'!G29</f>
        <v>27646572</v>
      </c>
      <c r="H42" s="48">
        <f>'C4-FinPerf RE'!K29</f>
        <v>82987467</v>
      </c>
    </row>
    <row r="43" spans="1:9" ht="12.75" customHeight="1" x14ac:dyDescent="0.25">
      <c r="A43" s="42" t="s">
        <v>84</v>
      </c>
      <c r="B43" s="67"/>
      <c r="C43" s="67"/>
      <c r="D43" s="84">
        <f>-'C7-CFlow'!C36</f>
        <v>66210305</v>
      </c>
      <c r="E43" s="84">
        <f>-'C7-CFlow'!D36</f>
        <v>64205000</v>
      </c>
      <c r="F43" s="84">
        <f>-'C7-CFlow'!E36</f>
        <v>64205000</v>
      </c>
      <c r="G43" s="97">
        <f>-'C7-CFlow'!G36</f>
        <v>20813208.59</v>
      </c>
      <c r="H43" s="48">
        <f>-'C7-CFlow'!K36</f>
        <v>64205000</v>
      </c>
    </row>
    <row r="44" spans="1:9" ht="12.75" customHeight="1" x14ac:dyDescent="0.25">
      <c r="A44" s="42" t="s">
        <v>530</v>
      </c>
      <c r="B44" s="67"/>
      <c r="C44" s="67"/>
      <c r="D44" s="84">
        <f>'C4-FinPerf RE'!C28</f>
        <v>734200046</v>
      </c>
      <c r="E44" s="84">
        <f>'C4-FinPerf RE'!D28</f>
        <v>255000000</v>
      </c>
      <c r="F44" s="84">
        <f>'C4-FinPerf RE'!E28</f>
        <v>255000000</v>
      </c>
      <c r="G44" s="97"/>
      <c r="H44" s="48">
        <f>'C4-FinPerf RE'!K26</f>
        <v>42510996</v>
      </c>
    </row>
    <row r="45" spans="1:9" ht="12.75" customHeight="1" x14ac:dyDescent="0.25">
      <c r="A45" s="42" t="s">
        <v>0</v>
      </c>
      <c r="B45" s="67"/>
      <c r="C45" s="67"/>
      <c r="D45" s="84">
        <f>'C4-FinPerf RE'!C36</f>
        <v>4036122662</v>
      </c>
      <c r="E45" s="84">
        <f>'C4-FinPerf RE'!D36</f>
        <v>3679467136</v>
      </c>
      <c r="F45" s="84">
        <f>'C4-FinPerf RE'!E36</f>
        <v>3816732981</v>
      </c>
      <c r="G45" s="97">
        <f>'C4-FinPerf RE'!G36</f>
        <v>2945219140.333333</v>
      </c>
      <c r="H45" s="48">
        <f>'C4-FinPerf RE'!K36</f>
        <v>3816732981</v>
      </c>
    </row>
    <row r="46" spans="1:9" ht="12.75" customHeight="1" x14ac:dyDescent="0.25">
      <c r="A46" s="42" t="str">
        <f>'C5-Capex'!A40</f>
        <v>Total Capital Expenditure</v>
      </c>
      <c r="B46" s="67"/>
      <c r="C46" s="67"/>
      <c r="D46" s="84">
        <f>'C5-Capex'!C40</f>
        <v>1193444879.635</v>
      </c>
      <c r="E46" s="84">
        <f>'C5-Capex'!D40</f>
        <v>1201498682</v>
      </c>
      <c r="F46" s="84">
        <f>'C5-Capex'!E40</f>
        <v>1039881041.4196346</v>
      </c>
      <c r="G46" s="97">
        <f>'C5-Capex'!G40</f>
        <v>603015633.11534989</v>
      </c>
      <c r="H46" s="48">
        <f>'C5-Capex'!K40</f>
        <v>1039881041.4196346</v>
      </c>
    </row>
    <row r="47" spans="1:9" ht="12.75" customHeight="1" x14ac:dyDescent="0.25">
      <c r="A47" s="42" t="s">
        <v>533</v>
      </c>
      <c r="B47" s="67"/>
      <c r="C47" s="67"/>
      <c r="D47" s="84">
        <f>'C5-Capex'!C72</f>
        <v>68562080.180000007</v>
      </c>
      <c r="E47" s="84">
        <f>'C5-Capex'!D72</f>
        <v>234922529</v>
      </c>
      <c r="F47" s="84">
        <f>'C5-Capex'!E72</f>
        <v>0</v>
      </c>
      <c r="G47" s="97">
        <f>'C5-Capex'!G72</f>
        <v>0</v>
      </c>
      <c r="H47" s="48">
        <f>'C5-Capex'!K72</f>
        <v>0</v>
      </c>
    </row>
    <row r="48" spans="1:9" ht="12.75" customHeight="1" x14ac:dyDescent="0.25">
      <c r="A48" s="42" t="s">
        <v>531</v>
      </c>
      <c r="B48" s="67"/>
      <c r="C48" s="67"/>
      <c r="D48" s="84">
        <f>'C6-FinPos'!C30+'C6-FinPos'!C31+'C6-FinPos'!C33+'C6-FinPos'!C38</f>
        <v>1739631374</v>
      </c>
      <c r="E48" s="84">
        <f>'C6-FinPos'!D30+'C6-FinPos'!D31+'C6-FinPos'!D33+'C6-FinPos'!D38</f>
        <v>1301293127</v>
      </c>
      <c r="F48" s="84">
        <f>'C6-FinPos'!E30+'C6-FinPos'!E31+'C6-FinPos'!E33+'C6-FinPos'!E38</f>
        <v>1066370598</v>
      </c>
      <c r="G48" s="84">
        <f>'C6-FinPos'!F30+'C6-FinPos'!F31+'C6-FinPos'!F33+'C6-FinPos'!F38</f>
        <v>1420612203.24</v>
      </c>
      <c r="H48" s="48">
        <f>'C6-FinPos'!G30+'C6-FinPos'!G31+'C6-FinPos'!G33+'C6-FinPos'!G38</f>
        <v>1301293127</v>
      </c>
    </row>
    <row r="49" spans="1:8" ht="12.75" customHeight="1" x14ac:dyDescent="0.25">
      <c r="A49" s="42" t="s">
        <v>532</v>
      </c>
      <c r="B49" s="67"/>
      <c r="C49" s="67"/>
      <c r="D49" s="84">
        <f>'C6-FinPos'!C48</f>
        <v>15845956855.41</v>
      </c>
      <c r="E49" s="84">
        <f>'C6-FinPos'!D48</f>
        <v>16361588062.068653</v>
      </c>
      <c r="F49" s="84">
        <f>'C6-FinPos'!E48</f>
        <v>16515545514.469997</v>
      </c>
      <c r="G49" s="97">
        <f>'C6-FinPos'!F48</f>
        <v>17593394106.679996</v>
      </c>
      <c r="H49" s="48">
        <f>'C6-FinPos'!G48</f>
        <v>16478632376.77</v>
      </c>
    </row>
    <row r="50" spans="1:8" ht="12.75" customHeight="1" x14ac:dyDescent="0.25">
      <c r="A50" s="42" t="str">
        <f>'C6-FinPos'!A47</f>
        <v>Reserves</v>
      </c>
      <c r="B50" s="67"/>
      <c r="C50" s="67"/>
      <c r="D50" s="84">
        <f>'C6-FinPos'!C47</f>
        <v>9594102247</v>
      </c>
      <c r="E50" s="84">
        <f>'C6-FinPos'!D47</f>
        <v>7501673838</v>
      </c>
      <c r="F50" s="84">
        <f>'C6-FinPos'!E47</f>
        <v>7501673838</v>
      </c>
      <c r="G50" s="97">
        <f>'C6-FinPos'!F47</f>
        <v>9594102247.5</v>
      </c>
      <c r="H50" s="48">
        <f>'C6-FinPos'!G47</f>
        <v>7501673838</v>
      </c>
    </row>
    <row r="51" spans="1:8" ht="12.75" customHeight="1" x14ac:dyDescent="0.25">
      <c r="A51" s="42" t="str">
        <f>'C6-FinPos'!A38</f>
        <v>Borrowing</v>
      </c>
      <c r="B51" s="67"/>
      <c r="C51" s="67"/>
      <c r="D51" s="84">
        <f>'C6-FinPos'!C38</f>
        <v>423543807</v>
      </c>
      <c r="E51" s="84">
        <f>'C6-FinPos'!D38</f>
        <v>712580796</v>
      </c>
      <c r="F51" s="84">
        <f>'C6-FinPos'!E38</f>
        <v>477658267</v>
      </c>
      <c r="G51" s="97">
        <f>'C6-FinPos'!F38</f>
        <v>423543807</v>
      </c>
      <c r="H51" s="48">
        <f>'C6-FinPos'!G38</f>
        <v>712580796</v>
      </c>
    </row>
    <row r="52" spans="1:8" ht="12.75" customHeight="1" x14ac:dyDescent="0.25">
      <c r="A52" s="42" t="str">
        <f>'C6-FinPos'!A6</f>
        <v>Current assets</v>
      </c>
      <c r="B52" s="67"/>
      <c r="C52" s="67"/>
      <c r="D52" s="84">
        <f>'C6-FinPos'!C13</f>
        <v>1306618144</v>
      </c>
      <c r="E52" s="84">
        <f>'C6-FinPos'!D13</f>
        <v>839130974.06865144</v>
      </c>
      <c r="F52" s="84">
        <f>'C6-FinPos'!E13</f>
        <v>919783533.46999896</v>
      </c>
      <c r="G52" s="97">
        <f>'C6-FinPos'!F13</f>
        <v>2304174142.2499995</v>
      </c>
      <c r="H52" s="48">
        <f>'C6-FinPos'!G13</f>
        <v>926532288.76999998</v>
      </c>
    </row>
    <row r="53" spans="1:8" ht="12.75" customHeight="1" x14ac:dyDescent="0.25">
      <c r="A53" s="42" t="str">
        <f>'C6-FinPos'!A29</f>
        <v>Current liabilities</v>
      </c>
      <c r="B53" s="67"/>
      <c r="C53" s="67"/>
      <c r="D53" s="84">
        <f>'C6-FinPos'!C35</f>
        <v>1395464069</v>
      </c>
      <c r="E53" s="84">
        <f>'C6-FinPos'!D35</f>
        <v>672490173</v>
      </c>
      <c r="F53" s="84">
        <f>'C6-FinPos'!E35</f>
        <v>672490173</v>
      </c>
      <c r="G53" s="97">
        <f>'C6-FinPos'!F35</f>
        <v>1074606436.24</v>
      </c>
      <c r="H53" s="48">
        <f>'C6-FinPos'!G35</f>
        <v>672490173</v>
      </c>
    </row>
    <row r="54" spans="1:8" ht="12.75" customHeight="1" x14ac:dyDescent="0.25">
      <c r="A54" s="42" t="s">
        <v>534</v>
      </c>
      <c r="B54" s="67"/>
      <c r="C54" s="67"/>
      <c r="D54" s="84">
        <f>'C6-FinPos'!C7+'C6-FinPos'!C8</f>
        <v>420294249</v>
      </c>
      <c r="E54" s="84">
        <f>'C6-FinPos'!D7+'C6-FinPos'!D8</f>
        <v>195851590.06865144</v>
      </c>
      <c r="F54" s="84">
        <f>'C6-FinPos'!E7+'C6-FinPos'!E8</f>
        <v>276504149.46999896</v>
      </c>
      <c r="G54" s="97">
        <f>'C6-FinPos'!F7+'C6-FinPos'!F8</f>
        <v>604935157.24999964</v>
      </c>
      <c r="H54" s="48">
        <f>'C6-FinPos'!G7+'C6-FinPos'!G8</f>
        <v>283252904.76999998</v>
      </c>
    </row>
    <row r="55" spans="1:8" ht="12.75" customHeight="1" x14ac:dyDescent="0.25">
      <c r="A55" s="42" t="str">
        <f>'C4-FinPerf RE'!A22</f>
        <v>Total Revenue (excluding capital transfers and contributions)</v>
      </c>
      <c r="B55" s="67"/>
      <c r="C55" s="67"/>
      <c r="D55" s="84">
        <f>'C4-FinPerf RE'!C22</f>
        <v>3644062439</v>
      </c>
      <c r="E55" s="84">
        <f>'C4-FinPerf RE'!D22</f>
        <v>3807023077</v>
      </c>
      <c r="F55" s="84">
        <f>'C4-FinPerf RE'!E22</f>
        <v>3945509118</v>
      </c>
      <c r="G55" s="97">
        <f>'C4-FinPerf RE'!G22</f>
        <v>3118017300.7579994</v>
      </c>
      <c r="H55" s="48">
        <f>'C4-FinPerf RE'!K22</f>
        <v>3945509118</v>
      </c>
    </row>
    <row r="56" spans="1:8" ht="12.75" customHeight="1" x14ac:dyDescent="0.25">
      <c r="A56" s="42" t="str">
        <f>'C4-FinPerf RE'!A19</f>
        <v>Transfers and subsidies</v>
      </c>
      <c r="B56" s="67"/>
      <c r="C56" s="67"/>
      <c r="D56" s="84">
        <f>'C4-FinPerf RE'!C19</f>
        <v>1027440133</v>
      </c>
      <c r="E56" s="84">
        <f>'C4-FinPerf RE'!D19</f>
        <v>1187428150</v>
      </c>
      <c r="F56" s="84">
        <f>'C4-FinPerf RE'!E19</f>
        <v>1379700191</v>
      </c>
      <c r="G56" s="97">
        <f>'C4-FinPerf RE'!G19</f>
        <v>1274334760.7579997</v>
      </c>
      <c r="H56" s="48">
        <f>'C4-FinPerf RE'!K19</f>
        <v>1379700191</v>
      </c>
    </row>
    <row r="57" spans="1:8" ht="12.75" customHeight="1" x14ac:dyDescent="0.25">
      <c r="A57" s="42" t="str">
        <f>'C4-FinPerf RE'!A39</f>
        <v>Transfers and subsidies - capital (monetary allocations) (National / Provincial and District)</v>
      </c>
      <c r="B57" s="67"/>
      <c r="C57" s="67"/>
      <c r="D57" s="84">
        <f>'C4-FinPerf RE'!C39</f>
        <v>1291007356</v>
      </c>
      <c r="E57" s="84">
        <f>'C4-FinPerf RE'!D39</f>
        <v>874054850</v>
      </c>
      <c r="F57" s="84">
        <f>'C4-FinPerf RE'!E39</f>
        <v>847589342</v>
      </c>
      <c r="G57" s="97">
        <f>'C4-FinPerf RE'!G39</f>
        <v>497984573.8838501</v>
      </c>
      <c r="H57" s="48">
        <f>'C4-FinPerf RE'!K39</f>
        <v>847589342</v>
      </c>
    </row>
    <row r="58" spans="1:8" ht="12.75" customHeight="1" x14ac:dyDescent="0.25">
      <c r="A58" s="42" t="s">
        <v>446</v>
      </c>
      <c r="B58" s="67"/>
      <c r="C58" s="67"/>
      <c r="D58" s="84">
        <f>'C7-CFlow'!C12+'C7-CFlow'!C36</f>
        <v>-46338584</v>
      </c>
      <c r="E58" s="84">
        <f>'C7-CFlow'!D12+'C7-CFlow'!D36</f>
        <v>32961690</v>
      </c>
      <c r="F58" s="84">
        <f>'C7-CFlow'!E12+'C7-CFlow'!E36</f>
        <v>16654734</v>
      </c>
      <c r="G58" s="97">
        <f>'C7-CFlow'!G16+'C7-CFlow'!G36</f>
        <v>-23693416.59</v>
      </c>
      <c r="H58" s="48">
        <f>'C7-CFlow'!K16+'C7-CFlow'!K36</f>
        <v>-128793094</v>
      </c>
    </row>
    <row r="59" spans="1:8" ht="12.75" customHeight="1" x14ac:dyDescent="0.25">
      <c r="A59" s="42" t="s">
        <v>527</v>
      </c>
      <c r="B59" s="67"/>
      <c r="C59" s="67"/>
      <c r="D59" s="84">
        <f>'C6-FinPos'!C9+'C6-FinPos'!C10+'C6-FinPos'!C11+'C6-FinPos'!C16</f>
        <v>731617173.40999997</v>
      </c>
      <c r="E59" s="84">
        <f>'C6-FinPos'!D9+'C6-FinPos'!D10+'C6-FinPos'!D11+'C6-FinPos'!D16</f>
        <v>547065270</v>
      </c>
      <c r="F59" s="84">
        <f>'C6-FinPos'!E9+'C6-FinPos'!E10+'C6-FinPos'!E11+'C6-FinPos'!E16</f>
        <v>547065270</v>
      </c>
      <c r="G59" s="97">
        <f>'C6-FinPos'!F9+'C6-FinPos'!F10+'C6-FinPos'!F11+'C6-FinPos'!F16</f>
        <v>1558928337</v>
      </c>
      <c r="H59" s="48">
        <f>'C6-FinPos'!G9+'C6-FinPos'!G10+'C6-FinPos'!G11+'C6-FinPos'!G16</f>
        <v>547065270</v>
      </c>
    </row>
    <row r="60" spans="1:8" ht="12.75" customHeight="1" x14ac:dyDescent="0.25">
      <c r="A60" s="42" t="s">
        <v>447</v>
      </c>
      <c r="B60" s="67"/>
      <c r="C60" s="67"/>
      <c r="D60" s="84">
        <f>SUM('C4-FinPerf RE'!C7:C11)</f>
        <v>1526203848</v>
      </c>
      <c r="E60" s="84">
        <f>SUM('C4-FinPerf RE'!D7:D11)</f>
        <v>1780034500</v>
      </c>
      <c r="F60" s="84">
        <f>SUM('C4-FinPerf RE'!E7:E11)</f>
        <v>1737034500</v>
      </c>
      <c r="G60" s="97">
        <f>SUM('C4-FinPerf RE'!G7:G11)</f>
        <v>1241321038</v>
      </c>
      <c r="H60" s="48"/>
    </row>
    <row r="61" spans="1:8" ht="12.75" customHeight="1" x14ac:dyDescent="0.25">
      <c r="A61" s="42" t="s">
        <v>448</v>
      </c>
      <c r="B61" s="67" t="s">
        <v>449</v>
      </c>
      <c r="C61" s="67"/>
      <c r="D61" s="84">
        <f>'C6-FinPos'!C7+'C6-FinPos'!C8+'C6-FinPos'!C17-'C6-FinPos'!C30</f>
        <v>420294249</v>
      </c>
      <c r="E61" s="84">
        <f>'C6-FinPos'!D7+'C6-FinPos'!D8+'C6-FinPos'!D17-'C6-FinPos'!D30</f>
        <v>195851590.06865144</v>
      </c>
      <c r="F61" s="84">
        <f>'C6-FinPos'!E7+'C6-FinPos'!E8+'C6-FinPos'!E17-'C6-FinPos'!E30</f>
        <v>276504149.46999896</v>
      </c>
      <c r="G61" s="97">
        <f>'C6-FinPos'!F7+'C6-FinPos'!F8+'C6-FinPos'!F17-'C6-FinPos'!F30</f>
        <v>604935157.24999964</v>
      </c>
      <c r="H61" s="48">
        <f>'C6-FinPos'!G7+'C6-FinPos'!G8+'C6-FinPos'!G17-'C6-FinPos'!G30</f>
        <v>283252904.76999998</v>
      </c>
    </row>
    <row r="62" spans="1:8" ht="12.75" customHeight="1" x14ac:dyDescent="0.25">
      <c r="A62" s="42" t="s">
        <v>727</v>
      </c>
      <c r="B62" s="67"/>
      <c r="C62" s="67"/>
      <c r="D62" s="769"/>
      <c r="E62" s="769"/>
      <c r="F62" s="769"/>
      <c r="G62" s="769"/>
      <c r="H62" s="770"/>
    </row>
    <row r="63" spans="1:8" ht="12.75" customHeight="1" x14ac:dyDescent="0.25">
      <c r="A63" s="42" t="s">
        <v>782</v>
      </c>
      <c r="B63" s="67"/>
      <c r="C63" s="67"/>
      <c r="D63" s="117">
        <f>'C6-FinPos'!C16</f>
        <v>144352.41</v>
      </c>
      <c r="E63" s="117">
        <f>'C6-FinPos'!D16</f>
        <v>0</v>
      </c>
      <c r="F63" s="117">
        <f>'C6-FinPos'!E16</f>
        <v>0</v>
      </c>
      <c r="G63" s="325">
        <f>'C6-FinPos'!F16</f>
        <v>144352</v>
      </c>
      <c r="H63" s="340">
        <f>'C6-FinPos'!G16</f>
        <v>0</v>
      </c>
    </row>
    <row r="64" spans="1:8" ht="12.75" customHeight="1" x14ac:dyDescent="0.25">
      <c r="A64" s="42" t="s">
        <v>726</v>
      </c>
      <c r="B64" s="67"/>
      <c r="C64" s="67"/>
      <c r="D64" s="771"/>
      <c r="E64" s="771"/>
      <c r="F64" s="771"/>
      <c r="G64" s="771"/>
      <c r="H64" s="772"/>
    </row>
    <row r="65" spans="1:8" ht="12.75" customHeight="1" x14ac:dyDescent="0.25">
      <c r="A65" s="91" t="s">
        <v>783</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P50"/>
  <sheetViews>
    <sheetView showGridLines="0" zoomScaleNormal="100" workbookViewId="0">
      <pane xSplit="1" ySplit="3" topLeftCell="B6" activePane="bottomRight" state="frozen"/>
      <selection pane="topRight"/>
      <selection pane="bottomLeft"/>
      <selection pane="bottomRight" activeCell="C4" sqref="C4:N21"/>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63" t="str">
        <f>muni&amp; " - "&amp;S71I&amp; " - "&amp;Head57</f>
        <v>LIM354 Polokwane - Supporting Table SC3 Monthly Budget Statement - aged debtors - M10 April</v>
      </c>
      <c r="B1" s="1063"/>
      <c r="C1" s="1070"/>
      <c r="D1" s="1070"/>
      <c r="E1" s="1070"/>
      <c r="F1" s="1070"/>
      <c r="G1" s="1070"/>
      <c r="H1" s="1070"/>
      <c r="I1" s="1070"/>
      <c r="J1" s="1070"/>
      <c r="K1" s="1070"/>
      <c r="L1" s="1070"/>
      <c r="M1" s="1070"/>
      <c r="N1" s="162"/>
      <c r="O1" s="406"/>
    </row>
    <row r="2" spans="1:16" ht="13.35" customHeight="1" x14ac:dyDescent="0.25">
      <c r="A2" s="355" t="str">
        <f>desc</f>
        <v>Description</v>
      </c>
      <c r="B2" s="894"/>
      <c r="C2" s="1071" t="str">
        <f>Head2</f>
        <v>Budget Year 2020/21</v>
      </c>
      <c r="D2" s="1072"/>
      <c r="E2" s="1072"/>
      <c r="F2" s="1072"/>
      <c r="G2" s="1072"/>
      <c r="H2" s="1072"/>
      <c r="I2" s="1072"/>
      <c r="J2" s="1072"/>
      <c r="K2" s="1072"/>
      <c r="L2" s="1072"/>
      <c r="M2" s="1072"/>
      <c r="N2" s="1073"/>
      <c r="O2" s="912"/>
    </row>
    <row r="3" spans="1:16" ht="52.5" customHeight="1" x14ac:dyDescent="0.25">
      <c r="A3" s="901" t="s">
        <v>669</v>
      </c>
      <c r="B3" s="893" t="s">
        <v>736</v>
      </c>
      <c r="C3" s="897" t="s">
        <v>13</v>
      </c>
      <c r="D3" s="898" t="s">
        <v>14</v>
      </c>
      <c r="E3" s="898" t="s">
        <v>15</v>
      </c>
      <c r="F3" s="898" t="s">
        <v>16</v>
      </c>
      <c r="G3" s="898" t="s">
        <v>17</v>
      </c>
      <c r="H3" s="898" t="s">
        <v>18</v>
      </c>
      <c r="I3" s="898" t="s">
        <v>19</v>
      </c>
      <c r="J3" s="899" t="s">
        <v>20</v>
      </c>
      <c r="K3" s="900" t="s">
        <v>56</v>
      </c>
      <c r="L3" s="900" t="s">
        <v>1092</v>
      </c>
      <c r="M3" s="900" t="s">
        <v>1093</v>
      </c>
      <c r="N3" s="900" t="s">
        <v>1080</v>
      </c>
      <c r="O3" s="315"/>
    </row>
    <row r="4" spans="1:16" ht="12.75" x14ac:dyDescent="0.25">
      <c r="A4" s="87" t="s">
        <v>1068</v>
      </c>
      <c r="B4" s="169"/>
      <c r="C4" s="228"/>
      <c r="D4" s="165"/>
      <c r="E4" s="165"/>
      <c r="F4" s="165"/>
      <c r="G4" s="165"/>
      <c r="H4" s="165"/>
      <c r="I4" s="165"/>
      <c r="J4" s="286"/>
      <c r="K4" s="166"/>
      <c r="L4" s="166"/>
      <c r="M4" s="184"/>
      <c r="N4" s="184"/>
      <c r="O4" s="42"/>
    </row>
    <row r="5" spans="1:16" ht="12.75" customHeight="1" x14ac:dyDescent="0.25">
      <c r="A5" s="39" t="s">
        <v>1069</v>
      </c>
      <c r="B5" s="169">
        <v>1200</v>
      </c>
      <c r="C5" s="745">
        <v>18679902</v>
      </c>
      <c r="D5" s="733">
        <v>11201376</v>
      </c>
      <c r="E5" s="733">
        <v>8435001</v>
      </c>
      <c r="F5" s="733">
        <v>8233302</v>
      </c>
      <c r="G5" s="733">
        <v>6952581</v>
      </c>
      <c r="H5" s="733">
        <v>8092303</v>
      </c>
      <c r="I5" s="733">
        <v>34365366</v>
      </c>
      <c r="J5" s="744">
        <v>267551187</v>
      </c>
      <c r="K5" s="134">
        <f>SUM(C5:J5)</f>
        <v>363511018</v>
      </c>
      <c r="L5" s="134">
        <f>SUM(F5:J5)</f>
        <v>325194739</v>
      </c>
      <c r="M5" s="747">
        <v>0</v>
      </c>
      <c r="N5" s="747">
        <v>0</v>
      </c>
      <c r="O5" s="913"/>
    </row>
    <row r="6" spans="1:16" ht="12.75" customHeight="1" x14ac:dyDescent="0.25">
      <c r="A6" s="39" t="s">
        <v>1071</v>
      </c>
      <c r="B6" s="169">
        <v>1300</v>
      </c>
      <c r="C6" s="745">
        <v>55239776</v>
      </c>
      <c r="D6" s="733">
        <v>15877346</v>
      </c>
      <c r="E6" s="733">
        <v>6847590</v>
      </c>
      <c r="F6" s="733">
        <v>5490457</v>
      </c>
      <c r="G6" s="733">
        <v>5413202</v>
      </c>
      <c r="H6" s="733">
        <v>6194258</v>
      </c>
      <c r="I6" s="733">
        <v>20449142</v>
      </c>
      <c r="J6" s="744">
        <v>96508924</v>
      </c>
      <c r="K6" s="134">
        <f>SUM(C6:J6)</f>
        <v>212020695</v>
      </c>
      <c r="L6" s="134">
        <f t="shared" ref="L6:L12" si="0">SUM(F6:J6)</f>
        <v>134055983</v>
      </c>
      <c r="M6" s="747">
        <v>0</v>
      </c>
      <c r="N6" s="747">
        <v>0</v>
      </c>
      <c r="O6" s="913"/>
    </row>
    <row r="7" spans="1:16" ht="12.75" customHeight="1" x14ac:dyDescent="0.25">
      <c r="A7" s="39" t="s">
        <v>1070</v>
      </c>
      <c r="B7" s="169">
        <v>1400</v>
      </c>
      <c r="C7" s="745">
        <v>38941822</v>
      </c>
      <c r="D7" s="733">
        <v>16424101</v>
      </c>
      <c r="E7" s="733">
        <v>12826536</v>
      </c>
      <c r="F7" s="733">
        <v>10766771</v>
      </c>
      <c r="G7" s="733">
        <v>10387235</v>
      </c>
      <c r="H7" s="733">
        <v>11354314</v>
      </c>
      <c r="I7" s="733">
        <v>42614363</v>
      </c>
      <c r="J7" s="744">
        <v>231791174</v>
      </c>
      <c r="K7" s="134">
        <f t="shared" ref="K7:K13" si="1">SUM(C7:J7)</f>
        <v>375106316</v>
      </c>
      <c r="L7" s="134">
        <f t="shared" si="0"/>
        <v>306913857</v>
      </c>
      <c r="M7" s="747">
        <v>0</v>
      </c>
      <c r="N7" s="747">
        <v>0</v>
      </c>
      <c r="O7" s="913"/>
    </row>
    <row r="8" spans="1:16" ht="12.75" customHeight="1" x14ac:dyDescent="0.25">
      <c r="A8" s="39" t="s">
        <v>1072</v>
      </c>
      <c r="B8" s="169">
        <v>1500</v>
      </c>
      <c r="C8" s="745">
        <v>9381231</v>
      </c>
      <c r="D8" s="733">
        <v>4247612</v>
      </c>
      <c r="E8" s="733">
        <v>3030782</v>
      </c>
      <c r="F8" s="733">
        <v>2535313</v>
      </c>
      <c r="G8" s="733">
        <v>2309694</v>
      </c>
      <c r="H8" s="733">
        <v>2174899</v>
      </c>
      <c r="I8" s="733">
        <v>9367752</v>
      </c>
      <c r="J8" s="744">
        <v>37131456</v>
      </c>
      <c r="K8" s="134">
        <f t="shared" si="1"/>
        <v>70178739</v>
      </c>
      <c r="L8" s="134">
        <f t="shared" si="0"/>
        <v>53519114</v>
      </c>
      <c r="M8" s="747">
        <v>0</v>
      </c>
      <c r="N8" s="747">
        <v>0</v>
      </c>
      <c r="O8" s="913"/>
    </row>
    <row r="9" spans="1:16" ht="12.75" customHeight="1" x14ac:dyDescent="0.25">
      <c r="A9" s="39" t="s">
        <v>1073</v>
      </c>
      <c r="B9" s="169">
        <v>1600</v>
      </c>
      <c r="C9" s="745">
        <v>11104373</v>
      </c>
      <c r="D9" s="733">
        <v>5115429</v>
      </c>
      <c r="E9" s="733">
        <v>3878864</v>
      </c>
      <c r="F9" s="733">
        <v>3357980</v>
      </c>
      <c r="G9" s="733">
        <v>3094108</v>
      </c>
      <c r="H9" s="733">
        <v>2924657</v>
      </c>
      <c r="I9" s="733">
        <v>13352780</v>
      </c>
      <c r="J9" s="744">
        <v>73859964</v>
      </c>
      <c r="K9" s="134">
        <f t="shared" si="1"/>
        <v>116688155</v>
      </c>
      <c r="L9" s="134">
        <f>SUM(F9:J9)</f>
        <v>96589489</v>
      </c>
      <c r="M9" s="747">
        <v>0</v>
      </c>
      <c r="N9" s="747">
        <v>0</v>
      </c>
      <c r="O9" s="913"/>
    </row>
    <row r="10" spans="1:16" ht="12.75" customHeight="1" x14ac:dyDescent="0.25">
      <c r="A10" s="39" t="s">
        <v>1074</v>
      </c>
      <c r="B10" s="169">
        <v>1700</v>
      </c>
      <c r="C10" s="745">
        <v>1310</v>
      </c>
      <c r="D10" s="733">
        <v>1107</v>
      </c>
      <c r="E10" s="733">
        <v>973</v>
      </c>
      <c r="F10" s="733">
        <v>842</v>
      </c>
      <c r="G10" s="733">
        <v>842</v>
      </c>
      <c r="H10" s="733">
        <v>799</v>
      </c>
      <c r="I10" s="733">
        <v>2280</v>
      </c>
      <c r="J10" s="744">
        <v>193717</v>
      </c>
      <c r="K10" s="134">
        <f t="shared" si="1"/>
        <v>201870</v>
      </c>
      <c r="L10" s="134">
        <f>SUM(F10:J10)</f>
        <v>198480</v>
      </c>
      <c r="M10" s="747">
        <v>0</v>
      </c>
      <c r="N10" s="747">
        <v>0</v>
      </c>
      <c r="O10" s="913"/>
    </row>
    <row r="11" spans="1:16" ht="12.75" customHeight="1" x14ac:dyDescent="0.25">
      <c r="A11" s="39" t="s">
        <v>1075</v>
      </c>
      <c r="B11" s="169">
        <v>1810</v>
      </c>
      <c r="C11" s="745">
        <v>7780234</v>
      </c>
      <c r="D11" s="733">
        <v>7477963</v>
      </c>
      <c r="E11" s="733">
        <v>7274576</v>
      </c>
      <c r="F11" s="733">
        <v>7092932</v>
      </c>
      <c r="G11" s="733">
        <v>6927601</v>
      </c>
      <c r="H11" s="733">
        <v>6766050</v>
      </c>
      <c r="I11" s="733">
        <v>33629113</v>
      </c>
      <c r="J11" s="744">
        <v>267073041</v>
      </c>
      <c r="K11" s="134">
        <f t="shared" si="1"/>
        <v>344021510</v>
      </c>
      <c r="L11" s="134">
        <f t="shared" si="0"/>
        <v>321488737</v>
      </c>
      <c r="M11" s="747">
        <v>0</v>
      </c>
      <c r="N11" s="747">
        <v>0</v>
      </c>
      <c r="O11" s="913"/>
      <c r="P11" s="96"/>
    </row>
    <row r="12" spans="1:16" ht="12.75" customHeight="1" x14ac:dyDescent="0.25">
      <c r="A12" s="39" t="s">
        <v>1076</v>
      </c>
      <c r="B12" s="169">
        <v>1820</v>
      </c>
      <c r="C12" s="745"/>
      <c r="D12" s="733"/>
      <c r="E12" s="733"/>
      <c r="F12" s="733"/>
      <c r="G12" s="733"/>
      <c r="H12" s="733"/>
      <c r="I12" s="733"/>
      <c r="J12" s="733"/>
      <c r="K12" s="134">
        <f t="shared" si="1"/>
        <v>0</v>
      </c>
      <c r="L12" s="134">
        <f t="shared" si="0"/>
        <v>0</v>
      </c>
      <c r="M12" s="747">
        <v>0</v>
      </c>
      <c r="N12" s="747">
        <v>0</v>
      </c>
      <c r="O12" s="913"/>
      <c r="P12" s="96"/>
    </row>
    <row r="13" spans="1:16" ht="12.75" customHeight="1" x14ac:dyDescent="0.25">
      <c r="A13" s="39" t="s">
        <v>720</v>
      </c>
      <c r="B13" s="169">
        <v>1900</v>
      </c>
      <c r="C13" s="745">
        <v>9384764</v>
      </c>
      <c r="D13" s="733">
        <v>4686894</v>
      </c>
      <c r="E13" s="733">
        <v>2792700</v>
      </c>
      <c r="F13" s="733">
        <v>4320732</v>
      </c>
      <c r="G13" s="733">
        <v>2510009</v>
      </c>
      <c r="H13" s="733">
        <v>2874061</v>
      </c>
      <c r="I13" s="733">
        <v>12711905</v>
      </c>
      <c r="J13" s="744">
        <v>131036618</v>
      </c>
      <c r="K13" s="134">
        <f t="shared" si="1"/>
        <v>170317683</v>
      </c>
      <c r="L13" s="134">
        <f>SUM(F13:J13)</f>
        <v>153453325</v>
      </c>
      <c r="M13" s="747">
        <v>0</v>
      </c>
      <c r="N13" s="747">
        <v>0</v>
      </c>
      <c r="O13" s="913"/>
    </row>
    <row r="14" spans="1:16" ht="12.75" customHeight="1" x14ac:dyDescent="0.25">
      <c r="A14" s="53" t="s">
        <v>1077</v>
      </c>
      <c r="B14" s="284">
        <v>2000</v>
      </c>
      <c r="C14" s="56">
        <f t="shared" ref="C14:N14" si="2">SUM(C5:C13)</f>
        <v>150513412</v>
      </c>
      <c r="D14" s="55">
        <f t="shared" si="2"/>
        <v>65031828</v>
      </c>
      <c r="E14" s="55">
        <f t="shared" si="2"/>
        <v>45087022</v>
      </c>
      <c r="F14" s="55">
        <f t="shared" si="2"/>
        <v>41798329</v>
      </c>
      <c r="G14" s="55">
        <f t="shared" si="2"/>
        <v>37595272</v>
      </c>
      <c r="H14" s="55">
        <f t="shared" si="2"/>
        <v>40381341</v>
      </c>
      <c r="I14" s="55">
        <f t="shared" si="2"/>
        <v>166492701</v>
      </c>
      <c r="J14" s="83">
        <f t="shared" si="2"/>
        <v>1105146081</v>
      </c>
      <c r="K14" s="112">
        <f t="shared" si="2"/>
        <v>1652045986</v>
      </c>
      <c r="L14" s="112">
        <f>SUM(L5:L13)</f>
        <v>1391413724</v>
      </c>
      <c r="M14" s="54">
        <f t="shared" si="2"/>
        <v>0</v>
      </c>
      <c r="N14" s="54">
        <f t="shared" si="2"/>
        <v>0</v>
      </c>
      <c r="O14" s="914"/>
    </row>
    <row r="15" spans="1:16" ht="12.75" customHeight="1" x14ac:dyDescent="0.25">
      <c r="A15" s="313" t="str">
        <f>Head1&amp;" - totals only"</f>
        <v>2019/20 - totals only</v>
      </c>
      <c r="B15" s="367"/>
      <c r="C15" s="745">
        <v>239760428</v>
      </c>
      <c r="D15" s="733">
        <v>54373145</v>
      </c>
      <c r="E15" s="733">
        <v>46328929</v>
      </c>
      <c r="F15" s="733">
        <v>49397057</v>
      </c>
      <c r="G15" s="733">
        <v>40822122</v>
      </c>
      <c r="H15" s="733">
        <v>37589646</v>
      </c>
      <c r="I15" s="733">
        <v>157166681</v>
      </c>
      <c r="J15" s="744">
        <v>889720920</v>
      </c>
      <c r="K15" s="795">
        <f>SUM(C15:J15)</f>
        <v>1515158928</v>
      </c>
      <c r="L15" s="368">
        <f>SUM(F15:J15)</f>
        <v>1174696426</v>
      </c>
      <c r="M15" s="794">
        <v>0</v>
      </c>
      <c r="N15" s="895">
        <v>0</v>
      </c>
      <c r="O15" s="49"/>
    </row>
    <row r="16" spans="1:16" ht="12.75" customHeight="1" x14ac:dyDescent="0.25">
      <c r="A16" s="87" t="s">
        <v>1081</v>
      </c>
      <c r="B16" s="169"/>
      <c r="C16" s="46"/>
      <c r="D16" s="44"/>
      <c r="E16" s="44"/>
      <c r="F16" s="44"/>
      <c r="G16" s="44"/>
      <c r="H16" s="44"/>
      <c r="I16" s="44"/>
      <c r="J16" s="108"/>
      <c r="K16" s="134"/>
      <c r="L16" s="645"/>
      <c r="M16" s="45"/>
      <c r="N16" s="896"/>
    </row>
    <row r="17" spans="1:14" ht="12.75" customHeight="1" x14ac:dyDescent="0.25">
      <c r="A17" s="39" t="s">
        <v>1078</v>
      </c>
      <c r="B17" s="169">
        <v>2200</v>
      </c>
      <c r="C17" s="745">
        <v>13070491</v>
      </c>
      <c r="D17" s="733">
        <v>7448122</v>
      </c>
      <c r="E17" s="733">
        <v>5506621</v>
      </c>
      <c r="F17" s="733">
        <v>4252463</v>
      </c>
      <c r="G17" s="733">
        <v>3951543</v>
      </c>
      <c r="H17" s="733">
        <v>3770560</v>
      </c>
      <c r="I17" s="733">
        <v>17037806</v>
      </c>
      <c r="J17" s="744">
        <v>45572664</v>
      </c>
      <c r="K17" s="134">
        <f>SUM(C17:J17)</f>
        <v>100610270</v>
      </c>
      <c r="L17" s="645">
        <f>SUM(F17:J17)</f>
        <v>74585036</v>
      </c>
      <c r="M17" s="747">
        <v>0</v>
      </c>
      <c r="N17" s="748">
        <v>0</v>
      </c>
    </row>
    <row r="18" spans="1:14" ht="12.75" customHeight="1" x14ac:dyDescent="0.25">
      <c r="A18" s="39" t="s">
        <v>1079</v>
      </c>
      <c r="B18" s="169">
        <v>2300</v>
      </c>
      <c r="C18" s="745">
        <v>68998592</v>
      </c>
      <c r="D18" s="733">
        <v>16370397</v>
      </c>
      <c r="E18" s="733">
        <v>9390101</v>
      </c>
      <c r="F18" s="733">
        <v>9441025</v>
      </c>
      <c r="G18" s="733">
        <v>7592419</v>
      </c>
      <c r="H18" s="733">
        <v>8749554</v>
      </c>
      <c r="I18" s="733">
        <v>30915918</v>
      </c>
      <c r="J18" s="744">
        <v>206688208</v>
      </c>
      <c r="K18" s="134">
        <f>SUM(C18:J18)</f>
        <v>358146214</v>
      </c>
      <c r="L18" s="645">
        <f>SUM(F18:J18)</f>
        <v>263387124</v>
      </c>
      <c r="M18" s="747">
        <v>0</v>
      </c>
      <c r="N18" s="748">
        <v>0</v>
      </c>
    </row>
    <row r="19" spans="1:14" ht="12.75" customHeight="1" x14ac:dyDescent="0.25">
      <c r="A19" s="39" t="s">
        <v>687</v>
      </c>
      <c r="B19" s="169">
        <v>2400</v>
      </c>
      <c r="C19" s="745">
        <v>68444329</v>
      </c>
      <c r="D19" s="733">
        <v>41213309</v>
      </c>
      <c r="E19" s="733">
        <v>30190300</v>
      </c>
      <c r="F19" s="733">
        <v>28104841</v>
      </c>
      <c r="G19" s="733">
        <v>26051310</v>
      </c>
      <c r="H19" s="733">
        <v>27861227</v>
      </c>
      <c r="I19" s="733">
        <v>118538977</v>
      </c>
      <c r="J19" s="744">
        <v>852885209</v>
      </c>
      <c r="K19" s="134">
        <f>SUM(C19:J19)</f>
        <v>1193289502</v>
      </c>
      <c r="L19" s="645">
        <f>SUM(F19:J19)</f>
        <v>1053441564</v>
      </c>
      <c r="M19" s="747">
        <v>0</v>
      </c>
      <c r="N19" s="748">
        <v>0</v>
      </c>
    </row>
    <row r="20" spans="1:14" ht="12.75" customHeight="1" x14ac:dyDescent="0.25">
      <c r="A20" s="39" t="s">
        <v>720</v>
      </c>
      <c r="B20" s="169">
        <v>2500</v>
      </c>
      <c r="C20" s="745">
        <v>0</v>
      </c>
      <c r="D20" s="733">
        <v>0</v>
      </c>
      <c r="E20" s="733">
        <v>0</v>
      </c>
      <c r="F20" s="733">
        <v>0</v>
      </c>
      <c r="G20" s="733">
        <v>0</v>
      </c>
      <c r="H20" s="733">
        <v>0</v>
      </c>
      <c r="I20" s="733">
        <v>0</v>
      </c>
      <c r="J20" s="744">
        <v>0</v>
      </c>
      <c r="K20" s="134">
        <f>SUM(C20:J20)</f>
        <v>0</v>
      </c>
      <c r="L20" s="645">
        <f>SUM(F20:J20)</f>
        <v>0</v>
      </c>
      <c r="M20" s="747">
        <v>0</v>
      </c>
      <c r="N20" s="749">
        <v>0</v>
      </c>
    </row>
    <row r="21" spans="1:14" ht="12.75" customHeight="1" x14ac:dyDescent="0.25">
      <c r="A21" s="53" t="s">
        <v>1082</v>
      </c>
      <c r="B21" s="284">
        <v>2600</v>
      </c>
      <c r="C21" s="56">
        <f t="shared" ref="C21:I21" si="3">SUM(C17:C20)</f>
        <v>150513412</v>
      </c>
      <c r="D21" s="55">
        <f t="shared" si="3"/>
        <v>65031828</v>
      </c>
      <c r="E21" s="55">
        <f t="shared" si="3"/>
        <v>45087022</v>
      </c>
      <c r="F21" s="55">
        <f t="shared" si="3"/>
        <v>41798329</v>
      </c>
      <c r="G21" s="55">
        <f t="shared" si="3"/>
        <v>37595272</v>
      </c>
      <c r="H21" s="55">
        <f t="shared" si="3"/>
        <v>40381341</v>
      </c>
      <c r="I21" s="55">
        <f t="shared" si="3"/>
        <v>166492701</v>
      </c>
      <c r="J21" s="83">
        <f>SUM(J17:J20)</f>
        <v>1105146081</v>
      </c>
      <c r="K21" s="112">
        <f>SUM(K17:K20)</f>
        <v>1652045986</v>
      </c>
      <c r="L21" s="915">
        <f>SUM(L17:L20)</f>
        <v>1391413724</v>
      </c>
      <c r="M21" s="54">
        <f>SUM(M17:M20)</f>
        <v>0</v>
      </c>
      <c r="N21" s="244">
        <f>SUM(N17:N20)</f>
        <v>0</v>
      </c>
    </row>
    <row r="22" spans="1:14" ht="12.75" customHeight="1" x14ac:dyDescent="0.25">
      <c r="A22" s="57" t="s">
        <v>791</v>
      </c>
      <c r="B22" s="167"/>
      <c r="C22" s="49"/>
      <c r="D22" s="49"/>
      <c r="E22" s="49"/>
      <c r="F22" s="49"/>
      <c r="G22" s="49"/>
      <c r="H22" s="49"/>
      <c r="I22" s="49"/>
      <c r="J22" s="49"/>
      <c r="K22" s="49"/>
      <c r="L22" s="49"/>
      <c r="M22" s="49"/>
      <c r="N22" s="49"/>
    </row>
    <row r="23" spans="1:14" ht="12.75" x14ac:dyDescent="0.25">
      <c r="A23" s="80" t="s">
        <v>623</v>
      </c>
    </row>
    <row r="24" spans="1:14" ht="12.75" x14ac:dyDescent="0.25">
      <c r="A24" s="80" t="s">
        <v>535</v>
      </c>
    </row>
    <row r="25" spans="1:14" ht="12.75" x14ac:dyDescent="0.25">
      <c r="A25" s="80" t="s">
        <v>1083</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5" sqref="C5:L15"/>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63" t="str">
        <f>muni&amp; " - "&amp;S71J&amp; " - "&amp;Head57</f>
        <v>LIM354 Polokwane - Supporting Table SC4 Monthly Budget Statement - aged creditors  - M10 April</v>
      </c>
      <c r="B1" s="1063"/>
      <c r="C1" s="1063"/>
      <c r="D1" s="1063"/>
      <c r="E1" s="1063"/>
      <c r="F1" s="1063"/>
      <c r="G1" s="1063"/>
      <c r="H1" s="1063"/>
      <c r="I1" s="1063"/>
      <c r="J1" s="1063"/>
      <c r="K1" s="1063"/>
    </row>
    <row r="2" spans="1:12" ht="12.75" customHeight="1" x14ac:dyDescent="0.25">
      <c r="A2" s="1052" t="str">
        <f>desc</f>
        <v>Description</v>
      </c>
      <c r="B2" s="1084" t="s">
        <v>736</v>
      </c>
      <c r="C2" s="137" t="str">
        <f>Head2</f>
        <v>Budget Year 2020/21</v>
      </c>
      <c r="D2" s="137"/>
      <c r="E2" s="137"/>
      <c r="F2" s="137"/>
      <c r="G2" s="137"/>
      <c r="H2" s="137"/>
      <c r="I2" s="137"/>
      <c r="J2" s="137"/>
      <c r="K2" s="138"/>
      <c r="L2" s="1074" t="s">
        <v>74</v>
      </c>
    </row>
    <row r="3" spans="1:12" ht="12.75" customHeight="1" x14ac:dyDescent="0.25">
      <c r="A3" s="1083"/>
      <c r="B3" s="1085"/>
      <c r="C3" s="1086" t="s">
        <v>728</v>
      </c>
      <c r="D3" s="1077" t="s">
        <v>729</v>
      </c>
      <c r="E3" s="1077" t="s">
        <v>730</v>
      </c>
      <c r="F3" s="1077" t="s">
        <v>731</v>
      </c>
      <c r="G3" s="1077" t="s">
        <v>732</v>
      </c>
      <c r="H3" s="1077" t="s">
        <v>733</v>
      </c>
      <c r="I3" s="1077" t="s">
        <v>734</v>
      </c>
      <c r="J3" s="1079" t="s">
        <v>735</v>
      </c>
      <c r="K3" s="1081" t="s">
        <v>506</v>
      </c>
      <c r="L3" s="1075"/>
    </row>
    <row r="4" spans="1:12" ht="12.75" customHeight="1" x14ac:dyDescent="0.25">
      <c r="A4" s="34" t="s">
        <v>669</v>
      </c>
      <c r="B4" s="1082"/>
      <c r="C4" s="1087"/>
      <c r="D4" s="1078"/>
      <c r="E4" s="1078"/>
      <c r="F4" s="1078"/>
      <c r="G4" s="1078"/>
      <c r="H4" s="1078"/>
      <c r="I4" s="1078"/>
      <c r="J4" s="1080"/>
      <c r="K4" s="1082"/>
      <c r="L4" s="1076"/>
    </row>
    <row r="5" spans="1:12" ht="12.75" customHeight="1" x14ac:dyDescent="0.25">
      <c r="A5" s="87" t="s">
        <v>665</v>
      </c>
      <c r="B5" s="169"/>
      <c r="C5" s="287"/>
      <c r="D5" s="165"/>
      <c r="E5" s="165"/>
      <c r="F5" s="165"/>
      <c r="G5" s="165"/>
      <c r="H5" s="165"/>
      <c r="I5" s="165"/>
      <c r="J5" s="285"/>
      <c r="K5" s="166"/>
      <c r="L5" s="166"/>
    </row>
    <row r="6" spans="1:12" ht="12.75" customHeight="1" x14ac:dyDescent="0.25">
      <c r="A6" s="39" t="s">
        <v>688</v>
      </c>
      <c r="B6" s="169" t="s">
        <v>689</v>
      </c>
      <c r="C6" s="753">
        <v>61580531.810000002</v>
      </c>
      <c r="D6" s="753">
        <v>0</v>
      </c>
      <c r="E6" s="753">
        <v>0</v>
      </c>
      <c r="F6" s="753">
        <v>0</v>
      </c>
      <c r="G6" s="753">
        <v>0</v>
      </c>
      <c r="H6" s="753">
        <v>0</v>
      </c>
      <c r="I6" s="753">
        <v>0</v>
      </c>
      <c r="J6" s="753">
        <v>0</v>
      </c>
      <c r="K6" s="109">
        <f>SUM(C6:J6)</f>
        <v>61580531.810000002</v>
      </c>
      <c r="L6" s="748">
        <v>52511767.140000001</v>
      </c>
    </row>
    <row r="7" spans="1:12" ht="12.75" customHeight="1" x14ac:dyDescent="0.25">
      <c r="A7" s="39" t="s">
        <v>690</v>
      </c>
      <c r="B7" s="169" t="s">
        <v>691</v>
      </c>
      <c r="C7" s="753">
        <v>19963857.260000002</v>
      </c>
      <c r="D7" s="753">
        <v>0</v>
      </c>
      <c r="E7" s="753">
        <v>0</v>
      </c>
      <c r="F7" s="753">
        <v>0</v>
      </c>
      <c r="G7" s="753">
        <v>0</v>
      </c>
      <c r="H7" s="753">
        <v>0</v>
      </c>
      <c r="I7" s="753">
        <v>0</v>
      </c>
      <c r="J7" s="753">
        <v>0</v>
      </c>
      <c r="K7" s="109">
        <f t="shared" ref="K7:K13" si="0">SUM(C7:J7)</f>
        <v>19963857.260000002</v>
      </c>
      <c r="L7" s="748">
        <v>38164804.719999999</v>
      </c>
    </row>
    <row r="8" spans="1:12" ht="12.75" customHeight="1" x14ac:dyDescent="0.25">
      <c r="A8" s="39" t="s">
        <v>692</v>
      </c>
      <c r="B8" s="169" t="s">
        <v>693</v>
      </c>
      <c r="C8" s="753">
        <v>0</v>
      </c>
      <c r="D8" s="753">
        <v>0</v>
      </c>
      <c r="E8" s="753">
        <v>0</v>
      </c>
      <c r="F8" s="753">
        <v>0</v>
      </c>
      <c r="G8" s="753">
        <v>0</v>
      </c>
      <c r="H8" s="753">
        <v>0</v>
      </c>
      <c r="I8" s="753">
        <v>0</v>
      </c>
      <c r="J8" s="753">
        <v>0</v>
      </c>
      <c r="K8" s="109">
        <f t="shared" si="0"/>
        <v>0</v>
      </c>
      <c r="L8" s="748">
        <v>0</v>
      </c>
    </row>
    <row r="9" spans="1:12" ht="12.75" customHeight="1" x14ac:dyDescent="0.25">
      <c r="A9" s="39" t="s">
        <v>593</v>
      </c>
      <c r="B9" s="169" t="s">
        <v>594</v>
      </c>
      <c r="C9" s="753">
        <v>0</v>
      </c>
      <c r="D9" s="753">
        <v>0</v>
      </c>
      <c r="E9" s="753">
        <v>0</v>
      </c>
      <c r="F9" s="753">
        <v>0</v>
      </c>
      <c r="G9" s="753">
        <v>0</v>
      </c>
      <c r="H9" s="753">
        <v>0</v>
      </c>
      <c r="I9" s="753">
        <v>0</v>
      </c>
      <c r="J9" s="753">
        <v>0</v>
      </c>
      <c r="K9" s="109">
        <f t="shared" si="0"/>
        <v>0</v>
      </c>
      <c r="L9" s="748">
        <v>0</v>
      </c>
    </row>
    <row r="10" spans="1:12" ht="12.75" customHeight="1" x14ac:dyDescent="0.25">
      <c r="A10" s="39" t="s">
        <v>595</v>
      </c>
      <c r="B10" s="169" t="s">
        <v>596</v>
      </c>
      <c r="C10" s="753">
        <v>0</v>
      </c>
      <c r="D10" s="753">
        <v>0</v>
      </c>
      <c r="E10" s="753">
        <v>0</v>
      </c>
      <c r="F10" s="753">
        <v>0</v>
      </c>
      <c r="G10" s="753">
        <v>0</v>
      </c>
      <c r="H10" s="753">
        <v>0</v>
      </c>
      <c r="I10" s="753">
        <v>0</v>
      </c>
      <c r="J10" s="753">
        <v>0</v>
      </c>
      <c r="K10" s="109">
        <f t="shared" si="0"/>
        <v>0</v>
      </c>
      <c r="L10" s="748">
        <v>0</v>
      </c>
    </row>
    <row r="11" spans="1:12" ht="12.75" customHeight="1" x14ac:dyDescent="0.25">
      <c r="A11" s="39" t="s">
        <v>597</v>
      </c>
      <c r="B11" s="169" t="s">
        <v>598</v>
      </c>
      <c r="C11" s="753">
        <v>0</v>
      </c>
      <c r="D11" s="753">
        <v>0</v>
      </c>
      <c r="E11" s="753">
        <v>0</v>
      </c>
      <c r="F11" s="753">
        <v>0</v>
      </c>
      <c r="G11" s="753">
        <v>0</v>
      </c>
      <c r="H11" s="753">
        <v>0</v>
      </c>
      <c r="I11" s="753">
        <v>0</v>
      </c>
      <c r="J11" s="753">
        <v>0</v>
      </c>
      <c r="K11" s="109">
        <f t="shared" si="0"/>
        <v>0</v>
      </c>
      <c r="L11" s="748">
        <v>0</v>
      </c>
    </row>
    <row r="12" spans="1:12" ht="12.75" customHeight="1" x14ac:dyDescent="0.25">
      <c r="A12" s="39" t="s">
        <v>599</v>
      </c>
      <c r="B12" s="169" t="s">
        <v>600</v>
      </c>
      <c r="C12" s="753">
        <v>22910412.830000002</v>
      </c>
      <c r="D12" s="733">
        <v>0</v>
      </c>
      <c r="E12" s="753">
        <v>0</v>
      </c>
      <c r="F12" s="753">
        <v>0</v>
      </c>
      <c r="G12" s="753">
        <v>0</v>
      </c>
      <c r="H12" s="753">
        <v>0</v>
      </c>
      <c r="I12" s="753">
        <v>0</v>
      </c>
      <c r="J12" s="753">
        <v>0</v>
      </c>
      <c r="K12" s="109">
        <f t="shared" si="0"/>
        <v>22910412.830000002</v>
      </c>
      <c r="L12" s="748">
        <v>56140946.219999999</v>
      </c>
    </row>
    <row r="13" spans="1:12" ht="12.75" customHeight="1" x14ac:dyDescent="0.25">
      <c r="A13" s="39" t="s">
        <v>601</v>
      </c>
      <c r="B13" s="169" t="s">
        <v>602</v>
      </c>
      <c r="C13" s="753">
        <v>0</v>
      </c>
      <c r="D13" s="733">
        <v>0</v>
      </c>
      <c r="E13" s="753">
        <v>0</v>
      </c>
      <c r="F13" s="753">
        <v>0</v>
      </c>
      <c r="G13" s="753">
        <v>0</v>
      </c>
      <c r="H13" s="753">
        <v>0</v>
      </c>
      <c r="I13" s="753">
        <v>0</v>
      </c>
      <c r="J13" s="753">
        <v>0</v>
      </c>
      <c r="K13" s="109">
        <f t="shared" si="0"/>
        <v>0</v>
      </c>
      <c r="L13" s="748">
        <v>0</v>
      </c>
    </row>
    <row r="14" spans="1:12" ht="12.75" customHeight="1" x14ac:dyDescent="0.25">
      <c r="A14" s="39" t="s">
        <v>720</v>
      </c>
      <c r="B14" s="169" t="s">
        <v>603</v>
      </c>
      <c r="C14" s="753">
        <v>0</v>
      </c>
      <c r="D14" s="733">
        <v>0</v>
      </c>
      <c r="E14" s="753">
        <v>0</v>
      </c>
      <c r="F14" s="753">
        <v>0</v>
      </c>
      <c r="G14" s="753">
        <v>0</v>
      </c>
      <c r="H14" s="753">
        <v>0</v>
      </c>
      <c r="I14" s="753">
        <v>0</v>
      </c>
      <c r="J14" s="753">
        <v>0</v>
      </c>
      <c r="K14" s="109">
        <f>SUM(C14:J14)</f>
        <v>0</v>
      </c>
      <c r="L14" s="748">
        <v>0</v>
      </c>
    </row>
    <row r="15" spans="1:12" ht="12.75" customHeight="1" x14ac:dyDescent="0.25">
      <c r="A15" s="53" t="s">
        <v>921</v>
      </c>
      <c r="B15" s="284">
        <v>1000</v>
      </c>
      <c r="C15" s="271">
        <f>SUM(C6:C14)</f>
        <v>104454801.90000001</v>
      </c>
      <c r="D15" s="55">
        <f t="shared" ref="D15:J15" si="1">SUM(D6:D14)</f>
        <v>0</v>
      </c>
      <c r="E15" s="55">
        <f t="shared" si="1"/>
        <v>0</v>
      </c>
      <c r="F15" s="55">
        <f t="shared" si="1"/>
        <v>0</v>
      </c>
      <c r="G15" s="55">
        <f t="shared" si="1"/>
        <v>0</v>
      </c>
      <c r="H15" s="55">
        <f t="shared" si="1"/>
        <v>0</v>
      </c>
      <c r="I15" s="55">
        <f t="shared" si="1"/>
        <v>0</v>
      </c>
      <c r="J15" s="235">
        <f t="shared" si="1"/>
        <v>0</v>
      </c>
      <c r="K15" s="112">
        <f>SUM(K6:K14)</f>
        <v>104454801.90000001</v>
      </c>
      <c r="L15" s="160">
        <f>SUM(L6:L14)</f>
        <v>146817518.07999998</v>
      </c>
    </row>
    <row r="16" spans="1:12" ht="12.75" customHeight="1" x14ac:dyDescent="0.25">
      <c r="A16" s="57" t="s">
        <v>791</v>
      </c>
      <c r="B16" s="167"/>
      <c r="C16" s="49"/>
      <c r="D16" s="49"/>
      <c r="E16" s="49"/>
      <c r="F16" s="49"/>
      <c r="G16" s="49"/>
      <c r="H16" s="49"/>
      <c r="I16" s="49"/>
      <c r="J16" s="49"/>
      <c r="K16" s="49"/>
    </row>
    <row r="17" spans="1:1" ht="12.75" customHeight="1" x14ac:dyDescent="0.25">
      <c r="A17" s="121" t="s">
        <v>622</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63" t="str">
        <f>muni&amp; " - "&amp;S71K&amp; " - "&amp;Head57</f>
        <v>LIM354 Polokwane - Supporting Table SC5 Monthly Budget Statement - investment portfolio  - M10 April</v>
      </c>
      <c r="B1" s="1063"/>
      <c r="C1" s="1063"/>
      <c r="D1" s="1063"/>
      <c r="E1" s="1063"/>
      <c r="F1" s="1063"/>
      <c r="G1" s="1063"/>
      <c r="H1" s="1063"/>
      <c r="I1" s="1063"/>
      <c r="J1" s="1063"/>
      <c r="K1" s="67"/>
    </row>
    <row r="2" spans="1:15" ht="54" customHeight="1" x14ac:dyDescent="0.25">
      <c r="A2" s="270" t="s">
        <v>896</v>
      </c>
      <c r="B2" s="1084" t="s">
        <v>573</v>
      </c>
      <c r="C2" s="26" t="s">
        <v>126</v>
      </c>
      <c r="D2" s="1090" t="s">
        <v>609</v>
      </c>
      <c r="E2" s="949" t="s">
        <v>1348</v>
      </c>
      <c r="F2" s="949" t="s">
        <v>1349</v>
      </c>
      <c r="G2" s="949" t="s">
        <v>1350</v>
      </c>
      <c r="H2" s="949" t="s">
        <v>1351</v>
      </c>
      <c r="I2" s="949" t="s">
        <v>1352</v>
      </c>
      <c r="J2" s="1092" t="s">
        <v>610</v>
      </c>
      <c r="K2" s="149" t="s">
        <v>1353</v>
      </c>
      <c r="L2" s="142" t="s">
        <v>1354</v>
      </c>
      <c r="M2" s="26" t="s">
        <v>1355</v>
      </c>
      <c r="N2" s="26" t="s">
        <v>1356</v>
      </c>
      <c r="O2" s="142" t="s">
        <v>1357</v>
      </c>
    </row>
    <row r="3" spans="1:15" ht="12.75" customHeight="1" x14ac:dyDescent="0.25">
      <c r="A3" s="34" t="s">
        <v>669</v>
      </c>
      <c r="B3" s="1082"/>
      <c r="C3" s="413" t="s">
        <v>127</v>
      </c>
      <c r="D3" s="1091"/>
      <c r="E3" s="950"/>
      <c r="F3" s="950"/>
      <c r="G3" s="950"/>
      <c r="H3" s="950"/>
      <c r="I3" s="950"/>
      <c r="J3" s="1080"/>
      <c r="K3" s="1088"/>
      <c r="L3" s="1088"/>
      <c r="M3" s="1088"/>
      <c r="N3" s="1088"/>
      <c r="O3" s="1089"/>
    </row>
    <row r="4" spans="1:15" ht="12.75" customHeight="1" x14ac:dyDescent="0.25">
      <c r="A4" s="549" t="s">
        <v>339</v>
      </c>
      <c r="B4" s="171"/>
      <c r="C4" s="551"/>
      <c r="D4" s="535"/>
      <c r="E4" s="535"/>
      <c r="F4" s="535"/>
      <c r="G4" s="535"/>
      <c r="H4" s="535"/>
      <c r="I4" s="535"/>
      <c r="J4" s="536"/>
      <c r="O4" s="184"/>
    </row>
    <row r="5" spans="1:15" ht="12.75" customHeight="1" x14ac:dyDescent="0.25">
      <c r="A5" s="776"/>
      <c r="B5" s="169"/>
      <c r="C5" s="951"/>
      <c r="D5" s="952"/>
      <c r="E5" s="952"/>
      <c r="F5" s="952"/>
      <c r="G5" s="952"/>
      <c r="H5" s="952"/>
      <c r="I5" s="952"/>
      <c r="J5" s="953"/>
      <c r="K5" s="954"/>
      <c r="L5" s="955"/>
      <c r="M5" s="956"/>
      <c r="N5" s="956"/>
      <c r="O5" s="957">
        <f t="shared" ref="O5:O11" si="0">SUM(K5:N5)</f>
        <v>0</v>
      </c>
    </row>
    <row r="6" spans="1:15" ht="12.75" customHeight="1" x14ac:dyDescent="0.25">
      <c r="A6" s="776"/>
      <c r="B6" s="169"/>
      <c r="C6" s="951"/>
      <c r="D6" s="952"/>
      <c r="E6" s="952"/>
      <c r="F6" s="952"/>
      <c r="G6" s="952"/>
      <c r="H6" s="952"/>
      <c r="I6" s="952"/>
      <c r="J6" s="953"/>
      <c r="K6" s="954"/>
      <c r="L6" s="955"/>
      <c r="M6" s="956"/>
      <c r="N6" s="956"/>
      <c r="O6" s="957">
        <f t="shared" si="0"/>
        <v>0</v>
      </c>
    </row>
    <row r="7" spans="1:15" ht="12.75" customHeight="1" x14ac:dyDescent="0.25">
      <c r="A7" s="776"/>
      <c r="B7" s="169"/>
      <c r="C7" s="951"/>
      <c r="D7" s="952"/>
      <c r="E7" s="952"/>
      <c r="F7" s="952"/>
      <c r="G7" s="952"/>
      <c r="H7" s="952"/>
      <c r="I7" s="952"/>
      <c r="J7" s="953"/>
      <c r="K7" s="954"/>
      <c r="L7" s="955"/>
      <c r="M7" s="956"/>
      <c r="N7" s="956"/>
      <c r="O7" s="957">
        <f t="shared" si="0"/>
        <v>0</v>
      </c>
    </row>
    <row r="8" spans="1:15" ht="12.75" customHeight="1" x14ac:dyDescent="0.25">
      <c r="A8" s="776"/>
      <c r="B8" s="169"/>
      <c r="C8" s="951"/>
      <c r="D8" s="952"/>
      <c r="E8" s="952"/>
      <c r="F8" s="952"/>
      <c r="G8" s="952"/>
      <c r="H8" s="952"/>
      <c r="I8" s="952"/>
      <c r="J8" s="953"/>
      <c r="K8" s="954"/>
      <c r="L8" s="955"/>
      <c r="M8" s="956"/>
      <c r="N8" s="956"/>
      <c r="O8" s="957">
        <f t="shared" si="0"/>
        <v>0</v>
      </c>
    </row>
    <row r="9" spans="1:15" ht="12.75" customHeight="1" x14ac:dyDescent="0.25">
      <c r="A9" s="776"/>
      <c r="B9" s="169"/>
      <c r="C9" s="951"/>
      <c r="D9" s="952"/>
      <c r="E9" s="952"/>
      <c r="F9" s="952"/>
      <c r="G9" s="952"/>
      <c r="H9" s="952"/>
      <c r="I9" s="952"/>
      <c r="J9" s="953"/>
      <c r="K9" s="954"/>
      <c r="L9" s="955"/>
      <c r="M9" s="956"/>
      <c r="N9" s="956"/>
      <c r="O9" s="957">
        <f t="shared" si="0"/>
        <v>0</v>
      </c>
    </row>
    <row r="10" spans="1:15" ht="12.75" customHeight="1" x14ac:dyDescent="0.25">
      <c r="A10" s="776"/>
      <c r="B10" s="169"/>
      <c r="C10" s="951"/>
      <c r="D10" s="952"/>
      <c r="E10" s="952"/>
      <c r="F10" s="952"/>
      <c r="G10" s="952"/>
      <c r="H10" s="952"/>
      <c r="I10" s="952"/>
      <c r="J10" s="953"/>
      <c r="K10" s="954"/>
      <c r="L10" s="955"/>
      <c r="M10" s="956"/>
      <c r="N10" s="956"/>
      <c r="O10" s="957">
        <f t="shared" si="0"/>
        <v>0</v>
      </c>
    </row>
    <row r="11" spans="1:15" ht="12.75" customHeight="1" x14ac:dyDescent="0.25">
      <c r="A11" s="776"/>
      <c r="B11" s="169"/>
      <c r="C11" s="951"/>
      <c r="D11" s="952"/>
      <c r="E11" s="952"/>
      <c r="F11" s="952"/>
      <c r="G11" s="952"/>
      <c r="H11" s="952"/>
      <c r="I11" s="952"/>
      <c r="J11" s="953"/>
      <c r="K11" s="954"/>
      <c r="L11" s="955"/>
      <c r="M11" s="956"/>
      <c r="N11" s="956"/>
      <c r="O11" s="957">
        <f t="shared" si="0"/>
        <v>0</v>
      </c>
    </row>
    <row r="12" spans="1:15" ht="12.75" customHeight="1" x14ac:dyDescent="0.25">
      <c r="A12" s="547" t="s">
        <v>128</v>
      </c>
      <c r="B12" s="169"/>
      <c r="C12" s="970"/>
      <c r="D12" s="958"/>
      <c r="E12" s="958"/>
      <c r="F12" s="958"/>
      <c r="G12" s="958"/>
      <c r="H12" s="958"/>
      <c r="I12" s="958"/>
      <c r="J12" s="959"/>
      <c r="K12" s="960">
        <f>SUM(K5:K11)</f>
        <v>0</v>
      </c>
      <c r="L12" s="961"/>
      <c r="M12" s="962">
        <f>SUM(M5:M11)</f>
        <v>0</v>
      </c>
      <c r="N12" s="962">
        <f>SUM(N5:N11)</f>
        <v>0</v>
      </c>
      <c r="O12" s="963">
        <f>SUM(O5:O11)</f>
        <v>0</v>
      </c>
    </row>
    <row r="13" spans="1:15" ht="3.75" customHeight="1" x14ac:dyDescent="0.25">
      <c r="A13" s="548"/>
      <c r="B13" s="169"/>
      <c r="C13" s="604"/>
      <c r="D13" s="964"/>
      <c r="E13" s="964"/>
      <c r="F13" s="964"/>
      <c r="G13" s="964"/>
      <c r="H13" s="964"/>
      <c r="I13" s="964"/>
      <c r="J13" s="965"/>
      <c r="K13" s="966"/>
      <c r="L13" s="967"/>
      <c r="M13" s="968"/>
      <c r="N13" s="968"/>
      <c r="O13" s="969"/>
    </row>
    <row r="14" spans="1:15" ht="12.75" customHeight="1" x14ac:dyDescent="0.25">
      <c r="A14" s="549" t="s">
        <v>129</v>
      </c>
      <c r="B14" s="169"/>
      <c r="C14" s="604"/>
      <c r="D14" s="964"/>
      <c r="E14" s="964"/>
      <c r="F14" s="964"/>
      <c r="G14" s="964"/>
      <c r="H14" s="964"/>
      <c r="I14" s="964"/>
      <c r="J14" s="965"/>
      <c r="K14" s="966"/>
      <c r="L14" s="967"/>
      <c r="M14" s="968"/>
      <c r="N14" s="968"/>
      <c r="O14" s="969"/>
    </row>
    <row r="15" spans="1:15" ht="12.75" customHeight="1" x14ac:dyDescent="0.25">
      <c r="A15" s="777"/>
      <c r="B15" s="169"/>
      <c r="C15" s="951"/>
      <c r="D15" s="952"/>
      <c r="E15" s="952"/>
      <c r="F15" s="952"/>
      <c r="G15" s="952"/>
      <c r="H15" s="952"/>
      <c r="I15" s="952"/>
      <c r="J15" s="953"/>
      <c r="K15" s="954"/>
      <c r="L15" s="955"/>
      <c r="M15" s="956"/>
      <c r="N15" s="956"/>
      <c r="O15" s="957">
        <f t="shared" ref="O15:O21" si="1">SUM(K15:N15)</f>
        <v>0</v>
      </c>
    </row>
    <row r="16" spans="1:15" ht="12.75" customHeight="1" x14ac:dyDescent="0.25">
      <c r="A16" s="777"/>
      <c r="B16" s="169"/>
      <c r="C16" s="951"/>
      <c r="D16" s="952"/>
      <c r="E16" s="952"/>
      <c r="F16" s="952"/>
      <c r="G16" s="952"/>
      <c r="H16" s="952"/>
      <c r="I16" s="952"/>
      <c r="J16" s="953"/>
      <c r="K16" s="954"/>
      <c r="L16" s="955"/>
      <c r="M16" s="956"/>
      <c r="N16" s="956"/>
      <c r="O16" s="957">
        <f t="shared" si="1"/>
        <v>0</v>
      </c>
    </row>
    <row r="17" spans="1:16" ht="12.75" customHeight="1" x14ac:dyDescent="0.25">
      <c r="A17" s="777"/>
      <c r="B17" s="169"/>
      <c r="C17" s="951"/>
      <c r="D17" s="952"/>
      <c r="E17" s="952"/>
      <c r="F17" s="952"/>
      <c r="G17" s="952"/>
      <c r="H17" s="952"/>
      <c r="I17" s="952"/>
      <c r="J17" s="953"/>
      <c r="K17" s="954"/>
      <c r="L17" s="955"/>
      <c r="M17" s="956"/>
      <c r="N17" s="956"/>
      <c r="O17" s="957">
        <f t="shared" si="1"/>
        <v>0</v>
      </c>
    </row>
    <row r="18" spans="1:16" ht="12.75" customHeight="1" x14ac:dyDescent="0.25">
      <c r="A18" s="777"/>
      <c r="B18" s="169"/>
      <c r="C18" s="951"/>
      <c r="D18" s="952"/>
      <c r="E18" s="952"/>
      <c r="F18" s="952"/>
      <c r="G18" s="952"/>
      <c r="H18" s="952"/>
      <c r="I18" s="952"/>
      <c r="J18" s="953"/>
      <c r="K18" s="954"/>
      <c r="L18" s="955"/>
      <c r="M18" s="956"/>
      <c r="N18" s="956"/>
      <c r="O18" s="957">
        <f t="shared" si="1"/>
        <v>0</v>
      </c>
    </row>
    <row r="19" spans="1:16" ht="12.75" customHeight="1" x14ac:dyDescent="0.25">
      <c r="A19" s="777"/>
      <c r="B19" s="169"/>
      <c r="C19" s="951"/>
      <c r="D19" s="952"/>
      <c r="E19" s="952"/>
      <c r="F19" s="952"/>
      <c r="G19" s="952"/>
      <c r="H19" s="952"/>
      <c r="I19" s="952"/>
      <c r="J19" s="953"/>
      <c r="K19" s="954"/>
      <c r="L19" s="955"/>
      <c r="M19" s="956"/>
      <c r="N19" s="956"/>
      <c r="O19" s="957">
        <f t="shared" si="1"/>
        <v>0</v>
      </c>
    </row>
    <row r="20" spans="1:16" ht="12.75" customHeight="1" x14ac:dyDescent="0.25">
      <c r="A20" s="777"/>
      <c r="B20" s="169"/>
      <c r="C20" s="951"/>
      <c r="D20" s="952"/>
      <c r="E20" s="952"/>
      <c r="F20" s="952"/>
      <c r="G20" s="952"/>
      <c r="H20" s="952"/>
      <c r="I20" s="952"/>
      <c r="J20" s="953"/>
      <c r="K20" s="954"/>
      <c r="L20" s="955"/>
      <c r="M20" s="956"/>
      <c r="N20" s="956"/>
      <c r="O20" s="957">
        <f t="shared" si="1"/>
        <v>0</v>
      </c>
    </row>
    <row r="21" spans="1:16" ht="12.75" customHeight="1" x14ac:dyDescent="0.25">
      <c r="A21" s="777"/>
      <c r="B21" s="169"/>
      <c r="C21" s="951"/>
      <c r="D21" s="952"/>
      <c r="E21" s="952"/>
      <c r="F21" s="952"/>
      <c r="G21" s="952"/>
      <c r="H21" s="952"/>
      <c r="I21" s="952"/>
      <c r="J21" s="953"/>
      <c r="K21" s="954"/>
      <c r="L21" s="955"/>
      <c r="M21" s="956"/>
      <c r="N21" s="956"/>
      <c r="O21" s="957">
        <f t="shared" si="1"/>
        <v>0</v>
      </c>
    </row>
    <row r="22" spans="1:16" ht="12.75" customHeight="1" x14ac:dyDescent="0.25">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5">
      <c r="A23" s="548"/>
      <c r="B23" s="169"/>
      <c r="C23" s="604"/>
      <c r="D23" s="964"/>
      <c r="E23" s="964"/>
      <c r="F23" s="964"/>
      <c r="G23" s="964"/>
      <c r="H23" s="964"/>
      <c r="I23" s="964"/>
      <c r="J23" s="965"/>
      <c r="K23" s="971"/>
      <c r="L23" s="972"/>
      <c r="M23" s="973"/>
      <c r="N23" s="973"/>
      <c r="O23" s="974"/>
    </row>
    <row r="24" spans="1:16" ht="12.75" customHeight="1" x14ac:dyDescent="0.25">
      <c r="A24" s="550" t="s">
        <v>131</v>
      </c>
      <c r="B24" s="236">
        <v>2</v>
      </c>
      <c r="C24" s="975"/>
      <c r="D24" s="976"/>
      <c r="E24" s="976"/>
      <c r="F24" s="976"/>
      <c r="G24" s="976"/>
      <c r="H24" s="976"/>
      <c r="I24" s="976"/>
      <c r="J24" s="977"/>
      <c r="K24" s="978">
        <f>K12+K22</f>
        <v>0</v>
      </c>
      <c r="L24" s="979"/>
      <c r="M24" s="980">
        <f>M12+M22</f>
        <v>0</v>
      </c>
      <c r="N24" s="980">
        <f>N12+N22</f>
        <v>0</v>
      </c>
      <c r="O24" s="981">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1358</v>
      </c>
      <c r="B26" s="58"/>
      <c r="C26" s="84"/>
      <c r="D26" s="84"/>
      <c r="E26" s="84"/>
      <c r="F26" s="84"/>
      <c r="G26" s="84"/>
      <c r="H26" s="84"/>
      <c r="I26" s="84"/>
      <c r="J26" s="84"/>
      <c r="N26" s="67"/>
      <c r="O26" s="67"/>
      <c r="P26" s="67"/>
    </row>
    <row r="27" spans="1:16" ht="12.75" customHeight="1" x14ac:dyDescent="0.25">
      <c r="A27" s="584" t="s">
        <v>1359</v>
      </c>
      <c r="B27" s="58"/>
      <c r="C27" s="62"/>
      <c r="D27" s="61"/>
      <c r="E27" s="62"/>
      <c r="F27" s="62"/>
      <c r="G27" s="62"/>
      <c r="H27" s="62"/>
      <c r="I27" s="62"/>
      <c r="J27" s="62"/>
    </row>
    <row r="28" spans="1:16" ht="11.25" customHeight="1" x14ac:dyDescent="0.25">
      <c r="A28" s="584" t="s">
        <v>1360</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E75" sqref="E75:E76"/>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"&amp;S71L&amp; " - "&amp;Head57</f>
        <v>LIM354 Polokwane - Supporting Table SC6 Monthly Budget Statement - transfers and grant receipts  - M10 April</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35" t="s">
        <v>975</v>
      </c>
      <c r="B5" s="169" t="s">
        <v>959</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624</v>
      </c>
      <c r="B8" s="169"/>
      <c r="C8" s="109">
        <f t="shared" ref="C8:I8" si="0">SUM(C9:C19)</f>
        <v>1171033500</v>
      </c>
      <c r="D8" s="51">
        <f t="shared" si="0"/>
        <v>1187428150</v>
      </c>
      <c r="E8" s="50">
        <f t="shared" si="0"/>
        <v>1379700192</v>
      </c>
      <c r="F8" s="50">
        <f t="shared" si="0"/>
        <v>0</v>
      </c>
      <c r="G8" s="50">
        <f t="shared" si="0"/>
        <v>1331782301.29</v>
      </c>
      <c r="H8" s="50">
        <f t="shared" si="0"/>
        <v>1149750160</v>
      </c>
      <c r="I8" s="50">
        <f t="shared" si="0"/>
        <v>182032141.29000005</v>
      </c>
      <c r="J8" s="343">
        <f t="shared" ref="J8:J38" si="1">IF(I8=0,"",I8/H8)</f>
        <v>0.15832321457559098</v>
      </c>
      <c r="K8" s="194">
        <f>SUM(K9:K19)</f>
        <v>1379700192</v>
      </c>
    </row>
    <row r="9" spans="1:11" ht="12.75" customHeight="1" x14ac:dyDescent="0.25">
      <c r="A9" s="778" t="s">
        <v>988</v>
      </c>
      <c r="B9" s="169"/>
      <c r="C9" s="779">
        <v>922589000</v>
      </c>
      <c r="D9" s="780">
        <v>1007763000</v>
      </c>
      <c r="E9" s="734">
        <v>1181763000</v>
      </c>
      <c r="F9" s="734">
        <v>0</v>
      </c>
      <c r="G9" s="734">
        <v>1137566000</v>
      </c>
      <c r="H9" s="734">
        <f>E9/12*10</f>
        <v>984802500</v>
      </c>
      <c r="I9" s="514">
        <f t="shared" ref="I9:I19" si="2">G9-H9</f>
        <v>152763500</v>
      </c>
      <c r="J9" s="552">
        <f t="shared" si="1"/>
        <v>0.15512095064746484</v>
      </c>
      <c r="K9" s="736">
        <f>E9</f>
        <v>1181763000</v>
      </c>
    </row>
    <row r="10" spans="1:11" ht="12.75" customHeight="1" x14ac:dyDescent="0.25">
      <c r="A10" s="778" t="s">
        <v>1673</v>
      </c>
      <c r="B10" s="169"/>
      <c r="C10" s="748">
        <v>4201000</v>
      </c>
      <c r="D10" s="745">
        <v>9527000</v>
      </c>
      <c r="E10" s="733">
        <v>9527000</v>
      </c>
      <c r="F10" s="733">
        <v>0</v>
      </c>
      <c r="G10" s="733">
        <v>9527000</v>
      </c>
      <c r="H10" s="733">
        <f t="shared" ref="H10:H19" si="3">E10/12*10</f>
        <v>7939166.666666666</v>
      </c>
      <c r="I10" s="44">
        <f t="shared" ref="I10:I13" si="4">G10-H10</f>
        <v>1587833.333333334</v>
      </c>
      <c r="J10" s="124">
        <f t="shared" ref="J10:J13" si="5">IF(I10=0,"",I10/H10)</f>
        <v>0.20000000000000009</v>
      </c>
      <c r="K10" s="735">
        <f t="shared" ref="K10:K19" si="6">E10</f>
        <v>9527000</v>
      </c>
    </row>
    <row r="11" spans="1:11" ht="12.75" customHeight="1" x14ac:dyDescent="0.25">
      <c r="A11" s="778" t="s">
        <v>1589</v>
      </c>
      <c r="B11" s="169"/>
      <c r="C11" s="748">
        <v>19218000</v>
      </c>
      <c r="D11" s="745">
        <v>49000000</v>
      </c>
      <c r="E11" s="733">
        <v>29000000</v>
      </c>
      <c r="F11" s="733">
        <v>0</v>
      </c>
      <c r="G11" s="733">
        <v>29000000</v>
      </c>
      <c r="H11" s="733">
        <f t="shared" si="3"/>
        <v>24166666.666666664</v>
      </c>
      <c r="I11" s="44">
        <f t="shared" si="4"/>
        <v>4833333.3333333358</v>
      </c>
      <c r="J11" s="124">
        <f t="shared" si="5"/>
        <v>0.20000000000000012</v>
      </c>
      <c r="K11" s="735">
        <f t="shared" si="6"/>
        <v>29000000</v>
      </c>
    </row>
    <row r="12" spans="1:11" ht="12.75" customHeight="1" x14ac:dyDescent="0.25">
      <c r="A12" s="778" t="s">
        <v>1674</v>
      </c>
      <c r="B12" s="169"/>
      <c r="C12" s="748">
        <v>2500000</v>
      </c>
      <c r="D12" s="745">
        <v>2500000</v>
      </c>
      <c r="E12" s="733">
        <v>2500000</v>
      </c>
      <c r="F12" s="733">
        <v>0</v>
      </c>
      <c r="G12" s="733">
        <v>2500000</v>
      </c>
      <c r="H12" s="733">
        <f t="shared" si="3"/>
        <v>2083333.3333333335</v>
      </c>
      <c r="I12" s="44">
        <f t="shared" si="4"/>
        <v>416666.66666666651</v>
      </c>
      <c r="J12" s="124">
        <f t="shared" si="5"/>
        <v>0.1999999999999999</v>
      </c>
      <c r="K12" s="735">
        <f t="shared" si="6"/>
        <v>2500000</v>
      </c>
    </row>
    <row r="13" spans="1:11" ht="12.75" customHeight="1" x14ac:dyDescent="0.25">
      <c r="A13" s="778" t="s">
        <v>1581</v>
      </c>
      <c r="B13" s="169"/>
      <c r="C13" s="748">
        <v>110920500</v>
      </c>
      <c r="D13" s="745">
        <v>47860150</v>
      </c>
      <c r="E13" s="733">
        <v>48660150</v>
      </c>
      <c r="F13" s="733">
        <v>0</v>
      </c>
      <c r="G13" s="733">
        <v>48660150</v>
      </c>
      <c r="H13" s="733">
        <f t="shared" si="3"/>
        <v>40550125</v>
      </c>
      <c r="I13" s="44">
        <f t="shared" si="4"/>
        <v>8110025</v>
      </c>
      <c r="J13" s="124">
        <f t="shared" si="5"/>
        <v>0.2</v>
      </c>
      <c r="K13" s="735">
        <f t="shared" si="6"/>
        <v>48660150</v>
      </c>
    </row>
    <row r="14" spans="1:11" ht="12.75" customHeight="1" x14ac:dyDescent="0.25">
      <c r="A14" s="778" t="s">
        <v>1582</v>
      </c>
      <c r="B14" s="169">
        <v>3</v>
      </c>
      <c r="C14" s="748">
        <v>97898000</v>
      </c>
      <c r="D14" s="745">
        <v>64500000</v>
      </c>
      <c r="E14" s="733">
        <v>101393151</v>
      </c>
      <c r="F14" s="733">
        <v>0</v>
      </c>
      <c r="G14" s="733">
        <v>98326151.290000021</v>
      </c>
      <c r="H14" s="733">
        <f t="shared" si="3"/>
        <v>84494292.5</v>
      </c>
      <c r="I14" s="44">
        <f t="shared" si="2"/>
        <v>13831858.790000021</v>
      </c>
      <c r="J14" s="124">
        <f t="shared" si="1"/>
        <v>0.16370169369724022</v>
      </c>
      <c r="K14" s="735">
        <f t="shared" si="6"/>
        <v>101393151</v>
      </c>
    </row>
    <row r="15" spans="1:11" ht="12.75" customHeight="1" x14ac:dyDescent="0.25">
      <c r="A15" s="778" t="s">
        <v>1583</v>
      </c>
      <c r="B15" s="169"/>
      <c r="C15" s="748">
        <v>5111000</v>
      </c>
      <c r="D15" s="745">
        <v>6278000</v>
      </c>
      <c r="E15" s="733">
        <v>6203000</v>
      </c>
      <c r="F15" s="733">
        <v>0</v>
      </c>
      <c r="G15" s="733">
        <v>6203000</v>
      </c>
      <c r="H15" s="733">
        <f t="shared" si="3"/>
        <v>5169166.666666667</v>
      </c>
      <c r="I15" s="44">
        <f t="shared" si="2"/>
        <v>1033833.333333333</v>
      </c>
      <c r="J15" s="124">
        <f t="shared" si="1"/>
        <v>0.19999999999999993</v>
      </c>
      <c r="K15" s="735">
        <f t="shared" si="6"/>
        <v>6203000</v>
      </c>
    </row>
    <row r="16" spans="1:11" ht="12.75" customHeight="1" x14ac:dyDescent="0.25">
      <c r="A16" s="778" t="s">
        <v>992</v>
      </c>
      <c r="B16" s="169"/>
      <c r="C16" s="748">
        <v>8000000</v>
      </c>
      <c r="D16" s="745">
        <v>0</v>
      </c>
      <c r="E16" s="733">
        <v>0</v>
      </c>
      <c r="F16" s="733">
        <v>0</v>
      </c>
      <c r="G16" s="733">
        <v>0</v>
      </c>
      <c r="H16" s="733">
        <f t="shared" si="3"/>
        <v>0</v>
      </c>
      <c r="I16" s="44">
        <f t="shared" si="2"/>
        <v>0</v>
      </c>
      <c r="J16" s="124" t="str">
        <f t="shared" si="1"/>
        <v/>
      </c>
      <c r="K16" s="735">
        <f t="shared" si="6"/>
        <v>0</v>
      </c>
    </row>
    <row r="17" spans="1:11" ht="12.75" customHeight="1" x14ac:dyDescent="0.25">
      <c r="A17" s="778" t="s">
        <v>1584</v>
      </c>
      <c r="B17" s="169"/>
      <c r="C17" s="748">
        <v>596000</v>
      </c>
      <c r="D17" s="745">
        <v>0</v>
      </c>
      <c r="E17" s="733">
        <v>0</v>
      </c>
      <c r="F17" s="733">
        <v>0</v>
      </c>
      <c r="G17" s="733">
        <v>0</v>
      </c>
      <c r="H17" s="733">
        <f t="shared" si="3"/>
        <v>0</v>
      </c>
      <c r="I17" s="44">
        <f t="shared" si="2"/>
        <v>0</v>
      </c>
      <c r="J17" s="124" t="str">
        <f t="shared" si="1"/>
        <v/>
      </c>
      <c r="K17" s="735">
        <f t="shared" si="6"/>
        <v>0</v>
      </c>
    </row>
    <row r="18" spans="1:11" ht="12.75" customHeight="1" x14ac:dyDescent="0.25">
      <c r="A18" s="778" t="s">
        <v>992</v>
      </c>
      <c r="B18" s="169"/>
      <c r="C18" s="748">
        <v>0</v>
      </c>
      <c r="D18" s="745">
        <v>0</v>
      </c>
      <c r="E18" s="733">
        <v>653891</v>
      </c>
      <c r="F18" s="733">
        <v>0</v>
      </c>
      <c r="G18" s="733">
        <v>0</v>
      </c>
      <c r="H18" s="733">
        <f t="shared" si="3"/>
        <v>544909.16666666663</v>
      </c>
      <c r="I18" s="44">
        <f t="shared" si="2"/>
        <v>-544909.16666666663</v>
      </c>
      <c r="J18" s="124">
        <f t="shared" si="1"/>
        <v>-1</v>
      </c>
      <c r="K18" s="735">
        <f t="shared" si="6"/>
        <v>653891</v>
      </c>
    </row>
    <row r="19" spans="1:11" ht="12.75" customHeight="1" x14ac:dyDescent="0.25">
      <c r="A19" s="778" t="s">
        <v>536</v>
      </c>
      <c r="B19" s="169"/>
      <c r="C19" s="748">
        <v>0</v>
      </c>
      <c r="D19" s="745">
        <v>0</v>
      </c>
      <c r="E19" s="733">
        <v>0</v>
      </c>
      <c r="F19" s="733">
        <v>0</v>
      </c>
      <c r="G19" s="733">
        <v>0</v>
      </c>
      <c r="H19" s="733">
        <f t="shared" si="3"/>
        <v>0</v>
      </c>
      <c r="I19" s="44">
        <f t="shared" si="2"/>
        <v>0</v>
      </c>
      <c r="J19" s="124" t="str">
        <f t="shared" si="1"/>
        <v/>
      </c>
      <c r="K19" s="735">
        <f t="shared" si="6"/>
        <v>0</v>
      </c>
    </row>
    <row r="20" spans="1:11" ht="12.75" customHeight="1" x14ac:dyDescent="0.25">
      <c r="A20" s="106" t="s">
        <v>625</v>
      </c>
      <c r="B20" s="169"/>
      <c r="C20" s="516">
        <f t="shared" ref="C20:I20" si="7">SUM(C21:C26)</f>
        <v>0</v>
      </c>
      <c r="D20" s="475">
        <f t="shared" si="7"/>
        <v>0</v>
      </c>
      <c r="E20" s="430">
        <f t="shared" si="7"/>
        <v>0</v>
      </c>
      <c r="F20" s="430">
        <f t="shared" si="7"/>
        <v>0</v>
      </c>
      <c r="G20" s="430">
        <f t="shared" si="7"/>
        <v>0</v>
      </c>
      <c r="H20" s="430">
        <f t="shared" si="7"/>
        <v>0</v>
      </c>
      <c r="I20" s="430">
        <f t="shared" si="7"/>
        <v>0</v>
      </c>
      <c r="J20" s="553" t="str">
        <f t="shared" si="1"/>
        <v/>
      </c>
      <c r="K20" s="513">
        <f>SUM(K21:K26)</f>
        <v>0</v>
      </c>
    </row>
    <row r="21" spans="1:11" ht="12.75" customHeight="1" x14ac:dyDescent="0.25">
      <c r="A21" s="778"/>
      <c r="B21" s="169"/>
      <c r="C21" s="779">
        <v>0</v>
      </c>
      <c r="D21" s="780">
        <v>0</v>
      </c>
      <c r="E21" s="734">
        <v>0</v>
      </c>
      <c r="F21" s="734">
        <v>0</v>
      </c>
      <c r="G21" s="734">
        <v>0</v>
      </c>
      <c r="H21" s="734">
        <v>0</v>
      </c>
      <c r="I21" s="514">
        <f t="shared" ref="I21:I37" si="8">G21-H21</f>
        <v>0</v>
      </c>
      <c r="J21" s="552" t="str">
        <f t="shared" si="1"/>
        <v/>
      </c>
      <c r="K21" s="736">
        <v>0</v>
      </c>
    </row>
    <row r="22" spans="1:11" ht="12.75" customHeight="1" x14ac:dyDescent="0.25">
      <c r="A22" s="778"/>
      <c r="B22" s="169"/>
      <c r="C22" s="748">
        <v>0</v>
      </c>
      <c r="D22" s="745">
        <v>0</v>
      </c>
      <c r="E22" s="733">
        <v>0</v>
      </c>
      <c r="F22" s="733">
        <v>0</v>
      </c>
      <c r="G22" s="733">
        <v>0</v>
      </c>
      <c r="H22" s="733">
        <v>0</v>
      </c>
      <c r="I22" s="44"/>
      <c r="J22" s="124"/>
      <c r="K22" s="735">
        <v>0</v>
      </c>
    </row>
    <row r="23" spans="1:11" ht="12.75" customHeight="1" x14ac:dyDescent="0.25">
      <c r="A23" s="778"/>
      <c r="B23" s="169"/>
      <c r="C23" s="748">
        <v>0</v>
      </c>
      <c r="D23" s="745">
        <v>0</v>
      </c>
      <c r="E23" s="733">
        <v>0</v>
      </c>
      <c r="F23" s="733">
        <v>0</v>
      </c>
      <c r="G23" s="733">
        <v>0</v>
      </c>
      <c r="H23" s="733">
        <v>0</v>
      </c>
      <c r="I23" s="44">
        <f t="shared" si="8"/>
        <v>0</v>
      </c>
      <c r="J23" s="124" t="str">
        <f t="shared" si="1"/>
        <v/>
      </c>
      <c r="K23" s="735">
        <v>0</v>
      </c>
    </row>
    <row r="24" spans="1:11" ht="12.75" customHeight="1" x14ac:dyDescent="0.25">
      <c r="A24" s="778"/>
      <c r="B24" s="169">
        <v>4</v>
      </c>
      <c r="C24" s="748">
        <v>0</v>
      </c>
      <c r="D24" s="745">
        <v>0</v>
      </c>
      <c r="E24" s="733">
        <v>0</v>
      </c>
      <c r="F24" s="733">
        <v>0</v>
      </c>
      <c r="G24" s="733">
        <v>0</v>
      </c>
      <c r="H24" s="733">
        <v>0</v>
      </c>
      <c r="I24" s="44">
        <f t="shared" si="8"/>
        <v>0</v>
      </c>
      <c r="J24" s="124" t="str">
        <f t="shared" si="1"/>
        <v/>
      </c>
      <c r="K24" s="735">
        <v>0</v>
      </c>
    </row>
    <row r="25" spans="1:11" ht="12.75" customHeight="1" x14ac:dyDescent="0.25">
      <c r="A25" s="778"/>
      <c r="B25" s="169"/>
      <c r="C25" s="748">
        <v>0</v>
      </c>
      <c r="D25" s="745">
        <v>0</v>
      </c>
      <c r="E25" s="733">
        <v>0</v>
      </c>
      <c r="F25" s="733">
        <v>0</v>
      </c>
      <c r="G25" s="733">
        <v>0</v>
      </c>
      <c r="H25" s="733">
        <v>0</v>
      </c>
      <c r="I25" s="44">
        <f t="shared" si="8"/>
        <v>0</v>
      </c>
      <c r="J25" s="124" t="str">
        <f t="shared" si="1"/>
        <v/>
      </c>
      <c r="K25" s="735">
        <v>0</v>
      </c>
    </row>
    <row r="26" spans="1:11" ht="12.75" customHeight="1" x14ac:dyDescent="0.25">
      <c r="A26" s="778" t="s">
        <v>536</v>
      </c>
      <c r="B26" s="169"/>
      <c r="C26" s="748">
        <v>0</v>
      </c>
      <c r="D26" s="745">
        <v>0</v>
      </c>
      <c r="E26" s="733">
        <v>0</v>
      </c>
      <c r="F26" s="733">
        <v>0</v>
      </c>
      <c r="G26" s="733">
        <v>0</v>
      </c>
      <c r="H26" s="733">
        <v>0</v>
      </c>
      <c r="I26" s="44">
        <f t="shared" si="8"/>
        <v>0</v>
      </c>
      <c r="J26" s="124" t="str">
        <f t="shared" si="1"/>
        <v/>
      </c>
      <c r="K26" s="735">
        <v>0</v>
      </c>
    </row>
    <row r="27" spans="1:11" ht="12.75" customHeight="1" x14ac:dyDescent="0.25">
      <c r="A27" s="106" t="s">
        <v>519</v>
      </c>
      <c r="B27" s="169"/>
      <c r="C27" s="516">
        <f t="shared" ref="C27:H27" si="9">SUM(C28:C29)</f>
        <v>0</v>
      </c>
      <c r="D27" s="475">
        <f t="shared" si="9"/>
        <v>0</v>
      </c>
      <c r="E27" s="430">
        <f t="shared" si="9"/>
        <v>0</v>
      </c>
      <c r="F27" s="430">
        <f t="shared" si="9"/>
        <v>0</v>
      </c>
      <c r="G27" s="430">
        <f t="shared" si="9"/>
        <v>0</v>
      </c>
      <c r="H27" s="430">
        <f t="shared" si="9"/>
        <v>0</v>
      </c>
      <c r="I27" s="514">
        <f t="shared" si="8"/>
        <v>0</v>
      </c>
      <c r="J27" s="552" t="str">
        <f t="shared" si="1"/>
        <v/>
      </c>
      <c r="K27" s="513">
        <f>SUM(K28:K29)</f>
        <v>0</v>
      </c>
    </row>
    <row r="28" spans="1:11" ht="12.75" customHeight="1" x14ac:dyDescent="0.25">
      <c r="A28" s="781" t="s">
        <v>569</v>
      </c>
      <c r="B28" s="169"/>
      <c r="C28" s="783"/>
      <c r="D28" s="784"/>
      <c r="E28" s="737"/>
      <c r="F28" s="737"/>
      <c r="G28" s="737"/>
      <c r="H28" s="737"/>
      <c r="I28" s="514">
        <f t="shared" si="8"/>
        <v>0</v>
      </c>
      <c r="J28" s="552" t="str">
        <f t="shared" si="1"/>
        <v/>
      </c>
      <c r="K28" s="738"/>
    </row>
    <row r="29" spans="1:11" ht="12.75" customHeight="1" x14ac:dyDescent="0.25">
      <c r="A29" s="782"/>
      <c r="B29" s="169"/>
      <c r="C29" s="748"/>
      <c r="D29" s="745"/>
      <c r="E29" s="733"/>
      <c r="F29" s="733"/>
      <c r="G29" s="733"/>
      <c r="H29" s="733"/>
      <c r="I29" s="44">
        <f t="shared" si="8"/>
        <v>0</v>
      </c>
      <c r="J29" s="124" t="str">
        <f t="shared" si="1"/>
        <v/>
      </c>
      <c r="K29" s="735"/>
    </row>
    <row r="30" spans="1:11" ht="12.75" customHeight="1" x14ac:dyDescent="0.25">
      <c r="A30" s="106" t="s">
        <v>820</v>
      </c>
      <c r="B30" s="169"/>
      <c r="C30" s="516">
        <f t="shared" ref="C30:H30" si="10">SUM(C31:C37)</f>
        <v>0</v>
      </c>
      <c r="D30" s="475">
        <f t="shared" si="10"/>
        <v>0</v>
      </c>
      <c r="E30" s="430">
        <f t="shared" si="10"/>
        <v>0</v>
      </c>
      <c r="F30" s="430">
        <f t="shared" si="10"/>
        <v>0</v>
      </c>
      <c r="G30" s="430">
        <f t="shared" si="10"/>
        <v>0</v>
      </c>
      <c r="H30" s="430">
        <f t="shared" si="10"/>
        <v>0</v>
      </c>
      <c r="I30" s="514">
        <f t="shared" si="8"/>
        <v>0</v>
      </c>
      <c r="J30" s="552" t="str">
        <f t="shared" si="1"/>
        <v/>
      </c>
      <c r="K30" s="513">
        <f>SUM(K31:K37)</f>
        <v>0</v>
      </c>
    </row>
    <row r="31" spans="1:11" ht="12.75" customHeight="1" x14ac:dyDescent="0.25">
      <c r="A31" s="781" t="s">
        <v>569</v>
      </c>
      <c r="B31" s="169"/>
      <c r="C31" s="783">
        <v>0</v>
      </c>
      <c r="D31" s="784">
        <v>0</v>
      </c>
      <c r="E31" s="737">
        <v>0</v>
      </c>
      <c r="F31" s="737">
        <v>0</v>
      </c>
      <c r="G31" s="737">
        <v>0</v>
      </c>
      <c r="H31" s="737">
        <v>0</v>
      </c>
      <c r="I31" s="514">
        <f t="shared" si="8"/>
        <v>0</v>
      </c>
      <c r="J31" s="552" t="str">
        <f t="shared" si="1"/>
        <v/>
      </c>
      <c r="K31" s="738"/>
    </row>
    <row r="32" spans="1:11" ht="12.75" customHeight="1" x14ac:dyDescent="0.25">
      <c r="A32" s="785"/>
      <c r="B32" s="169"/>
      <c r="C32" s="786">
        <v>0</v>
      </c>
      <c r="D32" s="787">
        <v>0</v>
      </c>
      <c r="E32" s="788">
        <v>0</v>
      </c>
      <c r="F32" s="788">
        <v>0</v>
      </c>
      <c r="G32" s="788">
        <v>0</v>
      </c>
      <c r="H32" s="788">
        <v>0</v>
      </c>
      <c r="I32" s="44"/>
      <c r="J32" s="124"/>
      <c r="K32" s="789"/>
    </row>
    <row r="33" spans="1:11" ht="12.75" customHeight="1" x14ac:dyDescent="0.25">
      <c r="A33" s="785"/>
      <c r="B33" s="169"/>
      <c r="C33" s="786">
        <v>0</v>
      </c>
      <c r="D33" s="787">
        <v>0</v>
      </c>
      <c r="E33" s="788">
        <v>0</v>
      </c>
      <c r="F33" s="788">
        <v>0</v>
      </c>
      <c r="G33" s="788">
        <v>0</v>
      </c>
      <c r="H33" s="788">
        <v>0</v>
      </c>
      <c r="I33" s="44"/>
      <c r="J33" s="124"/>
      <c r="K33" s="789"/>
    </row>
    <row r="34" spans="1:11" ht="12.75" customHeight="1" x14ac:dyDescent="0.25">
      <c r="A34" s="785"/>
      <c r="B34" s="169"/>
      <c r="C34" s="786">
        <v>0</v>
      </c>
      <c r="D34" s="787">
        <v>0</v>
      </c>
      <c r="E34" s="788">
        <v>0</v>
      </c>
      <c r="F34" s="788">
        <v>0</v>
      </c>
      <c r="G34" s="788">
        <v>0</v>
      </c>
      <c r="H34" s="788">
        <v>0</v>
      </c>
      <c r="I34" s="44"/>
      <c r="J34" s="124"/>
      <c r="K34" s="789"/>
    </row>
    <row r="35" spans="1:11" ht="12.75" customHeight="1" x14ac:dyDescent="0.25">
      <c r="A35" s="785"/>
      <c r="B35" s="169"/>
      <c r="C35" s="786"/>
      <c r="D35" s="787">
        <v>0</v>
      </c>
      <c r="E35" s="788">
        <v>0</v>
      </c>
      <c r="F35" s="788">
        <v>0</v>
      </c>
      <c r="G35" s="788">
        <v>0</v>
      </c>
      <c r="H35" s="788">
        <v>0</v>
      </c>
      <c r="I35" s="44"/>
      <c r="J35" s="124"/>
      <c r="K35" s="789"/>
    </row>
    <row r="36" spans="1:11" ht="12.75" customHeight="1" x14ac:dyDescent="0.25">
      <c r="A36" s="785"/>
      <c r="B36" s="169"/>
      <c r="C36" s="786"/>
      <c r="D36" s="787">
        <v>0</v>
      </c>
      <c r="E36" s="788">
        <v>0</v>
      </c>
      <c r="F36" s="788">
        <v>0</v>
      </c>
      <c r="G36" s="788">
        <v>0</v>
      </c>
      <c r="H36" s="788">
        <v>0</v>
      </c>
      <c r="I36" s="44"/>
      <c r="J36" s="124"/>
      <c r="K36" s="789"/>
    </row>
    <row r="37" spans="1:11" ht="12.75" customHeight="1" x14ac:dyDescent="0.25">
      <c r="A37" s="782"/>
      <c r="B37" s="169"/>
      <c r="C37" s="748"/>
      <c r="D37" s="787">
        <v>0</v>
      </c>
      <c r="E37" s="788">
        <v>0</v>
      </c>
      <c r="F37" s="788">
        <v>0</v>
      </c>
      <c r="G37" s="788">
        <v>0</v>
      </c>
      <c r="H37" s="788">
        <v>0</v>
      </c>
      <c r="I37" s="44">
        <f t="shared" si="8"/>
        <v>0</v>
      </c>
      <c r="J37" s="124" t="str">
        <f t="shared" si="1"/>
        <v/>
      </c>
      <c r="K37" s="735"/>
    </row>
    <row r="38" spans="1:11" ht="12.75" customHeight="1" x14ac:dyDescent="0.25">
      <c r="A38" s="558" t="s">
        <v>62</v>
      </c>
      <c r="B38" s="233">
        <v>5</v>
      </c>
      <c r="C38" s="243">
        <f t="shared" ref="C38:I38" si="11">C8+C20+C27+C30</f>
        <v>1171033500</v>
      </c>
      <c r="D38" s="74">
        <f t="shared" si="11"/>
        <v>1187428150</v>
      </c>
      <c r="E38" s="73">
        <f t="shared" si="11"/>
        <v>1379700192</v>
      </c>
      <c r="F38" s="73">
        <f t="shared" si="11"/>
        <v>0</v>
      </c>
      <c r="G38" s="73">
        <f t="shared" si="11"/>
        <v>1331782301.29</v>
      </c>
      <c r="H38" s="73">
        <f t="shared" si="11"/>
        <v>1149750160</v>
      </c>
      <c r="I38" s="73">
        <f t="shared" si="11"/>
        <v>182032141.29000005</v>
      </c>
      <c r="J38" s="304">
        <f t="shared" si="1"/>
        <v>0.15832321457559098</v>
      </c>
      <c r="K38" s="145">
        <f>K8+K20+K27+K30</f>
        <v>1379700192</v>
      </c>
    </row>
    <row r="39" spans="1:11" ht="5.0999999999999996" customHeight="1" x14ac:dyDescent="0.25">
      <c r="A39" s="42"/>
      <c r="B39" s="169"/>
      <c r="C39" s="134"/>
      <c r="D39" s="46"/>
      <c r="E39" s="44"/>
      <c r="F39" s="44"/>
      <c r="G39" s="44"/>
      <c r="H39" s="44"/>
      <c r="I39" s="44"/>
      <c r="J39" s="124"/>
      <c r="K39" s="144"/>
    </row>
    <row r="40" spans="1:11" ht="12.75" customHeight="1" x14ac:dyDescent="0.25">
      <c r="A40" s="549" t="s">
        <v>63</v>
      </c>
      <c r="B40" s="169"/>
      <c r="C40" s="134"/>
      <c r="D40" s="46"/>
      <c r="E40" s="44"/>
      <c r="F40" s="44"/>
      <c r="G40" s="44"/>
      <c r="H40" s="44"/>
      <c r="I40" s="44"/>
      <c r="J40" s="124"/>
      <c r="K40" s="144"/>
    </row>
    <row r="41" spans="1:11" ht="18" customHeight="1" x14ac:dyDescent="0.25">
      <c r="A41" s="106" t="str">
        <f>A8</f>
        <v>National Government:</v>
      </c>
      <c r="B41" s="169"/>
      <c r="C41" s="134">
        <f t="shared" ref="C41:K41" si="12">SUM(C42:C51)</f>
        <v>1291265500</v>
      </c>
      <c r="D41" s="46">
        <f t="shared" si="12"/>
        <v>874054850</v>
      </c>
      <c r="E41" s="44">
        <f t="shared" si="12"/>
        <v>847589339</v>
      </c>
      <c r="F41" s="44">
        <f t="shared" si="12"/>
        <v>0</v>
      </c>
      <c r="G41" s="44">
        <f t="shared" si="12"/>
        <v>836017339</v>
      </c>
      <c r="H41" s="44">
        <f t="shared" si="12"/>
        <v>706324449.16666663</v>
      </c>
      <c r="I41" s="44">
        <f t="shared" si="12"/>
        <v>129692889.83333336</v>
      </c>
      <c r="J41" s="343">
        <f t="shared" ref="J41:J71" si="13">IF(I41=0,"",I41/H41)</f>
        <v>0.18361659430924018</v>
      </c>
      <c r="K41" s="144">
        <f t="shared" si="12"/>
        <v>847589339</v>
      </c>
    </row>
    <row r="42" spans="1:11" ht="12.75" customHeight="1" x14ac:dyDescent="0.25">
      <c r="A42" s="778" t="s">
        <v>1582</v>
      </c>
      <c r="B42" s="169"/>
      <c r="C42" s="779">
        <v>234535000</v>
      </c>
      <c r="D42" s="780">
        <v>124792000</v>
      </c>
      <c r="E42" s="734">
        <v>117637653</v>
      </c>
      <c r="F42" s="734">
        <v>0</v>
      </c>
      <c r="G42" s="734">
        <v>117637653</v>
      </c>
      <c r="H42" s="734">
        <f t="shared" ref="H42:H48" si="14">E42/12*10</f>
        <v>98031377.5</v>
      </c>
      <c r="I42" s="514">
        <f t="shared" ref="I42:I51" si="15">G42-H42</f>
        <v>19606275.5</v>
      </c>
      <c r="J42" s="552">
        <f t="shared" si="13"/>
        <v>0.2</v>
      </c>
      <c r="K42" s="736">
        <f>E42</f>
        <v>117637653</v>
      </c>
    </row>
    <row r="43" spans="1:11" ht="12.75" customHeight="1" x14ac:dyDescent="0.25">
      <c r="A43" s="778" t="s">
        <v>1585</v>
      </c>
      <c r="B43" s="169"/>
      <c r="C43" s="748">
        <v>630998000</v>
      </c>
      <c r="D43" s="745">
        <v>361157000</v>
      </c>
      <c r="E43" s="733">
        <v>300358779</v>
      </c>
      <c r="F43" s="733">
        <v>0</v>
      </c>
      <c r="G43" s="733">
        <v>300358779</v>
      </c>
      <c r="H43" s="733">
        <f t="shared" si="14"/>
        <v>250298982.5</v>
      </c>
      <c r="I43" s="44">
        <f t="shared" ref="I43:I46" si="16">G43-H43</f>
        <v>50059796.5</v>
      </c>
      <c r="J43" s="124">
        <f t="shared" ref="J43:J46" si="17">IF(I43=0,"",I43/H43)</f>
        <v>0.2</v>
      </c>
      <c r="K43" s="735">
        <f t="shared" ref="K43:K48" si="18">E43</f>
        <v>300358779</v>
      </c>
    </row>
    <row r="44" spans="1:11" ht="12.75" customHeight="1" x14ac:dyDescent="0.25">
      <c r="A44" s="778" t="s">
        <v>1586</v>
      </c>
      <c r="B44" s="169"/>
      <c r="C44" s="748">
        <v>42813000</v>
      </c>
      <c r="D44" s="745">
        <v>35000000</v>
      </c>
      <c r="E44" s="733">
        <v>31500000</v>
      </c>
      <c r="F44" s="733">
        <v>0</v>
      </c>
      <c r="G44" s="733">
        <v>19928000</v>
      </c>
      <c r="H44" s="733">
        <f t="shared" si="14"/>
        <v>26250000</v>
      </c>
      <c r="I44" s="44">
        <f t="shared" si="16"/>
        <v>-6322000</v>
      </c>
      <c r="J44" s="124">
        <f t="shared" si="17"/>
        <v>-0.24083809523809524</v>
      </c>
      <c r="K44" s="735">
        <f t="shared" si="18"/>
        <v>31500000</v>
      </c>
    </row>
    <row r="45" spans="1:11" ht="12.75" customHeight="1" x14ac:dyDescent="0.25">
      <c r="A45" s="778" t="s">
        <v>1587</v>
      </c>
      <c r="B45" s="169"/>
      <c r="C45" s="748">
        <v>96650000</v>
      </c>
      <c r="D45" s="745">
        <v>50000000</v>
      </c>
      <c r="E45" s="733">
        <v>58067286</v>
      </c>
      <c r="F45" s="733">
        <v>0</v>
      </c>
      <c r="G45" s="733">
        <v>58067286</v>
      </c>
      <c r="H45" s="733">
        <f t="shared" si="14"/>
        <v>48389405</v>
      </c>
      <c r="I45" s="44">
        <f t="shared" si="16"/>
        <v>9677881</v>
      </c>
      <c r="J45" s="124">
        <f t="shared" si="17"/>
        <v>0.2</v>
      </c>
      <c r="K45" s="735">
        <f t="shared" si="18"/>
        <v>58067286</v>
      </c>
    </row>
    <row r="46" spans="1:11" ht="12.75" customHeight="1" x14ac:dyDescent="0.25">
      <c r="A46" s="778" t="s">
        <v>1588</v>
      </c>
      <c r="B46" s="169"/>
      <c r="C46" s="748">
        <v>267369500</v>
      </c>
      <c r="D46" s="745">
        <v>303105850</v>
      </c>
      <c r="E46" s="733">
        <v>297987850</v>
      </c>
      <c r="F46" s="733">
        <v>0</v>
      </c>
      <c r="G46" s="733">
        <v>297987850</v>
      </c>
      <c r="H46" s="733">
        <f t="shared" si="14"/>
        <v>248323208.33333331</v>
      </c>
      <c r="I46" s="44">
        <f t="shared" si="16"/>
        <v>49664641.666666687</v>
      </c>
      <c r="J46" s="124">
        <f t="shared" si="17"/>
        <v>0.20000000000000009</v>
      </c>
      <c r="K46" s="735">
        <f t="shared" si="18"/>
        <v>297987850</v>
      </c>
    </row>
    <row r="47" spans="1:11" ht="12.75" customHeight="1" x14ac:dyDescent="0.25">
      <c r="A47" s="778" t="s">
        <v>1589</v>
      </c>
      <c r="B47" s="169"/>
      <c r="C47" s="748">
        <v>18900000</v>
      </c>
      <c r="D47" s="745">
        <v>0</v>
      </c>
      <c r="E47" s="733">
        <v>17337771</v>
      </c>
      <c r="F47" s="733">
        <v>0</v>
      </c>
      <c r="G47" s="733">
        <v>17337771</v>
      </c>
      <c r="H47" s="733">
        <f t="shared" si="14"/>
        <v>14448142.5</v>
      </c>
      <c r="I47" s="44">
        <f t="shared" si="15"/>
        <v>2889628.5</v>
      </c>
      <c r="J47" s="124">
        <f t="shared" si="13"/>
        <v>0.2</v>
      </c>
      <c r="K47" s="735">
        <f t="shared" si="18"/>
        <v>17337771</v>
      </c>
    </row>
    <row r="48" spans="1:11" ht="12.75" customHeight="1" x14ac:dyDescent="0.25">
      <c r="A48" s="778" t="s">
        <v>50</v>
      </c>
      <c r="B48" s="169"/>
      <c r="C48" s="748">
        <v>0</v>
      </c>
      <c r="D48" s="745">
        <v>0</v>
      </c>
      <c r="E48" s="733">
        <v>24700000</v>
      </c>
      <c r="F48" s="733">
        <v>0</v>
      </c>
      <c r="G48" s="733">
        <v>24700000</v>
      </c>
      <c r="H48" s="733">
        <f t="shared" si="14"/>
        <v>20583333.333333332</v>
      </c>
      <c r="I48" s="44">
        <f t="shared" si="15"/>
        <v>4116666.6666666679</v>
      </c>
      <c r="J48" s="124">
        <f t="shared" si="13"/>
        <v>0.20000000000000007</v>
      </c>
      <c r="K48" s="735">
        <f t="shared" si="18"/>
        <v>24700000</v>
      </c>
    </row>
    <row r="49" spans="1:11" ht="12.75" customHeight="1" x14ac:dyDescent="0.25">
      <c r="A49" s="778"/>
      <c r="B49" s="169"/>
      <c r="C49" s="748">
        <v>0</v>
      </c>
      <c r="D49" s="745">
        <v>0</v>
      </c>
      <c r="E49" s="733">
        <v>0</v>
      </c>
      <c r="F49" s="733">
        <v>0</v>
      </c>
      <c r="G49" s="733">
        <v>0</v>
      </c>
      <c r="H49" s="733">
        <f t="shared" ref="H49" si="19">E49/12*9</f>
        <v>0</v>
      </c>
      <c r="I49" s="44">
        <f t="shared" si="15"/>
        <v>0</v>
      </c>
      <c r="J49" s="124" t="str">
        <f t="shared" si="13"/>
        <v/>
      </c>
      <c r="K49" s="735"/>
    </row>
    <row r="50" spans="1:11" ht="12.75" customHeight="1" x14ac:dyDescent="0.25">
      <c r="A50" s="778"/>
      <c r="B50" s="169"/>
      <c r="C50" s="748">
        <v>0</v>
      </c>
      <c r="D50" s="745">
        <v>0</v>
      </c>
      <c r="E50" s="733">
        <v>0</v>
      </c>
      <c r="F50" s="733">
        <v>0</v>
      </c>
      <c r="G50" s="733">
        <v>0</v>
      </c>
      <c r="H50" s="733">
        <v>0</v>
      </c>
      <c r="I50" s="44">
        <f t="shared" si="15"/>
        <v>0</v>
      </c>
      <c r="J50" s="124" t="str">
        <f t="shared" si="13"/>
        <v/>
      </c>
      <c r="K50" s="735"/>
    </row>
    <row r="51" spans="1:11" ht="12.75" customHeight="1" x14ac:dyDescent="0.25">
      <c r="A51" s="778" t="s">
        <v>537</v>
      </c>
      <c r="B51" s="169"/>
      <c r="C51" s="748">
        <v>0</v>
      </c>
      <c r="D51" s="745">
        <v>0</v>
      </c>
      <c r="E51" s="733">
        <v>0</v>
      </c>
      <c r="F51" s="733">
        <v>0</v>
      </c>
      <c r="G51" s="733">
        <v>0</v>
      </c>
      <c r="H51" s="733">
        <v>0</v>
      </c>
      <c r="I51" s="44">
        <f t="shared" si="15"/>
        <v>0</v>
      </c>
      <c r="J51" s="124" t="str">
        <f t="shared" si="13"/>
        <v/>
      </c>
      <c r="K51" s="735"/>
    </row>
    <row r="52" spans="1:11" ht="12.75" customHeight="1" x14ac:dyDescent="0.25">
      <c r="A52" s="342" t="str">
        <f>A20</f>
        <v>Provincial Government:</v>
      </c>
      <c r="B52" s="169"/>
      <c r="C52" s="516">
        <f t="shared" ref="C52:H52" si="20">SUM(C53:C58)</f>
        <v>0</v>
      </c>
      <c r="D52" s="475">
        <f t="shared" si="20"/>
        <v>0</v>
      </c>
      <c r="E52" s="430">
        <f t="shared" si="20"/>
        <v>0</v>
      </c>
      <c r="F52" s="430">
        <f t="shared" si="20"/>
        <v>0</v>
      </c>
      <c r="G52" s="430">
        <f t="shared" si="20"/>
        <v>0</v>
      </c>
      <c r="H52" s="430">
        <f t="shared" si="20"/>
        <v>0</v>
      </c>
      <c r="I52" s="514">
        <f t="shared" ref="I52:I68" si="21">G52-H52</f>
        <v>0</v>
      </c>
      <c r="J52" s="552" t="str">
        <f>IF(I52=0,"",I52/H52)</f>
        <v/>
      </c>
      <c r="K52" s="513">
        <f>SUM(K53:K58)</f>
        <v>0</v>
      </c>
    </row>
    <row r="53" spans="1:11" ht="12.75" customHeight="1" x14ac:dyDescent="0.25">
      <c r="A53" s="781" t="s">
        <v>569</v>
      </c>
      <c r="B53" s="169"/>
      <c r="C53" s="783"/>
      <c r="D53" s="784"/>
      <c r="E53" s="737"/>
      <c r="F53" s="737"/>
      <c r="G53" s="737"/>
      <c r="H53" s="737"/>
      <c r="I53" s="514">
        <f t="shared" si="21"/>
        <v>0</v>
      </c>
      <c r="J53" s="552" t="str">
        <f>IF(I53=0,"",I53/H53)</f>
        <v/>
      </c>
      <c r="K53" s="738"/>
    </row>
    <row r="54" spans="1:11" ht="12.75" customHeight="1" x14ac:dyDescent="0.25">
      <c r="A54" s="785"/>
      <c r="B54" s="169"/>
      <c r="C54" s="786"/>
      <c r="D54" s="787"/>
      <c r="E54" s="788"/>
      <c r="F54" s="788"/>
      <c r="G54" s="788"/>
      <c r="H54" s="788"/>
      <c r="I54" s="44"/>
      <c r="J54" s="124"/>
      <c r="K54" s="789"/>
    </row>
    <row r="55" spans="1:11" ht="12.75" customHeight="1" x14ac:dyDescent="0.25">
      <c r="A55" s="785"/>
      <c r="B55" s="169"/>
      <c r="C55" s="786"/>
      <c r="D55" s="787"/>
      <c r="E55" s="788"/>
      <c r="F55" s="788"/>
      <c r="G55" s="788"/>
      <c r="H55" s="788"/>
      <c r="I55" s="44"/>
      <c r="J55" s="124"/>
      <c r="K55" s="789"/>
    </row>
    <row r="56" spans="1:11" ht="12.75" customHeight="1" x14ac:dyDescent="0.25">
      <c r="A56" s="785"/>
      <c r="B56" s="169"/>
      <c r="C56" s="786"/>
      <c r="D56" s="787"/>
      <c r="E56" s="788"/>
      <c r="F56" s="788"/>
      <c r="G56" s="788"/>
      <c r="H56" s="788"/>
      <c r="I56" s="44"/>
      <c r="J56" s="124"/>
      <c r="K56" s="789"/>
    </row>
    <row r="57" spans="1:11" ht="12.75" customHeight="1" x14ac:dyDescent="0.25">
      <c r="A57" s="785"/>
      <c r="B57" s="169"/>
      <c r="C57" s="786"/>
      <c r="D57" s="787"/>
      <c r="E57" s="788"/>
      <c r="F57" s="788"/>
      <c r="G57" s="788"/>
      <c r="H57" s="788"/>
      <c r="I57" s="44"/>
      <c r="J57" s="124"/>
      <c r="K57" s="789"/>
    </row>
    <row r="58" spans="1:11" ht="12.75" customHeight="1" x14ac:dyDescent="0.25">
      <c r="A58" s="782"/>
      <c r="B58" s="169"/>
      <c r="C58" s="748"/>
      <c r="D58" s="745"/>
      <c r="E58" s="733"/>
      <c r="F58" s="733"/>
      <c r="G58" s="733"/>
      <c r="H58" s="733"/>
      <c r="I58" s="44">
        <f t="shared" si="21"/>
        <v>0</v>
      </c>
      <c r="J58" s="124" t="str">
        <f t="shared" si="13"/>
        <v/>
      </c>
      <c r="K58" s="735"/>
    </row>
    <row r="59" spans="1:11" ht="12.75" customHeight="1" x14ac:dyDescent="0.25">
      <c r="A59" s="106" t="str">
        <f>A27</f>
        <v>District Municipality:</v>
      </c>
      <c r="B59" s="169"/>
      <c r="C59" s="516">
        <f t="shared" ref="C59:H59" si="22">SUM(C60:C61)</f>
        <v>0</v>
      </c>
      <c r="D59" s="475">
        <f t="shared" si="22"/>
        <v>0</v>
      </c>
      <c r="E59" s="430">
        <f t="shared" si="22"/>
        <v>0</v>
      </c>
      <c r="F59" s="430">
        <f t="shared" si="22"/>
        <v>0</v>
      </c>
      <c r="G59" s="430">
        <f t="shared" si="22"/>
        <v>0</v>
      </c>
      <c r="H59" s="430">
        <f t="shared" si="22"/>
        <v>0</v>
      </c>
      <c r="I59" s="514">
        <f t="shared" si="21"/>
        <v>0</v>
      </c>
      <c r="J59" s="552" t="str">
        <f t="shared" si="13"/>
        <v/>
      </c>
      <c r="K59" s="513">
        <f>SUM(K60:K61)</f>
        <v>0</v>
      </c>
    </row>
    <row r="60" spans="1:11" ht="12.75" customHeight="1" x14ac:dyDescent="0.25">
      <c r="A60" s="781" t="s">
        <v>569</v>
      </c>
      <c r="B60" s="169"/>
      <c r="C60" s="783"/>
      <c r="D60" s="784"/>
      <c r="E60" s="737"/>
      <c r="F60" s="737"/>
      <c r="G60" s="737"/>
      <c r="H60" s="737"/>
      <c r="I60" s="514">
        <f t="shared" si="21"/>
        <v>0</v>
      </c>
      <c r="J60" s="552" t="str">
        <f t="shared" si="13"/>
        <v/>
      </c>
      <c r="K60" s="738"/>
    </row>
    <row r="61" spans="1:11" ht="12.75" customHeight="1" x14ac:dyDescent="0.25">
      <c r="A61" s="782"/>
      <c r="B61" s="169"/>
      <c r="C61" s="748"/>
      <c r="D61" s="745"/>
      <c r="E61" s="733"/>
      <c r="F61" s="733"/>
      <c r="G61" s="733"/>
      <c r="H61" s="733"/>
      <c r="I61" s="44">
        <f t="shared" si="21"/>
        <v>0</v>
      </c>
      <c r="J61" s="124" t="str">
        <f t="shared" si="13"/>
        <v/>
      </c>
      <c r="K61" s="735"/>
    </row>
    <row r="62" spans="1:11" ht="12.75" customHeight="1" x14ac:dyDescent="0.25">
      <c r="A62" s="106" t="str">
        <f>A30</f>
        <v>Other grant providers:</v>
      </c>
      <c r="B62" s="169"/>
      <c r="C62" s="516">
        <f t="shared" ref="C62:H62" si="23">SUM(C63:C68)</f>
        <v>0</v>
      </c>
      <c r="D62" s="475">
        <f t="shared" si="23"/>
        <v>0</v>
      </c>
      <c r="E62" s="430">
        <f t="shared" si="23"/>
        <v>0</v>
      </c>
      <c r="F62" s="430">
        <f t="shared" si="23"/>
        <v>0</v>
      </c>
      <c r="G62" s="430">
        <f t="shared" si="23"/>
        <v>0</v>
      </c>
      <c r="H62" s="430">
        <f t="shared" si="23"/>
        <v>0</v>
      </c>
      <c r="I62" s="514">
        <f t="shared" si="21"/>
        <v>0</v>
      </c>
      <c r="J62" s="552" t="str">
        <f t="shared" si="13"/>
        <v/>
      </c>
      <c r="K62" s="513">
        <f>SUM(K63:K68)</f>
        <v>0</v>
      </c>
    </row>
    <row r="63" spans="1:11" ht="12.75" customHeight="1" x14ac:dyDescent="0.25">
      <c r="A63" s="781" t="s">
        <v>569</v>
      </c>
      <c r="B63" s="169"/>
      <c r="C63" s="783"/>
      <c r="D63" s="784"/>
      <c r="E63" s="737"/>
      <c r="F63" s="737"/>
      <c r="G63" s="737"/>
      <c r="H63" s="737"/>
      <c r="I63" s="514">
        <f t="shared" si="21"/>
        <v>0</v>
      </c>
      <c r="J63" s="552" t="str">
        <f>IF(I63=0,"",I63/H63)</f>
        <v/>
      </c>
      <c r="K63" s="738"/>
    </row>
    <row r="64" spans="1:11" ht="12.75" customHeight="1" x14ac:dyDescent="0.25">
      <c r="A64" s="785"/>
      <c r="B64" s="169"/>
      <c r="C64" s="786"/>
      <c r="D64" s="787"/>
      <c r="E64" s="788"/>
      <c r="F64" s="788"/>
      <c r="G64" s="788"/>
      <c r="H64" s="788"/>
      <c r="I64" s="44"/>
      <c r="J64" s="124"/>
      <c r="K64" s="789"/>
    </row>
    <row r="65" spans="1:11" ht="12.75" customHeight="1" x14ac:dyDescent="0.25">
      <c r="A65" s="785"/>
      <c r="B65" s="169"/>
      <c r="C65" s="786"/>
      <c r="D65" s="787"/>
      <c r="E65" s="788"/>
      <c r="F65" s="788"/>
      <c r="G65" s="788"/>
      <c r="H65" s="788"/>
      <c r="I65" s="44"/>
      <c r="J65" s="124"/>
      <c r="K65" s="789"/>
    </row>
    <row r="66" spans="1:11" ht="12.75" customHeight="1" x14ac:dyDescent="0.25">
      <c r="A66" s="785"/>
      <c r="B66" s="169"/>
      <c r="C66" s="786"/>
      <c r="D66" s="787"/>
      <c r="E66" s="788"/>
      <c r="F66" s="788"/>
      <c r="G66" s="788"/>
      <c r="H66" s="788"/>
      <c r="I66" s="44"/>
      <c r="J66" s="124"/>
      <c r="K66" s="789"/>
    </row>
    <row r="67" spans="1:11" ht="12.75" customHeight="1" x14ac:dyDescent="0.25">
      <c r="A67" s="785"/>
      <c r="B67" s="169"/>
      <c r="C67" s="786"/>
      <c r="D67" s="787"/>
      <c r="E67" s="788"/>
      <c r="F67" s="788"/>
      <c r="G67" s="788"/>
      <c r="H67" s="788"/>
      <c r="I67" s="44"/>
      <c r="J67" s="124"/>
      <c r="K67" s="789"/>
    </row>
    <row r="68" spans="1:11" ht="12.75" customHeight="1" x14ac:dyDescent="0.25">
      <c r="A68" s="782"/>
      <c r="B68" s="169"/>
      <c r="C68" s="748"/>
      <c r="D68" s="745"/>
      <c r="E68" s="733"/>
      <c r="F68" s="733"/>
      <c r="G68" s="733"/>
      <c r="H68" s="733"/>
      <c r="I68" s="44">
        <f t="shared" si="21"/>
        <v>0</v>
      </c>
      <c r="J68" s="124" t="str">
        <f t="shared" si="13"/>
        <v/>
      </c>
      <c r="K68" s="1003"/>
    </row>
    <row r="69" spans="1:11" ht="12.75" customHeight="1" x14ac:dyDescent="0.25">
      <c r="A69" s="557" t="s">
        <v>64</v>
      </c>
      <c r="B69" s="309">
        <v>5</v>
      </c>
      <c r="C69" s="516">
        <f>C41+C52+C59+C62</f>
        <v>1291265500</v>
      </c>
      <c r="D69" s="475">
        <f t="shared" ref="D69:K69" si="24">D41+D52+D59+D62</f>
        <v>874054850</v>
      </c>
      <c r="E69" s="430">
        <f t="shared" si="24"/>
        <v>847589339</v>
      </c>
      <c r="F69" s="430">
        <f t="shared" si="24"/>
        <v>0</v>
      </c>
      <c r="G69" s="430">
        <f t="shared" si="24"/>
        <v>836017339</v>
      </c>
      <c r="H69" s="430">
        <f t="shared" si="24"/>
        <v>706324449.16666663</v>
      </c>
      <c r="I69" s="430">
        <f t="shared" si="24"/>
        <v>129692889.83333336</v>
      </c>
      <c r="J69" s="553">
        <f t="shared" si="13"/>
        <v>0.18361659430924018</v>
      </c>
      <c r="K69" s="513">
        <f t="shared" si="24"/>
        <v>847589339</v>
      </c>
    </row>
    <row r="70" spans="1:11" ht="5.0999999999999996" customHeight="1" x14ac:dyDescent="0.25">
      <c r="A70" s="554"/>
      <c r="B70" s="248"/>
      <c r="C70" s="249"/>
      <c r="D70" s="555"/>
      <c r="E70" s="99"/>
      <c r="F70" s="99"/>
      <c r="G70" s="99"/>
      <c r="H70" s="99"/>
      <c r="I70" s="99"/>
      <c r="J70" s="324"/>
      <c r="K70" s="195"/>
    </row>
    <row r="71" spans="1:11" ht="12.75" customHeight="1" x14ac:dyDescent="0.25">
      <c r="A71" s="556" t="s">
        <v>65</v>
      </c>
      <c r="B71" s="236">
        <v>5</v>
      </c>
      <c r="C71" s="160">
        <f t="shared" ref="C71:K71" si="25">C38+C69</f>
        <v>2462299000</v>
      </c>
      <c r="D71" s="305">
        <f t="shared" si="25"/>
        <v>2061483000</v>
      </c>
      <c r="E71" s="306">
        <f t="shared" si="25"/>
        <v>2227289531</v>
      </c>
      <c r="F71" s="306">
        <f t="shared" si="25"/>
        <v>0</v>
      </c>
      <c r="G71" s="306">
        <f t="shared" si="25"/>
        <v>2167799640.29</v>
      </c>
      <c r="H71" s="306">
        <f t="shared" si="25"/>
        <v>1856074609.1666665</v>
      </c>
      <c r="I71" s="306">
        <f t="shared" si="25"/>
        <v>311725031.12333339</v>
      </c>
      <c r="J71" s="307">
        <f t="shared" si="13"/>
        <v>0.16794854559391367</v>
      </c>
      <c r="K71" s="308">
        <f t="shared" si="25"/>
        <v>2227289531</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973</v>
      </c>
      <c r="B73" s="58"/>
      <c r="C73" s="62"/>
      <c r="D73" s="62"/>
      <c r="E73" s="62"/>
      <c r="F73" s="62"/>
      <c r="G73" s="62"/>
      <c r="H73" s="62"/>
      <c r="I73" s="62"/>
      <c r="J73" s="62"/>
      <c r="K73" s="62"/>
    </row>
    <row r="74" spans="1:11" ht="12.75" customHeight="1" x14ac:dyDescent="0.25">
      <c r="A74" s="80" t="s">
        <v>925</v>
      </c>
      <c r="B74" s="58"/>
      <c r="C74" s="62"/>
      <c r="D74" s="62"/>
      <c r="E74" s="62"/>
      <c r="F74" s="62"/>
      <c r="G74" s="62"/>
      <c r="H74" s="62"/>
      <c r="I74" s="62"/>
      <c r="J74" s="62"/>
      <c r="K74" s="62"/>
    </row>
    <row r="75" spans="1:11" ht="12.75" customHeight="1" x14ac:dyDescent="0.25">
      <c r="A75" s="80" t="s">
        <v>819</v>
      </c>
      <c r="B75" s="58"/>
      <c r="C75" s="62"/>
      <c r="D75" s="62"/>
      <c r="E75" s="62"/>
      <c r="F75" s="62"/>
      <c r="G75" s="62"/>
      <c r="H75" s="62"/>
      <c r="I75" s="62"/>
      <c r="J75" s="62"/>
      <c r="K75" s="62"/>
    </row>
    <row r="76" spans="1:11" ht="12.75" customHeight="1" x14ac:dyDescent="0.25">
      <c r="A76" s="60" t="s">
        <v>518</v>
      </c>
      <c r="B76" s="58"/>
      <c r="C76" s="62"/>
      <c r="D76" s="62"/>
      <c r="E76" s="62"/>
      <c r="F76" s="62"/>
      <c r="G76" s="62"/>
      <c r="H76" s="62"/>
      <c r="I76" s="62"/>
      <c r="J76" s="62"/>
      <c r="K76" s="62"/>
    </row>
    <row r="77" spans="1:11" ht="12.75" customHeight="1" x14ac:dyDescent="0.25">
      <c r="A77" s="22" t="s">
        <v>604</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3"/>
  <sheetViews>
    <sheetView showGridLines="0" showZeros="0" zoomScaleNormal="100" workbookViewId="0">
      <pane xSplit="1" ySplit="4" topLeftCell="B25" activePane="bottomRight" state="frozen"/>
      <selection pane="topRight"/>
      <selection pane="bottomLeft"/>
      <selection pane="bottomRight" activeCell="G45" sqref="G45"/>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"&amp;S71M&amp; " - "&amp;Head57</f>
        <v>LIM354 Polokwane - Supporting Table SC7(1) Monthly Budget Statement - transfers and grant expenditure  - M10 April</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8"/>
      <c r="E4" s="294"/>
      <c r="F4" s="295"/>
      <c r="G4" s="295"/>
      <c r="H4" s="295"/>
      <c r="I4" s="295"/>
      <c r="J4" s="296" t="s">
        <v>577</v>
      </c>
      <c r="K4" s="297"/>
    </row>
    <row r="5" spans="1:11" ht="12.75" customHeight="1" x14ac:dyDescent="0.25">
      <c r="A5" s="136" t="s">
        <v>538</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SUM(C9:C17)</f>
        <v>1122273871.9115</v>
      </c>
      <c r="D8" s="51">
        <f t="shared" si="0"/>
        <v>1187428150</v>
      </c>
      <c r="E8" s="50">
        <f t="shared" si="0"/>
        <v>1379700192</v>
      </c>
      <c r="F8" s="50">
        <f t="shared" si="0"/>
        <v>23898739.399</v>
      </c>
      <c r="G8" s="50">
        <f t="shared" si="0"/>
        <v>1266687307.5369997</v>
      </c>
      <c r="H8" s="50">
        <f t="shared" si="0"/>
        <v>1149750160</v>
      </c>
      <c r="I8" s="50">
        <f t="shared" si="0"/>
        <v>119378223.37033331</v>
      </c>
      <c r="J8" s="343">
        <f t="shared" ref="J8:J30" si="1">IF(I8=0,"",I8/H8)</f>
        <v>0.10382970798658842</v>
      </c>
      <c r="K8" s="194">
        <f>SUM(K9:K17)</f>
        <v>1379700192</v>
      </c>
    </row>
    <row r="9" spans="1:11" x14ac:dyDescent="0.25">
      <c r="A9" s="396" t="str">
        <f>'SC6'!A9</f>
        <v>Local Government Equitable Share</v>
      </c>
      <c r="B9" s="169"/>
      <c r="C9" s="779">
        <v>922589000</v>
      </c>
      <c r="D9" s="780">
        <v>1007763000</v>
      </c>
      <c r="E9" s="734">
        <v>1181763000</v>
      </c>
      <c r="F9" s="734">
        <v>0</v>
      </c>
      <c r="G9" s="734">
        <v>1137566000</v>
      </c>
      <c r="H9" s="734">
        <f>E9/12*10</f>
        <v>984802500</v>
      </c>
      <c r="I9" s="514">
        <f t="shared" ref="I9:I17" si="2">G9-H9</f>
        <v>152763500</v>
      </c>
      <c r="J9" s="552">
        <f t="shared" si="1"/>
        <v>0.15512095064746484</v>
      </c>
      <c r="K9" s="736">
        <v>1181763000</v>
      </c>
    </row>
    <row r="10" spans="1:11" ht="12.75" customHeight="1" x14ac:dyDescent="0.25">
      <c r="A10" s="396" t="str">
        <f>'SC6'!A10</f>
        <v>EPWP Incentive (EPWP)</v>
      </c>
      <c r="B10" s="169"/>
      <c r="C10" s="748">
        <v>4200999.84</v>
      </c>
      <c r="D10" s="745">
        <v>9527000</v>
      </c>
      <c r="E10" s="733">
        <v>9527000</v>
      </c>
      <c r="F10" s="733">
        <v>152137.43999999959</v>
      </c>
      <c r="G10" s="733">
        <v>7924835.6900000032</v>
      </c>
      <c r="H10" s="733">
        <f t="shared" ref="H10:H16" si="3">E10/12*10</f>
        <v>7939166.666666666</v>
      </c>
      <c r="I10" s="44">
        <f t="shared" si="2"/>
        <v>-14330.976666662842</v>
      </c>
      <c r="J10" s="124">
        <f t="shared" si="1"/>
        <v>-1.805098352051581E-3</v>
      </c>
      <c r="K10" s="735">
        <v>9527000</v>
      </c>
    </row>
    <row r="11" spans="1:11" ht="12.75" customHeight="1" x14ac:dyDescent="0.25">
      <c r="A11" s="396" t="str">
        <f>'SC6'!A11</f>
        <v>Integrated National Electrification Programme (INEP)</v>
      </c>
      <c r="B11" s="169"/>
      <c r="C11" s="748">
        <v>14990310.7665</v>
      </c>
      <c r="D11" s="745">
        <v>49000000</v>
      </c>
      <c r="E11" s="733">
        <v>29000000</v>
      </c>
      <c r="F11" s="733">
        <v>6439263.3310000002</v>
      </c>
      <c r="G11" s="733">
        <v>13226516.248</v>
      </c>
      <c r="H11" s="733">
        <f t="shared" si="3"/>
        <v>24166666.666666664</v>
      </c>
      <c r="I11" s="44">
        <f t="shared" si="2"/>
        <v>-10940150.418666665</v>
      </c>
      <c r="J11" s="124">
        <f t="shared" si="1"/>
        <v>-0.45269587939310341</v>
      </c>
      <c r="K11" s="735">
        <v>29000000</v>
      </c>
    </row>
    <row r="12" spans="1:11" ht="12.75" customHeight="1" x14ac:dyDescent="0.25">
      <c r="A12" s="396" t="str">
        <f>'SC6'!A12</f>
        <v>Finance Management Grant (FMG)</v>
      </c>
      <c r="B12" s="169"/>
      <c r="C12" s="748">
        <v>2499999.9985000002</v>
      </c>
      <c r="D12" s="745">
        <v>2500000</v>
      </c>
      <c r="E12" s="733">
        <v>2500000</v>
      </c>
      <c r="F12" s="733">
        <v>172059.31</v>
      </c>
      <c r="G12" s="733">
        <v>1900266.6824999999</v>
      </c>
      <c r="H12" s="733">
        <f t="shared" si="3"/>
        <v>2083333.3333333335</v>
      </c>
      <c r="I12" s="44">
        <f t="shared" si="2"/>
        <v>-183066.65083333361</v>
      </c>
      <c r="J12" s="124">
        <f t="shared" si="1"/>
        <v>-8.7871992400000126E-2</v>
      </c>
      <c r="K12" s="735">
        <v>2500000</v>
      </c>
    </row>
    <row r="13" spans="1:11" ht="12.75" customHeight="1" x14ac:dyDescent="0.25">
      <c r="A13" s="396" t="str">
        <f>'SC6'!A13</f>
        <v>Intergrated Urban Develpmet Grant (IUDG)</v>
      </c>
      <c r="B13" s="169"/>
      <c r="C13" s="748">
        <v>110891509.8505</v>
      </c>
      <c r="D13" s="745">
        <v>47860150</v>
      </c>
      <c r="E13" s="733">
        <v>48660150</v>
      </c>
      <c r="F13" s="733">
        <v>5018239.9450000003</v>
      </c>
      <c r="G13" s="733">
        <v>49602266.096499994</v>
      </c>
      <c r="H13" s="733">
        <f t="shared" si="3"/>
        <v>40550125</v>
      </c>
      <c r="I13" s="44">
        <f t="shared" si="2"/>
        <v>9052141.0964999944</v>
      </c>
      <c r="J13" s="124">
        <f t="shared" si="1"/>
        <v>0.2232333709575493</v>
      </c>
      <c r="K13" s="735">
        <v>48660150</v>
      </c>
    </row>
    <row r="14" spans="1:11" ht="12.75" customHeight="1" x14ac:dyDescent="0.25">
      <c r="A14" s="396" t="str">
        <f>'SC6'!A14</f>
        <v>Public Transport Network Grant (PTNG)</v>
      </c>
      <c r="B14" s="169"/>
      <c r="C14" s="748">
        <v>54087276.515500002</v>
      </c>
      <c r="D14" s="745">
        <v>64500000</v>
      </c>
      <c r="E14" s="733">
        <v>101393151</v>
      </c>
      <c r="F14" s="733">
        <v>12117039.373</v>
      </c>
      <c r="G14" s="733">
        <v>53194422.819999993</v>
      </c>
      <c r="H14" s="733">
        <f t="shared" si="3"/>
        <v>84494292.5</v>
      </c>
      <c r="I14" s="44">
        <f t="shared" si="2"/>
        <v>-31299869.680000007</v>
      </c>
      <c r="J14" s="124">
        <f t="shared" si="1"/>
        <v>-0.37043767991784782</v>
      </c>
      <c r="K14" s="735">
        <v>101393151</v>
      </c>
    </row>
    <row r="15" spans="1:11" ht="12.75" customHeight="1" x14ac:dyDescent="0.25">
      <c r="A15" s="396" t="str">
        <f>'SC6'!A15</f>
        <v>Infrastruction Skills Development Grant (ISDG)</v>
      </c>
      <c r="B15" s="169"/>
      <c r="C15" s="748">
        <v>5111000</v>
      </c>
      <c r="D15" s="745">
        <v>6278000</v>
      </c>
      <c r="E15" s="733">
        <v>6203000</v>
      </c>
      <c r="F15" s="733">
        <v>0</v>
      </c>
      <c r="G15" s="733">
        <v>3273000</v>
      </c>
      <c r="H15" s="733">
        <f t="shared" si="3"/>
        <v>5169166.666666667</v>
      </c>
      <c r="I15" s="44"/>
      <c r="J15" s="124"/>
      <c r="K15" s="735">
        <v>6203000</v>
      </c>
    </row>
    <row r="16" spans="1:11" ht="12.75" customHeight="1" x14ac:dyDescent="0.25">
      <c r="A16" s="396" t="str">
        <f>'SC6'!A16</f>
        <v>Energy Efficiency  and Demand Management</v>
      </c>
      <c r="B16" s="169"/>
      <c r="C16" s="748">
        <v>7307774.9404999996</v>
      </c>
      <c r="D16" s="745">
        <v>0</v>
      </c>
      <c r="E16" s="733">
        <v>653891</v>
      </c>
      <c r="F16" s="733">
        <v>0</v>
      </c>
      <c r="G16" s="733">
        <v>0</v>
      </c>
      <c r="H16" s="733">
        <f t="shared" si="3"/>
        <v>544909.16666666663</v>
      </c>
      <c r="I16" s="44"/>
      <c r="J16" s="124"/>
      <c r="K16" s="735">
        <v>653891</v>
      </c>
    </row>
    <row r="17" spans="1:11" ht="12.75" customHeight="1" x14ac:dyDescent="0.25">
      <c r="A17" s="396" t="str">
        <f>'SC6'!A17</f>
        <v xml:space="preserve">Municipal Disaster Relief Grant </v>
      </c>
      <c r="B17" s="169"/>
      <c r="C17" s="748">
        <v>596000</v>
      </c>
      <c r="D17" s="745">
        <v>0</v>
      </c>
      <c r="E17" s="733">
        <v>0</v>
      </c>
      <c r="F17" s="733"/>
      <c r="G17" s="733">
        <v>0</v>
      </c>
      <c r="H17" s="733">
        <f>E17/12*10</f>
        <v>0</v>
      </c>
      <c r="I17" s="44">
        <f t="shared" si="2"/>
        <v>0</v>
      </c>
      <c r="J17" s="124" t="str">
        <f t="shared" si="1"/>
        <v/>
      </c>
      <c r="K17" s="735">
        <f t="shared" ref="K17" si="4">E17</f>
        <v>0</v>
      </c>
    </row>
    <row r="18" spans="1:11" ht="12.75" customHeight="1" x14ac:dyDescent="0.25">
      <c r="A18" s="397" t="str">
        <f>'SC6'!A20</f>
        <v>Provincial Government:</v>
      </c>
      <c r="B18" s="169"/>
      <c r="C18" s="516">
        <f t="shared" ref="C18:I18" si="5">SUM(C19:C23)</f>
        <v>0</v>
      </c>
      <c r="D18" s="475">
        <f t="shared" si="5"/>
        <v>0</v>
      </c>
      <c r="E18" s="430">
        <f t="shared" si="5"/>
        <v>0</v>
      </c>
      <c r="F18" s="430">
        <f t="shared" si="5"/>
        <v>0</v>
      </c>
      <c r="G18" s="430">
        <f t="shared" si="5"/>
        <v>0</v>
      </c>
      <c r="H18" s="430">
        <f t="shared" si="5"/>
        <v>0</v>
      </c>
      <c r="I18" s="430">
        <f t="shared" si="5"/>
        <v>0</v>
      </c>
      <c r="J18" s="553" t="str">
        <f t="shared" si="1"/>
        <v/>
      </c>
      <c r="K18" s="513">
        <f>SUM(K19:K23)</f>
        <v>0</v>
      </c>
    </row>
    <row r="19" spans="1:11" ht="12.75" customHeight="1" x14ac:dyDescent="0.25">
      <c r="A19" s="396">
        <f>'SC6'!A21</f>
        <v>0</v>
      </c>
      <c r="B19" s="169"/>
      <c r="C19" s="779"/>
      <c r="D19" s="780">
        <v>0</v>
      </c>
      <c r="E19" s="734">
        <v>0</v>
      </c>
      <c r="F19" s="734">
        <v>0</v>
      </c>
      <c r="G19" s="734">
        <v>0</v>
      </c>
      <c r="H19" s="734">
        <v>0</v>
      </c>
      <c r="I19" s="514">
        <f t="shared" ref="I19:I29" si="6">G19-H19</f>
        <v>0</v>
      </c>
      <c r="J19" s="552" t="str">
        <f t="shared" si="1"/>
        <v/>
      </c>
      <c r="K19" s="736">
        <v>0</v>
      </c>
    </row>
    <row r="20" spans="1:11" ht="12.75" customHeight="1" x14ac:dyDescent="0.25">
      <c r="A20" s="396">
        <f>'SC6'!A23</f>
        <v>0</v>
      </c>
      <c r="B20" s="169"/>
      <c r="C20" s="748"/>
      <c r="D20" s="745">
        <v>0</v>
      </c>
      <c r="E20" s="733">
        <v>0</v>
      </c>
      <c r="F20" s="733">
        <v>0</v>
      </c>
      <c r="G20" s="733">
        <v>0</v>
      </c>
      <c r="H20" s="733">
        <v>0</v>
      </c>
      <c r="I20" s="44">
        <f t="shared" si="6"/>
        <v>0</v>
      </c>
      <c r="J20" s="124" t="str">
        <f t="shared" si="1"/>
        <v/>
      </c>
      <c r="K20" s="735">
        <v>0</v>
      </c>
    </row>
    <row r="21" spans="1:11" ht="12.75" customHeight="1" x14ac:dyDescent="0.25">
      <c r="A21" s="396">
        <f>'SC6'!A24</f>
        <v>0</v>
      </c>
      <c r="B21" s="169"/>
      <c r="C21" s="748"/>
      <c r="D21" s="745">
        <v>0</v>
      </c>
      <c r="E21" s="733">
        <v>0</v>
      </c>
      <c r="F21" s="733">
        <v>0</v>
      </c>
      <c r="G21" s="733">
        <v>0</v>
      </c>
      <c r="H21" s="733">
        <v>0</v>
      </c>
      <c r="I21" s="44">
        <f t="shared" si="6"/>
        <v>0</v>
      </c>
      <c r="J21" s="124" t="str">
        <f t="shared" si="1"/>
        <v/>
      </c>
      <c r="K21" s="735">
        <v>0</v>
      </c>
    </row>
    <row r="22" spans="1:11" ht="12.75" customHeight="1" x14ac:dyDescent="0.25">
      <c r="A22" s="396">
        <f>'SC6'!A25</f>
        <v>0</v>
      </c>
      <c r="B22" s="169"/>
      <c r="C22" s="748">
        <v>0</v>
      </c>
      <c r="D22" s="745">
        <v>0</v>
      </c>
      <c r="E22" s="733">
        <v>0</v>
      </c>
      <c r="F22" s="733">
        <v>0</v>
      </c>
      <c r="G22" s="733">
        <v>0</v>
      </c>
      <c r="H22" s="733">
        <v>0</v>
      </c>
      <c r="I22" s="44">
        <f t="shared" si="6"/>
        <v>0</v>
      </c>
      <c r="J22" s="124" t="str">
        <f t="shared" si="1"/>
        <v/>
      </c>
      <c r="K22" s="735">
        <v>0</v>
      </c>
    </row>
    <row r="23" spans="1:11" ht="12.75" customHeight="1" x14ac:dyDescent="0.25">
      <c r="A23" s="396" t="str">
        <f>'SC6'!A26</f>
        <v>Other transfers and grants [insert description]</v>
      </c>
      <c r="B23" s="169"/>
      <c r="C23" s="748">
        <v>0</v>
      </c>
      <c r="D23" s="745">
        <v>0</v>
      </c>
      <c r="E23" s="733">
        <v>0</v>
      </c>
      <c r="F23" s="733">
        <v>0</v>
      </c>
      <c r="G23" s="733">
        <v>0</v>
      </c>
      <c r="H23" s="733">
        <v>0</v>
      </c>
      <c r="I23" s="44">
        <f t="shared" si="6"/>
        <v>0</v>
      </c>
      <c r="J23" s="124" t="str">
        <f t="shared" si="1"/>
        <v/>
      </c>
      <c r="K23" s="735">
        <v>0</v>
      </c>
    </row>
    <row r="24" spans="1:11" ht="12.75" customHeight="1" x14ac:dyDescent="0.25">
      <c r="A24" s="397" t="str">
        <f>'SC6'!A27</f>
        <v>District Municipality:</v>
      </c>
      <c r="B24" s="169"/>
      <c r="C24" s="516">
        <f t="shared" ref="C24:H24" si="7">SUM(C25:C26)</f>
        <v>0</v>
      </c>
      <c r="D24" s="475">
        <f t="shared" si="7"/>
        <v>0</v>
      </c>
      <c r="E24" s="430">
        <f>SUM(E25:E26)</f>
        <v>0</v>
      </c>
      <c r="F24" s="430">
        <f t="shared" si="7"/>
        <v>0</v>
      </c>
      <c r="G24" s="430">
        <f t="shared" si="7"/>
        <v>0</v>
      </c>
      <c r="H24" s="430">
        <f t="shared" si="7"/>
        <v>0</v>
      </c>
      <c r="I24" s="514">
        <f t="shared" si="6"/>
        <v>0</v>
      </c>
      <c r="J24" s="552" t="str">
        <f t="shared" si="1"/>
        <v/>
      </c>
      <c r="K24" s="513">
        <f>SUM(K25:K26)</f>
        <v>0</v>
      </c>
    </row>
    <row r="25" spans="1:11" ht="12.75" customHeight="1" x14ac:dyDescent="0.25">
      <c r="A25" s="397"/>
      <c r="B25" s="169"/>
      <c r="C25" s="783">
        <v>0</v>
      </c>
      <c r="D25" s="784">
        <v>0</v>
      </c>
      <c r="E25" s="737">
        <v>0</v>
      </c>
      <c r="F25" s="737">
        <v>0</v>
      </c>
      <c r="G25" s="737">
        <v>0</v>
      </c>
      <c r="H25" s="737">
        <v>0</v>
      </c>
      <c r="I25" s="514">
        <f t="shared" si="6"/>
        <v>0</v>
      </c>
      <c r="J25" s="552" t="str">
        <f t="shared" si="1"/>
        <v/>
      </c>
      <c r="K25" s="738">
        <v>0</v>
      </c>
    </row>
    <row r="26" spans="1:11" ht="12.75" customHeight="1" x14ac:dyDescent="0.25">
      <c r="A26" s="398" t="str">
        <f>'SC6'!A28</f>
        <v>[insert description]</v>
      </c>
      <c r="B26" s="169"/>
      <c r="C26" s="748">
        <v>0</v>
      </c>
      <c r="D26" s="745">
        <v>0</v>
      </c>
      <c r="E26" s="733">
        <v>0</v>
      </c>
      <c r="F26" s="733">
        <v>0</v>
      </c>
      <c r="G26" s="733">
        <v>0</v>
      </c>
      <c r="H26" s="733">
        <v>0</v>
      </c>
      <c r="I26" s="44">
        <f t="shared" si="6"/>
        <v>0</v>
      </c>
      <c r="J26" s="124" t="str">
        <f t="shared" si="1"/>
        <v/>
      </c>
      <c r="K26" s="735">
        <v>0</v>
      </c>
    </row>
    <row r="27" spans="1:11" ht="12.75" customHeight="1" x14ac:dyDescent="0.25">
      <c r="A27" s="397" t="str">
        <f>'SC6'!A30</f>
        <v>Other grant providers:</v>
      </c>
      <c r="B27" s="169"/>
      <c r="C27" s="516">
        <f t="shared" ref="C27:H27" si="8">SUM(C28:C29)</f>
        <v>0</v>
      </c>
      <c r="D27" s="475">
        <f t="shared" si="8"/>
        <v>0</v>
      </c>
      <c r="E27" s="430">
        <f t="shared" si="8"/>
        <v>0</v>
      </c>
      <c r="F27" s="430">
        <f t="shared" si="8"/>
        <v>0</v>
      </c>
      <c r="G27" s="430">
        <f t="shared" si="8"/>
        <v>0</v>
      </c>
      <c r="H27" s="430">
        <f t="shared" si="8"/>
        <v>0</v>
      </c>
      <c r="I27" s="514">
        <f t="shared" si="6"/>
        <v>0</v>
      </c>
      <c r="J27" s="552" t="str">
        <f t="shared" si="1"/>
        <v/>
      </c>
      <c r="K27" s="513">
        <f>SUM(K28:K29)</f>
        <v>0</v>
      </c>
    </row>
    <row r="28" spans="1:11" ht="12.75" customHeight="1" x14ac:dyDescent="0.25">
      <c r="A28" s="397"/>
      <c r="B28" s="169"/>
      <c r="C28" s="783">
        <v>0</v>
      </c>
      <c r="D28" s="784">
        <v>0</v>
      </c>
      <c r="E28" s="737">
        <v>0</v>
      </c>
      <c r="F28" s="737">
        <v>0</v>
      </c>
      <c r="G28" s="737">
        <v>0</v>
      </c>
      <c r="H28" s="737">
        <v>0</v>
      </c>
      <c r="I28" s="514">
        <f t="shared" si="6"/>
        <v>0</v>
      </c>
      <c r="J28" s="552" t="str">
        <f t="shared" si="1"/>
        <v/>
      </c>
      <c r="K28" s="738">
        <v>0</v>
      </c>
    </row>
    <row r="29" spans="1:11" ht="12.75" customHeight="1" x14ac:dyDescent="0.25">
      <c r="A29" s="398" t="str">
        <f>'SC6'!A31</f>
        <v>[insert description]</v>
      </c>
      <c r="B29" s="169"/>
      <c r="C29" s="748">
        <v>0</v>
      </c>
      <c r="D29" s="745">
        <v>0</v>
      </c>
      <c r="E29" s="733">
        <v>0</v>
      </c>
      <c r="F29" s="733">
        <v>0</v>
      </c>
      <c r="G29" s="733">
        <v>0</v>
      </c>
      <c r="H29" s="733">
        <v>0</v>
      </c>
      <c r="I29" s="44">
        <f t="shared" si="6"/>
        <v>0</v>
      </c>
      <c r="J29" s="124" t="str">
        <f t="shared" si="1"/>
        <v/>
      </c>
      <c r="K29" s="735">
        <v>0</v>
      </c>
    </row>
    <row r="30" spans="1:11" ht="12.75" customHeight="1" x14ac:dyDescent="0.25">
      <c r="A30" s="558" t="s">
        <v>58</v>
      </c>
      <c r="B30" s="233"/>
      <c r="C30" s="243">
        <f>C8+C18+C24+C27</f>
        <v>1122273871.9115</v>
      </c>
      <c r="D30" s="74">
        <f t="shared" ref="D30:I30" si="9">D8+D18+D24+D27</f>
        <v>1187428150</v>
      </c>
      <c r="E30" s="73">
        <f t="shared" si="9"/>
        <v>1379700192</v>
      </c>
      <c r="F30" s="73">
        <f t="shared" si="9"/>
        <v>23898739.399</v>
      </c>
      <c r="G30" s="73">
        <f t="shared" si="9"/>
        <v>1266687307.5369997</v>
      </c>
      <c r="H30" s="73">
        <f t="shared" si="9"/>
        <v>1149750160</v>
      </c>
      <c r="I30" s="73">
        <f t="shared" si="9"/>
        <v>119378223.37033331</v>
      </c>
      <c r="J30" s="304">
        <f t="shared" si="1"/>
        <v>0.10382970798658842</v>
      </c>
      <c r="K30" s="145">
        <f>K8+K18+K24+K27</f>
        <v>1379700192</v>
      </c>
    </row>
    <row r="31" spans="1:11" ht="10.5" customHeight="1" x14ac:dyDescent="0.25">
      <c r="A31" s="42"/>
      <c r="B31" s="169"/>
      <c r="C31" s="134"/>
      <c r="D31" s="46"/>
      <c r="E31" s="44"/>
      <c r="F31" s="44"/>
      <c r="G31" s="44"/>
      <c r="H31" s="44"/>
      <c r="I31" s="44"/>
      <c r="J31" s="124"/>
      <c r="K31" s="144"/>
    </row>
    <row r="32" spans="1:11" ht="12.75" customHeight="1" x14ac:dyDescent="0.25">
      <c r="A32" s="549" t="s">
        <v>59</v>
      </c>
      <c r="B32" s="169"/>
      <c r="C32" s="134"/>
      <c r="D32" s="46"/>
      <c r="E32" s="44"/>
      <c r="F32" s="44"/>
      <c r="G32" s="44"/>
      <c r="H32" s="44"/>
      <c r="I32" s="44"/>
      <c r="J32" s="124"/>
      <c r="K32" s="144"/>
    </row>
    <row r="33" spans="1:11" ht="13.5" customHeight="1" x14ac:dyDescent="0.25">
      <c r="A33" s="342" t="str">
        <f>'SC6'!A41</f>
        <v>National Government:</v>
      </c>
      <c r="B33" s="169"/>
      <c r="C33" s="134">
        <f t="shared" ref="C33:K33" si="10">SUM(C34:C40)</f>
        <v>1182001132.2915003</v>
      </c>
      <c r="D33" s="46">
        <f t="shared" si="10"/>
        <v>874054850</v>
      </c>
      <c r="E33" s="44">
        <f>SUM(E34:E41)</f>
        <v>847589339</v>
      </c>
      <c r="F33" s="44">
        <f t="shared" si="10"/>
        <v>56498148.071499996</v>
      </c>
      <c r="G33" s="44">
        <f t="shared" si="10"/>
        <v>497984573.8838501</v>
      </c>
      <c r="H33" s="44">
        <f t="shared" si="10"/>
        <v>706324449.16666663</v>
      </c>
      <c r="I33" s="44">
        <f t="shared" si="10"/>
        <v>-208339875.28281659</v>
      </c>
      <c r="J33" s="343">
        <f t="shared" ref="J33:J49" si="11">IF(I33=0,"",I33/H33)</f>
        <v>-0.2949634201798047</v>
      </c>
      <c r="K33" s="144">
        <f t="shared" si="10"/>
        <v>847589339</v>
      </c>
    </row>
    <row r="34" spans="1:11" ht="12.75" customHeight="1" x14ac:dyDescent="0.25">
      <c r="A34" s="396" t="s">
        <v>1582</v>
      </c>
      <c r="B34" s="169"/>
      <c r="C34" s="779">
        <v>175688237.59549996</v>
      </c>
      <c r="D34" s="780">
        <v>124792000</v>
      </c>
      <c r="E34" s="734">
        <v>117637653</v>
      </c>
      <c r="F34" s="734">
        <v>5753047.1205000002</v>
      </c>
      <c r="G34" s="734">
        <v>35865245.335349999</v>
      </c>
      <c r="H34" s="734">
        <f>E34/12*10</f>
        <v>98031377.5</v>
      </c>
      <c r="I34" s="514">
        <f t="shared" ref="I34:I40" si="12">G34-H34</f>
        <v>-62166132.164650001</v>
      </c>
      <c r="J34" s="552">
        <f t="shared" si="11"/>
        <v>-0.63414524767490899</v>
      </c>
      <c r="K34" s="736">
        <v>117637653</v>
      </c>
    </row>
    <row r="35" spans="1:11" ht="12.75" customHeight="1" x14ac:dyDescent="0.25">
      <c r="A35" s="396" t="s">
        <v>1585</v>
      </c>
      <c r="B35" s="169"/>
      <c r="C35" s="748">
        <v>614271162.76850009</v>
      </c>
      <c r="D35" s="745">
        <v>361157000</v>
      </c>
      <c r="E35" s="733">
        <v>300358779</v>
      </c>
      <c r="F35" s="733">
        <v>19349393.666500002</v>
      </c>
      <c r="G35" s="733">
        <v>241322274.11250001</v>
      </c>
      <c r="H35" s="733">
        <f t="shared" ref="H35:H40" si="13">E35/12*10</f>
        <v>250298982.5</v>
      </c>
      <c r="I35" s="44">
        <f t="shared" si="12"/>
        <v>-8976708.3874999881</v>
      </c>
      <c r="J35" s="124">
        <f t="shared" si="11"/>
        <v>-3.5863942784905199E-2</v>
      </c>
      <c r="K35" s="735">
        <v>300358779</v>
      </c>
    </row>
    <row r="36" spans="1:11" ht="12.75" customHeight="1" x14ac:dyDescent="0.25">
      <c r="A36" s="396" t="s">
        <v>1586</v>
      </c>
      <c r="B36" s="169"/>
      <c r="C36" s="748">
        <v>20557078.207000002</v>
      </c>
      <c r="D36" s="745">
        <v>35000000</v>
      </c>
      <c r="E36" s="733">
        <v>31500000</v>
      </c>
      <c r="F36" s="733">
        <v>1566403.0515000001</v>
      </c>
      <c r="G36" s="733">
        <v>9058663.8500000015</v>
      </c>
      <c r="H36" s="733">
        <f t="shared" si="13"/>
        <v>26250000</v>
      </c>
      <c r="I36" s="44">
        <f t="shared" si="12"/>
        <v>-17191336.149999999</v>
      </c>
      <c r="J36" s="124">
        <f t="shared" si="11"/>
        <v>-0.65490804380952372</v>
      </c>
      <c r="K36" s="735">
        <v>31500000</v>
      </c>
    </row>
    <row r="37" spans="1:11" ht="12.75" customHeight="1" x14ac:dyDescent="0.25">
      <c r="A37" s="396" t="s">
        <v>1587</v>
      </c>
      <c r="B37" s="169"/>
      <c r="C37" s="748">
        <v>88586510.315000013</v>
      </c>
      <c r="D37" s="745">
        <v>50000000</v>
      </c>
      <c r="E37" s="733">
        <v>58067286</v>
      </c>
      <c r="F37" s="733">
        <v>7704082.2540000007</v>
      </c>
      <c r="G37" s="733">
        <v>18349534.055500001</v>
      </c>
      <c r="H37" s="733">
        <f t="shared" si="13"/>
        <v>48389405</v>
      </c>
      <c r="I37" s="44">
        <f t="shared" si="12"/>
        <v>-30039870.944499999</v>
      </c>
      <c r="J37" s="124">
        <f t="shared" si="11"/>
        <v>-0.62079438555816091</v>
      </c>
      <c r="K37" s="735">
        <v>58067286</v>
      </c>
    </row>
    <row r="38" spans="1:11" ht="12.75" customHeight="1" x14ac:dyDescent="0.25">
      <c r="A38" s="396" t="s">
        <v>50</v>
      </c>
      <c r="B38" s="169"/>
      <c r="C38" s="748"/>
      <c r="D38" s="745"/>
      <c r="E38" s="733">
        <v>24700000</v>
      </c>
      <c r="F38" s="733">
        <v>213530.70050000001</v>
      </c>
      <c r="G38" s="733">
        <v>213530.70050000001</v>
      </c>
      <c r="H38" s="733">
        <f t="shared" si="13"/>
        <v>20583333.333333332</v>
      </c>
      <c r="I38" s="44">
        <f t="shared" si="12"/>
        <v>-20369802.632833332</v>
      </c>
      <c r="J38" s="124">
        <f t="shared" si="11"/>
        <v>-0.9896260388421052</v>
      </c>
      <c r="K38" s="735">
        <v>24700000</v>
      </c>
    </row>
    <row r="39" spans="1:11" ht="12.75" customHeight="1" x14ac:dyDescent="0.25">
      <c r="A39" s="396" t="s">
        <v>1588</v>
      </c>
      <c r="B39" s="169"/>
      <c r="C39" s="748">
        <v>267326857.53850001</v>
      </c>
      <c r="D39" s="745">
        <v>303105850</v>
      </c>
      <c r="E39" s="733">
        <v>297987850</v>
      </c>
      <c r="F39" s="733">
        <v>21911691.278499998</v>
      </c>
      <c r="G39" s="733">
        <v>193175325.83000004</v>
      </c>
      <c r="H39" s="733">
        <f t="shared" si="13"/>
        <v>248323208.33333331</v>
      </c>
      <c r="I39" s="44">
        <f t="shared" si="12"/>
        <v>-55147882.503333271</v>
      </c>
      <c r="J39" s="124">
        <f t="shared" si="11"/>
        <v>-0.22208106472797443</v>
      </c>
      <c r="K39" s="735">
        <v>297987850</v>
      </c>
    </row>
    <row r="40" spans="1:11" ht="12.75" customHeight="1" x14ac:dyDescent="0.25">
      <c r="A40" s="396" t="s">
        <v>1589</v>
      </c>
      <c r="B40" s="169"/>
      <c r="C40" s="748">
        <v>15571285.867000002</v>
      </c>
      <c r="D40" s="745"/>
      <c r="E40" s="733">
        <v>17337771</v>
      </c>
      <c r="F40" s="733">
        <v>0</v>
      </c>
      <c r="G40" s="733"/>
      <c r="H40" s="733">
        <f t="shared" si="13"/>
        <v>14448142.5</v>
      </c>
      <c r="I40" s="44">
        <f t="shared" si="12"/>
        <v>-14448142.5</v>
      </c>
      <c r="J40" s="124">
        <f t="shared" si="11"/>
        <v>-1</v>
      </c>
      <c r="K40" s="735">
        <v>17337771</v>
      </c>
    </row>
    <row r="41" spans="1:11" ht="12.75" customHeight="1" x14ac:dyDescent="0.25">
      <c r="A41" s="397" t="s">
        <v>50</v>
      </c>
      <c r="B41" s="169"/>
      <c r="C41" s="516">
        <f t="shared" ref="C41:H41" si="14">SUM(C42:C43)</f>
        <v>0</v>
      </c>
      <c r="D41" s="475">
        <f t="shared" si="14"/>
        <v>0</v>
      </c>
      <c r="E41" s="475">
        <f t="shared" si="14"/>
        <v>0</v>
      </c>
      <c r="F41" s="475">
        <f t="shared" si="14"/>
        <v>0</v>
      </c>
      <c r="G41" s="475">
        <f t="shared" si="14"/>
        <v>0</v>
      </c>
      <c r="H41" s="475">
        <f t="shared" si="14"/>
        <v>0</v>
      </c>
      <c r="I41" s="514">
        <f t="shared" ref="I41:I49" si="15">G41-H41</f>
        <v>0</v>
      </c>
      <c r="J41" s="552" t="str">
        <f t="shared" si="11"/>
        <v/>
      </c>
      <c r="K41" s="513">
        <f>SUM(K42:K43)</f>
        <v>0</v>
      </c>
    </row>
    <row r="42" spans="1:11" ht="12.75" customHeight="1" x14ac:dyDescent="0.25">
      <c r="A42" s="397"/>
      <c r="B42" s="169"/>
      <c r="C42" s="783">
        <v>0</v>
      </c>
      <c r="D42" s="784">
        <v>0</v>
      </c>
      <c r="E42" s="737">
        <v>0</v>
      </c>
      <c r="F42" s="737">
        <v>0</v>
      </c>
      <c r="G42" s="737">
        <v>0</v>
      </c>
      <c r="H42" s="737">
        <v>0</v>
      </c>
      <c r="I42" s="514">
        <f t="shared" si="15"/>
        <v>0</v>
      </c>
      <c r="J42" s="552" t="str">
        <f t="shared" si="11"/>
        <v/>
      </c>
      <c r="K42" s="738"/>
    </row>
    <row r="43" spans="1:11" ht="12.75" customHeight="1" x14ac:dyDescent="0.25">
      <c r="A43" s="396">
        <f>'SC6'!A58</f>
        <v>0</v>
      </c>
      <c r="B43" s="169"/>
      <c r="C43" s="748">
        <v>0</v>
      </c>
      <c r="D43" s="745">
        <v>0</v>
      </c>
      <c r="E43" s="733">
        <v>0</v>
      </c>
      <c r="F43" s="733">
        <v>0</v>
      </c>
      <c r="G43" s="733">
        <v>0</v>
      </c>
      <c r="H43" s="733">
        <v>0</v>
      </c>
      <c r="I43" s="44">
        <f t="shared" si="15"/>
        <v>0</v>
      </c>
      <c r="J43" s="124" t="str">
        <f t="shared" si="11"/>
        <v/>
      </c>
      <c r="K43" s="735"/>
    </row>
    <row r="44" spans="1:11" ht="12.75" customHeight="1" x14ac:dyDescent="0.25">
      <c r="A44" s="397" t="str">
        <f>'SC6'!A59</f>
        <v>District Municipality:</v>
      </c>
      <c r="B44" s="169"/>
      <c r="C44" s="516">
        <f t="shared" ref="C44:H44" si="16">SUM(C45:C46)</f>
        <v>0</v>
      </c>
      <c r="D44" s="475">
        <f t="shared" si="16"/>
        <v>0</v>
      </c>
      <c r="E44" s="430">
        <f t="shared" si="16"/>
        <v>0</v>
      </c>
      <c r="F44" s="430">
        <f t="shared" si="16"/>
        <v>0</v>
      </c>
      <c r="G44" s="430">
        <f t="shared" si="16"/>
        <v>0</v>
      </c>
      <c r="H44" s="430">
        <f t="shared" si="16"/>
        <v>0</v>
      </c>
      <c r="I44" s="514">
        <f t="shared" si="15"/>
        <v>0</v>
      </c>
      <c r="J44" s="552" t="str">
        <f t="shared" si="11"/>
        <v/>
      </c>
      <c r="K44" s="513">
        <f>SUM(K45:K46)</f>
        <v>0</v>
      </c>
    </row>
    <row r="45" spans="1:11" ht="12.75" customHeight="1" x14ac:dyDescent="0.25">
      <c r="A45" s="397"/>
      <c r="B45" s="169"/>
      <c r="C45" s="783">
        <v>0</v>
      </c>
      <c r="D45" s="784">
        <v>0</v>
      </c>
      <c r="E45" s="737">
        <v>0</v>
      </c>
      <c r="F45" s="737">
        <v>0</v>
      </c>
      <c r="G45" s="737">
        <v>0</v>
      </c>
      <c r="H45" s="737">
        <v>0</v>
      </c>
      <c r="I45" s="514">
        <f t="shared" si="15"/>
        <v>0</v>
      </c>
      <c r="J45" s="552" t="str">
        <f t="shared" si="11"/>
        <v/>
      </c>
      <c r="K45" s="738"/>
    </row>
    <row r="46" spans="1:11" ht="12.75" customHeight="1" x14ac:dyDescent="0.25">
      <c r="A46" s="398">
        <f>'SC6'!A61</f>
        <v>0</v>
      </c>
      <c r="B46" s="169"/>
      <c r="C46" s="748">
        <v>0</v>
      </c>
      <c r="D46" s="745">
        <v>0</v>
      </c>
      <c r="E46" s="733">
        <v>0</v>
      </c>
      <c r="F46" s="733">
        <v>0</v>
      </c>
      <c r="G46" s="733">
        <v>0</v>
      </c>
      <c r="H46" s="733">
        <v>0</v>
      </c>
      <c r="I46" s="44">
        <f t="shared" si="15"/>
        <v>0</v>
      </c>
      <c r="J46" s="124" t="str">
        <f t="shared" si="11"/>
        <v/>
      </c>
      <c r="K46" s="735"/>
    </row>
    <row r="47" spans="1:11" ht="12.75" customHeight="1" x14ac:dyDescent="0.25">
      <c r="A47" s="397" t="str">
        <f>'SC6'!A62</f>
        <v>Other grant providers:</v>
      </c>
      <c r="B47" s="169"/>
      <c r="C47" s="516">
        <f t="shared" ref="C47:H47" si="17">SUM(C48:C49)</f>
        <v>0</v>
      </c>
      <c r="D47" s="475">
        <f t="shared" si="17"/>
        <v>0</v>
      </c>
      <c r="E47" s="430">
        <f t="shared" si="17"/>
        <v>0</v>
      </c>
      <c r="F47" s="430">
        <f t="shared" si="17"/>
        <v>0</v>
      </c>
      <c r="G47" s="430">
        <f t="shared" si="17"/>
        <v>0</v>
      </c>
      <c r="H47" s="430">
        <f t="shared" si="17"/>
        <v>0</v>
      </c>
      <c r="I47" s="514">
        <f t="shared" si="15"/>
        <v>0</v>
      </c>
      <c r="J47" s="552" t="str">
        <f t="shared" si="11"/>
        <v/>
      </c>
      <c r="K47" s="513">
        <f>SUM(K48:K49)</f>
        <v>0</v>
      </c>
    </row>
    <row r="48" spans="1:11" ht="12.75" customHeight="1" x14ac:dyDescent="0.25">
      <c r="A48" s="397"/>
      <c r="B48" s="169"/>
      <c r="C48" s="783">
        <v>0</v>
      </c>
      <c r="D48" s="784">
        <v>0</v>
      </c>
      <c r="E48" s="737">
        <v>0</v>
      </c>
      <c r="F48" s="737">
        <v>0</v>
      </c>
      <c r="G48" s="737">
        <v>0</v>
      </c>
      <c r="H48" s="737">
        <v>0</v>
      </c>
      <c r="I48" s="514">
        <f t="shared" si="15"/>
        <v>0</v>
      </c>
      <c r="J48" s="552" t="str">
        <f t="shared" si="11"/>
        <v/>
      </c>
      <c r="K48" s="738"/>
    </row>
    <row r="49" spans="1:11" ht="12.75" customHeight="1" x14ac:dyDescent="0.25">
      <c r="A49" s="398">
        <f>'SC6'!A68</f>
        <v>0</v>
      </c>
      <c r="B49" s="169"/>
      <c r="C49" s="748">
        <v>0</v>
      </c>
      <c r="D49" s="745">
        <v>0</v>
      </c>
      <c r="E49" s="733">
        <v>0</v>
      </c>
      <c r="F49" s="733">
        <v>0</v>
      </c>
      <c r="G49" s="733">
        <v>0</v>
      </c>
      <c r="H49" s="733">
        <v>0</v>
      </c>
      <c r="I49" s="44">
        <f t="shared" si="15"/>
        <v>0</v>
      </c>
      <c r="J49" s="124" t="str">
        <f t="shared" si="11"/>
        <v/>
      </c>
      <c r="K49" s="735">
        <v>0</v>
      </c>
    </row>
    <row r="50" spans="1:11" ht="12.75" customHeight="1" x14ac:dyDescent="0.25">
      <c r="A50" s="557" t="s">
        <v>60</v>
      </c>
      <c r="B50" s="233"/>
      <c r="C50" s="243">
        <f>C33+C41+C44+C47</f>
        <v>1182001132.2915003</v>
      </c>
      <c r="D50" s="74">
        <f t="shared" ref="D50:K50" si="18">D33+D41+D44+D47</f>
        <v>874054850</v>
      </c>
      <c r="E50" s="73">
        <f>E33+E42+E44+E47</f>
        <v>847589339</v>
      </c>
      <c r="F50" s="73">
        <f t="shared" si="18"/>
        <v>56498148.071499996</v>
      </c>
      <c r="G50" s="73">
        <f>G33+G41+G44+G47</f>
        <v>497984573.8838501</v>
      </c>
      <c r="H50" s="73">
        <f t="shared" si="18"/>
        <v>706324449.16666663</v>
      </c>
      <c r="I50" s="73">
        <f t="shared" si="18"/>
        <v>-208339875.28281659</v>
      </c>
      <c r="J50" s="304">
        <f>IF(I50=0,"",I50/H50)</f>
        <v>-0.2949634201798047</v>
      </c>
      <c r="K50" s="145">
        <f t="shared" si="18"/>
        <v>847589339</v>
      </c>
    </row>
    <row r="51" spans="1:11" ht="5.0999999999999996" customHeight="1" x14ac:dyDescent="0.25">
      <c r="A51" s="548"/>
      <c r="B51" s="169"/>
      <c r="C51" s="134"/>
      <c r="D51" s="46"/>
      <c r="E51" s="44"/>
      <c r="F51" s="44"/>
      <c r="G51" s="44"/>
      <c r="H51" s="44"/>
      <c r="I51" s="44"/>
      <c r="J51" s="124"/>
      <c r="K51" s="144"/>
    </row>
    <row r="52" spans="1:11" ht="12.75" customHeight="1" x14ac:dyDescent="0.25">
      <c r="A52" s="687" t="s">
        <v>132</v>
      </c>
      <c r="B52" s="284"/>
      <c r="C52" s="112">
        <f t="shared" ref="C52:K52" si="19">C30+C50</f>
        <v>2304275004.2030001</v>
      </c>
      <c r="D52" s="56">
        <f t="shared" si="19"/>
        <v>2061483000</v>
      </c>
      <c r="E52" s="55">
        <f t="shared" si="19"/>
        <v>2227289531</v>
      </c>
      <c r="F52" s="55">
        <f t="shared" si="19"/>
        <v>80396887.470499992</v>
      </c>
      <c r="G52" s="55">
        <f t="shared" si="19"/>
        <v>1764671881.4208498</v>
      </c>
      <c r="H52" s="55">
        <f t="shared" si="19"/>
        <v>1856074609.1666665</v>
      </c>
      <c r="I52" s="55">
        <f t="shared" si="19"/>
        <v>-88961651.912483275</v>
      </c>
      <c r="J52" s="290">
        <f>IF(I52=0,"",I52/H52)</f>
        <v>-4.7929997788410533E-2</v>
      </c>
      <c r="K52" s="235">
        <f t="shared" si="19"/>
        <v>2227289531</v>
      </c>
    </row>
    <row r="53" spans="1:11" ht="12.75" customHeight="1" x14ac:dyDescent="0.25">
      <c r="A53" s="57" t="str">
        <f>head27a</f>
        <v>References</v>
      </c>
      <c r="B53" s="58"/>
      <c r="C53" s="62"/>
      <c r="D53" s="62"/>
      <c r="E53" s="62"/>
      <c r="F53" s="62"/>
      <c r="G53" s="62"/>
      <c r="H53" s="62"/>
      <c r="I53" s="62"/>
      <c r="J53" s="62"/>
      <c r="K53" s="62"/>
    </row>
    <row r="54" spans="1:11" ht="12.75" customHeight="1" x14ac:dyDescent="0.25">
      <c r="A54" s="80"/>
      <c r="B54" s="58"/>
      <c r="C54" s="67"/>
      <c r="D54" s="67"/>
      <c r="E54" s="67"/>
      <c r="F54" s="67"/>
      <c r="G54" s="67"/>
      <c r="H54" s="67"/>
      <c r="I54" s="67"/>
      <c r="J54" s="67"/>
      <c r="K54" s="67"/>
    </row>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32" activePane="bottomRight" state="frozen"/>
      <selection pane="topRight"/>
      <selection pane="bottomLeft"/>
      <selection pane="bottomRight" activeCell="F41" sqref="F41"/>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63" t="str">
        <f>muni&amp; " - "&amp;S71T&amp; " - "&amp;Head57</f>
        <v>LIM354 Polokwane - Supporting Table SC7(2) Monthly Budget Statement - Expenditure against approved rollovers - M10 April</v>
      </c>
      <c r="B1" s="1063"/>
      <c r="C1" s="1063"/>
      <c r="D1" s="1063"/>
      <c r="E1" s="1063"/>
      <c r="F1" s="1063"/>
      <c r="G1" s="1063"/>
    </row>
    <row r="2" spans="1:7" ht="21.75" customHeight="1" x14ac:dyDescent="0.25">
      <c r="A2" s="1052" t="str">
        <f>desc</f>
        <v>Description</v>
      </c>
      <c r="B2" s="1045" t="str">
        <f>head27</f>
        <v>Ref</v>
      </c>
      <c r="C2" s="1047" t="str">
        <f>Head2</f>
        <v>Budget Year 2020/21</v>
      </c>
      <c r="D2" s="1048"/>
      <c r="E2" s="1048"/>
      <c r="F2" s="1048"/>
      <c r="G2" s="1049"/>
    </row>
    <row r="3" spans="1:7" ht="39.75" customHeight="1" x14ac:dyDescent="0.25">
      <c r="A3" s="1053"/>
      <c r="B3" s="1056"/>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5">
      <c r="A4" s="291" t="s">
        <v>669</v>
      </c>
      <c r="B4" s="248"/>
      <c r="C4" s="293"/>
      <c r="D4" s="295"/>
      <c r="E4" s="904"/>
      <c r="F4" s="295"/>
      <c r="G4" s="906" t="s">
        <v>577</v>
      </c>
    </row>
    <row r="5" spans="1:7" ht="12.75" customHeight="1" x14ac:dyDescent="0.25">
      <c r="A5" s="136" t="s">
        <v>538</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1087</v>
      </c>
      <c r="B7" s="169"/>
      <c r="C7" s="46"/>
      <c r="D7" s="44"/>
      <c r="E7" s="44"/>
      <c r="F7" s="44"/>
      <c r="G7" s="276"/>
    </row>
    <row r="8" spans="1:7" ht="14.25" customHeight="1" x14ac:dyDescent="0.25">
      <c r="A8" s="106" t="str">
        <f>'SC6'!A8</f>
        <v>National Government:</v>
      </c>
      <c r="B8" s="169"/>
      <c r="C8" s="51">
        <f>SUM(C9:C15)</f>
        <v>37920660</v>
      </c>
      <c r="D8" s="50">
        <f>SUM(D9:D15)</f>
        <v>3659702.2229999998</v>
      </c>
      <c r="E8" s="50">
        <f>SUM(E9:E15)</f>
        <v>7647453.2209999999</v>
      </c>
      <c r="F8" s="50">
        <f>SUM(F9:F15)</f>
        <v>30273206.778999999</v>
      </c>
      <c r="G8" s="907">
        <f>IF(F8=0,"",F8/C8)</f>
        <v>0.79833016564057691</v>
      </c>
    </row>
    <row r="9" spans="1:7" x14ac:dyDescent="0.25">
      <c r="A9" s="396" t="str">
        <f>'SC6'!A9</f>
        <v>Local Government Equitable Share</v>
      </c>
      <c r="B9" s="169"/>
      <c r="C9" s="780">
        <v>0</v>
      </c>
      <c r="D9" s="734">
        <v>0</v>
      </c>
      <c r="E9" s="734"/>
      <c r="F9" s="514">
        <f>E9-C9</f>
        <v>0</v>
      </c>
      <c r="G9" s="908" t="str">
        <f t="shared" ref="G9:G49" si="0">IF(F9=0,"",F9/C9)</f>
        <v/>
      </c>
    </row>
    <row r="10" spans="1:7" ht="12.75" customHeight="1" x14ac:dyDescent="0.25">
      <c r="A10" s="396" t="str">
        <f>'SC6'!A10</f>
        <v>EPWP Incentive (EPWP)</v>
      </c>
      <c r="B10" s="169"/>
      <c r="C10" s="745">
        <v>0</v>
      </c>
      <c r="D10" s="733">
        <v>0</v>
      </c>
      <c r="E10" s="733">
        <v>0</v>
      </c>
      <c r="F10" s="44">
        <f t="shared" ref="F10:F15" si="1">C10-E10</f>
        <v>0</v>
      </c>
      <c r="G10" s="276" t="str">
        <f t="shared" si="0"/>
        <v/>
      </c>
    </row>
    <row r="11" spans="1:7" ht="12.75" customHeight="1" x14ac:dyDescent="0.25">
      <c r="A11" s="396" t="str">
        <f>'SC6'!A11</f>
        <v>Integrated National Electrification Programme (INEP)</v>
      </c>
      <c r="B11" s="169"/>
      <c r="C11" s="745">
        <v>0</v>
      </c>
      <c r="D11" s="733">
        <v>0</v>
      </c>
      <c r="E11" s="733">
        <v>0</v>
      </c>
      <c r="F11" s="44">
        <f t="shared" si="1"/>
        <v>0</v>
      </c>
      <c r="G11" s="276" t="str">
        <f t="shared" si="0"/>
        <v/>
      </c>
    </row>
    <row r="12" spans="1:7" ht="12.75" customHeight="1" x14ac:dyDescent="0.25">
      <c r="A12" s="396" t="str">
        <f>'SC6'!A12</f>
        <v>Finance Management Grant (FMG)</v>
      </c>
      <c r="B12" s="169"/>
      <c r="C12" s="745">
        <v>0</v>
      </c>
      <c r="D12" s="733">
        <v>0</v>
      </c>
      <c r="E12" s="733">
        <v>0</v>
      </c>
      <c r="F12" s="44">
        <f t="shared" si="1"/>
        <v>0</v>
      </c>
      <c r="G12" s="276" t="str">
        <f t="shared" si="0"/>
        <v/>
      </c>
    </row>
    <row r="13" spans="1:7" ht="12.75" customHeight="1" x14ac:dyDescent="0.25">
      <c r="A13" s="396" t="str">
        <f>'SC6'!A13</f>
        <v>Intergrated Urban Develpmet Grant (IUDG)</v>
      </c>
      <c r="B13" s="169"/>
      <c r="C13" s="745">
        <v>0</v>
      </c>
      <c r="D13" s="733">
        <v>0</v>
      </c>
      <c r="E13" s="733">
        <v>0</v>
      </c>
      <c r="F13" s="44">
        <f t="shared" si="1"/>
        <v>0</v>
      </c>
      <c r="G13" s="276" t="str">
        <f t="shared" si="0"/>
        <v/>
      </c>
    </row>
    <row r="14" spans="1:7" ht="12.75" customHeight="1" x14ac:dyDescent="0.25">
      <c r="A14" s="396" t="str">
        <f>'SC6'!A14</f>
        <v>Public Transport Network Grant (PTNG)</v>
      </c>
      <c r="B14" s="169"/>
      <c r="C14" s="745">
        <v>37266769</v>
      </c>
      <c r="D14" s="733">
        <v>3659702.2229999998</v>
      </c>
      <c r="E14" s="733">
        <v>7647453.2209999999</v>
      </c>
      <c r="F14" s="44">
        <f t="shared" si="1"/>
        <v>29619315.778999999</v>
      </c>
      <c r="G14" s="276">
        <f t="shared" si="0"/>
        <v>0.79479162196754971</v>
      </c>
    </row>
    <row r="15" spans="1:7" ht="12.75" customHeight="1" x14ac:dyDescent="0.25">
      <c r="A15" s="396" t="str">
        <f>'SC6'!A19</f>
        <v>Other transfers and grants [insert description]</v>
      </c>
      <c r="B15" s="169"/>
      <c r="C15" s="745">
        <v>653891</v>
      </c>
      <c r="D15" s="733">
        <v>0</v>
      </c>
      <c r="E15" s="733">
        <v>0</v>
      </c>
      <c r="F15" s="44">
        <f t="shared" si="1"/>
        <v>653891</v>
      </c>
      <c r="G15" s="276">
        <f t="shared" si="0"/>
        <v>1</v>
      </c>
    </row>
    <row r="16" spans="1:7" ht="12.75" customHeight="1" x14ac:dyDescent="0.25">
      <c r="A16" s="397" t="str">
        <f>'SC6'!A20</f>
        <v>Provincial Government:</v>
      </c>
      <c r="B16" s="169"/>
      <c r="C16" s="475">
        <f>SUM(C17:C21)</f>
        <v>0</v>
      </c>
      <c r="D16" s="430">
        <f>SUM(D17:D21)</f>
        <v>0</v>
      </c>
      <c r="E16" s="430">
        <f>SUM(E17:E21)</f>
        <v>0</v>
      </c>
      <c r="F16" s="430">
        <f>SUM(F17:F21)</f>
        <v>0</v>
      </c>
      <c r="G16" s="909" t="str">
        <f t="shared" si="0"/>
        <v/>
      </c>
    </row>
    <row r="17" spans="1:7" ht="12.75" customHeight="1" x14ac:dyDescent="0.25">
      <c r="A17" s="396">
        <f>'SC6'!A21</f>
        <v>0</v>
      </c>
      <c r="B17" s="169"/>
      <c r="C17" s="780">
        <v>0</v>
      </c>
      <c r="D17" s="734">
        <v>0</v>
      </c>
      <c r="E17" s="734">
        <v>0</v>
      </c>
      <c r="F17" s="514">
        <f>C17-E17</f>
        <v>0</v>
      </c>
      <c r="G17" s="908" t="str">
        <f t="shared" si="0"/>
        <v/>
      </c>
    </row>
    <row r="18" spans="1:7" ht="12.75" customHeight="1" x14ac:dyDescent="0.25">
      <c r="A18" s="396">
        <f>'SC6'!A23</f>
        <v>0</v>
      </c>
      <c r="B18" s="169"/>
      <c r="C18" s="745">
        <v>0</v>
      </c>
      <c r="D18" s="733">
        <v>0</v>
      </c>
      <c r="E18" s="733">
        <v>0</v>
      </c>
      <c r="F18" s="44">
        <f>C18-E18</f>
        <v>0</v>
      </c>
      <c r="G18" s="276" t="str">
        <f t="shared" si="0"/>
        <v/>
      </c>
    </row>
    <row r="19" spans="1:7" ht="12.75" customHeight="1" x14ac:dyDescent="0.25">
      <c r="A19" s="396">
        <f>'SC6'!A24</f>
        <v>0</v>
      </c>
      <c r="B19" s="169"/>
      <c r="C19" s="745">
        <v>0</v>
      </c>
      <c r="D19" s="733">
        <v>0</v>
      </c>
      <c r="E19" s="733">
        <v>0</v>
      </c>
      <c r="F19" s="44">
        <f>C19-E19</f>
        <v>0</v>
      </c>
      <c r="G19" s="276" t="str">
        <f t="shared" si="0"/>
        <v/>
      </c>
    </row>
    <row r="20" spans="1:7" ht="12.75" customHeight="1" x14ac:dyDescent="0.25">
      <c r="A20" s="396">
        <f>'SC6'!A25</f>
        <v>0</v>
      </c>
      <c r="B20" s="169"/>
      <c r="C20" s="745">
        <v>0</v>
      </c>
      <c r="D20" s="733">
        <v>0</v>
      </c>
      <c r="E20" s="733">
        <v>0</v>
      </c>
      <c r="F20" s="44">
        <f>C20-E20</f>
        <v>0</v>
      </c>
      <c r="G20" s="276" t="str">
        <f t="shared" si="0"/>
        <v/>
      </c>
    </row>
    <row r="21" spans="1:7" ht="12.75" customHeight="1" x14ac:dyDescent="0.25">
      <c r="A21" s="396" t="str">
        <f>'SC6'!A26</f>
        <v>Other transfers and grants [insert description]</v>
      </c>
      <c r="B21" s="169"/>
      <c r="C21" s="745">
        <v>0</v>
      </c>
      <c r="D21" s="733">
        <v>0</v>
      </c>
      <c r="E21" s="733">
        <v>0</v>
      </c>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4"/>
      <c r="D23" s="737"/>
      <c r="E23" s="737"/>
      <c r="F23" s="514">
        <f>C23-E23</f>
        <v>0</v>
      </c>
      <c r="G23" s="908" t="str">
        <f t="shared" si="0"/>
        <v/>
      </c>
    </row>
    <row r="24" spans="1:7" ht="12.75" customHeight="1" x14ac:dyDescent="0.25">
      <c r="A24" s="398" t="str">
        <f>'SC6'!A28</f>
        <v>[insert description]</v>
      </c>
      <c r="B24" s="169"/>
      <c r="C24" s="745"/>
      <c r="D24" s="733"/>
      <c r="E24" s="733"/>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4"/>
      <c r="D26" s="737"/>
      <c r="E26" s="737"/>
      <c r="F26" s="514">
        <f>C26-E26</f>
        <v>0</v>
      </c>
      <c r="G26" s="908" t="str">
        <f t="shared" si="0"/>
        <v/>
      </c>
    </row>
    <row r="27" spans="1:7" ht="12.75" customHeight="1" x14ac:dyDescent="0.25">
      <c r="A27" s="398" t="str">
        <f>'SC6'!A31</f>
        <v>[insert description]</v>
      </c>
      <c r="B27" s="169"/>
      <c r="C27" s="745"/>
      <c r="D27" s="733"/>
      <c r="E27" s="733"/>
      <c r="F27" s="44">
        <f>C27-E27</f>
        <v>0</v>
      </c>
      <c r="G27" s="276" t="str">
        <f t="shared" si="0"/>
        <v/>
      </c>
    </row>
    <row r="28" spans="1:7" ht="12.75" customHeight="1" x14ac:dyDescent="0.25">
      <c r="A28" s="558" t="s">
        <v>1088</v>
      </c>
      <c r="B28" s="233"/>
      <c r="C28" s="74">
        <f>C8+C16+C22+C25</f>
        <v>37920660</v>
      </c>
      <c r="D28" s="73">
        <f>D8+D16+D22+D25</f>
        <v>3659702.2229999998</v>
      </c>
      <c r="E28" s="73">
        <f>E8+E16+E22+E25</f>
        <v>7647453.2209999999</v>
      </c>
      <c r="F28" s="73">
        <f>F8+F16+F22+F25</f>
        <v>30273206.778999999</v>
      </c>
      <c r="G28" s="910">
        <f t="shared" si="0"/>
        <v>0.79833016564057691</v>
      </c>
    </row>
    <row r="29" spans="1:7" ht="5.0999999999999996" customHeight="1" x14ac:dyDescent="0.25">
      <c r="A29" s="42"/>
      <c r="B29" s="169"/>
      <c r="C29" s="46"/>
      <c r="D29" s="44"/>
      <c r="E29" s="44"/>
      <c r="F29" s="44"/>
      <c r="G29" s="276" t="str">
        <f t="shared" si="0"/>
        <v/>
      </c>
    </row>
    <row r="30" spans="1:7" ht="12.75" customHeight="1" x14ac:dyDescent="0.25">
      <c r="A30" s="549" t="s">
        <v>1089</v>
      </c>
      <c r="B30" s="169"/>
      <c r="C30" s="46"/>
      <c r="D30" s="44"/>
      <c r="E30" s="44"/>
      <c r="F30" s="44"/>
      <c r="G30" s="276" t="str">
        <f t="shared" si="0"/>
        <v/>
      </c>
    </row>
    <row r="31" spans="1:7" ht="13.5" customHeight="1" x14ac:dyDescent="0.25">
      <c r="A31" s="342" t="str">
        <f>'SC6'!A41</f>
        <v>National Government:</v>
      </c>
      <c r="B31" s="169"/>
      <c r="C31" s="46">
        <f>SUM(C32:C37)</f>
        <v>62291862</v>
      </c>
      <c r="D31" s="44">
        <f>SUM(D32:D37)</f>
        <v>3399972.861</v>
      </c>
      <c r="E31" s="44">
        <f>SUM(E32:E37)</f>
        <v>13086072.513499999</v>
      </c>
      <c r="F31" s="44">
        <f>SUM(F32:F37)</f>
        <v>49205789.486500002</v>
      </c>
      <c r="G31" s="907">
        <f t="shared" si="0"/>
        <v>0.78992324047882856</v>
      </c>
    </row>
    <row r="32" spans="1:7" ht="12.75" customHeight="1" x14ac:dyDescent="0.25">
      <c r="A32" s="396" t="str">
        <f>'SC6'!A42</f>
        <v>Public Transport Network Grant (PTNG)</v>
      </c>
      <c r="B32" s="169"/>
      <c r="C32" s="780">
        <v>31374025</v>
      </c>
      <c r="D32" s="734">
        <v>3127062.29</v>
      </c>
      <c r="E32" s="734">
        <v>12813161.942499999</v>
      </c>
      <c r="F32" s="514">
        <f t="shared" ref="F32:F37" si="2">C32-E32</f>
        <v>18560863.057500001</v>
      </c>
      <c r="G32" s="908">
        <f t="shared" si="0"/>
        <v>0.59159967704175676</v>
      </c>
    </row>
    <row r="33" spans="1:7" ht="12.75" customHeight="1" x14ac:dyDescent="0.25">
      <c r="A33" s="396" t="str">
        <f>'SC6'!A47</f>
        <v>Integrated National Electrification Programme (INEP)</v>
      </c>
      <c r="B33" s="169"/>
      <c r="C33" s="745">
        <v>7337771</v>
      </c>
      <c r="D33" s="733">
        <v>0</v>
      </c>
      <c r="E33" s="733">
        <v>0</v>
      </c>
      <c r="F33" s="44">
        <f t="shared" si="2"/>
        <v>7337771</v>
      </c>
      <c r="G33" s="276">
        <f t="shared" si="0"/>
        <v>1</v>
      </c>
    </row>
    <row r="34" spans="1:7" ht="12.75" customHeight="1" x14ac:dyDescent="0.25">
      <c r="A34" s="396" t="str">
        <f>'SC6'!A48</f>
        <v>Municipal Infrastructure Grant (MIG)</v>
      </c>
      <c r="B34" s="169"/>
      <c r="C34" s="745">
        <v>0</v>
      </c>
      <c r="D34" s="733">
        <v>0</v>
      </c>
      <c r="E34" s="733">
        <v>0</v>
      </c>
      <c r="F34" s="44">
        <f t="shared" si="2"/>
        <v>0</v>
      </c>
      <c r="G34" s="276" t="str">
        <f t="shared" si="0"/>
        <v/>
      </c>
    </row>
    <row r="35" spans="1:7" ht="12.75" customHeight="1" x14ac:dyDescent="0.25">
      <c r="A35" s="396">
        <f>'SC6'!A49</f>
        <v>0</v>
      </c>
      <c r="B35" s="169"/>
      <c r="C35" s="745">
        <v>8067287</v>
      </c>
      <c r="D35" s="733">
        <v>272910.571</v>
      </c>
      <c r="E35" s="733">
        <v>272910.571</v>
      </c>
      <c r="F35" s="44">
        <f t="shared" si="2"/>
        <v>7794376.4289999995</v>
      </c>
      <c r="G35" s="276">
        <f t="shared" si="0"/>
        <v>0.96617071253322206</v>
      </c>
    </row>
    <row r="36" spans="1:7" ht="12.75" customHeight="1" x14ac:dyDescent="0.25">
      <c r="A36" s="396">
        <f>'SC6'!A50</f>
        <v>0</v>
      </c>
      <c r="B36" s="169"/>
      <c r="C36" s="745">
        <v>15512779</v>
      </c>
      <c r="D36" s="733">
        <v>0</v>
      </c>
      <c r="E36" s="733">
        <v>0</v>
      </c>
      <c r="F36" s="44">
        <f t="shared" si="2"/>
        <v>15512779</v>
      </c>
      <c r="G36" s="276">
        <f t="shared" si="0"/>
        <v>1</v>
      </c>
    </row>
    <row r="37" spans="1:7" ht="12.75" customHeight="1" x14ac:dyDescent="0.25">
      <c r="A37" s="396" t="str">
        <f>'SC6'!A51</f>
        <v>Other capital transfers [insert description]</v>
      </c>
      <c r="B37" s="169"/>
      <c r="C37" s="745">
        <v>0</v>
      </c>
      <c r="D37" s="733">
        <v>0</v>
      </c>
      <c r="E37" s="733">
        <v>0</v>
      </c>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4">
        <v>0</v>
      </c>
      <c r="D39" s="737">
        <v>0</v>
      </c>
      <c r="E39" s="737">
        <v>0</v>
      </c>
      <c r="F39" s="514">
        <f>C39-E39</f>
        <v>0</v>
      </c>
      <c r="G39" s="908" t="str">
        <f t="shared" si="0"/>
        <v/>
      </c>
    </row>
    <row r="40" spans="1:7" ht="12.75" customHeight="1" x14ac:dyDescent="0.25">
      <c r="A40" s="396">
        <f>'SC6'!A58</f>
        <v>0</v>
      </c>
      <c r="B40" s="169"/>
      <c r="C40" s="745">
        <v>0</v>
      </c>
      <c r="D40" s="733">
        <v>0</v>
      </c>
      <c r="E40" s="733">
        <v>0</v>
      </c>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4">
        <v>0</v>
      </c>
      <c r="D42" s="737">
        <v>0</v>
      </c>
      <c r="E42" s="737">
        <v>0</v>
      </c>
      <c r="F42" s="514">
        <f>C42-E42</f>
        <v>0</v>
      </c>
      <c r="G42" s="908" t="str">
        <f t="shared" si="0"/>
        <v/>
      </c>
    </row>
    <row r="43" spans="1:7" ht="12.75" customHeight="1" x14ac:dyDescent="0.25">
      <c r="A43" s="398">
        <f>'SC6'!A61</f>
        <v>0</v>
      </c>
      <c r="B43" s="169"/>
      <c r="C43" s="745">
        <v>0</v>
      </c>
      <c r="D43" s="733">
        <v>0</v>
      </c>
      <c r="E43" s="733">
        <v>0</v>
      </c>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4">
        <v>0</v>
      </c>
      <c r="D45" s="737">
        <v>0</v>
      </c>
      <c r="E45" s="737">
        <v>0</v>
      </c>
      <c r="F45" s="514">
        <f>C45-E45</f>
        <v>0</v>
      </c>
      <c r="G45" s="908" t="str">
        <f t="shared" si="0"/>
        <v/>
      </c>
    </row>
    <row r="46" spans="1:7" ht="12.75" customHeight="1" x14ac:dyDescent="0.25">
      <c r="A46" s="398">
        <f>'SC6'!A68</f>
        <v>0</v>
      </c>
      <c r="B46" s="169"/>
      <c r="C46" s="745">
        <v>0</v>
      </c>
      <c r="D46" s="733">
        <v>0</v>
      </c>
      <c r="E46" s="733">
        <v>0</v>
      </c>
      <c r="F46" s="44">
        <f>C46-E46</f>
        <v>0</v>
      </c>
      <c r="G46" s="276" t="str">
        <f t="shared" si="0"/>
        <v/>
      </c>
    </row>
    <row r="47" spans="1:7" ht="12.75" customHeight="1" x14ac:dyDescent="0.25">
      <c r="A47" s="557" t="s">
        <v>1090</v>
      </c>
      <c r="B47" s="233"/>
      <c r="C47" s="74">
        <f>C31+C38+C41+C44</f>
        <v>62291862</v>
      </c>
      <c r="D47" s="73">
        <f>D31+D38+D41+D44</f>
        <v>3399972.861</v>
      </c>
      <c r="E47" s="73">
        <f>E31+E38+E41+E44</f>
        <v>13086072.513499999</v>
      </c>
      <c r="F47" s="73">
        <f>F31+F38+F41+F44</f>
        <v>49205789.486500002</v>
      </c>
      <c r="G47" s="910">
        <f t="shared" si="0"/>
        <v>0.78992324047882856</v>
      </c>
    </row>
    <row r="48" spans="1:7" ht="5.0999999999999996" customHeight="1" x14ac:dyDescent="0.25">
      <c r="A48" s="548"/>
      <c r="B48" s="169"/>
      <c r="C48" s="46"/>
      <c r="D48" s="44"/>
      <c r="E48" s="44"/>
      <c r="F48" s="44"/>
      <c r="G48" s="276"/>
    </row>
    <row r="49" spans="1:7" ht="12.75" customHeight="1" x14ac:dyDescent="0.25">
      <c r="A49" s="687" t="s">
        <v>1091</v>
      </c>
      <c r="B49" s="284"/>
      <c r="C49" s="56">
        <f>C28+C47</f>
        <v>100212522</v>
      </c>
      <c r="D49" s="55">
        <f>D28+D47</f>
        <v>7059675.0839999998</v>
      </c>
      <c r="E49" s="55">
        <f>E28+E47</f>
        <v>20733525.734499998</v>
      </c>
      <c r="F49" s="55">
        <f>F28+F47</f>
        <v>79478996.265500009</v>
      </c>
      <c r="G49" s="911">
        <f t="shared" si="0"/>
        <v>0.79310444123439994</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N195"/>
  <sheetViews>
    <sheetView showGridLines="0" zoomScaleNormal="100" workbookViewId="0">
      <pane xSplit="2" ySplit="4" topLeftCell="C43" activePane="bottomRight" state="frozen"/>
      <selection pane="topRight"/>
      <selection pane="bottomLeft"/>
      <selection pane="bottomRight" activeCell="Q99" sqref="Q85:R99"/>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"&amp;S71N&amp; " - "&amp;Head57</f>
        <v>LIM354 Polokwane - Supporting Table SC8 Monthly Budget Statement - councillor and staff benefits  - M10 April</v>
      </c>
      <c r="B1" s="1063"/>
      <c r="C1" s="1063"/>
      <c r="D1" s="1063"/>
      <c r="E1" s="1063"/>
      <c r="F1" s="1063"/>
      <c r="G1" s="1063"/>
      <c r="H1" s="1063"/>
      <c r="I1" s="1063"/>
      <c r="J1" s="1063"/>
      <c r="K1" s="1063"/>
    </row>
    <row r="2" spans="1:11" x14ac:dyDescent="0.25">
      <c r="A2" s="1052" t="s">
        <v>652</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559"/>
      <c r="B5" s="236">
        <v>1</v>
      </c>
      <c r="C5" s="560" t="s">
        <v>581</v>
      </c>
      <c r="D5" s="561" t="s">
        <v>539</v>
      </c>
      <c r="E5" s="562" t="s">
        <v>476</v>
      </c>
      <c r="F5" s="563"/>
      <c r="G5" s="563"/>
      <c r="H5" s="563"/>
      <c r="I5" s="563"/>
      <c r="J5" s="563"/>
      <c r="K5" s="564" t="s">
        <v>608</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22497309.549999997</v>
      </c>
      <c r="D7" s="745">
        <v>25070000</v>
      </c>
      <c r="E7" s="733">
        <v>25070000</v>
      </c>
      <c r="F7" s="733">
        <v>1858146.95</v>
      </c>
      <c r="G7" s="733">
        <v>18762221.630000003</v>
      </c>
      <c r="H7" s="733">
        <f>E7/12*10</f>
        <v>20891666.666666668</v>
      </c>
      <c r="I7" s="44">
        <f t="shared" ref="I7:I14" si="0">G7-H7</f>
        <v>-2129445.0366666652</v>
      </c>
      <c r="J7" s="330">
        <f t="shared" ref="J7:J14" si="1">IF(I7=0,"",I7/H7)</f>
        <v>-0.10192796346230547</v>
      </c>
      <c r="K7" s="735">
        <f>E7</f>
        <v>25070000</v>
      </c>
    </row>
    <row r="8" spans="1:11" ht="12.75" customHeight="1" x14ac:dyDescent="0.25">
      <c r="A8" s="518" t="s">
        <v>1040</v>
      </c>
      <c r="B8" s="169"/>
      <c r="C8" s="748">
        <v>3360018.5200000005</v>
      </c>
      <c r="D8" s="745">
        <v>3762000</v>
      </c>
      <c r="E8" s="733">
        <v>3762000</v>
      </c>
      <c r="F8" s="733">
        <v>462371.55000000005</v>
      </c>
      <c r="G8" s="733">
        <v>4675777.12</v>
      </c>
      <c r="H8" s="733">
        <f>E8/12*10</f>
        <v>3135000</v>
      </c>
      <c r="I8" s="44">
        <f t="shared" si="0"/>
        <v>1540777.12</v>
      </c>
      <c r="J8" s="330">
        <f t="shared" si="1"/>
        <v>0.49147595534290273</v>
      </c>
      <c r="K8" s="735">
        <f t="shared" ref="K8:K13" si="2">E8</f>
        <v>3762000</v>
      </c>
    </row>
    <row r="9" spans="1:11" ht="12.75" customHeight="1" x14ac:dyDescent="0.25">
      <c r="A9" s="518" t="s">
        <v>427</v>
      </c>
      <c r="B9" s="169"/>
      <c r="C9" s="748">
        <v>1504198.41</v>
      </c>
      <c r="D9" s="745">
        <v>529000</v>
      </c>
      <c r="E9" s="733">
        <v>529000</v>
      </c>
      <c r="F9" s="733">
        <v>85944</v>
      </c>
      <c r="G9" s="733">
        <v>869190</v>
      </c>
      <c r="H9" s="733">
        <f t="shared" ref="H9:H13" si="3">E9/12*10</f>
        <v>440833.33333333337</v>
      </c>
      <c r="I9" s="44">
        <f t="shared" si="0"/>
        <v>428356.66666666663</v>
      </c>
      <c r="J9" s="330">
        <f t="shared" si="1"/>
        <v>0.97169754253308116</v>
      </c>
      <c r="K9" s="735">
        <f t="shared" si="2"/>
        <v>529000</v>
      </c>
    </row>
    <row r="10" spans="1:11" ht="12.75" customHeight="1" x14ac:dyDescent="0.25">
      <c r="A10" s="518" t="s">
        <v>1041</v>
      </c>
      <c r="B10" s="169"/>
      <c r="C10" s="748">
        <v>8083429.5799999991</v>
      </c>
      <c r="D10" s="745">
        <v>8910000</v>
      </c>
      <c r="E10" s="733">
        <v>8910000</v>
      </c>
      <c r="F10" s="733">
        <v>655638.42000000004</v>
      </c>
      <c r="G10" s="733">
        <v>6675005.0599999996</v>
      </c>
      <c r="H10" s="733">
        <f t="shared" si="3"/>
        <v>7425000</v>
      </c>
      <c r="I10" s="44">
        <f>G10-H10</f>
        <v>-749994.94000000041</v>
      </c>
      <c r="J10" s="330">
        <f>IF(I10=0,"",I10/H10)</f>
        <v>-0.10100941952861958</v>
      </c>
      <c r="K10" s="735">
        <f t="shared" si="2"/>
        <v>8910000</v>
      </c>
    </row>
    <row r="11" spans="1:11" ht="12.75" customHeight="1" x14ac:dyDescent="0.25">
      <c r="A11" s="39" t="s">
        <v>1042</v>
      </c>
      <c r="B11" s="169"/>
      <c r="C11" s="748">
        <v>3829705.6</v>
      </c>
      <c r="D11" s="745">
        <v>3895000</v>
      </c>
      <c r="E11" s="733">
        <v>3895000</v>
      </c>
      <c r="F11" s="733">
        <v>316200</v>
      </c>
      <c r="G11" s="733">
        <v>3174484.8</v>
      </c>
      <c r="H11" s="733">
        <f t="shared" si="3"/>
        <v>3245833.333333333</v>
      </c>
      <c r="I11" s="44">
        <f>G11-H11</f>
        <v>-71348.533333333209</v>
      </c>
      <c r="J11" s="330">
        <f>IF(I11=0,"",I11/H11)</f>
        <v>-2.1981576379974291E-2</v>
      </c>
      <c r="K11" s="735">
        <f t="shared" si="2"/>
        <v>3895000</v>
      </c>
    </row>
    <row r="12" spans="1:11" ht="12.75" customHeight="1" x14ac:dyDescent="0.25">
      <c r="A12" s="39" t="s">
        <v>1043</v>
      </c>
      <c r="B12" s="169"/>
      <c r="C12" s="748">
        <v>0</v>
      </c>
      <c r="D12" s="745">
        <v>0</v>
      </c>
      <c r="E12" s="733">
        <v>0</v>
      </c>
      <c r="F12" s="733">
        <v>0</v>
      </c>
      <c r="G12" s="733">
        <v>0</v>
      </c>
      <c r="H12" s="733">
        <f t="shared" si="3"/>
        <v>0</v>
      </c>
      <c r="I12" s="44">
        <f>G12-H12</f>
        <v>0</v>
      </c>
      <c r="J12" s="330" t="str">
        <f>IF(I12=0,"",I12/H12)</f>
        <v/>
      </c>
      <c r="K12" s="735">
        <f t="shared" si="2"/>
        <v>0</v>
      </c>
    </row>
    <row r="13" spans="1:11" ht="12.75" customHeight="1" x14ac:dyDescent="0.25">
      <c r="A13" s="39" t="s">
        <v>1044</v>
      </c>
      <c r="B13" s="169"/>
      <c r="C13" s="748">
        <v>605145.37000000011</v>
      </c>
      <c r="D13" s="745">
        <v>345000</v>
      </c>
      <c r="E13" s="733">
        <v>345000</v>
      </c>
      <c r="F13" s="733">
        <v>88207.62</v>
      </c>
      <c r="G13" s="733">
        <v>884279.20000000007</v>
      </c>
      <c r="H13" s="733">
        <f t="shared" si="3"/>
        <v>287500</v>
      </c>
      <c r="I13" s="44">
        <f t="shared" si="0"/>
        <v>596779.20000000007</v>
      </c>
      <c r="J13" s="330">
        <f t="shared" si="1"/>
        <v>2.0757537391304348</v>
      </c>
      <c r="K13" s="735">
        <f t="shared" si="2"/>
        <v>345000</v>
      </c>
    </row>
    <row r="14" spans="1:11" ht="12.75" customHeight="1" x14ac:dyDescent="0.25">
      <c r="A14" s="87" t="s">
        <v>428</v>
      </c>
      <c r="B14" s="169"/>
      <c r="C14" s="516">
        <f t="shared" ref="C14:K14" si="4">SUM(C7:C13)</f>
        <v>39879807.029999994</v>
      </c>
      <c r="D14" s="475">
        <f t="shared" si="4"/>
        <v>42511000</v>
      </c>
      <c r="E14" s="430">
        <f t="shared" si="4"/>
        <v>42511000</v>
      </c>
      <c r="F14" s="430">
        <f t="shared" si="4"/>
        <v>3466508.54</v>
      </c>
      <c r="G14" s="430">
        <f t="shared" si="4"/>
        <v>35040957.810000002</v>
      </c>
      <c r="H14" s="430">
        <f t="shared" si="4"/>
        <v>35425833.333333336</v>
      </c>
      <c r="I14" s="430">
        <f t="shared" si="0"/>
        <v>-384875.52333333343</v>
      </c>
      <c r="J14" s="431">
        <f t="shared" si="1"/>
        <v>-1.0864261673449227E-2</v>
      </c>
      <c r="K14" s="513">
        <f t="shared" si="4"/>
        <v>42511000</v>
      </c>
    </row>
    <row r="15" spans="1:11" ht="12.75" customHeight="1" x14ac:dyDescent="0.25">
      <c r="A15" s="565" t="s">
        <v>724</v>
      </c>
      <c r="B15" s="169">
        <v>4</v>
      </c>
      <c r="C15" s="173"/>
      <c r="D15" s="303">
        <f>IF(D14=0,"",(D14/C14)-1)</f>
        <v>6.5978076775062178E-2</v>
      </c>
      <c r="E15" s="303">
        <f>IF(E14=0,"",(E14/C14)-1)</f>
        <v>6.5978076775062178E-2</v>
      </c>
      <c r="F15" s="303"/>
      <c r="G15" s="303"/>
      <c r="H15" s="303"/>
      <c r="I15" s="303"/>
      <c r="J15" s="344"/>
      <c r="K15" s="312">
        <f>IF(K14=0,"",(K14/C14)-1)</f>
        <v>6.5978076775062178E-2</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9380472.8500000015</v>
      </c>
      <c r="D18" s="745">
        <v>11037542.3904</v>
      </c>
      <c r="E18" s="733">
        <v>10537542.3904</v>
      </c>
      <c r="F18" s="733">
        <v>866952.91</v>
      </c>
      <c r="G18" s="733">
        <v>8672134.6400000006</v>
      </c>
      <c r="H18" s="733">
        <f t="shared" ref="H18:H29" si="5">E18/12*10</f>
        <v>8781285.3253333326</v>
      </c>
      <c r="I18" s="44">
        <f t="shared" ref="I18:I30" si="6">G18-H18</f>
        <v>-109150.68533333205</v>
      </c>
      <c r="J18" s="330">
        <f t="shared" ref="J18:J29" si="7">IF(I18=0,"",I18/H18)</f>
        <v>-1.2429921280252757E-2</v>
      </c>
      <c r="K18" s="735">
        <f>E18</f>
        <v>10537542.3904</v>
      </c>
    </row>
    <row r="19" spans="1:11" ht="12.75" customHeight="1" x14ac:dyDescent="0.25">
      <c r="A19" s="39" t="s">
        <v>1040</v>
      </c>
      <c r="B19" s="169"/>
      <c r="C19" s="748">
        <v>1365255.0600000003</v>
      </c>
      <c r="D19" s="745">
        <v>1297565.08</v>
      </c>
      <c r="E19" s="733">
        <v>1322565.08</v>
      </c>
      <c r="F19" s="733">
        <v>130262.34000000001</v>
      </c>
      <c r="G19" s="733">
        <v>1302944.9800000002</v>
      </c>
      <c r="H19" s="733">
        <f t="shared" si="5"/>
        <v>1102137.5666666667</v>
      </c>
      <c r="I19" s="44">
        <f t="shared" si="6"/>
        <v>200807.41333333356</v>
      </c>
      <c r="J19" s="330">
        <f t="shared" si="7"/>
        <v>0.18219813878648625</v>
      </c>
      <c r="K19" s="735">
        <f t="shared" ref="K19:K29" si="8">E19</f>
        <v>1322565.08</v>
      </c>
    </row>
    <row r="20" spans="1:11" ht="12.75" customHeight="1" x14ac:dyDescent="0.25">
      <c r="A20" s="39" t="s">
        <v>427</v>
      </c>
      <c r="B20" s="169"/>
      <c r="C20" s="748">
        <v>143552.64000000001</v>
      </c>
      <c r="D20" s="745">
        <v>121954.60060000001</v>
      </c>
      <c r="E20" s="733">
        <v>123954.60060000001</v>
      </c>
      <c r="F20" s="733">
        <v>14918.310000000001</v>
      </c>
      <c r="G20" s="733">
        <v>146310.31</v>
      </c>
      <c r="H20" s="733">
        <f t="shared" si="5"/>
        <v>103295.50049999999</v>
      </c>
      <c r="I20" s="44">
        <f t="shared" si="6"/>
        <v>43014.809500000003</v>
      </c>
      <c r="J20" s="330">
        <f t="shared" si="7"/>
        <v>0.41642481319890606</v>
      </c>
      <c r="K20" s="735">
        <f t="shared" si="8"/>
        <v>123954.60060000001</v>
      </c>
    </row>
    <row r="21" spans="1:11" ht="12.75" customHeight="1" x14ac:dyDescent="0.25">
      <c r="A21" s="39" t="s">
        <v>541</v>
      </c>
      <c r="B21" s="169"/>
      <c r="C21" s="748">
        <v>0</v>
      </c>
      <c r="D21" s="745">
        <v>0</v>
      </c>
      <c r="E21" s="733">
        <v>0</v>
      </c>
      <c r="F21" s="733">
        <v>0</v>
      </c>
      <c r="G21" s="733">
        <v>0</v>
      </c>
      <c r="H21" s="733">
        <f t="shared" si="5"/>
        <v>0</v>
      </c>
      <c r="I21" s="44">
        <f t="shared" si="6"/>
        <v>0</v>
      </c>
      <c r="J21" s="330" t="str">
        <f t="shared" si="7"/>
        <v/>
      </c>
      <c r="K21" s="735">
        <f t="shared" si="8"/>
        <v>0</v>
      </c>
    </row>
    <row r="22" spans="1:11" ht="12.75" customHeight="1" x14ac:dyDescent="0.25">
      <c r="A22" s="39" t="s">
        <v>429</v>
      </c>
      <c r="B22" s="169"/>
      <c r="C22" s="748">
        <v>0</v>
      </c>
      <c r="D22" s="745">
        <v>0</v>
      </c>
      <c r="E22" s="733">
        <v>0</v>
      </c>
      <c r="F22" s="733">
        <v>0</v>
      </c>
      <c r="G22" s="733">
        <v>0</v>
      </c>
      <c r="H22" s="733">
        <f t="shared" si="5"/>
        <v>0</v>
      </c>
      <c r="I22" s="44">
        <f>G22-H22</f>
        <v>0</v>
      </c>
      <c r="J22" s="330" t="str">
        <f>IF(I22=0,"",I22/H22)</f>
        <v/>
      </c>
      <c r="K22" s="735">
        <f t="shared" si="8"/>
        <v>0</v>
      </c>
    </row>
    <row r="23" spans="1:11" ht="12.75" customHeight="1" x14ac:dyDescent="0.25">
      <c r="A23" s="39" t="s">
        <v>1041</v>
      </c>
      <c r="B23" s="169"/>
      <c r="C23" s="748">
        <v>1987444.16</v>
      </c>
      <c r="D23" s="745">
        <v>1974565.297</v>
      </c>
      <c r="E23" s="733">
        <v>1974565.297</v>
      </c>
      <c r="F23" s="733">
        <v>183179.78</v>
      </c>
      <c r="G23" s="733">
        <v>1831503.58</v>
      </c>
      <c r="H23" s="733">
        <f t="shared" si="5"/>
        <v>1645471.0808333333</v>
      </c>
      <c r="I23" s="44">
        <f>G23-H23</f>
        <v>186032.49916666676</v>
      </c>
      <c r="J23" s="330">
        <f>IF(I23=0,"",I23/H23)</f>
        <v>0.11305728878106588</v>
      </c>
      <c r="K23" s="735">
        <f t="shared" si="8"/>
        <v>1974565.297</v>
      </c>
    </row>
    <row r="24" spans="1:11" ht="12.75" customHeight="1" x14ac:dyDescent="0.25">
      <c r="A24" s="39" t="s">
        <v>1042</v>
      </c>
      <c r="B24" s="169"/>
      <c r="C24" s="748">
        <v>0</v>
      </c>
      <c r="D24" s="745">
        <v>0</v>
      </c>
      <c r="E24" s="733">
        <v>0</v>
      </c>
      <c r="F24" s="733">
        <v>0</v>
      </c>
      <c r="G24" s="733">
        <v>0</v>
      </c>
      <c r="H24" s="733">
        <f t="shared" si="5"/>
        <v>0</v>
      </c>
      <c r="I24" s="44">
        <f>G24-H24</f>
        <v>0</v>
      </c>
      <c r="J24" s="330" t="str">
        <f>IF(I24=0,"",I24/H24)</f>
        <v/>
      </c>
      <c r="K24" s="735">
        <f t="shared" si="8"/>
        <v>0</v>
      </c>
    </row>
    <row r="25" spans="1:11" ht="12.75" customHeight="1" x14ac:dyDescent="0.25">
      <c r="A25" s="39" t="s">
        <v>1043</v>
      </c>
      <c r="B25" s="169"/>
      <c r="C25" s="748">
        <v>935123.85</v>
      </c>
      <c r="D25" s="745">
        <v>0</v>
      </c>
      <c r="E25" s="733">
        <v>0</v>
      </c>
      <c r="F25" s="733">
        <v>187024.77</v>
      </c>
      <c r="G25" s="733">
        <v>1870247.7</v>
      </c>
      <c r="H25" s="733">
        <f t="shared" si="5"/>
        <v>0</v>
      </c>
      <c r="I25" s="44">
        <f>G25-H25</f>
        <v>1870247.7</v>
      </c>
      <c r="J25" s="330" t="e">
        <f>IF(I25=0,"",I25/H25)</f>
        <v>#DIV/0!</v>
      </c>
      <c r="K25" s="735">
        <f t="shared" si="8"/>
        <v>0</v>
      </c>
    </row>
    <row r="26" spans="1:11" ht="12.75" customHeight="1" x14ac:dyDescent="0.25">
      <c r="A26" s="39" t="s">
        <v>1044</v>
      </c>
      <c r="B26" s="169"/>
      <c r="C26" s="748">
        <v>1269791.92</v>
      </c>
      <c r="D26" s="745">
        <v>3323747.9568000026</v>
      </c>
      <c r="E26" s="733">
        <v>3323747.9568000026</v>
      </c>
      <c r="F26" s="733">
        <v>0</v>
      </c>
      <c r="G26" s="733">
        <v>109735.55000000002</v>
      </c>
      <c r="H26" s="733">
        <f t="shared" si="5"/>
        <v>2769789.9640000025</v>
      </c>
      <c r="I26" s="44">
        <f t="shared" si="6"/>
        <v>-2660054.4140000027</v>
      </c>
      <c r="J26" s="330">
        <f t="shared" si="7"/>
        <v>-0.96038127387770411</v>
      </c>
      <c r="K26" s="735">
        <f t="shared" si="8"/>
        <v>3323747.9568000026</v>
      </c>
    </row>
    <row r="27" spans="1:11" ht="12.75" customHeight="1" x14ac:dyDescent="0.25">
      <c r="A27" s="39" t="s">
        <v>1045</v>
      </c>
      <c r="B27" s="169"/>
      <c r="C27" s="748">
        <v>0</v>
      </c>
      <c r="D27" s="745">
        <v>0</v>
      </c>
      <c r="E27" s="733">
        <v>0</v>
      </c>
      <c r="F27" s="733">
        <v>0</v>
      </c>
      <c r="G27" s="733">
        <v>0</v>
      </c>
      <c r="H27" s="733">
        <f t="shared" si="5"/>
        <v>0</v>
      </c>
      <c r="I27" s="44">
        <f t="shared" si="6"/>
        <v>0</v>
      </c>
      <c r="J27" s="330" t="str">
        <f t="shared" si="7"/>
        <v/>
      </c>
      <c r="K27" s="735">
        <f t="shared" si="8"/>
        <v>0</v>
      </c>
    </row>
    <row r="28" spans="1:11" ht="12.75" customHeight="1" x14ac:dyDescent="0.25">
      <c r="A28" s="39" t="s">
        <v>1046</v>
      </c>
      <c r="B28" s="169"/>
      <c r="C28" s="748">
        <v>0</v>
      </c>
      <c r="D28" s="745">
        <v>0</v>
      </c>
      <c r="E28" s="733">
        <v>0</v>
      </c>
      <c r="F28" s="733">
        <v>0</v>
      </c>
      <c r="G28" s="733">
        <v>0</v>
      </c>
      <c r="H28" s="733">
        <f t="shared" si="5"/>
        <v>0</v>
      </c>
      <c r="I28" s="44">
        <f t="shared" si="6"/>
        <v>0</v>
      </c>
      <c r="J28" s="330" t="str">
        <f t="shared" si="7"/>
        <v/>
      </c>
      <c r="K28" s="735">
        <f t="shared" si="8"/>
        <v>0</v>
      </c>
    </row>
    <row r="29" spans="1:11" ht="12.75" customHeight="1" x14ac:dyDescent="0.25">
      <c r="A29" s="39" t="s">
        <v>1047</v>
      </c>
      <c r="B29" s="169">
        <v>2</v>
      </c>
      <c r="C29" s="748">
        <v>0</v>
      </c>
      <c r="D29" s="745">
        <v>0</v>
      </c>
      <c r="E29" s="733">
        <v>0</v>
      </c>
      <c r="F29" s="733">
        <v>0</v>
      </c>
      <c r="G29" s="733">
        <v>0</v>
      </c>
      <c r="H29" s="733">
        <f t="shared" si="5"/>
        <v>0</v>
      </c>
      <c r="I29" s="44">
        <f t="shared" si="6"/>
        <v>0</v>
      </c>
      <c r="J29" s="330" t="str">
        <f t="shared" si="7"/>
        <v/>
      </c>
      <c r="K29" s="735">
        <f t="shared" si="8"/>
        <v>0</v>
      </c>
    </row>
    <row r="30" spans="1:11" ht="12.75" customHeight="1" x14ac:dyDescent="0.25">
      <c r="A30" s="87" t="s">
        <v>430</v>
      </c>
      <c r="B30" s="169"/>
      <c r="C30" s="516">
        <f t="shared" ref="C30:K30" si="9">SUM(C18:C29)</f>
        <v>15081640.480000002</v>
      </c>
      <c r="D30" s="475">
        <f t="shared" si="9"/>
        <v>17755375.324800003</v>
      </c>
      <c r="E30" s="430">
        <f t="shared" si="9"/>
        <v>17282375.324800003</v>
      </c>
      <c r="F30" s="430">
        <f>SUM(F18:F29)</f>
        <v>1382338.11</v>
      </c>
      <c r="G30" s="430">
        <f>SUM(G18:G29)</f>
        <v>13932876.760000002</v>
      </c>
      <c r="H30" s="430">
        <f>SUM(H18:H29)</f>
        <v>14401979.437333334</v>
      </c>
      <c r="I30" s="430">
        <f t="shared" si="6"/>
        <v>-469102.6773333326</v>
      </c>
      <c r="J30" s="431">
        <f>IF(I30=0,"",I30/H30)</f>
        <v>-3.2572097424143492E-2</v>
      </c>
      <c r="K30" s="513">
        <f t="shared" si="9"/>
        <v>17282375.324800003</v>
      </c>
    </row>
    <row r="31" spans="1:11" ht="12.75" customHeight="1" x14ac:dyDescent="0.25">
      <c r="A31" s="565" t="s">
        <v>724</v>
      </c>
      <c r="B31" s="169">
        <v>4</v>
      </c>
      <c r="C31" s="173"/>
      <c r="D31" s="303">
        <f>IF(D30=0,"",(D30/C30)-1)</f>
        <v>0.17728408579595056</v>
      </c>
      <c r="E31" s="303">
        <f>IF(E30=0,"",(E30/C30)-1)</f>
        <v>0.14592144983952049</v>
      </c>
      <c r="F31" s="303"/>
      <c r="G31" s="303"/>
      <c r="H31" s="303"/>
      <c r="I31" s="303"/>
      <c r="J31" s="344"/>
      <c r="K31" s="312">
        <f>IF(K30=0,"",(K30/C30)-1)</f>
        <v>0.14592144983952049</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473981610.21999997</v>
      </c>
      <c r="D34" s="745">
        <v>580556150</v>
      </c>
      <c r="E34" s="733">
        <v>536015552.08459997</v>
      </c>
      <c r="F34" s="733">
        <v>45211956.740000002</v>
      </c>
      <c r="G34" s="733">
        <v>434605861.38000005</v>
      </c>
      <c r="H34" s="733">
        <f t="shared" ref="H34:H45" si="10">E34/12*10</f>
        <v>446679626.73716664</v>
      </c>
      <c r="I34" s="44">
        <f t="shared" ref="I34:I46" si="11">G34-H34</f>
        <v>-12073765.357166588</v>
      </c>
      <c r="J34" s="330">
        <f t="shared" ref="J34:J45" si="12">IF(I34=0,"",I34/H34)</f>
        <v>-2.7030033685129282E-2</v>
      </c>
      <c r="K34" s="735">
        <f>E34</f>
        <v>536015552.08459997</v>
      </c>
    </row>
    <row r="35" spans="1:11" ht="12.75" customHeight="1" x14ac:dyDescent="0.25">
      <c r="A35" s="518" t="s">
        <v>1040</v>
      </c>
      <c r="B35" s="169"/>
      <c r="C35" s="748">
        <v>97382495.610000014</v>
      </c>
      <c r="D35" s="745">
        <v>122550843</v>
      </c>
      <c r="E35" s="733">
        <v>118133842.94499999</v>
      </c>
      <c r="F35" s="733">
        <v>8885205.6799999997</v>
      </c>
      <c r="G35" s="733">
        <v>88322560.5</v>
      </c>
      <c r="H35" s="733">
        <f t="shared" si="10"/>
        <v>98444869.120833337</v>
      </c>
      <c r="I35" s="44">
        <f t="shared" si="11"/>
        <v>-10122308.620833337</v>
      </c>
      <c r="J35" s="330">
        <f t="shared" si="12"/>
        <v>-0.10282210450611702</v>
      </c>
      <c r="K35" s="735">
        <f t="shared" ref="K35:K45" si="13">E35</f>
        <v>118133842.94499999</v>
      </c>
    </row>
    <row r="36" spans="1:11" ht="12.75" customHeight="1" x14ac:dyDescent="0.25">
      <c r="A36" s="518" t="s">
        <v>427</v>
      </c>
      <c r="B36" s="169"/>
      <c r="C36" s="748">
        <v>35266192.780000001</v>
      </c>
      <c r="D36" s="745">
        <v>36420432</v>
      </c>
      <c r="E36" s="733">
        <v>36205781.899400003</v>
      </c>
      <c r="F36" s="733">
        <v>3444687.4200000004</v>
      </c>
      <c r="G36" s="733">
        <v>32829351.290000003</v>
      </c>
      <c r="H36" s="733">
        <f t="shared" si="10"/>
        <v>30171484.916166667</v>
      </c>
      <c r="I36" s="44">
        <f t="shared" si="11"/>
        <v>2657866.3738333359</v>
      </c>
      <c r="J36" s="330">
        <f t="shared" si="12"/>
        <v>8.8091997500898009E-2</v>
      </c>
      <c r="K36" s="735">
        <f t="shared" si="13"/>
        <v>36205781.899400003</v>
      </c>
    </row>
    <row r="37" spans="1:11" ht="12.75" customHeight="1" x14ac:dyDescent="0.25">
      <c r="A37" s="518" t="s">
        <v>541</v>
      </c>
      <c r="B37" s="169"/>
      <c r="C37" s="748">
        <v>90523413.140000001</v>
      </c>
      <c r="D37" s="745">
        <v>39300502</v>
      </c>
      <c r="E37" s="733">
        <v>73770402</v>
      </c>
      <c r="F37" s="733">
        <v>8520487.7400000002</v>
      </c>
      <c r="G37" s="733">
        <v>83688355.75</v>
      </c>
      <c r="H37" s="733">
        <f t="shared" si="10"/>
        <v>61475335</v>
      </c>
      <c r="I37" s="44">
        <f t="shared" si="11"/>
        <v>22213020.75</v>
      </c>
      <c r="J37" s="330">
        <f t="shared" si="12"/>
        <v>0.3613322440617851</v>
      </c>
      <c r="K37" s="735">
        <f t="shared" si="13"/>
        <v>73770402</v>
      </c>
    </row>
    <row r="38" spans="1:11" ht="12.75" customHeight="1" x14ac:dyDescent="0.25">
      <c r="A38" s="518" t="s">
        <v>429</v>
      </c>
      <c r="B38" s="169"/>
      <c r="C38" s="748">
        <v>0</v>
      </c>
      <c r="D38" s="745">
        <v>0</v>
      </c>
      <c r="E38" s="733">
        <v>0</v>
      </c>
      <c r="F38" s="733">
        <v>0</v>
      </c>
      <c r="G38" s="733">
        <v>0</v>
      </c>
      <c r="H38" s="733">
        <f t="shared" si="10"/>
        <v>0</v>
      </c>
      <c r="I38" s="44">
        <f t="shared" si="11"/>
        <v>0</v>
      </c>
      <c r="J38" s="330" t="str">
        <f t="shared" si="12"/>
        <v/>
      </c>
      <c r="K38" s="735">
        <f t="shared" si="13"/>
        <v>0</v>
      </c>
    </row>
    <row r="39" spans="1:11" ht="12.75" customHeight="1" x14ac:dyDescent="0.25">
      <c r="A39" s="518" t="s">
        <v>1041</v>
      </c>
      <c r="B39" s="169"/>
      <c r="C39" s="748">
        <v>50058113.999999993</v>
      </c>
      <c r="D39" s="745">
        <v>68119135</v>
      </c>
      <c r="E39" s="733">
        <v>67289134.967999995</v>
      </c>
      <c r="F39" s="733">
        <v>4116852.26</v>
      </c>
      <c r="G39" s="733">
        <v>39878849.509999998</v>
      </c>
      <c r="H39" s="733">
        <f t="shared" si="10"/>
        <v>56074279.140000001</v>
      </c>
      <c r="I39" s="44">
        <f>G39-H39</f>
        <v>-16195429.630000003</v>
      </c>
      <c r="J39" s="330">
        <f>IF(I39=0,"",I39/H39)</f>
        <v>-0.28882100453873089</v>
      </c>
      <c r="K39" s="735">
        <f t="shared" si="13"/>
        <v>67289134.967999995</v>
      </c>
    </row>
    <row r="40" spans="1:11" ht="12.75" customHeight="1" x14ac:dyDescent="0.25">
      <c r="A40" s="518" t="s">
        <v>1042</v>
      </c>
      <c r="B40" s="169"/>
      <c r="C40" s="748">
        <v>111462.89000000001</v>
      </c>
      <c r="D40" s="745">
        <v>319394</v>
      </c>
      <c r="E40" s="733">
        <v>319393.5</v>
      </c>
      <c r="F40" s="733">
        <v>7369.8</v>
      </c>
      <c r="G40" s="733">
        <v>79990.539999999994</v>
      </c>
      <c r="H40" s="733">
        <f t="shared" si="10"/>
        <v>266161.25</v>
      </c>
      <c r="I40" s="44">
        <f>G40-H40</f>
        <v>-186170.71000000002</v>
      </c>
      <c r="J40" s="330">
        <f>IF(I40=0,"",I40/H40)</f>
        <v>-0.69946586890465845</v>
      </c>
      <c r="K40" s="735">
        <f t="shared" si="13"/>
        <v>319393.5</v>
      </c>
    </row>
    <row r="41" spans="1:11" ht="12.75" customHeight="1" x14ac:dyDescent="0.25">
      <c r="A41" s="518" t="s">
        <v>1043</v>
      </c>
      <c r="B41" s="169"/>
      <c r="C41" s="748">
        <v>7710957.9800000004</v>
      </c>
      <c r="D41" s="745">
        <v>11040323</v>
      </c>
      <c r="E41" s="733">
        <v>11040322.5</v>
      </c>
      <c r="F41" s="733">
        <v>751653.71</v>
      </c>
      <c r="G41" s="733">
        <v>7430771.9500000002</v>
      </c>
      <c r="H41" s="733">
        <f t="shared" si="10"/>
        <v>9200268.75</v>
      </c>
      <c r="I41" s="44">
        <f>G41-H41</f>
        <v>-1769496.7999999998</v>
      </c>
      <c r="J41" s="330">
        <f>IF(I41=0,"",I41/H41)</f>
        <v>-0.19233099033112483</v>
      </c>
      <c r="K41" s="735">
        <f t="shared" si="13"/>
        <v>11040322.5</v>
      </c>
    </row>
    <row r="42" spans="1:11" ht="12.75" customHeight="1" x14ac:dyDescent="0.25">
      <c r="A42" s="518" t="s">
        <v>1044</v>
      </c>
      <c r="B42" s="169"/>
      <c r="C42" s="748">
        <v>27646771.599999998</v>
      </c>
      <c r="D42" s="745">
        <v>81153519</v>
      </c>
      <c r="E42" s="733">
        <v>74637458.518200159</v>
      </c>
      <c r="F42" s="733">
        <v>2965884.18</v>
      </c>
      <c r="G42" s="733">
        <v>24516349.460000001</v>
      </c>
      <c r="H42" s="733">
        <f t="shared" si="10"/>
        <v>62197882.098500133</v>
      </c>
      <c r="I42" s="44">
        <f t="shared" si="11"/>
        <v>-37681532.638500132</v>
      </c>
      <c r="J42" s="330">
        <f t="shared" si="12"/>
        <v>-0.6058330503734114</v>
      </c>
      <c r="K42" s="735">
        <f t="shared" si="13"/>
        <v>74637458.518200159</v>
      </c>
    </row>
    <row r="43" spans="1:11" ht="12.75" customHeight="1" x14ac:dyDescent="0.25">
      <c r="A43" s="518" t="s">
        <v>1045</v>
      </c>
      <c r="B43" s="169"/>
      <c r="C43" s="748">
        <v>17407174.400000002</v>
      </c>
      <c r="D43" s="745">
        <v>15991401</v>
      </c>
      <c r="E43" s="733">
        <v>15991401</v>
      </c>
      <c r="F43" s="733">
        <v>1400799.41</v>
      </c>
      <c r="G43" s="733">
        <v>19547913.609999999</v>
      </c>
      <c r="H43" s="733">
        <f t="shared" si="10"/>
        <v>13326167.5</v>
      </c>
      <c r="I43" s="44">
        <f t="shared" si="11"/>
        <v>6221746.1099999994</v>
      </c>
      <c r="J43" s="330">
        <f t="shared" si="12"/>
        <v>0.46688187807935022</v>
      </c>
      <c r="K43" s="735">
        <f t="shared" si="13"/>
        <v>15991401</v>
      </c>
    </row>
    <row r="44" spans="1:11" ht="12.75" customHeight="1" x14ac:dyDescent="0.25">
      <c r="A44" s="518" t="s">
        <v>1046</v>
      </c>
      <c r="B44" s="169"/>
      <c r="C44" s="748">
        <v>819419</v>
      </c>
      <c r="D44" s="745">
        <v>7415808</v>
      </c>
      <c r="E44" s="733">
        <v>7415808</v>
      </c>
      <c r="F44" s="733">
        <v>144603</v>
      </c>
      <c r="G44" s="733">
        <v>737259.5</v>
      </c>
      <c r="H44" s="733">
        <f t="shared" si="10"/>
        <v>6179840</v>
      </c>
      <c r="I44" s="44">
        <f t="shared" si="11"/>
        <v>-5442580.5</v>
      </c>
      <c r="J44" s="330">
        <f t="shared" si="12"/>
        <v>-0.88069925758595691</v>
      </c>
      <c r="K44" s="735">
        <f t="shared" si="13"/>
        <v>7415808</v>
      </c>
    </row>
    <row r="45" spans="1:11" ht="12.75" customHeight="1" x14ac:dyDescent="0.25">
      <c r="A45" s="518" t="s">
        <v>1047</v>
      </c>
      <c r="B45" s="169">
        <v>2</v>
      </c>
      <c r="C45" s="748">
        <v>3220307.4299999997</v>
      </c>
      <c r="D45" s="745">
        <v>7418794</v>
      </c>
      <c r="E45" s="733">
        <v>7418794.2599999998</v>
      </c>
      <c r="F45" s="733">
        <v>681792.38</v>
      </c>
      <c r="G45" s="733">
        <v>3351215.25</v>
      </c>
      <c r="H45" s="733">
        <f t="shared" si="10"/>
        <v>6182328.5499999998</v>
      </c>
      <c r="I45" s="44">
        <f t="shared" si="11"/>
        <v>-2831113.3</v>
      </c>
      <c r="J45" s="330">
        <f t="shared" si="12"/>
        <v>-0.45793640326669471</v>
      </c>
      <c r="K45" s="735">
        <f t="shared" si="13"/>
        <v>7418794.2599999998</v>
      </c>
    </row>
    <row r="46" spans="1:11" ht="12.75" customHeight="1" x14ac:dyDescent="0.25">
      <c r="A46" s="87" t="s">
        <v>432</v>
      </c>
      <c r="B46" s="169"/>
      <c r="C46" s="516">
        <f t="shared" ref="C46:K46" si="14">SUM(C34:C45)</f>
        <v>804127919.04999983</v>
      </c>
      <c r="D46" s="475">
        <f t="shared" si="14"/>
        <v>970286301</v>
      </c>
      <c r="E46" s="430">
        <f t="shared" si="14"/>
        <v>948237891.67519999</v>
      </c>
      <c r="F46" s="430">
        <f>SUM(F34:F45)</f>
        <v>76131292.319999993</v>
      </c>
      <c r="G46" s="430">
        <f>SUM(G34:G45)</f>
        <v>734988478.74000013</v>
      </c>
      <c r="H46" s="430">
        <f>SUM(H34:H45)</f>
        <v>790198243.06266677</v>
      </c>
      <c r="I46" s="430">
        <f t="shared" si="11"/>
        <v>-55209764.322666645</v>
      </c>
      <c r="J46" s="431">
        <f>IF(I46=0,"",I46/H46)</f>
        <v>-6.9868244845348551E-2</v>
      </c>
      <c r="K46" s="513">
        <f t="shared" si="14"/>
        <v>948237891.67519999</v>
      </c>
    </row>
    <row r="47" spans="1:11" ht="12.75" customHeight="1" x14ac:dyDescent="0.25">
      <c r="A47" s="565" t="s">
        <v>724</v>
      </c>
      <c r="B47" s="169">
        <v>4</v>
      </c>
      <c r="C47" s="399"/>
      <c r="D47" s="303">
        <f>IF(D46=0,"",(D46/C46)-1)</f>
        <v>0.20663177836966584</v>
      </c>
      <c r="E47" s="303">
        <f>IF(E46=0,"",(E46/C46)-1)</f>
        <v>0.17921274614547933</v>
      </c>
      <c r="F47" s="303"/>
      <c r="G47" s="303"/>
      <c r="H47" s="303"/>
      <c r="I47" s="401"/>
      <c r="J47" s="403"/>
      <c r="K47" s="312">
        <f>IF(K46=0,"",(K46/C46)-1)</f>
        <v>0.17921274614547933</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859089366.55999982</v>
      </c>
      <c r="D49" s="74">
        <f t="shared" ref="D49:K49" si="15">D14+D30+D46</f>
        <v>1030552676.3248</v>
      </c>
      <c r="E49" s="73">
        <f t="shared" si="15"/>
        <v>1008031267</v>
      </c>
      <c r="F49" s="73">
        <f t="shared" si="15"/>
        <v>80980138.969999999</v>
      </c>
      <c r="G49" s="73">
        <f t="shared" si="15"/>
        <v>783962313.31000018</v>
      </c>
      <c r="H49" s="73">
        <f t="shared" si="15"/>
        <v>840026055.83333349</v>
      </c>
      <c r="I49" s="73">
        <f>G49-H49</f>
        <v>-56063742.523333311</v>
      </c>
      <c r="J49" s="331">
        <f>IF(I49=0,"",I49/H49)</f>
        <v>-6.6740480410118028E-2</v>
      </c>
      <c r="K49" s="145">
        <f t="shared" si="15"/>
        <v>1008031267</v>
      </c>
    </row>
    <row r="50" spans="1:11" ht="5.0999999999999996" customHeight="1" x14ac:dyDescent="0.25">
      <c r="A50" s="42"/>
      <c r="B50" s="169"/>
      <c r="C50" s="173"/>
      <c r="D50" s="303">
        <f>IF(D49=0,"",(D49/C49)-1)</f>
        <v>0.19958727978601387</v>
      </c>
      <c r="E50" s="303">
        <f>IF(E49=0,"",(E49/C49)-1)</f>
        <v>0.17337183561752068</v>
      </c>
      <c r="F50" s="303"/>
      <c r="G50" s="303"/>
      <c r="H50" s="303"/>
      <c r="I50" s="303"/>
      <c r="J50" s="344"/>
      <c r="K50" s="312">
        <f>IF(K49=0,"",(K49/C49)-1)</f>
        <v>0.17337183561752068</v>
      </c>
    </row>
    <row r="51" spans="1:11" ht="12.75" customHeight="1" x14ac:dyDescent="0.25">
      <c r="A51" s="350" t="s">
        <v>887</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558</v>
      </c>
      <c r="B53" s="169"/>
      <c r="C53" s="40"/>
      <c r="D53" s="104"/>
      <c r="E53" s="103"/>
      <c r="F53" s="103"/>
      <c r="G53" s="103"/>
      <c r="H53" s="103"/>
      <c r="I53" s="103"/>
      <c r="J53" s="330"/>
      <c r="K53" s="266"/>
    </row>
    <row r="54" spans="1:11" ht="12.75" customHeight="1" x14ac:dyDescent="0.25">
      <c r="A54" s="39" t="s">
        <v>490</v>
      </c>
      <c r="B54" s="169"/>
      <c r="C54" s="748"/>
      <c r="D54" s="745"/>
      <c r="E54" s="733">
        <v>2014781.9916800002</v>
      </c>
      <c r="F54" s="733"/>
      <c r="G54" s="733"/>
      <c r="H54" s="733"/>
      <c r="I54" s="44">
        <f t="shared" ref="I54:I67" si="16">G54-H54</f>
        <v>0</v>
      </c>
      <c r="J54" s="330" t="str">
        <f t="shared" ref="J54:J66" si="17">IF(I54=0,"",I54/H54)</f>
        <v/>
      </c>
      <c r="K54" s="735">
        <v>2014781.9916800002</v>
      </c>
    </row>
    <row r="55" spans="1:11" ht="12.75" customHeight="1" x14ac:dyDescent="0.25">
      <c r="A55" s="39" t="s">
        <v>1040</v>
      </c>
      <c r="B55" s="169"/>
      <c r="C55" s="748"/>
      <c r="D55" s="745"/>
      <c r="E55" s="733">
        <v>369088.95949600008</v>
      </c>
      <c r="F55" s="733"/>
      <c r="G55" s="733"/>
      <c r="H55" s="733"/>
      <c r="I55" s="44">
        <f t="shared" si="16"/>
        <v>0</v>
      </c>
      <c r="J55" s="330" t="str">
        <f t="shared" si="17"/>
        <v/>
      </c>
      <c r="K55" s="735">
        <v>369088.95949600008</v>
      </c>
    </row>
    <row r="56" spans="1:11" ht="12.75" customHeight="1" x14ac:dyDescent="0.25">
      <c r="A56" s="39" t="s">
        <v>427</v>
      </c>
      <c r="B56" s="169"/>
      <c r="C56" s="748"/>
      <c r="D56" s="745"/>
      <c r="E56" s="733">
        <v>0</v>
      </c>
      <c r="F56" s="733"/>
      <c r="G56" s="733"/>
      <c r="H56" s="733"/>
      <c r="I56" s="44">
        <f t="shared" si="16"/>
        <v>0</v>
      </c>
      <c r="J56" s="330" t="str">
        <f t="shared" si="17"/>
        <v/>
      </c>
      <c r="K56" s="735"/>
    </row>
    <row r="57" spans="1:11" ht="12.75" customHeight="1" x14ac:dyDescent="0.25">
      <c r="A57" s="39" t="s">
        <v>541</v>
      </c>
      <c r="B57" s="169"/>
      <c r="C57" s="748"/>
      <c r="D57" s="745"/>
      <c r="E57" s="733">
        <v>0</v>
      </c>
      <c r="F57" s="733"/>
      <c r="G57" s="733"/>
      <c r="H57" s="733"/>
      <c r="I57" s="44">
        <f>G57-H57</f>
        <v>0</v>
      </c>
      <c r="J57" s="330" t="str">
        <f>IF(I57=0,"",I57/H57)</f>
        <v/>
      </c>
      <c r="K57" s="735"/>
    </row>
    <row r="58" spans="1:11" ht="12.75" customHeight="1" x14ac:dyDescent="0.25">
      <c r="A58" s="39" t="s">
        <v>429</v>
      </c>
      <c r="B58" s="169"/>
      <c r="C58" s="748"/>
      <c r="D58" s="745"/>
      <c r="E58" s="733">
        <v>0</v>
      </c>
      <c r="F58" s="733"/>
      <c r="G58" s="733"/>
      <c r="H58" s="733"/>
      <c r="I58" s="44">
        <f>G58-H58</f>
        <v>0</v>
      </c>
      <c r="J58" s="330" t="str">
        <f>IF(I58=0,"",I58/H58)</f>
        <v/>
      </c>
      <c r="K58" s="735"/>
    </row>
    <row r="59" spans="1:11" ht="12.75" customHeight="1" x14ac:dyDescent="0.25">
      <c r="A59" s="39" t="s">
        <v>1041</v>
      </c>
      <c r="B59" s="169"/>
      <c r="C59" s="748"/>
      <c r="D59" s="745"/>
      <c r="E59" s="733">
        <v>0</v>
      </c>
      <c r="F59" s="733"/>
      <c r="G59" s="733"/>
      <c r="H59" s="733"/>
      <c r="I59" s="44">
        <f>G59-H59</f>
        <v>0</v>
      </c>
      <c r="J59" s="330" t="str">
        <f>IF(I59=0,"",I59/H59)</f>
        <v/>
      </c>
      <c r="K59" s="735"/>
    </row>
    <row r="60" spans="1:11" ht="12.75" customHeight="1" x14ac:dyDescent="0.25">
      <c r="A60" s="39" t="s">
        <v>1042</v>
      </c>
      <c r="B60" s="169"/>
      <c r="C60" s="748"/>
      <c r="D60" s="745"/>
      <c r="E60" s="733">
        <v>0</v>
      </c>
      <c r="F60" s="733"/>
      <c r="G60" s="733"/>
      <c r="H60" s="733"/>
      <c r="I60" s="44">
        <f>G60-H60</f>
        <v>0</v>
      </c>
      <c r="J60" s="330" t="str">
        <f>IF(I60=0,"",I60/H60)</f>
        <v/>
      </c>
      <c r="K60" s="735"/>
    </row>
    <row r="61" spans="1:11" ht="12.75" customHeight="1" x14ac:dyDescent="0.25">
      <c r="A61" s="39" t="s">
        <v>1043</v>
      </c>
      <c r="B61" s="169"/>
      <c r="C61" s="748"/>
      <c r="D61" s="745"/>
      <c r="E61" s="733">
        <v>0</v>
      </c>
      <c r="F61" s="733"/>
      <c r="G61" s="733"/>
      <c r="H61" s="733"/>
      <c r="I61" s="44">
        <f>G61-H61</f>
        <v>0</v>
      </c>
      <c r="J61" s="330" t="str">
        <f>IF(I61=0,"",I61/H61)</f>
        <v/>
      </c>
      <c r="K61" s="735"/>
    </row>
    <row r="62" spans="1:11" ht="12.75" customHeight="1" x14ac:dyDescent="0.25">
      <c r="A62" s="39" t="s">
        <v>1044</v>
      </c>
      <c r="B62" s="169"/>
      <c r="C62" s="748"/>
      <c r="D62" s="745"/>
      <c r="E62" s="733">
        <v>0</v>
      </c>
      <c r="F62" s="733"/>
      <c r="G62" s="733"/>
      <c r="H62" s="733"/>
      <c r="I62" s="44">
        <f t="shared" si="16"/>
        <v>0</v>
      </c>
      <c r="J62" s="330" t="str">
        <f t="shared" si="17"/>
        <v/>
      </c>
      <c r="K62" s="735"/>
    </row>
    <row r="63" spans="1:11" ht="12.75" customHeight="1" x14ac:dyDescent="0.25">
      <c r="A63" s="39" t="s">
        <v>559</v>
      </c>
      <c r="B63" s="169"/>
      <c r="C63" s="748"/>
      <c r="D63" s="745"/>
      <c r="E63" s="733">
        <v>0</v>
      </c>
      <c r="F63" s="733"/>
      <c r="G63" s="733"/>
      <c r="H63" s="733"/>
      <c r="I63" s="44">
        <f>G63-H63</f>
        <v>0</v>
      </c>
      <c r="J63" s="330" t="str">
        <f>IF(I63=0,"",I63/H63)</f>
        <v/>
      </c>
      <c r="K63" s="735"/>
    </row>
    <row r="64" spans="1:11" ht="12.75" customHeight="1" x14ac:dyDescent="0.25">
      <c r="A64" s="39" t="s">
        <v>1045</v>
      </c>
      <c r="B64" s="169"/>
      <c r="C64" s="748"/>
      <c r="D64" s="745"/>
      <c r="E64" s="733">
        <v>0</v>
      </c>
      <c r="F64" s="733"/>
      <c r="G64" s="733"/>
      <c r="H64" s="733"/>
      <c r="I64" s="44">
        <f t="shared" si="16"/>
        <v>0</v>
      </c>
      <c r="J64" s="330" t="str">
        <f t="shared" si="17"/>
        <v/>
      </c>
      <c r="K64" s="735"/>
    </row>
    <row r="65" spans="1:11" ht="12.75" customHeight="1" x14ac:dyDescent="0.25">
      <c r="A65" s="39" t="s">
        <v>1046</v>
      </c>
      <c r="B65" s="169"/>
      <c r="C65" s="748"/>
      <c r="D65" s="745"/>
      <c r="E65" s="733">
        <v>0</v>
      </c>
      <c r="F65" s="733"/>
      <c r="G65" s="733"/>
      <c r="H65" s="733"/>
      <c r="I65" s="44">
        <f t="shared" si="16"/>
        <v>0</v>
      </c>
      <c r="J65" s="330" t="str">
        <f t="shared" si="17"/>
        <v/>
      </c>
      <c r="K65" s="735"/>
    </row>
    <row r="66" spans="1:11" ht="12.75" customHeight="1" x14ac:dyDescent="0.25">
      <c r="A66" s="39" t="s">
        <v>1047</v>
      </c>
      <c r="B66" s="169"/>
      <c r="C66" s="748"/>
      <c r="D66" s="745"/>
      <c r="E66" s="733">
        <v>0</v>
      </c>
      <c r="F66" s="733"/>
      <c r="G66" s="733"/>
      <c r="H66" s="733"/>
      <c r="I66" s="44">
        <f t="shared" si="16"/>
        <v>0</v>
      </c>
      <c r="J66" s="330" t="str">
        <f t="shared" si="17"/>
        <v/>
      </c>
      <c r="K66" s="735"/>
    </row>
    <row r="67" spans="1:11" ht="12.75" customHeight="1" x14ac:dyDescent="0.25">
      <c r="A67" s="87" t="s">
        <v>772</v>
      </c>
      <c r="B67" s="169">
        <v>2</v>
      </c>
      <c r="C67" s="516">
        <f t="shared" ref="C67:K67" si="18">SUM(C54:C66)</f>
        <v>0</v>
      </c>
      <c r="D67" s="475">
        <f t="shared" si="18"/>
        <v>0</v>
      </c>
      <c r="E67" s="430">
        <f t="shared" si="18"/>
        <v>2383870.9511760003</v>
      </c>
      <c r="F67" s="430">
        <f>SUM(F54:F66)</f>
        <v>0</v>
      </c>
      <c r="G67" s="430">
        <f>SUM(G54:G66)</f>
        <v>0</v>
      </c>
      <c r="H67" s="430">
        <f>SUM(H54:H66)</f>
        <v>0</v>
      </c>
      <c r="I67" s="430">
        <f t="shared" si="16"/>
        <v>0</v>
      </c>
      <c r="J67" s="431" t="str">
        <f>IF(I67=0,"",I67/H67)</f>
        <v/>
      </c>
      <c r="K67" s="513">
        <f t="shared" si="18"/>
        <v>2383870.9511760003</v>
      </c>
    </row>
    <row r="68" spans="1:11" ht="12.75" customHeight="1" x14ac:dyDescent="0.25">
      <c r="A68" s="565" t="s">
        <v>724</v>
      </c>
      <c r="B68" s="169">
        <v>4</v>
      </c>
      <c r="C68" s="173"/>
      <c r="D68" s="303" t="str">
        <f>IF(D67=0,"",(D67/C67)-1)</f>
        <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832</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19">G71-H71</f>
        <v>0</v>
      </c>
      <c r="J71" s="330" t="str">
        <f t="shared" ref="J71:J82" si="20">IF(I71=0,"",I71/H71)</f>
        <v/>
      </c>
      <c r="K71" s="735"/>
    </row>
    <row r="72" spans="1:11" ht="12.75" customHeight="1" x14ac:dyDescent="0.25">
      <c r="A72" s="518" t="s">
        <v>1040</v>
      </c>
      <c r="B72" s="169"/>
      <c r="C72" s="748"/>
      <c r="D72" s="745"/>
      <c r="E72" s="733"/>
      <c r="F72" s="733"/>
      <c r="G72" s="733"/>
      <c r="H72" s="733"/>
      <c r="I72" s="44">
        <f t="shared" si="19"/>
        <v>0</v>
      </c>
      <c r="J72" s="330" t="str">
        <f t="shared" si="20"/>
        <v/>
      </c>
      <c r="K72" s="735"/>
    </row>
    <row r="73" spans="1:11" ht="12.75" customHeight="1" x14ac:dyDescent="0.25">
      <c r="A73" s="518" t="s">
        <v>427</v>
      </c>
      <c r="B73" s="169"/>
      <c r="C73" s="748"/>
      <c r="D73" s="745"/>
      <c r="E73" s="733"/>
      <c r="F73" s="733"/>
      <c r="G73" s="733"/>
      <c r="H73" s="733"/>
      <c r="I73" s="44">
        <f t="shared" si="19"/>
        <v>0</v>
      </c>
      <c r="J73" s="330" t="str">
        <f t="shared" si="20"/>
        <v/>
      </c>
      <c r="K73" s="735"/>
    </row>
    <row r="74" spans="1:11" ht="12.75" customHeight="1" x14ac:dyDescent="0.25">
      <c r="A74" s="518" t="s">
        <v>541</v>
      </c>
      <c r="B74" s="169"/>
      <c r="C74" s="748"/>
      <c r="D74" s="745"/>
      <c r="E74" s="733"/>
      <c r="F74" s="733"/>
      <c r="G74" s="733"/>
      <c r="H74" s="733"/>
      <c r="I74" s="44">
        <f t="shared" si="19"/>
        <v>0</v>
      </c>
      <c r="J74" s="330" t="str">
        <f t="shared" si="20"/>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1041</v>
      </c>
      <c r="B76" s="169"/>
      <c r="C76" s="748"/>
      <c r="D76" s="745"/>
      <c r="E76" s="733"/>
      <c r="F76" s="733"/>
      <c r="G76" s="733"/>
      <c r="H76" s="733"/>
      <c r="I76" s="44">
        <f>G76-H76</f>
        <v>0</v>
      </c>
      <c r="J76" s="330" t="str">
        <f>IF(I76=0,"",I76/H76)</f>
        <v/>
      </c>
      <c r="K76" s="735"/>
    </row>
    <row r="77" spans="1:11" ht="12.75" customHeight="1" x14ac:dyDescent="0.25">
      <c r="A77" s="518" t="s">
        <v>1042</v>
      </c>
      <c r="B77" s="169"/>
      <c r="C77" s="748"/>
      <c r="D77" s="745"/>
      <c r="E77" s="733"/>
      <c r="F77" s="733"/>
      <c r="G77" s="733"/>
      <c r="H77" s="733"/>
      <c r="I77" s="44">
        <f>G77-H77</f>
        <v>0</v>
      </c>
      <c r="J77" s="330" t="str">
        <f>IF(I77=0,"",I77/H77)</f>
        <v/>
      </c>
      <c r="K77" s="735"/>
    </row>
    <row r="78" spans="1:11" ht="12.75" customHeight="1" x14ac:dyDescent="0.25">
      <c r="A78" s="518" t="s">
        <v>1043</v>
      </c>
      <c r="B78" s="169"/>
      <c r="C78" s="748"/>
      <c r="D78" s="745"/>
      <c r="E78" s="733"/>
      <c r="F78" s="733"/>
      <c r="G78" s="733"/>
      <c r="H78" s="733"/>
      <c r="I78" s="44">
        <f>G78-H78</f>
        <v>0</v>
      </c>
      <c r="J78" s="330" t="str">
        <f>IF(I78=0,"",I78/H78)</f>
        <v/>
      </c>
      <c r="K78" s="735"/>
    </row>
    <row r="79" spans="1:11" ht="12.75" customHeight="1" x14ac:dyDescent="0.25">
      <c r="A79" s="518" t="s">
        <v>1044</v>
      </c>
      <c r="B79" s="169"/>
      <c r="C79" s="748"/>
      <c r="D79" s="745"/>
      <c r="E79" s="733"/>
      <c r="F79" s="733"/>
      <c r="G79" s="733"/>
      <c r="H79" s="733"/>
      <c r="I79" s="44">
        <f t="shared" si="19"/>
        <v>0</v>
      </c>
      <c r="J79" s="330" t="str">
        <f t="shared" si="20"/>
        <v/>
      </c>
      <c r="K79" s="735"/>
    </row>
    <row r="80" spans="1:11" ht="12.75" customHeight="1" x14ac:dyDescent="0.25">
      <c r="A80" s="518" t="s">
        <v>1045</v>
      </c>
      <c r="B80" s="169"/>
      <c r="C80" s="748"/>
      <c r="D80" s="745"/>
      <c r="E80" s="733"/>
      <c r="F80" s="733"/>
      <c r="G80" s="733"/>
      <c r="H80" s="733"/>
      <c r="I80" s="44">
        <f t="shared" si="19"/>
        <v>0</v>
      </c>
      <c r="J80" s="330" t="str">
        <f t="shared" si="20"/>
        <v/>
      </c>
      <c r="K80" s="735"/>
    </row>
    <row r="81" spans="1:11" ht="12.75" customHeight="1" x14ac:dyDescent="0.25">
      <c r="A81" s="518" t="s">
        <v>1046</v>
      </c>
      <c r="B81" s="169"/>
      <c r="C81" s="748"/>
      <c r="D81" s="745"/>
      <c r="E81" s="733"/>
      <c r="F81" s="733"/>
      <c r="G81" s="733"/>
      <c r="H81" s="733"/>
      <c r="I81" s="44">
        <f t="shared" si="19"/>
        <v>0</v>
      </c>
      <c r="J81" s="330" t="str">
        <f t="shared" si="20"/>
        <v/>
      </c>
      <c r="K81" s="735"/>
    </row>
    <row r="82" spans="1:11" ht="12.75" customHeight="1" x14ac:dyDescent="0.25">
      <c r="A82" s="518" t="s">
        <v>1047</v>
      </c>
      <c r="B82" s="169">
        <v>2</v>
      </c>
      <c r="C82" s="748"/>
      <c r="D82" s="745"/>
      <c r="E82" s="733"/>
      <c r="F82" s="733"/>
      <c r="G82" s="733"/>
      <c r="H82" s="733"/>
      <c r="I82" s="44">
        <f t="shared" si="19"/>
        <v>0</v>
      </c>
      <c r="J82" s="330" t="str">
        <f t="shared" si="20"/>
        <v/>
      </c>
      <c r="K82" s="735"/>
    </row>
    <row r="83" spans="1:11" ht="12.75" customHeight="1" x14ac:dyDescent="0.25">
      <c r="A83" s="87" t="s">
        <v>833</v>
      </c>
      <c r="B83" s="169"/>
      <c r="C83" s="516">
        <f t="shared" ref="C83:K83" si="21">SUM(C71:C82)</f>
        <v>0</v>
      </c>
      <c r="D83" s="475">
        <f t="shared" si="21"/>
        <v>0</v>
      </c>
      <c r="E83" s="430">
        <f t="shared" si="21"/>
        <v>0</v>
      </c>
      <c r="F83" s="430">
        <f>SUM(F71:F82)</f>
        <v>0</v>
      </c>
      <c r="G83" s="430">
        <f>SUM(G71:G82)</f>
        <v>0</v>
      </c>
      <c r="H83" s="430">
        <f>SUM(H71:H82)</f>
        <v>0</v>
      </c>
      <c r="I83" s="430">
        <f t="shared" si="19"/>
        <v>0</v>
      </c>
      <c r="J83" s="431" t="str">
        <f>IF(I83=0,"",I83/H83)</f>
        <v/>
      </c>
      <c r="K83" s="513">
        <f t="shared" si="21"/>
        <v>0</v>
      </c>
    </row>
    <row r="84" spans="1:11" ht="12.75" customHeight="1" x14ac:dyDescent="0.25">
      <c r="A84" s="565" t="s">
        <v>724</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719</v>
      </c>
      <c r="B86" s="169"/>
      <c r="C86" s="40"/>
      <c r="D86" s="104"/>
      <c r="E86" s="103"/>
      <c r="F86" s="103"/>
      <c r="G86" s="103"/>
      <c r="H86" s="103"/>
      <c r="I86" s="103"/>
      <c r="J86" s="330"/>
      <c r="K86" s="266"/>
    </row>
    <row r="87" spans="1:11" ht="12.75" customHeight="1" x14ac:dyDescent="0.25">
      <c r="A87" s="518" t="s">
        <v>490</v>
      </c>
      <c r="B87" s="169"/>
      <c r="C87" s="748">
        <v>0</v>
      </c>
      <c r="D87" s="745">
        <v>0</v>
      </c>
      <c r="E87" s="733">
        <v>0</v>
      </c>
      <c r="F87" s="733">
        <v>0</v>
      </c>
      <c r="G87" s="733">
        <v>0</v>
      </c>
      <c r="H87" s="733">
        <v>0</v>
      </c>
      <c r="I87" s="44">
        <f t="shared" ref="I87:I99" si="22">G87-H87</f>
        <v>0</v>
      </c>
      <c r="J87" s="330" t="str">
        <f t="shared" ref="J87:J98" si="23">IF(I87=0,"",I87/H87)</f>
        <v/>
      </c>
      <c r="K87" s="735">
        <v>0</v>
      </c>
    </row>
    <row r="88" spans="1:11" ht="12.75" customHeight="1" x14ac:dyDescent="0.25">
      <c r="A88" s="518" t="s">
        <v>1040</v>
      </c>
      <c r="B88" s="169"/>
      <c r="C88" s="748">
        <v>0</v>
      </c>
      <c r="D88" s="745">
        <v>0</v>
      </c>
      <c r="E88" s="733">
        <v>0</v>
      </c>
      <c r="F88" s="733">
        <v>0</v>
      </c>
      <c r="G88" s="733">
        <v>0</v>
      </c>
      <c r="H88" s="733">
        <v>0</v>
      </c>
      <c r="I88" s="44">
        <f t="shared" si="22"/>
        <v>0</v>
      </c>
      <c r="J88" s="330" t="str">
        <f t="shared" si="23"/>
        <v/>
      </c>
      <c r="K88" s="735">
        <v>0</v>
      </c>
    </row>
    <row r="89" spans="1:11" ht="12.75" customHeight="1" x14ac:dyDescent="0.25">
      <c r="A89" s="518" t="s">
        <v>427</v>
      </c>
      <c r="B89" s="169"/>
      <c r="C89" s="748">
        <v>0</v>
      </c>
      <c r="D89" s="745">
        <v>0</v>
      </c>
      <c r="E89" s="733">
        <v>0</v>
      </c>
      <c r="F89" s="733">
        <v>0</v>
      </c>
      <c r="G89" s="733">
        <v>0</v>
      </c>
      <c r="H89" s="733">
        <v>0</v>
      </c>
      <c r="I89" s="44">
        <f>G89-H89</f>
        <v>0</v>
      </c>
      <c r="J89" s="330" t="str">
        <f>IF(I89=0,"",I89/H89)</f>
        <v/>
      </c>
      <c r="K89" s="735">
        <v>0</v>
      </c>
    </row>
    <row r="90" spans="1:11" ht="12.75" customHeight="1" x14ac:dyDescent="0.25">
      <c r="A90" s="518" t="s">
        <v>541</v>
      </c>
      <c r="B90" s="169"/>
      <c r="C90" s="748">
        <v>0</v>
      </c>
      <c r="D90" s="745">
        <v>0</v>
      </c>
      <c r="E90" s="733">
        <v>0</v>
      </c>
      <c r="F90" s="733">
        <v>0</v>
      </c>
      <c r="G90" s="733">
        <v>0</v>
      </c>
      <c r="H90" s="733">
        <v>0</v>
      </c>
      <c r="I90" s="44">
        <f>G90-H90</f>
        <v>0</v>
      </c>
      <c r="J90" s="330" t="str">
        <f>IF(I90=0,"",I90/H90)</f>
        <v/>
      </c>
      <c r="K90" s="735">
        <v>0</v>
      </c>
    </row>
    <row r="91" spans="1:11" ht="12.75" customHeight="1" x14ac:dyDescent="0.25">
      <c r="A91" s="518" t="s">
        <v>429</v>
      </c>
      <c r="B91" s="169"/>
      <c r="C91" s="748">
        <v>0</v>
      </c>
      <c r="D91" s="745">
        <v>0</v>
      </c>
      <c r="E91" s="733">
        <v>0</v>
      </c>
      <c r="F91" s="733">
        <v>0</v>
      </c>
      <c r="G91" s="733">
        <v>0</v>
      </c>
      <c r="H91" s="733">
        <v>0</v>
      </c>
      <c r="I91" s="44">
        <f>G91-H91</f>
        <v>0</v>
      </c>
      <c r="J91" s="330" t="str">
        <f>IF(I91=0,"",I91/H91)</f>
        <v/>
      </c>
      <c r="K91" s="735">
        <v>0</v>
      </c>
    </row>
    <row r="92" spans="1:11" ht="12.75" customHeight="1" x14ac:dyDescent="0.25">
      <c r="A92" s="518" t="s">
        <v>1041</v>
      </c>
      <c r="B92" s="169"/>
      <c r="C92" s="748">
        <v>0</v>
      </c>
      <c r="D92" s="745">
        <v>0</v>
      </c>
      <c r="E92" s="733">
        <v>0</v>
      </c>
      <c r="F92" s="733">
        <v>0</v>
      </c>
      <c r="G92" s="733">
        <v>0</v>
      </c>
      <c r="H92" s="733">
        <v>0</v>
      </c>
      <c r="I92" s="44">
        <f>G92-H92</f>
        <v>0</v>
      </c>
      <c r="J92" s="330" t="str">
        <f>IF(I92=0,"",I92/H92)</f>
        <v/>
      </c>
      <c r="K92" s="735">
        <v>0</v>
      </c>
    </row>
    <row r="93" spans="1:11" ht="12.75" customHeight="1" x14ac:dyDescent="0.25">
      <c r="A93" s="518" t="s">
        <v>1042</v>
      </c>
      <c r="B93" s="169"/>
      <c r="C93" s="748">
        <v>0</v>
      </c>
      <c r="D93" s="745">
        <v>0</v>
      </c>
      <c r="E93" s="733">
        <v>0</v>
      </c>
      <c r="F93" s="733">
        <v>0</v>
      </c>
      <c r="G93" s="733">
        <v>0</v>
      </c>
      <c r="H93" s="733">
        <v>0</v>
      </c>
      <c r="I93" s="44">
        <f t="shared" si="22"/>
        <v>0</v>
      </c>
      <c r="J93" s="330" t="str">
        <f t="shared" si="23"/>
        <v/>
      </c>
      <c r="K93" s="735">
        <v>0</v>
      </c>
    </row>
    <row r="94" spans="1:11" ht="12.75" customHeight="1" x14ac:dyDescent="0.25">
      <c r="A94" s="518" t="s">
        <v>1043</v>
      </c>
      <c r="B94" s="169"/>
      <c r="C94" s="748">
        <v>0</v>
      </c>
      <c r="D94" s="745">
        <v>0</v>
      </c>
      <c r="E94" s="733">
        <v>0</v>
      </c>
      <c r="F94" s="733">
        <v>0</v>
      </c>
      <c r="G94" s="733">
        <v>0</v>
      </c>
      <c r="H94" s="733">
        <v>0</v>
      </c>
      <c r="I94" s="44">
        <f t="shared" si="22"/>
        <v>0</v>
      </c>
      <c r="J94" s="330" t="str">
        <f t="shared" si="23"/>
        <v/>
      </c>
      <c r="K94" s="735">
        <v>0</v>
      </c>
    </row>
    <row r="95" spans="1:11" ht="12.75" customHeight="1" x14ac:dyDescent="0.25">
      <c r="A95" s="518" t="s">
        <v>1044</v>
      </c>
      <c r="B95" s="169"/>
      <c r="C95" s="748">
        <v>0</v>
      </c>
      <c r="D95" s="745">
        <v>0</v>
      </c>
      <c r="E95" s="733">
        <v>0</v>
      </c>
      <c r="F95" s="733">
        <v>0</v>
      </c>
      <c r="G95" s="733">
        <v>0</v>
      </c>
      <c r="H95" s="733">
        <v>0</v>
      </c>
      <c r="I95" s="44">
        <f t="shared" si="22"/>
        <v>0</v>
      </c>
      <c r="J95" s="330" t="str">
        <f t="shared" si="23"/>
        <v/>
      </c>
      <c r="K95" s="735">
        <v>0</v>
      </c>
    </row>
    <row r="96" spans="1:11" ht="12.75" customHeight="1" x14ac:dyDescent="0.25">
      <c r="A96" s="518" t="s">
        <v>1045</v>
      </c>
      <c r="B96" s="169"/>
      <c r="C96" s="748">
        <v>0</v>
      </c>
      <c r="D96" s="745">
        <v>0</v>
      </c>
      <c r="E96" s="733">
        <v>0</v>
      </c>
      <c r="F96" s="733">
        <v>0</v>
      </c>
      <c r="G96" s="733">
        <v>0</v>
      </c>
      <c r="H96" s="733">
        <v>0</v>
      </c>
      <c r="I96" s="44">
        <f t="shared" si="22"/>
        <v>0</v>
      </c>
      <c r="J96" s="330" t="str">
        <f t="shared" si="23"/>
        <v/>
      </c>
      <c r="K96" s="735">
        <v>0</v>
      </c>
    </row>
    <row r="97" spans="1:14" ht="12.75" customHeight="1" x14ac:dyDescent="0.25">
      <c r="A97" s="518" t="s">
        <v>1046</v>
      </c>
      <c r="B97" s="169"/>
      <c r="C97" s="748">
        <v>0</v>
      </c>
      <c r="D97" s="745">
        <v>0</v>
      </c>
      <c r="E97" s="733">
        <v>0</v>
      </c>
      <c r="F97" s="733">
        <v>0</v>
      </c>
      <c r="G97" s="733">
        <v>0</v>
      </c>
      <c r="H97" s="733">
        <v>0</v>
      </c>
      <c r="I97" s="44">
        <f t="shared" si="22"/>
        <v>0</v>
      </c>
      <c r="J97" s="330" t="str">
        <f t="shared" si="23"/>
        <v/>
      </c>
      <c r="K97" s="1003"/>
    </row>
    <row r="98" spans="1:14" ht="12.75" customHeight="1" x14ac:dyDescent="0.25">
      <c r="A98" s="518" t="s">
        <v>1047</v>
      </c>
      <c r="B98" s="169"/>
      <c r="C98" s="748">
        <v>0</v>
      </c>
      <c r="D98" s="745">
        <v>0</v>
      </c>
      <c r="E98" s="733">
        <v>0</v>
      </c>
      <c r="F98" s="733">
        <v>0</v>
      </c>
      <c r="G98" s="733">
        <v>0</v>
      </c>
      <c r="H98" s="733">
        <v>0</v>
      </c>
      <c r="I98" s="44">
        <f t="shared" si="22"/>
        <v>0</v>
      </c>
      <c r="J98" s="330" t="str">
        <f t="shared" si="23"/>
        <v/>
      </c>
      <c r="K98" s="735">
        <v>0</v>
      </c>
    </row>
    <row r="99" spans="1:14" ht="12.75" customHeight="1" x14ac:dyDescent="0.25">
      <c r="A99" s="87" t="s">
        <v>510</v>
      </c>
      <c r="B99" s="169"/>
      <c r="C99" s="516">
        <f t="shared" ref="C99:H99" si="24">SUM(C87:C98)</f>
        <v>0</v>
      </c>
      <c r="D99" s="475">
        <f t="shared" si="24"/>
        <v>0</v>
      </c>
      <c r="E99" s="430">
        <f t="shared" si="24"/>
        <v>0</v>
      </c>
      <c r="F99" s="430">
        <f t="shared" si="24"/>
        <v>0</v>
      </c>
      <c r="G99" s="430">
        <f t="shared" si="24"/>
        <v>0</v>
      </c>
      <c r="H99" s="430">
        <f t="shared" si="24"/>
        <v>0</v>
      </c>
      <c r="I99" s="430">
        <f t="shared" si="22"/>
        <v>0</v>
      </c>
      <c r="J99" s="431" t="str">
        <f>IF(I99=0,"",I99/H99)</f>
        <v/>
      </c>
      <c r="K99" s="513">
        <f>SUM(K87:K98)</f>
        <v>0</v>
      </c>
    </row>
    <row r="100" spans="1:14" ht="12.75" customHeight="1" x14ac:dyDescent="0.25">
      <c r="A100" s="565" t="s">
        <v>724</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5">C67+C83+C99</f>
        <v>0</v>
      </c>
      <c r="D102" s="475">
        <f t="shared" si="25"/>
        <v>0</v>
      </c>
      <c r="E102" s="430">
        <f t="shared" si="25"/>
        <v>2383870.9511760003</v>
      </c>
      <c r="F102" s="430">
        <f t="shared" si="25"/>
        <v>0</v>
      </c>
      <c r="G102" s="430">
        <f t="shared" si="25"/>
        <v>0</v>
      </c>
      <c r="H102" s="430">
        <f t="shared" si="25"/>
        <v>0</v>
      </c>
      <c r="I102" s="430">
        <f>G102-H102</f>
        <v>0</v>
      </c>
      <c r="J102" s="431" t="str">
        <f>IF(I102=0,"",I102/H102)</f>
        <v/>
      </c>
      <c r="K102" s="513">
        <f>K67+K83+K99</f>
        <v>2383870.9511760003</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974</v>
      </c>
      <c r="B104" s="236"/>
      <c r="C104" s="112">
        <f t="shared" ref="C104:H104" si="26">C49+C102</f>
        <v>859089366.55999982</v>
      </c>
      <c r="D104" s="56">
        <f t="shared" si="26"/>
        <v>1030552676.3248</v>
      </c>
      <c r="E104" s="55">
        <f t="shared" si="26"/>
        <v>1010415137.951176</v>
      </c>
      <c r="F104" s="55">
        <f t="shared" si="26"/>
        <v>80980138.969999999</v>
      </c>
      <c r="G104" s="55">
        <f t="shared" si="26"/>
        <v>783962313.31000018</v>
      </c>
      <c r="H104" s="55">
        <f t="shared" si="26"/>
        <v>840026055.83333349</v>
      </c>
      <c r="I104" s="55">
        <f>G104-H104</f>
        <v>-56063742.523333311</v>
      </c>
      <c r="J104" s="332">
        <f>IF(I104=0,"",I104/H104)</f>
        <v>-6.6740480410118028E-2</v>
      </c>
      <c r="K104" s="235">
        <f>K49+K102</f>
        <v>1010415137.951176</v>
      </c>
    </row>
    <row r="105" spans="1:14" ht="12.75" customHeight="1" x14ac:dyDescent="0.25">
      <c r="A105" s="565" t="s">
        <v>724</v>
      </c>
      <c r="B105" s="169">
        <v>4</v>
      </c>
      <c r="C105" s="399"/>
      <c r="D105" s="303">
        <f>IF(D104=0,"",(D104/C104)-1)</f>
        <v>0.19958727978601387</v>
      </c>
      <c r="E105" s="303">
        <f>IF(E104=0,"",(E104/C104)-1)</f>
        <v>0.17614671683939109</v>
      </c>
      <c r="F105" s="303"/>
      <c r="G105" s="303"/>
      <c r="H105" s="303"/>
      <c r="I105" s="401"/>
      <c r="J105" s="403"/>
      <c r="K105" s="312">
        <f>IF(K104=0,"",(K104/C104)-1)</f>
        <v>0.17614671683939109</v>
      </c>
      <c r="L105" s="67"/>
      <c r="M105" s="67"/>
      <c r="N105" s="67"/>
    </row>
    <row r="106" spans="1:14" ht="12.75" customHeight="1" x14ac:dyDescent="0.25">
      <c r="A106" s="567" t="s">
        <v>133</v>
      </c>
      <c r="B106" s="236"/>
      <c r="C106" s="112">
        <f t="shared" ref="C106:I106" si="27">C30+C46+C83+C99</f>
        <v>819209559.52999985</v>
      </c>
      <c r="D106" s="56">
        <f t="shared" si="27"/>
        <v>988041676.32480001</v>
      </c>
      <c r="E106" s="55">
        <f t="shared" si="27"/>
        <v>965520267</v>
      </c>
      <c r="F106" s="55">
        <f t="shared" si="27"/>
        <v>77513630.429999992</v>
      </c>
      <c r="G106" s="55">
        <f t="shared" si="27"/>
        <v>748921355.50000012</v>
      </c>
      <c r="H106" s="55">
        <f t="shared" si="27"/>
        <v>804600222.50000012</v>
      </c>
      <c r="I106" s="55">
        <f t="shared" si="27"/>
        <v>-55678866.999999978</v>
      </c>
      <c r="J106" s="888">
        <f>IF(I106=0,"",I106/H106)</f>
        <v>-6.9200660704515235E-2</v>
      </c>
      <c r="K106" s="235">
        <f>K30+K46+K83+K99</f>
        <v>965520267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778</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607</v>
      </c>
    </row>
    <row r="113" spans="1:2" ht="12.75" customHeight="1" x14ac:dyDescent="0.25">
      <c r="A113" s="121" t="s">
        <v>830</v>
      </c>
    </row>
    <row r="114" spans="1:2" ht="12.75" customHeight="1" x14ac:dyDescent="0.25">
      <c r="A114" s="121" t="s">
        <v>831</v>
      </c>
    </row>
    <row r="115" spans="1:2" ht="12.75" customHeight="1" x14ac:dyDescent="0.25">
      <c r="A115" s="121" t="s">
        <v>755</v>
      </c>
    </row>
    <row r="116" spans="1:2" ht="12.75" customHeight="1" x14ac:dyDescent="0.25">
      <c r="A116" s="121" t="s">
        <v>756</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L56" sqref="L6:L56"/>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LIM354 Polokwane - Supporting Table SC9 Monthly Budget Statement - actuals and revised targets for cash receipts - M10 April</v>
      </c>
      <c r="B1" s="68"/>
    </row>
    <row r="2" spans="1:17" ht="25.5" customHeight="1" x14ac:dyDescent="0.25">
      <c r="A2" s="1052" t="str">
        <f>desc</f>
        <v>Description</v>
      </c>
      <c r="B2" s="1045" t="str">
        <f>head27</f>
        <v>Ref</v>
      </c>
      <c r="C2" s="1047" t="str">
        <f>Head2</f>
        <v>Budget Year 2020/21</v>
      </c>
      <c r="D2" s="1048"/>
      <c r="E2" s="1048"/>
      <c r="F2" s="1048"/>
      <c r="G2" s="1048"/>
      <c r="H2" s="1048"/>
      <c r="I2" s="1048"/>
      <c r="J2" s="1048"/>
      <c r="K2" s="1048"/>
      <c r="L2" s="1048"/>
      <c r="M2" s="1048"/>
      <c r="N2" s="1099"/>
      <c r="O2" s="1047" t="str">
        <f>'Template names'!B5</f>
        <v>2020/21 Medium Term Revenue &amp; Expenditure Framework</v>
      </c>
      <c r="P2" s="1048"/>
      <c r="Q2" s="1049"/>
    </row>
    <row r="3" spans="1:17" ht="12.75" customHeight="1" x14ac:dyDescent="0.25">
      <c r="A3" s="1053"/>
      <c r="B3" s="1056"/>
      <c r="C3" s="143" t="s">
        <v>784</v>
      </c>
      <c r="D3" s="27" t="s">
        <v>907</v>
      </c>
      <c r="E3" s="27" t="s">
        <v>3</v>
      </c>
      <c r="F3" s="27" t="s">
        <v>908</v>
      </c>
      <c r="G3" s="27" t="s">
        <v>4</v>
      </c>
      <c r="H3" s="27" t="s">
        <v>5</v>
      </c>
      <c r="I3" s="27" t="s">
        <v>911</v>
      </c>
      <c r="J3" s="27" t="s">
        <v>6</v>
      </c>
      <c r="K3" s="27" t="s">
        <v>913</v>
      </c>
      <c r="L3" s="27" t="s">
        <v>914</v>
      </c>
      <c r="M3" s="27" t="s">
        <v>915</v>
      </c>
      <c r="N3" s="163" t="s">
        <v>916</v>
      </c>
      <c r="O3" s="1097" t="str">
        <f>Head9</f>
        <v>Budget Year 2020/21</v>
      </c>
      <c r="P3" s="1093" t="str">
        <f>Head10</f>
        <v>Budget Year +1 2021/22</v>
      </c>
      <c r="Q3" s="1095" t="str">
        <f>Head11</f>
        <v>Budget Year +2 2022/23</v>
      </c>
    </row>
    <row r="4" spans="1:17" ht="13.5" customHeight="1" x14ac:dyDescent="0.25">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8"/>
      <c r="P4" s="1094"/>
      <c r="Q4" s="1096"/>
    </row>
    <row r="5" spans="1:17" ht="12.75" customHeight="1" x14ac:dyDescent="0.25">
      <c r="A5" s="35" t="s">
        <v>934</v>
      </c>
      <c r="B5" s="38"/>
      <c r="C5" s="258"/>
      <c r="D5" s="238"/>
      <c r="E5" s="238"/>
      <c r="F5" s="238"/>
      <c r="G5" s="238"/>
      <c r="H5" s="238"/>
      <c r="I5" s="238"/>
      <c r="J5" s="238"/>
      <c r="K5" s="238"/>
      <c r="L5" s="238"/>
      <c r="M5" s="238"/>
      <c r="N5" s="316"/>
      <c r="O5" s="237"/>
      <c r="P5" s="238"/>
      <c r="Q5" s="285"/>
    </row>
    <row r="6" spans="1:17" ht="12.75" customHeight="1" x14ac:dyDescent="0.25">
      <c r="A6" s="39" t="s">
        <v>933</v>
      </c>
      <c r="B6" s="40"/>
      <c r="C6" s="753">
        <v>26527592</v>
      </c>
      <c r="D6" s="733">
        <v>30532201.960000001</v>
      </c>
      <c r="E6" s="733">
        <v>33870405.780000001</v>
      </c>
      <c r="F6" s="733">
        <v>29873729</v>
      </c>
      <c r="G6" s="733">
        <v>36528187</v>
      </c>
      <c r="H6" s="733">
        <v>33694349.93</v>
      </c>
      <c r="I6" s="733">
        <v>39551524.75</v>
      </c>
      <c r="J6" s="733">
        <v>22940380.970000301</v>
      </c>
      <c r="K6" s="733">
        <v>36524320.380000003</v>
      </c>
      <c r="L6" s="733">
        <v>21486543.920000009</v>
      </c>
      <c r="M6" s="733">
        <v>0</v>
      </c>
      <c r="N6" s="108">
        <f t="shared" ref="N6:N20" si="0">O6-SUM(C6:M6)</f>
        <v>151488747.42999965</v>
      </c>
      <c r="O6" s="745">
        <v>463017983.12</v>
      </c>
      <c r="P6" s="733">
        <v>490756970.13999999</v>
      </c>
      <c r="Q6" s="735">
        <v>514313305.01999998</v>
      </c>
    </row>
    <row r="7" spans="1:17" ht="12.75" customHeight="1" x14ac:dyDescent="0.25">
      <c r="A7" s="39" t="s">
        <v>836</v>
      </c>
      <c r="B7" s="40"/>
      <c r="C7" s="753">
        <v>42077103.149999999</v>
      </c>
      <c r="D7" s="733">
        <v>88868696.060000002</v>
      </c>
      <c r="E7" s="733">
        <v>95441147.159999996</v>
      </c>
      <c r="F7" s="733">
        <v>75611298</v>
      </c>
      <c r="G7" s="733">
        <v>101156056</v>
      </c>
      <c r="H7" s="733">
        <v>103164123.21000001</v>
      </c>
      <c r="I7" s="733">
        <v>92487970.590000004</v>
      </c>
      <c r="J7" s="733">
        <v>78218603.290000007</v>
      </c>
      <c r="K7" s="733">
        <v>100392615.73999999</v>
      </c>
      <c r="L7" s="733">
        <v>126284813.08</v>
      </c>
      <c r="M7" s="733">
        <v>0</v>
      </c>
      <c r="N7" s="108">
        <f t="shared" si="0"/>
        <v>182727148.27999985</v>
      </c>
      <c r="O7" s="745">
        <v>1086429574.5599999</v>
      </c>
      <c r="P7" s="733">
        <v>1219640656.4000001</v>
      </c>
      <c r="Q7" s="735">
        <v>1353801128.0699999</v>
      </c>
    </row>
    <row r="8" spans="1:17" ht="12.75" customHeight="1" x14ac:dyDescent="0.25">
      <c r="A8" s="39" t="s">
        <v>837</v>
      </c>
      <c r="B8" s="40"/>
      <c r="C8" s="753">
        <v>13887558.450000001</v>
      </c>
      <c r="D8" s="733">
        <v>16916650.609999999</v>
      </c>
      <c r="E8" s="733">
        <v>23703126.239999998</v>
      </c>
      <c r="F8" s="733">
        <v>16634296</v>
      </c>
      <c r="G8" s="733">
        <v>15439815</v>
      </c>
      <c r="H8" s="733">
        <v>17205334.77</v>
      </c>
      <c r="I8" s="733">
        <v>14921796.66</v>
      </c>
      <c r="J8" s="733">
        <v>15861094.59</v>
      </c>
      <c r="K8" s="733">
        <v>16307769.530000001</v>
      </c>
      <c r="L8" s="733">
        <v>16724727.289999999</v>
      </c>
      <c r="M8" s="733">
        <v>0</v>
      </c>
      <c r="N8" s="108">
        <f t="shared" si="0"/>
        <v>93355489.580000013</v>
      </c>
      <c r="O8" s="745">
        <v>260957658.72</v>
      </c>
      <c r="P8" s="733">
        <v>276591392.94</v>
      </c>
      <c r="Q8" s="735">
        <v>289867780.14999998</v>
      </c>
    </row>
    <row r="9" spans="1:17" ht="12.75" customHeight="1" x14ac:dyDescent="0.25">
      <c r="A9" s="39" t="s">
        <v>838</v>
      </c>
      <c r="B9" s="40"/>
      <c r="C9" s="753">
        <v>8211912.8499999996</v>
      </c>
      <c r="D9" s="733">
        <v>7799780.21</v>
      </c>
      <c r="E9" s="733">
        <v>9438697.9900000002</v>
      </c>
      <c r="F9" s="733">
        <v>5173751</v>
      </c>
      <c r="G9" s="733">
        <v>10220856</v>
      </c>
      <c r="H9" s="733">
        <v>9154654.1399999987</v>
      </c>
      <c r="I9" s="733">
        <v>8131882.5499999998</v>
      </c>
      <c r="J9" s="733">
        <v>15861094.59</v>
      </c>
      <c r="K9" s="733">
        <v>10367566.76</v>
      </c>
      <c r="L9" s="733">
        <v>9308593.1600000001</v>
      </c>
      <c r="M9" s="733">
        <v>0</v>
      </c>
      <c r="N9" s="108">
        <f t="shared" si="0"/>
        <v>18000640.269999996</v>
      </c>
      <c r="O9" s="745">
        <v>111669429.52</v>
      </c>
      <c r="P9" s="733">
        <v>118359443.71000001</v>
      </c>
      <c r="Q9" s="735">
        <v>124040696.41</v>
      </c>
    </row>
    <row r="10" spans="1:17" ht="12.75" customHeight="1" x14ac:dyDescent="0.25">
      <c r="A10" s="39" t="s">
        <v>485</v>
      </c>
      <c r="B10" s="40"/>
      <c r="C10" s="753">
        <v>8126947.7600000007</v>
      </c>
      <c r="D10" s="733">
        <v>8052992.8100000005</v>
      </c>
      <c r="E10" s="733">
        <v>10021329.459999999</v>
      </c>
      <c r="F10" s="733">
        <v>12982001</v>
      </c>
      <c r="G10" s="733">
        <v>10136934</v>
      </c>
      <c r="H10" s="733">
        <v>9158930.9199999999</v>
      </c>
      <c r="I10" s="733">
        <v>8778790.4499999993</v>
      </c>
      <c r="J10" s="733">
        <v>9400252.6400000006</v>
      </c>
      <c r="K10" s="733">
        <v>10553300.539999999</v>
      </c>
      <c r="L10" s="733">
        <v>9745856.4899999984</v>
      </c>
      <c r="M10" s="733">
        <v>0</v>
      </c>
      <c r="N10" s="108">
        <f t="shared" si="0"/>
        <v>10416361.129999995</v>
      </c>
      <c r="O10" s="745">
        <v>107373697.2</v>
      </c>
      <c r="P10" s="733">
        <v>113806357.68000001</v>
      </c>
      <c r="Q10" s="735">
        <v>119269061.98</v>
      </c>
    </row>
    <row r="11" spans="1:17" ht="0.95"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965</v>
      </c>
      <c r="B12" s="40"/>
      <c r="C12" s="753">
        <v>287474.72000000003</v>
      </c>
      <c r="D12" s="733">
        <v>137367.25999999998</v>
      </c>
      <c r="E12" s="733">
        <v>243091.25999999998</v>
      </c>
      <c r="F12" s="733">
        <v>616816</v>
      </c>
      <c r="G12" s="733">
        <v>0</v>
      </c>
      <c r="H12" s="733">
        <v>463513.93</v>
      </c>
      <c r="I12" s="733">
        <v>126285.94</v>
      </c>
      <c r="J12" s="733">
        <v>0</v>
      </c>
      <c r="K12" s="733">
        <v>344696.25</v>
      </c>
      <c r="L12" s="733">
        <v>666417.41</v>
      </c>
      <c r="M12" s="733">
        <v>0</v>
      </c>
      <c r="N12" s="108">
        <f t="shared" si="0"/>
        <v>13776658.23</v>
      </c>
      <c r="O12" s="745">
        <v>16662321</v>
      </c>
      <c r="P12" s="733">
        <v>20731868.039999999</v>
      </c>
      <c r="Q12" s="735">
        <v>21726998.280000001</v>
      </c>
    </row>
    <row r="13" spans="1:17" ht="12.75" customHeight="1" x14ac:dyDescent="0.25">
      <c r="A13" s="39" t="s">
        <v>840</v>
      </c>
      <c r="B13" s="40"/>
      <c r="C13" s="753">
        <v>0</v>
      </c>
      <c r="D13" s="733"/>
      <c r="E13" s="733">
        <v>0</v>
      </c>
      <c r="F13" s="733">
        <v>0</v>
      </c>
      <c r="G13" s="733">
        <v>0</v>
      </c>
      <c r="H13" s="733">
        <v>0</v>
      </c>
      <c r="I13" s="733">
        <v>0</v>
      </c>
      <c r="J13" s="733">
        <v>0</v>
      </c>
      <c r="K13" s="733">
        <v>0</v>
      </c>
      <c r="L13" s="733">
        <v>245487.19999999995</v>
      </c>
      <c r="M13" s="733">
        <v>0</v>
      </c>
      <c r="N13" s="108">
        <f t="shared" si="0"/>
        <v>11255663.120000001</v>
      </c>
      <c r="O13" s="745">
        <v>11501150.32</v>
      </c>
      <c r="P13" s="733">
        <v>12053205.119999999</v>
      </c>
      <c r="Q13" s="735">
        <v>12631759.359999999</v>
      </c>
    </row>
    <row r="14" spans="1:17" ht="12.75" customHeight="1" x14ac:dyDescent="0.25">
      <c r="A14" s="39" t="s">
        <v>841</v>
      </c>
      <c r="B14" s="40"/>
      <c r="C14" s="753">
        <v>1248242.0599999998</v>
      </c>
      <c r="D14" s="733">
        <v>1365237.35</v>
      </c>
      <c r="E14" s="733">
        <v>1184844.98</v>
      </c>
      <c r="F14" s="733">
        <v>49567</v>
      </c>
      <c r="G14" s="733">
        <v>0</v>
      </c>
      <c r="H14" s="733">
        <v>21660.71</v>
      </c>
      <c r="I14" s="733">
        <v>2068892.19</v>
      </c>
      <c r="J14" s="733">
        <v>0</v>
      </c>
      <c r="K14" s="733">
        <v>39065.97</v>
      </c>
      <c r="L14" s="733">
        <v>7690360.0200000014</v>
      </c>
      <c r="M14" s="733">
        <v>0</v>
      </c>
      <c r="N14" s="108">
        <f t="shared" si="0"/>
        <v>71997669.239999995</v>
      </c>
      <c r="O14" s="745">
        <v>85665539.519999996</v>
      </c>
      <c r="P14" s="733">
        <v>89777485.599999994</v>
      </c>
      <c r="Q14" s="735">
        <v>94086805.120000005</v>
      </c>
    </row>
    <row r="15" spans="1:17" ht="12.75" customHeight="1" x14ac:dyDescent="0.25">
      <c r="A15" s="39" t="s">
        <v>923</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5">
      <c r="A16" s="39" t="s">
        <v>1109</v>
      </c>
      <c r="B16" s="40"/>
      <c r="C16" s="753">
        <v>15387.5</v>
      </c>
      <c r="D16" s="733">
        <v>40988.42</v>
      </c>
      <c r="E16" s="733">
        <v>12931.88</v>
      </c>
      <c r="F16" s="733">
        <v>511950</v>
      </c>
      <c r="G16" s="733">
        <v>767967</v>
      </c>
      <c r="H16" s="733">
        <v>532471.38000000012</v>
      </c>
      <c r="I16" s="733">
        <v>333071.05</v>
      </c>
      <c r="J16" s="733">
        <v>0</v>
      </c>
      <c r="K16" s="733">
        <v>541948.17999999993</v>
      </c>
      <c r="L16" s="733">
        <v>3692774.7500000005</v>
      </c>
      <c r="M16" s="733">
        <v>0</v>
      </c>
      <c r="N16" s="108">
        <f t="shared" si="0"/>
        <v>25822781.52</v>
      </c>
      <c r="O16" s="745">
        <v>32272271.68</v>
      </c>
      <c r="P16" s="733">
        <v>33821339.200000003</v>
      </c>
      <c r="Q16" s="735">
        <v>35444764.079999998</v>
      </c>
    </row>
    <row r="17" spans="1:17" ht="12.75" customHeight="1" x14ac:dyDescent="0.25">
      <c r="A17" s="39" t="s">
        <v>842</v>
      </c>
      <c r="B17" s="40"/>
      <c r="C17" s="753">
        <v>776660.1</v>
      </c>
      <c r="D17" s="733">
        <v>862533.1</v>
      </c>
      <c r="E17" s="733">
        <v>839806.01</v>
      </c>
      <c r="F17" s="733">
        <v>991984</v>
      </c>
      <c r="G17" s="733">
        <v>1142535</v>
      </c>
      <c r="H17" s="733">
        <v>607392.02</v>
      </c>
      <c r="I17" s="733">
        <v>681158.5</v>
      </c>
      <c r="J17" s="733">
        <v>0</v>
      </c>
      <c r="K17" s="733">
        <v>1126041.0499999998</v>
      </c>
      <c r="L17" s="733">
        <v>826365.72</v>
      </c>
      <c r="M17" s="733">
        <v>0</v>
      </c>
      <c r="N17" s="108">
        <f t="shared" si="0"/>
        <v>6716068.1799999997</v>
      </c>
      <c r="O17" s="745">
        <v>14570543.68</v>
      </c>
      <c r="P17" s="733">
        <v>15269929.84</v>
      </c>
      <c r="Q17" s="735">
        <v>16002888</v>
      </c>
    </row>
    <row r="18" spans="1:17" ht="12.75" customHeight="1" x14ac:dyDescent="0.25">
      <c r="A18" s="39" t="s">
        <v>582</v>
      </c>
      <c r="B18" s="40"/>
      <c r="C18" s="753">
        <v>7895595.8600000003</v>
      </c>
      <c r="D18" s="733">
        <v>10226741.67</v>
      </c>
      <c r="E18" s="733">
        <v>12631742</v>
      </c>
      <c r="F18" s="733">
        <v>12516843</v>
      </c>
      <c r="G18" s="733">
        <v>9987537</v>
      </c>
      <c r="H18" s="733">
        <v>5885937.2999999998</v>
      </c>
      <c r="I18" s="733">
        <v>7506959.4100000001</v>
      </c>
      <c r="J18" s="733">
        <v>8474041.7000000011</v>
      </c>
      <c r="K18" s="733">
        <v>9520822.0099999998</v>
      </c>
      <c r="L18" s="733">
        <v>6037919.1399999997</v>
      </c>
      <c r="M18" s="733">
        <v>0</v>
      </c>
      <c r="N18" s="108">
        <f t="shared" si="0"/>
        <v>-66221462.609999999</v>
      </c>
      <c r="O18" s="745">
        <v>24462676.48</v>
      </c>
      <c r="P18" s="733">
        <v>25636885.120000001</v>
      </c>
      <c r="Q18" s="735">
        <v>26867455.120000001</v>
      </c>
    </row>
    <row r="19" spans="1:17" ht="12.75" customHeight="1" x14ac:dyDescent="0.25">
      <c r="A19" s="993" t="s">
        <v>1364</v>
      </c>
      <c r="B19" s="40"/>
      <c r="C19" s="753">
        <v>483559000</v>
      </c>
      <c r="D19" s="733">
        <v>21246029.560000002</v>
      </c>
      <c r="E19" s="733">
        <v>0</v>
      </c>
      <c r="F19" s="733">
        <v>0</v>
      </c>
      <c r="G19" s="733">
        <v>31660000</v>
      </c>
      <c r="H19" s="733">
        <v>452036932.82796621</v>
      </c>
      <c r="I19" s="733">
        <v>0</v>
      </c>
      <c r="J19" s="733">
        <v>11698000</v>
      </c>
      <c r="K19" s="733">
        <v>268050136.32794875</v>
      </c>
      <c r="L19" s="733">
        <v>0</v>
      </c>
      <c r="M19" s="733">
        <v>0</v>
      </c>
      <c r="N19" s="108">
        <f t="shared" si="0"/>
        <v>74178051.284085035</v>
      </c>
      <c r="O19" s="745">
        <v>1342428150</v>
      </c>
      <c r="P19" s="733">
        <v>1286156250</v>
      </c>
      <c r="Q19" s="735">
        <v>1396716550</v>
      </c>
    </row>
    <row r="20" spans="1:17" ht="12.75" customHeight="1" x14ac:dyDescent="0.25">
      <c r="A20" s="39" t="s">
        <v>453</v>
      </c>
      <c r="B20" s="40"/>
      <c r="C20" s="753">
        <v>0</v>
      </c>
      <c r="D20" s="733">
        <v>20209534.440000098</v>
      </c>
      <c r="E20" s="733">
        <v>105455813.05999991</v>
      </c>
      <c r="F20" s="733">
        <v>65548508.829999998</v>
      </c>
      <c r="G20" s="733">
        <v>8279743.689999938</v>
      </c>
      <c r="H20" s="733">
        <v>1009426.0200000001</v>
      </c>
      <c r="I20" s="733">
        <v>51937906.920000002</v>
      </c>
      <c r="J20" s="733">
        <v>40074448.559999704</v>
      </c>
      <c r="K20" s="733">
        <v>2508989.4300000002</v>
      </c>
      <c r="L20" s="733">
        <v>2515734.41</v>
      </c>
      <c r="M20" s="733">
        <v>0</v>
      </c>
      <c r="N20" s="108">
        <f t="shared" si="0"/>
        <v>-218944105.09999973</v>
      </c>
      <c r="O20" s="745">
        <v>78596000.260000005</v>
      </c>
      <c r="P20" s="733">
        <v>81744003.120000005</v>
      </c>
      <c r="Q20" s="735">
        <v>85667676.900000006</v>
      </c>
    </row>
    <row r="21" spans="1:17" ht="12.75" customHeight="1" x14ac:dyDescent="0.25">
      <c r="A21" s="88" t="s">
        <v>935</v>
      </c>
      <c r="B21" s="52"/>
      <c r="C21" s="475">
        <f>SUM(C6:C10)+SUM(C12:C20)</f>
        <v>592613474.45000005</v>
      </c>
      <c r="D21" s="430">
        <f t="shared" ref="D21:Q21" si="1">SUM(D6:D10)+SUM(D12:D20)</f>
        <v>206258753.45000011</v>
      </c>
      <c r="E21" s="430">
        <f t="shared" si="1"/>
        <v>292842935.81999993</v>
      </c>
      <c r="F21" s="430">
        <f t="shared" si="1"/>
        <v>220510743.82999998</v>
      </c>
      <c r="G21" s="430">
        <f t="shared" si="1"/>
        <v>225319630.68999994</v>
      </c>
      <c r="H21" s="430">
        <f t="shared" si="1"/>
        <v>632934727.15796614</v>
      </c>
      <c r="I21" s="430">
        <f t="shared" si="1"/>
        <v>226526239.00999999</v>
      </c>
      <c r="J21" s="430">
        <f t="shared" si="1"/>
        <v>202527916.34000003</v>
      </c>
      <c r="K21" s="430">
        <f t="shared" si="1"/>
        <v>456277272.16794872</v>
      </c>
      <c r="L21" s="430">
        <f t="shared" si="1"/>
        <v>205225592.59</v>
      </c>
      <c r="M21" s="430">
        <f t="shared" si="1"/>
        <v>0</v>
      </c>
      <c r="N21" s="508">
        <f t="shared" si="1"/>
        <v>374569710.55408478</v>
      </c>
      <c r="O21" s="475">
        <f t="shared" si="1"/>
        <v>3635606996.0599999</v>
      </c>
      <c r="P21" s="430">
        <f t="shared" si="1"/>
        <v>3784345786.9099998</v>
      </c>
      <c r="Q21" s="513">
        <f t="shared" si="1"/>
        <v>4090436868.4899998</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725</v>
      </c>
      <c r="B23" s="40"/>
      <c r="C23" s="258"/>
      <c r="D23" s="44"/>
      <c r="E23" s="44"/>
      <c r="F23" s="44"/>
      <c r="G23" s="44"/>
      <c r="H23" s="44"/>
      <c r="I23" s="44"/>
      <c r="J23" s="44"/>
      <c r="K23" s="44"/>
      <c r="L23" s="44"/>
      <c r="M23" s="44"/>
      <c r="N23" s="108">
        <f t="shared" si="2"/>
        <v>0</v>
      </c>
      <c r="O23" s="46"/>
      <c r="P23" s="44"/>
      <c r="Q23" s="144"/>
    </row>
    <row r="24" spans="1:17" s="988" customFormat="1" ht="22.9" customHeight="1" x14ac:dyDescent="0.2">
      <c r="A24" s="994" t="str">
        <f>'C4-FinPerf RE'!A39</f>
        <v>Transfers and subsidies - capital (monetary allocations) (National / Provincial and District)</v>
      </c>
      <c r="B24" s="995"/>
      <c r="C24" s="996">
        <v>51198000</v>
      </c>
      <c r="D24" s="997">
        <v>187524970.44</v>
      </c>
      <c r="E24" s="997">
        <v>0</v>
      </c>
      <c r="F24" s="997">
        <v>9260000</v>
      </c>
      <c r="G24" s="997">
        <v>217340000</v>
      </c>
      <c r="H24" s="997">
        <v>126061067.17203376</v>
      </c>
      <c r="I24" s="997"/>
      <c r="J24" s="997">
        <v>17160000</v>
      </c>
      <c r="K24" s="997">
        <v>182516863.67205125</v>
      </c>
      <c r="L24" s="997">
        <v>0</v>
      </c>
      <c r="M24" s="997">
        <v>0</v>
      </c>
      <c r="N24" s="998">
        <f t="shared" si="2"/>
        <v>-17863051.284085035</v>
      </c>
      <c r="O24" s="999">
        <v>773197850</v>
      </c>
      <c r="P24" s="997">
        <v>623401750</v>
      </c>
      <c r="Q24" s="1000">
        <v>526841450</v>
      </c>
    </row>
    <row r="25" spans="1:17" s="988" customFormat="1" ht="42.6" customHeight="1" x14ac:dyDescent="0.2">
      <c r="A25" s="994" t="str">
        <f>'C4-FinPerf RE'!A40</f>
        <v>Transfers and subsidies - capital (monetary allocations) (National / Provincial Departmental Agencies, Households, Non-profit Institutions, Private Enterprises, Public Corporatons, Higher Educational Institutions)</v>
      </c>
      <c r="B25" s="995"/>
      <c r="C25" s="996">
        <v>0</v>
      </c>
      <c r="D25" s="996">
        <v>0</v>
      </c>
      <c r="E25" s="996">
        <v>0</v>
      </c>
      <c r="F25" s="996">
        <v>0</v>
      </c>
      <c r="G25" s="996"/>
      <c r="H25" s="996">
        <v>0</v>
      </c>
      <c r="I25" s="996">
        <v>0</v>
      </c>
      <c r="J25" s="996">
        <v>0</v>
      </c>
      <c r="K25" s="996">
        <v>0</v>
      </c>
      <c r="L25" s="996">
        <v>0</v>
      </c>
      <c r="M25" s="996">
        <v>0</v>
      </c>
      <c r="N25" s="998">
        <f t="shared" si="2"/>
        <v>1500000</v>
      </c>
      <c r="O25" s="999">
        <v>1500000</v>
      </c>
      <c r="P25" s="997">
        <v>4750000</v>
      </c>
      <c r="Q25" s="1000">
        <v>4750000</v>
      </c>
    </row>
    <row r="26" spans="1:17" ht="12.75" customHeight="1" x14ac:dyDescent="0.25">
      <c r="A26" s="993" t="s">
        <v>1366</v>
      </c>
      <c r="B26" s="40"/>
      <c r="C26" s="753">
        <v>0</v>
      </c>
      <c r="D26" s="733">
        <v>0</v>
      </c>
      <c r="E26" s="733">
        <v>0</v>
      </c>
      <c r="F26" s="733">
        <v>0</v>
      </c>
      <c r="G26" s="733">
        <v>0</v>
      </c>
      <c r="H26" s="733">
        <v>0</v>
      </c>
      <c r="I26" s="733">
        <v>0</v>
      </c>
      <c r="J26" s="733">
        <v>0</v>
      </c>
      <c r="K26" s="733">
        <v>0</v>
      </c>
      <c r="L26" s="733">
        <v>0</v>
      </c>
      <c r="M26" s="733">
        <v>0</v>
      </c>
      <c r="N26" s="108">
        <f t="shared" si="2"/>
        <v>0</v>
      </c>
      <c r="O26" s="745">
        <v>0</v>
      </c>
      <c r="P26" s="733">
        <v>0</v>
      </c>
      <c r="Q26" s="735">
        <v>0</v>
      </c>
    </row>
    <row r="27" spans="1:17" ht="12.75" customHeight="1" x14ac:dyDescent="0.25">
      <c r="A27" s="39" t="s">
        <v>902</v>
      </c>
      <c r="B27" s="40"/>
      <c r="C27" s="753"/>
      <c r="D27" s="733"/>
      <c r="E27" s="733"/>
      <c r="F27" s="733"/>
      <c r="G27" s="733">
        <v>0</v>
      </c>
      <c r="H27" s="733"/>
      <c r="I27" s="733"/>
      <c r="J27" s="733"/>
      <c r="K27" s="733"/>
      <c r="L27" s="733"/>
      <c r="M27" s="733"/>
      <c r="N27" s="108">
        <f t="shared" si="2"/>
        <v>0</v>
      </c>
      <c r="O27" s="745">
        <v>0</v>
      </c>
      <c r="P27" s="733">
        <v>0</v>
      </c>
      <c r="Q27" s="735">
        <v>0</v>
      </c>
    </row>
    <row r="28" spans="1:17" ht="12.75" customHeight="1" x14ac:dyDescent="0.25">
      <c r="A28" s="39" t="s">
        <v>960</v>
      </c>
      <c r="B28" s="40"/>
      <c r="C28" s="753"/>
      <c r="D28" s="733"/>
      <c r="E28" s="733"/>
      <c r="F28" s="733"/>
      <c r="G28" s="733">
        <v>0</v>
      </c>
      <c r="H28" s="733"/>
      <c r="I28" s="733"/>
      <c r="J28" s="733"/>
      <c r="K28" s="733"/>
      <c r="L28" s="733"/>
      <c r="M28" s="733"/>
      <c r="N28" s="108">
        <f t="shared" si="2"/>
        <v>234922537</v>
      </c>
      <c r="O28" s="745">
        <v>234922537</v>
      </c>
      <c r="P28" s="733">
        <v>0</v>
      </c>
      <c r="Q28" s="735">
        <v>0</v>
      </c>
    </row>
    <row r="29" spans="1:17" ht="12.75" customHeight="1" x14ac:dyDescent="0.25">
      <c r="A29" s="39" t="s">
        <v>70</v>
      </c>
      <c r="B29" s="40"/>
      <c r="C29" s="753">
        <v>0</v>
      </c>
      <c r="D29" s="733">
        <v>0</v>
      </c>
      <c r="E29" s="733">
        <v>0</v>
      </c>
      <c r="F29" s="733">
        <v>0</v>
      </c>
      <c r="G29" s="733">
        <v>421576</v>
      </c>
      <c r="H29" s="733">
        <v>0</v>
      </c>
      <c r="I29" s="733">
        <v>0</v>
      </c>
      <c r="J29" s="733">
        <v>0</v>
      </c>
      <c r="K29" s="733">
        <v>0</v>
      </c>
      <c r="L29" s="733">
        <v>0</v>
      </c>
      <c r="M29" s="733">
        <v>0</v>
      </c>
      <c r="N29" s="108">
        <f t="shared" si="2"/>
        <v>-421576</v>
      </c>
      <c r="O29" s="745">
        <v>0</v>
      </c>
      <c r="P29" s="733">
        <v>0</v>
      </c>
      <c r="Q29" s="735">
        <v>0</v>
      </c>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1363</v>
      </c>
      <c r="B31" s="40"/>
      <c r="C31" s="753">
        <v>0</v>
      </c>
      <c r="D31" s="733">
        <v>0</v>
      </c>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5">
      <c r="A32" s="39" t="s">
        <v>890</v>
      </c>
      <c r="B32" s="40"/>
      <c r="C32" s="753"/>
      <c r="D32" s="733"/>
      <c r="E32" s="733"/>
      <c r="F32" s="733"/>
      <c r="G32" s="733"/>
      <c r="H32" s="733"/>
      <c r="I32" s="733"/>
      <c r="J32" s="733"/>
      <c r="K32" s="733"/>
      <c r="L32" s="733"/>
      <c r="M32" s="733"/>
      <c r="N32" s="108">
        <f t="shared" si="2"/>
        <v>0</v>
      </c>
      <c r="O32" s="745">
        <v>0</v>
      </c>
      <c r="P32" s="733">
        <v>0</v>
      </c>
      <c r="Q32" s="735">
        <v>0</v>
      </c>
    </row>
    <row r="33" spans="1:17" ht="12.75" customHeight="1" x14ac:dyDescent="0.25">
      <c r="A33" s="318" t="s">
        <v>918</v>
      </c>
      <c r="B33" s="319"/>
      <c r="C33" s="260">
        <f>SUM(C21:C29)+SUM(C31:C32)</f>
        <v>643811474.45000005</v>
      </c>
      <c r="D33" s="73">
        <f t="shared" ref="D33:Q33" si="3">SUM(D21:D29)+SUM(D31:D32)</f>
        <v>393783723.8900001</v>
      </c>
      <c r="E33" s="73">
        <f t="shared" si="3"/>
        <v>292842935.81999993</v>
      </c>
      <c r="F33" s="73">
        <f t="shared" si="3"/>
        <v>229770743.82999998</v>
      </c>
      <c r="G33" s="73">
        <f t="shared" si="3"/>
        <v>443081206.68999994</v>
      </c>
      <c r="H33" s="73">
        <f t="shared" si="3"/>
        <v>758995794.32999992</v>
      </c>
      <c r="I33" s="73">
        <f t="shared" si="3"/>
        <v>226526239.00999999</v>
      </c>
      <c r="J33" s="73">
        <f t="shared" si="3"/>
        <v>219687916.34000003</v>
      </c>
      <c r="K33" s="73">
        <f t="shared" si="3"/>
        <v>638794135.83999991</v>
      </c>
      <c r="L33" s="73">
        <f t="shared" si="3"/>
        <v>205225592.59</v>
      </c>
      <c r="M33" s="73">
        <f t="shared" si="3"/>
        <v>0</v>
      </c>
      <c r="N33" s="320">
        <f t="shared" si="3"/>
        <v>592707620.26999974</v>
      </c>
      <c r="O33" s="74">
        <f t="shared" si="3"/>
        <v>4645227383.0599995</v>
      </c>
      <c r="P33" s="73">
        <f t="shared" si="3"/>
        <v>4412497536.9099998</v>
      </c>
      <c r="Q33" s="145">
        <f t="shared" si="3"/>
        <v>4622028318.4899998</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843</v>
      </c>
      <c r="B36" s="40"/>
      <c r="C36" s="753">
        <v>70068085.079999998</v>
      </c>
      <c r="D36" s="733">
        <v>77300564</v>
      </c>
      <c r="E36" s="733">
        <v>76294376</v>
      </c>
      <c r="F36" s="733">
        <v>83662550</v>
      </c>
      <c r="G36" s="733">
        <v>73834937</v>
      </c>
      <c r="H36" s="733">
        <v>65671568.18</v>
      </c>
      <c r="I36" s="733">
        <v>79445882</v>
      </c>
      <c r="J36" s="733">
        <v>74518338</v>
      </c>
      <c r="K36" s="733">
        <v>75573654</v>
      </c>
      <c r="L36" s="733">
        <v>77513630</v>
      </c>
      <c r="M36" s="733">
        <v>0</v>
      </c>
      <c r="N36" s="108">
        <f t="shared" si="4"/>
        <v>186666785.68999994</v>
      </c>
      <c r="O36" s="745">
        <v>940550369.94999993</v>
      </c>
      <c r="P36" s="733">
        <v>993137975.25</v>
      </c>
      <c r="Q36" s="735">
        <v>1050739994.05</v>
      </c>
    </row>
    <row r="37" spans="1:17" ht="12.75" customHeight="1" x14ac:dyDescent="0.25">
      <c r="A37" s="39" t="s">
        <v>477</v>
      </c>
      <c r="B37" s="40"/>
      <c r="C37" s="753">
        <v>3449161.73</v>
      </c>
      <c r="D37" s="733">
        <v>3449708</v>
      </c>
      <c r="E37" s="733">
        <v>3487470</v>
      </c>
      <c r="F37" s="733">
        <v>3233692</v>
      </c>
      <c r="G37" s="733">
        <v>3536834</v>
      </c>
      <c r="H37" s="733">
        <v>19416202</v>
      </c>
      <c r="I37" s="733">
        <v>3267059</v>
      </c>
      <c r="J37" s="733">
        <v>3571441</v>
      </c>
      <c r="K37" s="733">
        <v>3466509</v>
      </c>
      <c r="L37" s="733">
        <v>3466509</v>
      </c>
      <c r="M37" s="733">
        <v>0</v>
      </c>
      <c r="N37" s="108">
        <f t="shared" si="4"/>
        <v>-9959139.5300000086</v>
      </c>
      <c r="O37" s="745">
        <v>40385446.199999996</v>
      </c>
      <c r="P37" s="733">
        <v>42727802.299999997</v>
      </c>
      <c r="Q37" s="735">
        <v>45206010.299999997</v>
      </c>
    </row>
    <row r="38" spans="1:17" ht="12.75" customHeight="1" x14ac:dyDescent="0.25">
      <c r="A38" s="39" t="s">
        <v>845</v>
      </c>
      <c r="B38" s="40"/>
      <c r="C38" s="753">
        <v>1656010</v>
      </c>
      <c r="D38" s="733">
        <v>0</v>
      </c>
      <c r="E38" s="733">
        <v>0</v>
      </c>
      <c r="F38" s="733">
        <v>0</v>
      </c>
      <c r="G38" s="733">
        <v>0</v>
      </c>
      <c r="H38" s="733">
        <v>1224198</v>
      </c>
      <c r="I38" s="733">
        <v>0</v>
      </c>
      <c r="J38" s="733">
        <v>0</v>
      </c>
      <c r="K38" s="733">
        <v>0</v>
      </c>
      <c r="L38" s="733">
        <v>0</v>
      </c>
      <c r="M38" s="733">
        <v>0</v>
      </c>
      <c r="N38" s="108">
        <f t="shared" si="4"/>
        <v>95107259</v>
      </c>
      <c r="O38" s="745">
        <v>97987467</v>
      </c>
      <c r="P38" s="733">
        <v>118064572</v>
      </c>
      <c r="Q38" s="735">
        <v>118064572</v>
      </c>
    </row>
    <row r="39" spans="1:17" ht="12.75" customHeight="1" x14ac:dyDescent="0.25">
      <c r="A39" s="39" t="s">
        <v>917</v>
      </c>
      <c r="B39" s="40"/>
      <c r="C39" s="753">
        <v>91751594.329999998</v>
      </c>
      <c r="D39" s="733">
        <v>108499964.73999999</v>
      </c>
      <c r="E39" s="733">
        <v>102685727.20999999</v>
      </c>
      <c r="F39" s="733">
        <v>73486799.939999998</v>
      </c>
      <c r="G39" s="733">
        <v>63089231.450000003</v>
      </c>
      <c r="H39" s="733">
        <v>65671568.18</v>
      </c>
      <c r="I39" s="733">
        <v>63077763.939999998</v>
      </c>
      <c r="J39" s="733">
        <v>59818214.079999998</v>
      </c>
      <c r="K39" s="733">
        <v>80838613.859999999</v>
      </c>
      <c r="L39" s="733">
        <v>56881402.5</v>
      </c>
      <c r="M39" s="733">
        <v>0</v>
      </c>
      <c r="N39" s="108">
        <f t="shared" si="4"/>
        <v>4411439.2699999809</v>
      </c>
      <c r="O39" s="745">
        <v>770212319.5</v>
      </c>
      <c r="P39" s="733">
        <v>863448549</v>
      </c>
      <c r="Q39" s="735">
        <v>919572703</v>
      </c>
    </row>
    <row r="40" spans="1:17" ht="12.75" customHeight="1" x14ac:dyDescent="0.25">
      <c r="A40" s="86" t="s">
        <v>920</v>
      </c>
      <c r="B40" s="40"/>
      <c r="C40" s="753">
        <v>21654847.34</v>
      </c>
      <c r="D40" s="733">
        <v>14753880.16</v>
      </c>
      <c r="E40" s="733">
        <v>18268743.41</v>
      </c>
      <c r="F40" s="733">
        <v>13142368.689999999</v>
      </c>
      <c r="G40" s="733">
        <v>14202119.65</v>
      </c>
      <c r="H40" s="733">
        <v>19416202</v>
      </c>
      <c r="I40" s="733">
        <v>16536385.08</v>
      </c>
      <c r="J40" s="733">
        <v>14939153.23</v>
      </c>
      <c r="K40" s="733">
        <v>15711346.140000001</v>
      </c>
      <c r="L40" s="733">
        <v>23118879.530000001</v>
      </c>
      <c r="M40" s="733">
        <v>0</v>
      </c>
      <c r="N40" s="108">
        <f t="shared" si="4"/>
        <v>57274394.020000011</v>
      </c>
      <c r="O40" s="745">
        <v>229018319.25</v>
      </c>
      <c r="P40" s="733">
        <v>243904509.54999998</v>
      </c>
      <c r="Q40" s="735">
        <v>259758303.34999999</v>
      </c>
    </row>
    <row r="41" spans="1:17" ht="12.75" customHeight="1" x14ac:dyDescent="0.25">
      <c r="A41" s="86" t="s">
        <v>922</v>
      </c>
      <c r="B41" s="40"/>
      <c r="C41" s="753">
        <v>2693782</v>
      </c>
      <c r="D41" s="733">
        <v>3196152.87</v>
      </c>
      <c r="E41" s="733">
        <v>5936768</v>
      </c>
      <c r="F41" s="733">
        <v>387422.5</v>
      </c>
      <c r="G41" s="733">
        <v>790062.95</v>
      </c>
      <c r="H41" s="733">
        <v>1738432.18</v>
      </c>
      <c r="I41" s="733">
        <v>2878427</v>
      </c>
      <c r="J41" s="733">
        <v>1524005.1300000001</v>
      </c>
      <c r="K41" s="733">
        <v>1171349.58</v>
      </c>
      <c r="L41" s="733">
        <f>'C4-FinPerf RE'!F31</f>
        <v>9098492</v>
      </c>
      <c r="M41" s="733">
        <v>0</v>
      </c>
      <c r="N41" s="108">
        <f t="shared" si="4"/>
        <v>84692563.889999986</v>
      </c>
      <c r="O41" s="745">
        <v>114107458.09999999</v>
      </c>
      <c r="P41" s="733">
        <v>83009168.399999991</v>
      </c>
      <c r="Q41" s="735">
        <v>86993562.450000003</v>
      </c>
    </row>
    <row r="42" spans="1:17" ht="12.75" customHeight="1" x14ac:dyDescent="0.25">
      <c r="A42" s="86" t="s">
        <v>847</v>
      </c>
      <c r="B42" s="40"/>
      <c r="C42" s="753">
        <v>72380582</v>
      </c>
      <c r="D42" s="733">
        <v>29623407.369999997</v>
      </c>
      <c r="E42" s="733">
        <v>77697315</v>
      </c>
      <c r="F42" s="733">
        <v>52311575.579999998</v>
      </c>
      <c r="G42" s="733">
        <v>56309648.759999998</v>
      </c>
      <c r="H42" s="733">
        <v>87583070.150000006</v>
      </c>
      <c r="I42" s="733">
        <v>30533771</v>
      </c>
      <c r="J42" s="733">
        <v>34861618.230000004</v>
      </c>
      <c r="K42" s="733">
        <v>72185693.289999977</v>
      </c>
      <c r="L42" s="733">
        <f>'C4-FinPerf RE'!F32</f>
        <v>81214028</v>
      </c>
      <c r="M42" s="733">
        <v>0</v>
      </c>
      <c r="N42" s="108">
        <f t="shared" si="4"/>
        <v>39718843.519999981</v>
      </c>
      <c r="O42" s="745">
        <v>634419552.89999998</v>
      </c>
      <c r="P42" s="733">
        <v>699139070.18999994</v>
      </c>
      <c r="Q42" s="735">
        <v>732697740.72000003</v>
      </c>
    </row>
    <row r="43" spans="1:17" ht="12.75" customHeight="1" x14ac:dyDescent="0.25">
      <c r="A43" s="86" t="s">
        <v>926</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5">
      <c r="A44" s="86" t="s">
        <v>927</v>
      </c>
      <c r="B44" s="40"/>
      <c r="C44" s="753">
        <v>80000</v>
      </c>
      <c r="D44" s="733">
        <v>978258</v>
      </c>
      <c r="E44" s="733">
        <v>1035582</v>
      </c>
      <c r="F44" s="733">
        <v>40000</v>
      </c>
      <c r="G44" s="733">
        <v>40000</v>
      </c>
      <c r="H44" s="733">
        <v>40000</v>
      </c>
      <c r="I44" s="733">
        <v>992025</v>
      </c>
      <c r="J44" s="733">
        <v>40000</v>
      </c>
      <c r="K44" s="733">
        <v>7038025</v>
      </c>
      <c r="L44" s="733">
        <v>4955464</v>
      </c>
      <c r="M44" s="733">
        <v>0</v>
      </c>
      <c r="N44" s="108">
        <f t="shared" si="4"/>
        <v>-4314346.4000000004</v>
      </c>
      <c r="O44" s="745">
        <v>10925007.6</v>
      </c>
      <c r="P44" s="733">
        <v>10925007.6</v>
      </c>
      <c r="Q44" s="735">
        <v>10925007.6</v>
      </c>
    </row>
    <row r="45" spans="1:17" ht="12.75" customHeight="1" x14ac:dyDescent="0.25">
      <c r="A45" s="86" t="s">
        <v>848</v>
      </c>
      <c r="B45" s="40"/>
      <c r="C45" s="753">
        <v>10823624</v>
      </c>
      <c r="D45" s="733">
        <v>20320796.039999984</v>
      </c>
      <c r="E45" s="733">
        <v>5734066</v>
      </c>
      <c r="F45" s="733">
        <v>11689021.550000001</v>
      </c>
      <c r="G45" s="733">
        <v>8752024.0600000005</v>
      </c>
      <c r="H45" s="733">
        <v>8890465.4800000023</v>
      </c>
      <c r="I45" s="733">
        <v>10558102</v>
      </c>
      <c r="J45" s="733">
        <v>5653656.3100000005</v>
      </c>
      <c r="K45" s="733">
        <v>14817538.440000003</v>
      </c>
      <c r="L45" s="733">
        <v>0</v>
      </c>
      <c r="M45" s="733">
        <v>0</v>
      </c>
      <c r="N45" s="108">
        <f t="shared" si="4"/>
        <v>110297921.97</v>
      </c>
      <c r="O45" s="745">
        <v>207537215.84999999</v>
      </c>
      <c r="P45" s="733">
        <v>210660020.00999999</v>
      </c>
      <c r="Q45" s="735">
        <v>211851783.14999998</v>
      </c>
    </row>
    <row r="46" spans="1:17" ht="12.75" customHeight="1" x14ac:dyDescent="0.25">
      <c r="A46" s="88" t="s">
        <v>936</v>
      </c>
      <c r="B46" s="52">
        <f>SUM(B36:B45)</f>
        <v>0</v>
      </c>
      <c r="C46" s="475">
        <f>SUM(C36:C45)</f>
        <v>274557686.48000002</v>
      </c>
      <c r="D46" s="430">
        <f t="shared" ref="D46:Q46" si="5">SUM(D36:D45)</f>
        <v>258122731.18000001</v>
      </c>
      <c r="E46" s="430">
        <f t="shared" si="5"/>
        <v>291140047.62</v>
      </c>
      <c r="F46" s="430">
        <f t="shared" si="5"/>
        <v>237953430.25999999</v>
      </c>
      <c r="G46" s="430">
        <f t="shared" si="5"/>
        <v>220554857.86999997</v>
      </c>
      <c r="H46" s="430">
        <f t="shared" si="5"/>
        <v>269651706.17000002</v>
      </c>
      <c r="I46" s="430">
        <f t="shared" si="5"/>
        <v>207289415.02000001</v>
      </c>
      <c r="J46" s="430">
        <f t="shared" si="5"/>
        <v>194926425.97999996</v>
      </c>
      <c r="K46" s="430">
        <f t="shared" si="5"/>
        <v>270802729.31</v>
      </c>
      <c r="L46" s="430">
        <f t="shared" si="5"/>
        <v>256248405.03</v>
      </c>
      <c r="M46" s="430">
        <f t="shared" si="5"/>
        <v>0</v>
      </c>
      <c r="N46" s="508">
        <f t="shared" si="5"/>
        <v>563895721.42999995</v>
      </c>
      <c r="O46" s="475">
        <f t="shared" si="5"/>
        <v>3045143156.3499999</v>
      </c>
      <c r="P46" s="430">
        <f t="shared" si="5"/>
        <v>3265016674.3000002</v>
      </c>
      <c r="Q46" s="513">
        <f t="shared" si="5"/>
        <v>3435809676.6199999</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670</v>
      </c>
      <c r="B48" s="40"/>
      <c r="C48" s="258"/>
      <c r="D48" s="44"/>
      <c r="E48" s="44"/>
      <c r="F48" s="44"/>
      <c r="G48" s="44"/>
      <c r="H48" s="44"/>
      <c r="I48" s="44"/>
      <c r="J48" s="44"/>
      <c r="K48" s="44"/>
      <c r="L48" s="44"/>
      <c r="M48" s="44"/>
      <c r="N48" s="108"/>
      <c r="O48" s="46"/>
      <c r="P48" s="44"/>
      <c r="Q48" s="144"/>
    </row>
    <row r="49" spans="1:17" ht="12.75" customHeight="1" x14ac:dyDescent="0.25">
      <c r="A49" s="86" t="s">
        <v>699</v>
      </c>
      <c r="B49" s="40"/>
      <c r="C49" s="753">
        <v>21521435</v>
      </c>
      <c r="D49" s="733">
        <v>58840828</v>
      </c>
      <c r="E49" s="733">
        <v>69126894.329999998</v>
      </c>
      <c r="F49" s="733">
        <v>85314622</v>
      </c>
      <c r="G49" s="733">
        <v>48292769.811999999</v>
      </c>
      <c r="H49" s="733">
        <v>95953923</v>
      </c>
      <c r="I49" s="733">
        <v>6369763</v>
      </c>
      <c r="J49" s="733">
        <v>40968693.029000007</v>
      </c>
      <c r="K49" s="733">
        <v>62477125.172999963</v>
      </c>
      <c r="L49" s="733">
        <f>'C5-Capex'!F74</f>
        <v>111884524.236</v>
      </c>
      <c r="M49" s="733">
        <v>0</v>
      </c>
      <c r="N49" s="108">
        <f>O49-SUM(C49:M49)</f>
        <v>594346143.96000004</v>
      </c>
      <c r="O49" s="745">
        <v>1195096721.54</v>
      </c>
      <c r="P49" s="733">
        <v>706307197.5</v>
      </c>
      <c r="Q49" s="735">
        <v>622559033.88999999</v>
      </c>
    </row>
    <row r="50" spans="1:17" ht="12.75" customHeight="1" x14ac:dyDescent="0.25">
      <c r="A50" s="86" t="s">
        <v>901</v>
      </c>
      <c r="B50" s="40"/>
      <c r="C50" s="753">
        <v>4704864.05</v>
      </c>
      <c r="D50" s="733">
        <v>0</v>
      </c>
      <c r="E50" s="733">
        <v>0</v>
      </c>
      <c r="F50" s="733">
        <v>0</v>
      </c>
      <c r="G50" s="733">
        <v>0</v>
      </c>
      <c r="H50" s="733">
        <v>16108344.539999999</v>
      </c>
      <c r="I50" s="733">
        <v>0</v>
      </c>
      <c r="J50" s="733">
        <v>0</v>
      </c>
      <c r="K50" s="733">
        <v>0</v>
      </c>
      <c r="L50" s="733">
        <v>0</v>
      </c>
      <c r="M50" s="733">
        <v>0</v>
      </c>
      <c r="N50" s="108">
        <f>O50-SUM(C50:M50)</f>
        <v>43391791.409999996</v>
      </c>
      <c r="O50" s="745">
        <v>64205000</v>
      </c>
      <c r="P50" s="733">
        <v>62760000</v>
      </c>
      <c r="Q50" s="735">
        <v>162760000</v>
      </c>
    </row>
    <row r="51" spans="1:17" ht="12.75" customHeight="1" x14ac:dyDescent="0.25">
      <c r="A51" s="86" t="s">
        <v>2</v>
      </c>
      <c r="B51" s="40"/>
      <c r="C51" s="753">
        <v>147151483.40000001</v>
      </c>
      <c r="D51" s="733">
        <v>120707574.48</v>
      </c>
      <c r="E51" s="733">
        <v>68832038.459999993</v>
      </c>
      <c r="F51" s="733">
        <v>62600058.639999896</v>
      </c>
      <c r="G51" s="733">
        <v>63618922.928000003</v>
      </c>
      <c r="H51" s="733">
        <v>103069271.01999998</v>
      </c>
      <c r="I51" s="733">
        <v>146629318.38</v>
      </c>
      <c r="J51" s="733">
        <v>44354948.270999953</v>
      </c>
      <c r="K51" s="733">
        <v>70255758.667000175</v>
      </c>
      <c r="L51" s="733">
        <v>-67848943.526000097</v>
      </c>
      <c r="M51" s="733">
        <v>0</v>
      </c>
      <c r="N51" s="108">
        <f>O51-SUM(C51:M51)</f>
        <v>-287243784.47777832</v>
      </c>
      <c r="O51" s="745">
        <v>472126646.24222147</v>
      </c>
      <c r="P51" s="733">
        <v>184750000</v>
      </c>
      <c r="Q51" s="735">
        <v>104749999.98</v>
      </c>
    </row>
    <row r="52" spans="1:17" ht="12.75" customHeight="1" x14ac:dyDescent="0.25">
      <c r="A52" s="318" t="s">
        <v>919</v>
      </c>
      <c r="B52" s="319">
        <f t="shared" ref="B52:Q52" si="6">SUM(B46:B51)</f>
        <v>0</v>
      </c>
      <c r="C52" s="260">
        <f t="shared" si="6"/>
        <v>447935468.93000007</v>
      </c>
      <c r="D52" s="73">
        <f t="shared" si="6"/>
        <v>437671133.66000003</v>
      </c>
      <c r="E52" s="73">
        <f t="shared" si="6"/>
        <v>429098980.40999997</v>
      </c>
      <c r="F52" s="73">
        <f t="shared" si="6"/>
        <v>385868110.89999986</v>
      </c>
      <c r="G52" s="73">
        <f t="shared" si="6"/>
        <v>332466550.61000001</v>
      </c>
      <c r="H52" s="73">
        <f t="shared" si="6"/>
        <v>484783244.73000002</v>
      </c>
      <c r="I52" s="73">
        <f t="shared" si="6"/>
        <v>360288496.39999998</v>
      </c>
      <c r="J52" s="73">
        <f t="shared" si="6"/>
        <v>280250067.27999991</v>
      </c>
      <c r="K52" s="73">
        <f t="shared" si="6"/>
        <v>403535613.15000015</v>
      </c>
      <c r="L52" s="73">
        <f t="shared" si="6"/>
        <v>300283985.73999995</v>
      </c>
      <c r="M52" s="73">
        <f t="shared" si="6"/>
        <v>0</v>
      </c>
      <c r="N52" s="320">
        <f t="shared" si="6"/>
        <v>914389872.32222164</v>
      </c>
      <c r="O52" s="74">
        <f t="shared" si="6"/>
        <v>4776571524.1322212</v>
      </c>
      <c r="P52" s="73">
        <f t="shared" si="6"/>
        <v>4218833871.8000002</v>
      </c>
      <c r="Q52" s="145">
        <f t="shared" si="6"/>
        <v>4325878710.4899998</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576</v>
      </c>
      <c r="B54" s="181">
        <f t="shared" ref="B54:Q54" si="7">B33-B52</f>
        <v>0</v>
      </c>
      <c r="C54" s="259">
        <f t="shared" si="7"/>
        <v>195876005.51999998</v>
      </c>
      <c r="D54" s="50">
        <f t="shared" si="7"/>
        <v>-43887409.769999921</v>
      </c>
      <c r="E54" s="50">
        <f t="shared" si="7"/>
        <v>-136256044.59000003</v>
      </c>
      <c r="F54" s="50">
        <f t="shared" si="7"/>
        <v>-156097367.06999987</v>
      </c>
      <c r="G54" s="50">
        <f t="shared" si="7"/>
        <v>110614656.07999992</v>
      </c>
      <c r="H54" s="50">
        <f t="shared" si="7"/>
        <v>274212549.5999999</v>
      </c>
      <c r="I54" s="50">
        <f t="shared" si="7"/>
        <v>-133762257.38999999</v>
      </c>
      <c r="J54" s="50">
        <f t="shared" si="7"/>
        <v>-60562150.939999878</v>
      </c>
      <c r="K54" s="50">
        <f t="shared" si="7"/>
        <v>235258522.68999976</v>
      </c>
      <c r="L54" s="50">
        <f t="shared" si="7"/>
        <v>-95058393.149999946</v>
      </c>
      <c r="M54" s="50">
        <f t="shared" si="7"/>
        <v>0</v>
      </c>
      <c r="N54" s="110">
        <f t="shared" si="7"/>
        <v>-321682252.05222189</v>
      </c>
      <c r="O54" s="51">
        <f t="shared" si="7"/>
        <v>-131344141.07222176</v>
      </c>
      <c r="P54" s="50">
        <f t="shared" si="7"/>
        <v>193663665.10999966</v>
      </c>
      <c r="Q54" s="194">
        <f t="shared" si="7"/>
        <v>296149608</v>
      </c>
    </row>
    <row r="55" spans="1:17" ht="12.75" customHeight="1" x14ac:dyDescent="0.25">
      <c r="A55" s="86" t="s">
        <v>570</v>
      </c>
      <c r="B55" s="40"/>
      <c r="C55" s="753">
        <v>414597046.26999998</v>
      </c>
      <c r="D55" s="44">
        <f>C56</f>
        <v>610473051.78999996</v>
      </c>
      <c r="E55" s="44">
        <f t="shared" ref="E55:N55" si="8">D56</f>
        <v>566585642.01999998</v>
      </c>
      <c r="F55" s="44">
        <f t="shared" si="8"/>
        <v>430329597.42999995</v>
      </c>
      <c r="G55" s="44">
        <f t="shared" si="8"/>
        <v>274232230.36000007</v>
      </c>
      <c r="H55" s="44">
        <f t="shared" si="8"/>
        <v>384846886.44</v>
      </c>
      <c r="I55" s="44">
        <f t="shared" si="8"/>
        <v>659059436.03999996</v>
      </c>
      <c r="J55" s="44">
        <f t="shared" si="8"/>
        <v>525297178.64999998</v>
      </c>
      <c r="K55" s="44">
        <f t="shared" si="8"/>
        <v>464735027.7100001</v>
      </c>
      <c r="L55" s="44">
        <f t="shared" si="8"/>
        <v>699993550.39999986</v>
      </c>
      <c r="M55" s="44">
        <f t="shared" si="8"/>
        <v>604935157.24999988</v>
      </c>
      <c r="N55" s="108">
        <f t="shared" si="8"/>
        <v>604935157.24999988</v>
      </c>
      <c r="O55" s="46">
        <f>C55</f>
        <v>414597046.26999998</v>
      </c>
      <c r="P55" s="44">
        <f>O56</f>
        <v>283252905.19777822</v>
      </c>
      <c r="Q55" s="144">
        <f>P56</f>
        <v>476916570.30777788</v>
      </c>
    </row>
    <row r="56" spans="1:17" ht="12.75" customHeight="1" x14ac:dyDescent="0.25">
      <c r="A56" s="321" t="s">
        <v>671</v>
      </c>
      <c r="B56" s="176"/>
      <c r="C56" s="299">
        <f>C54+C55</f>
        <v>610473051.78999996</v>
      </c>
      <c r="D56" s="115">
        <f>D54+D55</f>
        <v>566585642.01999998</v>
      </c>
      <c r="E56" s="115">
        <f t="shared" ref="E56:N56" si="9">E54+E55</f>
        <v>430329597.42999995</v>
      </c>
      <c r="F56" s="115">
        <f t="shared" si="9"/>
        <v>274232230.36000007</v>
      </c>
      <c r="G56" s="115">
        <f t="shared" si="9"/>
        <v>384846886.44</v>
      </c>
      <c r="H56" s="115">
        <f t="shared" si="9"/>
        <v>659059436.03999996</v>
      </c>
      <c r="I56" s="115">
        <f t="shared" si="9"/>
        <v>525297178.64999998</v>
      </c>
      <c r="J56" s="115">
        <f t="shared" si="9"/>
        <v>464735027.7100001</v>
      </c>
      <c r="K56" s="115">
        <f t="shared" si="9"/>
        <v>699993550.39999986</v>
      </c>
      <c r="L56" s="115">
        <f t="shared" si="9"/>
        <v>604935157.24999988</v>
      </c>
      <c r="M56" s="115">
        <f t="shared" si="9"/>
        <v>604935157.24999988</v>
      </c>
      <c r="N56" s="317">
        <f t="shared" si="9"/>
        <v>283252905.19777799</v>
      </c>
      <c r="O56" s="116">
        <f>O54+O55</f>
        <v>283252905.19777822</v>
      </c>
      <c r="P56" s="115">
        <f>P54+P55</f>
        <v>476916570.30777788</v>
      </c>
      <c r="Q56" s="190">
        <f>Q54+Q55</f>
        <v>773066178.30777788</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291140047.62</v>
      </c>
      <c r="F65" s="85">
        <f t="shared" si="10"/>
        <v>237953430.25999999</v>
      </c>
      <c r="G65" s="85">
        <f t="shared" si="10"/>
        <v>220554857.86999997</v>
      </c>
      <c r="H65" s="85">
        <f t="shared" si="10"/>
        <v>269651706.17000002</v>
      </c>
      <c r="I65" s="85">
        <f t="shared" si="10"/>
        <v>207289415.02000001</v>
      </c>
      <c r="J65" s="85">
        <f t="shared" si="10"/>
        <v>194926425.97999996</v>
      </c>
      <c r="K65" s="85">
        <f t="shared" si="10"/>
        <v>270802729.31</v>
      </c>
      <c r="L65" s="85">
        <f t="shared" si="10"/>
        <v>256248405.03</v>
      </c>
      <c r="M65" s="85"/>
      <c r="N65" s="85">
        <f>N46+N64</f>
        <v>563895721.42999995</v>
      </c>
      <c r="O65" s="85">
        <f t="shared" si="10"/>
        <v>3045143156.3499999</v>
      </c>
      <c r="P65" s="85">
        <f t="shared" si="10"/>
        <v>3265016674.3000002</v>
      </c>
    </row>
    <row r="66" spans="5:16" x14ac:dyDescent="0.25">
      <c r="E66" s="85">
        <f t="shared" ref="E66:P66" si="11">E54-E64</f>
        <v>-136256044.59000003</v>
      </c>
      <c r="F66" s="85">
        <f t="shared" si="11"/>
        <v>-156097367.06999987</v>
      </c>
      <c r="G66" s="85">
        <f t="shared" si="11"/>
        <v>110614656.07999992</v>
      </c>
      <c r="H66" s="85">
        <f t="shared" si="11"/>
        <v>274212549.5999999</v>
      </c>
      <c r="I66" s="85">
        <f t="shared" si="11"/>
        <v>-133762257.38999999</v>
      </c>
      <c r="J66" s="85">
        <f t="shared" si="11"/>
        <v>-60562150.939999878</v>
      </c>
      <c r="K66" s="85">
        <f t="shared" si="11"/>
        <v>235258522.68999976</v>
      </c>
      <c r="L66" s="85">
        <f t="shared" si="11"/>
        <v>-95058393.149999946</v>
      </c>
      <c r="M66" s="85">
        <f>M54-M64</f>
        <v>0</v>
      </c>
      <c r="N66" s="85">
        <f>N54-N64</f>
        <v>-321682252.05222189</v>
      </c>
      <c r="O66" s="85">
        <f t="shared" si="11"/>
        <v>-131344141.07222176</v>
      </c>
      <c r="P66" s="85">
        <f t="shared" si="11"/>
        <v>193663665.10999966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H58" sqref="H58"/>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"&amp;S71P&amp; " - "&amp;Head57</f>
        <v>LIM354 Polokwane - NOT REQUIRED - municipality does not have entities or this is the parent municipality's budget - M10 April</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669</v>
      </c>
      <c r="B4" s="248">
        <v>1</v>
      </c>
      <c r="C4" s="292"/>
      <c r="D4" s="293"/>
      <c r="E4" s="294"/>
      <c r="F4" s="295"/>
      <c r="G4" s="295"/>
      <c r="H4" s="295"/>
      <c r="I4" s="295"/>
      <c r="J4" s="296" t="s">
        <v>577</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c r="E6" s="733"/>
      <c r="F6" s="733"/>
      <c r="G6" s="733"/>
      <c r="H6" s="733"/>
      <c r="I6" s="44">
        <f t="shared" ref="I6:I21" si="0">G6-H6</f>
        <v>0</v>
      </c>
      <c r="J6" s="330" t="str">
        <f>IF(I6=0,"",I6/H6)</f>
        <v/>
      </c>
      <c r="K6" s="735"/>
    </row>
    <row r="7" spans="1:11" ht="12.75" customHeight="1" x14ac:dyDescent="0.25">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5">
      <c r="A8" s="86" t="str">
        <f>'C4-FinPerf RE'!A8</f>
        <v>Service charges - water revenue</v>
      </c>
      <c r="B8" s="171"/>
      <c r="C8" s="748"/>
      <c r="D8" s="745"/>
      <c r="E8" s="733"/>
      <c r="F8" s="733"/>
      <c r="G8" s="733"/>
      <c r="H8" s="733"/>
      <c r="I8" s="44">
        <f t="shared" si="0"/>
        <v>0</v>
      </c>
      <c r="J8" s="330" t="str">
        <f t="shared" si="1"/>
        <v/>
      </c>
      <c r="K8" s="735"/>
    </row>
    <row r="9" spans="1:11" ht="12.75" customHeight="1" x14ac:dyDescent="0.25">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5">
      <c r="A10" s="86" t="str">
        <f>'C4-FinPerf RE'!A10</f>
        <v>Service charges - refuse revenue</v>
      </c>
      <c r="B10" s="171"/>
      <c r="C10" s="748"/>
      <c r="D10" s="745"/>
      <c r="E10" s="733"/>
      <c r="F10" s="733"/>
      <c r="G10" s="733"/>
      <c r="H10" s="733"/>
      <c r="I10" s="44">
        <f t="shared" si="0"/>
        <v>0</v>
      </c>
      <c r="J10" s="330" t="str">
        <f t="shared" si="1"/>
        <v/>
      </c>
      <c r="K10" s="735"/>
    </row>
    <row r="11" spans="1:11" ht="0.95" customHeight="1" x14ac:dyDescent="0.25">
      <c r="A11" s="86"/>
      <c r="B11" s="171"/>
      <c r="C11" s="648"/>
      <c r="D11" s="649"/>
      <c r="E11" s="408"/>
      <c r="F11" s="408"/>
      <c r="G11" s="408"/>
      <c r="H11" s="408"/>
      <c r="I11" s="408"/>
      <c r="J11" s="948"/>
      <c r="K11" s="642"/>
    </row>
    <row r="12" spans="1:11" ht="12.75" customHeight="1" x14ac:dyDescent="0.25">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5">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5">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5">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5">
      <c r="A18" s="86" t="str">
        <f>'C4-FinPerf RE'!A18</f>
        <v>Agency services</v>
      </c>
      <c r="B18" s="171"/>
      <c r="C18" s="748"/>
      <c r="D18" s="745"/>
      <c r="E18" s="733"/>
      <c r="F18" s="733"/>
      <c r="G18" s="733"/>
      <c r="H18" s="733"/>
      <c r="I18" s="44">
        <f t="shared" si="0"/>
        <v>0</v>
      </c>
      <c r="J18" s="330" t="str">
        <f t="shared" si="1"/>
        <v/>
      </c>
      <c r="K18" s="735"/>
    </row>
    <row r="19" spans="1:11" ht="12.75" customHeight="1" x14ac:dyDescent="0.25">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5">
      <c r="A20" s="86" t="str">
        <f>'C4-FinPerf RE'!A20</f>
        <v>Other revenue</v>
      </c>
      <c r="B20" s="171"/>
      <c r="C20" s="748"/>
      <c r="D20" s="745"/>
      <c r="E20" s="733"/>
      <c r="F20" s="733"/>
      <c r="G20" s="733"/>
      <c r="H20" s="733"/>
      <c r="I20" s="44">
        <f t="shared" si="0"/>
        <v>0</v>
      </c>
      <c r="J20" s="330" t="str">
        <f t="shared" si="1"/>
        <v/>
      </c>
      <c r="K20" s="735"/>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5">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5">
      <c r="A27" s="39" t="str">
        <f>'C4-FinPerf RE'!A27</f>
        <v>Debt impairment</v>
      </c>
      <c r="B27" s="171"/>
      <c r="C27" s="748"/>
      <c r="D27" s="745"/>
      <c r="E27" s="733"/>
      <c r="F27" s="733"/>
      <c r="G27" s="733"/>
      <c r="H27" s="733"/>
      <c r="I27" s="44">
        <f t="shared" si="3"/>
        <v>0</v>
      </c>
      <c r="J27" s="330" t="str">
        <f t="shared" si="4"/>
        <v/>
      </c>
      <c r="K27" s="735"/>
    </row>
    <row r="28" spans="1:11" ht="12.75" customHeight="1" x14ac:dyDescent="0.25">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5">
      <c r="A29" s="39" t="str">
        <f>'C4-FinPerf RE'!A29</f>
        <v>Finance charges</v>
      </c>
      <c r="B29" s="171"/>
      <c r="C29" s="748"/>
      <c r="D29" s="745"/>
      <c r="E29" s="733"/>
      <c r="F29" s="733"/>
      <c r="G29" s="733"/>
      <c r="H29" s="733"/>
      <c r="I29" s="44">
        <f t="shared" si="3"/>
        <v>0</v>
      </c>
      <c r="J29" s="330" t="str">
        <f t="shared" si="4"/>
        <v/>
      </c>
      <c r="K29" s="735"/>
    </row>
    <row r="30" spans="1:11" ht="12.75" customHeight="1" x14ac:dyDescent="0.25">
      <c r="A30" s="39" t="str">
        <f>'C4-FinPerf RE'!A30</f>
        <v>Bulk purchases</v>
      </c>
      <c r="B30" s="171"/>
      <c r="C30" s="748"/>
      <c r="D30" s="745"/>
      <c r="E30" s="733"/>
      <c r="F30" s="733"/>
      <c r="G30" s="733"/>
      <c r="H30" s="733"/>
      <c r="I30" s="44">
        <f t="shared" si="3"/>
        <v>0</v>
      </c>
      <c r="J30" s="330" t="str">
        <f t="shared" si="4"/>
        <v/>
      </c>
      <c r="K30" s="735"/>
    </row>
    <row r="31" spans="1:11" ht="12.75" customHeight="1" x14ac:dyDescent="0.25">
      <c r="A31" s="39" t="str">
        <f>'C4-FinPerf RE'!A31</f>
        <v>Other materials</v>
      </c>
      <c r="B31" s="171"/>
      <c r="C31" s="748"/>
      <c r="D31" s="745"/>
      <c r="E31" s="733"/>
      <c r="F31" s="733"/>
      <c r="G31" s="733"/>
      <c r="H31" s="733"/>
      <c r="I31" s="44">
        <f t="shared" si="3"/>
        <v>0</v>
      </c>
      <c r="J31" s="330" t="str">
        <f t="shared" si="4"/>
        <v/>
      </c>
      <c r="K31" s="735"/>
    </row>
    <row r="32" spans="1:11" ht="12.75" customHeight="1" x14ac:dyDescent="0.25">
      <c r="A32" s="39" t="str">
        <f>'C4-FinPerf RE'!A32</f>
        <v>Contracted services</v>
      </c>
      <c r="B32" s="171"/>
      <c r="C32" s="748"/>
      <c r="D32" s="745"/>
      <c r="E32" s="733"/>
      <c r="F32" s="733"/>
      <c r="G32" s="733"/>
      <c r="H32" s="733"/>
      <c r="I32" s="44">
        <f t="shared" si="3"/>
        <v>0</v>
      </c>
      <c r="J32" s="330" t="str">
        <f t="shared" si="4"/>
        <v/>
      </c>
      <c r="K32" s="735"/>
    </row>
    <row r="33" spans="1:11" ht="12.75" customHeight="1" x14ac:dyDescent="0.25">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5">
      <c r="A34" s="39" t="str">
        <f>'C4-FinPerf RE'!A34</f>
        <v>Other expenditure</v>
      </c>
      <c r="B34" s="171"/>
      <c r="C34" s="748"/>
      <c r="D34" s="745"/>
      <c r="E34" s="733"/>
      <c r="F34" s="733"/>
      <c r="G34" s="733"/>
      <c r="H34" s="733"/>
      <c r="I34" s="44">
        <f t="shared" si="3"/>
        <v>0</v>
      </c>
      <c r="J34" s="330" t="str">
        <f t="shared" si="4"/>
        <v/>
      </c>
      <c r="K34" s="735"/>
    </row>
    <row r="35" spans="1:11" ht="12.75" customHeight="1" x14ac:dyDescent="0.25">
      <c r="A35" s="39" t="str">
        <f>'C4-FinPerf RE'!A35</f>
        <v>Losses</v>
      </c>
      <c r="B35" s="169"/>
      <c r="C35" s="748"/>
      <c r="D35" s="745"/>
      <c r="E35" s="733"/>
      <c r="F35" s="733"/>
      <c r="G35" s="733"/>
      <c r="H35" s="733"/>
      <c r="I35" s="44">
        <f t="shared" si="3"/>
        <v>0</v>
      </c>
      <c r="J35" s="330" t="str">
        <f t="shared" si="4"/>
        <v/>
      </c>
      <c r="K35" s="735"/>
    </row>
    <row r="36" spans="1:11" ht="12.75" customHeight="1" x14ac:dyDescent="0.25">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5">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ht="25.5" x14ac:dyDescent="0.25">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5">
      <c r="A43" s="111" t="str">
        <f>'C4-FinPerf RE'!A43</f>
        <v>Taxation</v>
      </c>
      <c r="B43" s="169"/>
      <c r="C43" s="748"/>
      <c r="D43" s="745"/>
      <c r="E43" s="733"/>
      <c r="F43" s="733"/>
      <c r="G43" s="733"/>
      <c r="H43" s="733"/>
      <c r="I43" s="44">
        <f t="shared" si="3"/>
        <v>0</v>
      </c>
      <c r="J43" s="330" t="str">
        <f t="shared" si="4"/>
        <v/>
      </c>
      <c r="K43" s="735"/>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627</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63" t="str">
        <f>muni&amp; " - "&amp;S71Q&amp; " - "&amp;Head57</f>
        <v>LIM354 Polokwane - NOT REQUIRED - municipality does not have entities or this is the parent municipality's budget - M10 April</v>
      </c>
      <c r="B1" s="1063"/>
      <c r="C1" s="1063"/>
      <c r="D1" s="1063"/>
      <c r="E1" s="1063"/>
      <c r="F1" s="1063"/>
      <c r="G1" s="1063"/>
      <c r="H1" s="1063"/>
      <c r="I1" s="1063"/>
      <c r="J1" s="1063"/>
      <c r="K1" s="1063"/>
    </row>
    <row r="2" spans="1:11" x14ac:dyDescent="0.25">
      <c r="A2" s="1052" t="str">
        <f>desc</f>
        <v>Description</v>
      </c>
      <c r="B2" s="1045" t="str">
        <f>head27</f>
        <v>Ref</v>
      </c>
      <c r="C2" s="158" t="str">
        <f>Head1</f>
        <v>2019/20</v>
      </c>
      <c r="D2" s="1047" t="str">
        <f>Head2</f>
        <v>Budget Year 2020/21</v>
      </c>
      <c r="E2" s="1048"/>
      <c r="F2" s="1048"/>
      <c r="G2" s="1048"/>
      <c r="H2" s="1048"/>
      <c r="I2" s="1048"/>
      <c r="J2" s="1048"/>
      <c r="K2" s="1049"/>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669</v>
      </c>
      <c r="B4" s="248"/>
      <c r="C4" s="292"/>
      <c r="D4" s="298"/>
      <c r="E4" s="294"/>
      <c r="F4" s="295"/>
      <c r="G4" s="295"/>
      <c r="H4" s="295"/>
      <c r="I4" s="295"/>
      <c r="J4" s="296" t="s">
        <v>577</v>
      </c>
      <c r="K4" s="297"/>
    </row>
    <row r="5" spans="1:11" ht="12.75" customHeight="1" x14ac:dyDescent="0.25">
      <c r="A5" s="136" t="s">
        <v>554</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553</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821</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971</v>
      </c>
      <c r="B45" s="58"/>
      <c r="C45" s="62"/>
      <c r="D45" s="62"/>
      <c r="E45" s="62"/>
      <c r="F45" s="62"/>
      <c r="G45" s="62"/>
      <c r="H45" s="62"/>
      <c r="I45" s="62"/>
      <c r="J45" s="62"/>
      <c r="K45" s="62"/>
    </row>
    <row r="46" spans="1:11" ht="12.75" customHeight="1" x14ac:dyDescent="0.25">
      <c r="A46" s="80" t="s">
        <v>972</v>
      </c>
      <c r="B46" s="58"/>
      <c r="C46" s="62"/>
      <c r="D46" s="62"/>
      <c r="E46" s="62"/>
      <c r="F46" s="62"/>
      <c r="G46" s="62"/>
      <c r="H46" s="62"/>
      <c r="I46" s="62"/>
      <c r="J46" s="62"/>
      <c r="K46" s="62"/>
    </row>
    <row r="47" spans="1:11" ht="12.75" customHeight="1" x14ac:dyDescent="0.25">
      <c r="A47" s="60" t="s">
        <v>621</v>
      </c>
      <c r="B47" s="58"/>
      <c r="C47" s="62"/>
      <c r="D47" s="62"/>
      <c r="E47" s="62"/>
      <c r="F47" s="62"/>
      <c r="G47" s="62"/>
      <c r="H47" s="62"/>
      <c r="I47" s="62"/>
      <c r="J47" s="62"/>
      <c r="K47" s="62"/>
    </row>
    <row r="48" spans="1:11" ht="12.75" customHeight="1" x14ac:dyDescent="0.25">
      <c r="A48" s="80" t="s">
        <v>643</v>
      </c>
      <c r="B48" s="58"/>
      <c r="C48" s="62"/>
      <c r="D48" s="62"/>
      <c r="E48" s="62"/>
      <c r="F48" s="62"/>
      <c r="G48" s="62"/>
      <c r="H48" s="62"/>
      <c r="I48" s="62"/>
      <c r="J48" s="62"/>
      <c r="K48" s="62"/>
    </row>
    <row r="49" spans="1:11" ht="12.75" customHeight="1" x14ac:dyDescent="0.25">
      <c r="A49" s="322" t="s">
        <v>574</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4" sqref="B4:J18"/>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63" t="str">
        <f>muni&amp; " - "&amp;S71R&amp; " - "&amp;Head57</f>
        <v>LIM354 Polokwane - Supporting Table SC12 Monthly Budget Statement - capital expenditure trend - M10 April</v>
      </c>
      <c r="B1" s="1063"/>
      <c r="C1" s="1063"/>
      <c r="D1" s="1063"/>
      <c r="E1" s="1063"/>
      <c r="F1" s="1063"/>
      <c r="G1" s="1063"/>
      <c r="H1" s="1063"/>
      <c r="I1" s="1063"/>
      <c r="J1" s="1063"/>
    </row>
    <row r="2" spans="1:10" x14ac:dyDescent="0.25">
      <c r="A2" s="1052" t="s">
        <v>889</v>
      </c>
      <c r="B2" s="139" t="str">
        <f>Head1</f>
        <v>2019/20</v>
      </c>
      <c r="C2" s="1047" t="str">
        <f>Head2</f>
        <v>Budget Year 2020/21</v>
      </c>
      <c r="D2" s="1048"/>
      <c r="E2" s="1048"/>
      <c r="F2" s="1048"/>
      <c r="G2" s="1048"/>
      <c r="H2" s="1048"/>
      <c r="I2" s="1048"/>
      <c r="J2" s="1049"/>
    </row>
    <row r="3" spans="1:10" ht="38.25" x14ac:dyDescent="0.25">
      <c r="A3" s="105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669</v>
      </c>
      <c r="B4" s="292"/>
      <c r="C4" s="298"/>
      <c r="D4" s="294"/>
      <c r="E4" s="295"/>
      <c r="F4" s="295"/>
      <c r="G4" s="295"/>
      <c r="H4" s="295"/>
      <c r="I4" s="296" t="s">
        <v>577</v>
      </c>
      <c r="J4" s="297"/>
    </row>
    <row r="5" spans="1:10" ht="12.75" customHeight="1" x14ac:dyDescent="0.25">
      <c r="A5" s="35" t="s">
        <v>473</v>
      </c>
      <c r="B5" s="134"/>
      <c r="C5" s="258"/>
      <c r="D5" s="44"/>
      <c r="E5" s="44"/>
      <c r="F5" s="44"/>
      <c r="G5" s="44"/>
      <c r="H5" s="44"/>
      <c r="I5" s="124"/>
      <c r="J5" s="144"/>
    </row>
    <row r="6" spans="1:10" ht="12.75" customHeight="1" x14ac:dyDescent="0.25">
      <c r="A6" s="39" t="s">
        <v>784</v>
      </c>
      <c r="B6" s="748">
        <v>94661917.304999992</v>
      </c>
      <c r="C6" s="753">
        <v>23146604.339670938</v>
      </c>
      <c r="D6" s="733">
        <v>23449713.353499997</v>
      </c>
      <c r="E6" s="733">
        <v>23449713.350000001</v>
      </c>
      <c r="F6" s="408">
        <f>IF(E6&gt;0,E6,"")</f>
        <v>23449713.350000001</v>
      </c>
      <c r="G6" s="408">
        <f>IF(D6&gt;0,D6,C6)</f>
        <v>23449713.353499997</v>
      </c>
      <c r="H6" s="44">
        <f t="shared" ref="H6:H16" si="0">IF(F6="",0,G6-F6)</f>
        <v>3.4999959170818329E-3</v>
      </c>
      <c r="I6" s="124">
        <f t="shared" ref="I6:I16" si="1">IF(F6="","",IF(H6=0,"",H6/G6))</f>
        <v>1.4925538168932199E-10</v>
      </c>
      <c r="J6" s="674">
        <f t="shared" ref="J6:J16" si="2">IF(F6="","",F6/$C$18)</f>
        <v>1.9517052911756753E-2</v>
      </c>
    </row>
    <row r="7" spans="1:10" ht="12.75" customHeight="1" x14ac:dyDescent="0.25">
      <c r="A7" s="39" t="s">
        <v>907</v>
      </c>
      <c r="B7" s="748">
        <v>34997120.505000003</v>
      </c>
      <c r="C7" s="753">
        <v>31506119.635066863</v>
      </c>
      <c r="D7" s="733">
        <v>58840827.868799999</v>
      </c>
      <c r="E7" s="733">
        <v>58840827.869999997</v>
      </c>
      <c r="F7" s="408">
        <f>IF(E7&gt;0,E7+F6,"")</f>
        <v>82290541.219999999</v>
      </c>
      <c r="G7" s="408">
        <f>IF(D7&gt;0,D7+D6,C7+C6)</f>
        <v>82290541.222299993</v>
      </c>
      <c r="H7" s="44">
        <f t="shared" si="0"/>
        <v>2.2999942302703857E-3</v>
      </c>
      <c r="I7" s="124">
        <f t="shared" si="1"/>
        <v>2.7949679223243559E-11</v>
      </c>
      <c r="J7" s="674">
        <f t="shared" si="2"/>
        <v>6.8489913849110656E-2</v>
      </c>
    </row>
    <row r="8" spans="1:10" ht="12.75" customHeight="1" x14ac:dyDescent="0.25">
      <c r="A8" s="39" t="s">
        <v>543</v>
      </c>
      <c r="B8" s="748">
        <v>63024484.609000005</v>
      </c>
      <c r="C8" s="753">
        <v>52101276.725069404</v>
      </c>
      <c r="D8" s="733">
        <v>69126894.334549993</v>
      </c>
      <c r="E8" s="733">
        <v>69126894.329999998</v>
      </c>
      <c r="F8" s="408">
        <f t="shared" ref="F8:F17" si="3">IF(E8&gt;0,E8+F7,"")</f>
        <v>151417435.55000001</v>
      </c>
      <c r="G8" s="408">
        <f>IF(D8&gt;0,D8+G7,C8+G7)</f>
        <v>151417435.55684999</v>
      </c>
      <c r="H8" s="44">
        <f t="shared" si="0"/>
        <v>6.8499743938446045E-3</v>
      </c>
      <c r="I8" s="124">
        <f t="shared" si="1"/>
        <v>4.5239006780515495E-11</v>
      </c>
      <c r="J8" s="674">
        <f t="shared" si="2"/>
        <v>0.12602380495162291</v>
      </c>
    </row>
    <row r="9" spans="1:10" ht="12.75" customHeight="1" x14ac:dyDescent="0.25">
      <c r="A9" s="39" t="s">
        <v>908</v>
      </c>
      <c r="B9" s="748">
        <v>59349467.811999999</v>
      </c>
      <c r="C9" s="753">
        <v>69111701.558171481</v>
      </c>
      <c r="D9" s="733">
        <v>85314622.257499993</v>
      </c>
      <c r="E9" s="733">
        <v>85425681.670000002</v>
      </c>
      <c r="F9" s="408">
        <f t="shared" si="3"/>
        <v>236843117.22000003</v>
      </c>
      <c r="G9" s="408">
        <f t="shared" ref="G9:G17" si="4">IF(D9&gt;0,D9+G8,C9+G8)</f>
        <v>236732057.81434998</v>
      </c>
      <c r="H9" s="44">
        <f t="shared" si="0"/>
        <v>-111059.40565004945</v>
      </c>
      <c r="I9" s="124">
        <f t="shared" si="1"/>
        <v>-4.6913547187235816E-4</v>
      </c>
      <c r="J9" s="674">
        <f t="shared" si="2"/>
        <v>0.19712307701058304</v>
      </c>
    </row>
    <row r="10" spans="1:10" ht="12.75" customHeight="1" x14ac:dyDescent="0.25">
      <c r="A10" s="39" t="s">
        <v>909</v>
      </c>
      <c r="B10" s="748">
        <v>127966561.36250001</v>
      </c>
      <c r="C10" s="753">
        <v>69234670.496426389</v>
      </c>
      <c r="D10" s="733">
        <v>48292769.820000008</v>
      </c>
      <c r="E10" s="733">
        <v>48292769.810000002</v>
      </c>
      <c r="F10" s="408">
        <f t="shared" si="3"/>
        <v>285135887.03000003</v>
      </c>
      <c r="G10" s="408">
        <f t="shared" si="4"/>
        <v>285024827.63435</v>
      </c>
      <c r="H10" s="44">
        <f t="shared" si="0"/>
        <v>-111059.39565002918</v>
      </c>
      <c r="I10" s="124">
        <f t="shared" si="1"/>
        <v>-3.8964814599415891E-4</v>
      </c>
      <c r="J10" s="674">
        <f t="shared" si="2"/>
        <v>0.23731685377745593</v>
      </c>
    </row>
    <row r="11" spans="1:10" ht="12.75" customHeight="1" x14ac:dyDescent="0.25">
      <c r="A11" s="39" t="s">
        <v>910</v>
      </c>
      <c r="B11" s="748">
        <v>139558296.7895</v>
      </c>
      <c r="C11" s="753">
        <v>78739947.960586146</v>
      </c>
      <c r="D11" s="733">
        <v>95953914.122500002</v>
      </c>
      <c r="E11" s="733">
        <v>95978639.30250001</v>
      </c>
      <c r="F11" s="408">
        <f t="shared" si="3"/>
        <v>381114526.33250004</v>
      </c>
      <c r="G11" s="408">
        <f t="shared" si="4"/>
        <v>380978741.75685</v>
      </c>
      <c r="H11" s="44">
        <f t="shared" si="0"/>
        <v>-135784.57565003633</v>
      </c>
      <c r="I11" s="124">
        <f t="shared" si="1"/>
        <v>-3.5640984854923318E-4</v>
      </c>
      <c r="J11" s="674">
        <f t="shared" si="2"/>
        <v>0.31719928789110402</v>
      </c>
    </row>
    <row r="12" spans="1:10" ht="12.75" customHeight="1" x14ac:dyDescent="0.25">
      <c r="A12" s="39" t="s">
        <v>911</v>
      </c>
      <c r="B12" s="748">
        <v>49120173.272500001</v>
      </c>
      <c r="C12" s="753">
        <v>78780743.314509556</v>
      </c>
      <c r="D12" s="733">
        <v>78780754.377229705</v>
      </c>
      <c r="E12" s="733">
        <v>6570769.858</v>
      </c>
      <c r="F12" s="408">
        <f t="shared" si="3"/>
        <v>387685296.19050002</v>
      </c>
      <c r="G12" s="408">
        <f t="shared" si="4"/>
        <v>459759496.13407969</v>
      </c>
      <c r="H12" s="44">
        <f t="shared" si="0"/>
        <v>72074199.943579674</v>
      </c>
      <c r="I12" s="124">
        <f t="shared" si="1"/>
        <v>0.15676500550748965</v>
      </c>
      <c r="J12" s="674">
        <f t="shared" si="2"/>
        <v>0.32266809943158975</v>
      </c>
    </row>
    <row r="13" spans="1:10" ht="12.75" customHeight="1" x14ac:dyDescent="0.25">
      <c r="A13" s="39" t="s">
        <v>912</v>
      </c>
      <c r="B13" s="748">
        <v>85478228.192000002</v>
      </c>
      <c r="C13" s="753">
        <v>78780743.314509556</v>
      </c>
      <c r="D13" s="733">
        <v>78780743.314509556</v>
      </c>
      <c r="E13" s="733">
        <v>40968693.029000007</v>
      </c>
      <c r="F13" s="408">
        <f t="shared" si="3"/>
        <v>428653989.21950001</v>
      </c>
      <c r="G13" s="408">
        <f t="shared" si="4"/>
        <v>538540239.44858921</v>
      </c>
      <c r="H13" s="44">
        <f t="shared" si="0"/>
        <v>109886250.2290892</v>
      </c>
      <c r="I13" s="124">
        <f t="shared" si="1"/>
        <v>0.20404464175527834</v>
      </c>
      <c r="J13" s="674">
        <f t="shared" si="2"/>
        <v>0.35676609191611247</v>
      </c>
    </row>
    <row r="14" spans="1:10" ht="12.75" customHeight="1" x14ac:dyDescent="0.25">
      <c r="A14" s="39" t="s">
        <v>913</v>
      </c>
      <c r="B14" s="748">
        <v>73737271.0035</v>
      </c>
      <c r="C14" s="753">
        <v>118994885.38277544</v>
      </c>
      <c r="D14" s="733">
        <v>118994902.98235315</v>
      </c>
      <c r="E14" s="733">
        <v>62477125.801999971</v>
      </c>
      <c r="F14" s="408">
        <f t="shared" si="3"/>
        <v>491131115.02149999</v>
      </c>
      <c r="G14" s="408">
        <f t="shared" si="4"/>
        <v>657535142.4309423</v>
      </c>
      <c r="H14" s="44">
        <f t="shared" si="0"/>
        <v>166404027.40944231</v>
      </c>
      <c r="I14" s="124">
        <f t="shared" si="1"/>
        <v>0.25307244688738278</v>
      </c>
      <c r="J14" s="674">
        <f t="shared" si="2"/>
        <v>0.40876542136856042</v>
      </c>
    </row>
    <row r="15" spans="1:10" ht="12.75" customHeight="1" x14ac:dyDescent="0.25">
      <c r="A15" s="39" t="s">
        <v>914</v>
      </c>
      <c r="B15" s="748">
        <v>118845502.65249999</v>
      </c>
      <c r="C15" s="753">
        <v>135539662.90466559</v>
      </c>
      <c r="D15" s="733">
        <v>105539683.13322848</v>
      </c>
      <c r="E15" s="733">
        <v>111884524.236</v>
      </c>
      <c r="F15" s="408">
        <f t="shared" si="3"/>
        <v>603015639.25749993</v>
      </c>
      <c r="G15" s="408">
        <f t="shared" si="4"/>
        <v>763074825.56417084</v>
      </c>
      <c r="H15" s="44">
        <f t="shared" si="0"/>
        <v>160059186.3066709</v>
      </c>
      <c r="I15" s="124">
        <f t="shared" si="1"/>
        <v>0.20975555862209572</v>
      </c>
      <c r="J15" s="675">
        <f t="shared" si="2"/>
        <v>0.50188622617024226</v>
      </c>
    </row>
    <row r="16" spans="1:10" ht="12.75" customHeight="1" x14ac:dyDescent="0.25">
      <c r="A16" s="39" t="s">
        <v>915</v>
      </c>
      <c r="B16" s="748">
        <v>56523169.679500006</v>
      </c>
      <c r="C16" s="753">
        <v>177230590.98495978</v>
      </c>
      <c r="D16" s="733">
        <v>127230617.56745179</v>
      </c>
      <c r="E16" s="733"/>
      <c r="F16" s="408" t="str">
        <f t="shared" si="3"/>
        <v/>
      </c>
      <c r="G16" s="408">
        <f t="shared" si="4"/>
        <v>890305443.13162267</v>
      </c>
      <c r="H16" s="44">
        <f t="shared" si="0"/>
        <v>0</v>
      </c>
      <c r="I16" s="124" t="str">
        <f t="shared" si="1"/>
        <v/>
      </c>
      <c r="J16" s="675" t="str">
        <f t="shared" si="2"/>
        <v/>
      </c>
    </row>
    <row r="17" spans="1:10" ht="12.75" customHeight="1" x14ac:dyDescent="0.25">
      <c r="A17" s="247" t="s">
        <v>916</v>
      </c>
      <c r="B17" s="749">
        <f>448493726.041+9950848.13</f>
        <v>458444574.171</v>
      </c>
      <c r="C17" s="757">
        <v>288331735.38358885</v>
      </c>
      <c r="D17" s="751">
        <v>149575587.22984177</v>
      </c>
      <c r="E17" s="751"/>
      <c r="F17" s="409" t="str">
        <f t="shared" si="3"/>
        <v/>
      </c>
      <c r="G17" s="409">
        <f t="shared" si="4"/>
        <v>1039881030.3614645</v>
      </c>
      <c r="H17" s="99">
        <f>IF(F17="",0,G17-F17)</f>
        <v>0</v>
      </c>
      <c r="I17" s="324" t="str">
        <f>IF(F17="","",IF(H17=0,"",H17/G17))</f>
        <v/>
      </c>
      <c r="J17" s="676" t="str">
        <f>IF(F17="","",F17/$C$18)</f>
        <v/>
      </c>
    </row>
    <row r="18" spans="1:10" ht="12.75" customHeight="1" x14ac:dyDescent="0.25">
      <c r="A18" s="94" t="s">
        <v>567</v>
      </c>
      <c r="B18" s="244">
        <f>SUM(B6:B17)</f>
        <v>1361706767.3540001</v>
      </c>
      <c r="C18" s="265">
        <f>SUM(C6:C17)</f>
        <v>1201498682</v>
      </c>
      <c r="D18" s="76">
        <f>SUM(D6:D17)</f>
        <v>1039881030.3614645</v>
      </c>
      <c r="E18" s="76">
        <f>SUM(E6:E17)</f>
        <v>603015639.25749993</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"&amp;S71Sa&amp; " - "&amp;Head57</f>
        <v>LIM354 Polokwane - Supporting Table SC13a Monthly Budget Statement - capital expenditure on new assets by asset class - M10 April</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881</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707118182.86783314</v>
      </c>
      <c r="D7" s="602">
        <f t="shared" si="0"/>
        <v>654467641</v>
      </c>
      <c r="E7" s="102">
        <f t="shared" si="0"/>
        <v>504481939</v>
      </c>
      <c r="F7" s="102">
        <f t="shared" si="0"/>
        <v>35030027.122499995</v>
      </c>
      <c r="G7" s="102">
        <f t="shared" si="0"/>
        <v>315453287.62949997</v>
      </c>
      <c r="H7" s="102">
        <f t="shared" si="0"/>
        <v>420401615.83333331</v>
      </c>
      <c r="I7" s="101">
        <f t="shared" ref="I7:I37" si="1">H7-G7</f>
        <v>104948328.20383334</v>
      </c>
      <c r="J7" s="579">
        <f t="shared" ref="J7:J37" si="2">IF(I7=0,"",I7/H7)</f>
        <v>0.24963826077547646</v>
      </c>
      <c r="K7" s="603">
        <f>K8+K13+K17+K27+K38+K45+K53+K63+K69</f>
        <v>504481939</v>
      </c>
    </row>
    <row r="8" spans="1:11" ht="12.75" customHeight="1" x14ac:dyDescent="0.25">
      <c r="A8" s="518" t="s">
        <v>1208</v>
      </c>
      <c r="B8" s="169"/>
      <c r="C8" s="677">
        <f t="shared" ref="C8:H8" si="3">SUM(C9:C12)</f>
        <v>58292761.274499878</v>
      </c>
      <c r="D8" s="609">
        <f t="shared" si="3"/>
        <v>263079442</v>
      </c>
      <c r="E8" s="608">
        <f t="shared" si="3"/>
        <v>103136752</v>
      </c>
      <c r="F8" s="608">
        <f t="shared" si="3"/>
        <v>8287440.8219999988</v>
      </c>
      <c r="G8" s="608">
        <f t="shared" si="3"/>
        <v>43936248.800999999</v>
      </c>
      <c r="H8" s="608">
        <f t="shared" si="3"/>
        <v>85947293.333333343</v>
      </c>
      <c r="I8" s="258">
        <f t="shared" si="1"/>
        <v>42011044.532333344</v>
      </c>
      <c r="J8" s="575">
        <f t="shared" si="2"/>
        <v>0.48880008785616991</v>
      </c>
      <c r="K8" s="610">
        <f>SUM(K9:K12)</f>
        <v>103136752</v>
      </c>
    </row>
    <row r="9" spans="1:11" ht="12.75" customHeight="1" x14ac:dyDescent="0.25">
      <c r="A9" s="574" t="s">
        <v>168</v>
      </c>
      <c r="B9" s="169"/>
      <c r="C9" s="748">
        <v>58292761.274499878</v>
      </c>
      <c r="D9" s="745">
        <v>263079442</v>
      </c>
      <c r="E9" s="733">
        <v>103136752</v>
      </c>
      <c r="F9" s="733">
        <v>8287440.8219999988</v>
      </c>
      <c r="G9" s="733">
        <v>43936248.800999999</v>
      </c>
      <c r="H9" s="733">
        <f>E9/12*10</f>
        <v>85947293.333333343</v>
      </c>
      <c r="I9" s="258">
        <f t="shared" si="1"/>
        <v>42011044.532333344</v>
      </c>
      <c r="J9" s="575">
        <f t="shared" si="2"/>
        <v>0.48880008785616991</v>
      </c>
      <c r="K9" s="735">
        <f>E9</f>
        <v>103136752</v>
      </c>
    </row>
    <row r="10" spans="1:11" ht="12.75" customHeight="1" x14ac:dyDescent="0.25">
      <c r="A10" s="574" t="s">
        <v>1209</v>
      </c>
      <c r="B10" s="169"/>
      <c r="C10" s="748">
        <v>0</v>
      </c>
      <c r="D10" s="745">
        <v>0</v>
      </c>
      <c r="E10" s="733">
        <v>0</v>
      </c>
      <c r="F10" s="733">
        <v>0</v>
      </c>
      <c r="G10" s="733">
        <v>0</v>
      </c>
      <c r="H10" s="733">
        <f>E10/12*10</f>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E11/12*10</f>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E12/12*10</f>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c r="D14" s="745"/>
      <c r="E14" s="733"/>
      <c r="F14" s="733">
        <v>0</v>
      </c>
      <c r="G14" s="733">
        <v>0</v>
      </c>
      <c r="H14" s="733">
        <f>E14/12*10</f>
        <v>0</v>
      </c>
      <c r="I14" s="258">
        <f t="shared" si="1"/>
        <v>0</v>
      </c>
      <c r="J14" s="575" t="str">
        <f t="shared" si="2"/>
        <v/>
      </c>
      <c r="K14" s="735">
        <f>E14</f>
        <v>0</v>
      </c>
    </row>
    <row r="15" spans="1:11" ht="12.75" customHeight="1" x14ac:dyDescent="0.25">
      <c r="A15" s="574" t="s">
        <v>1214</v>
      </c>
      <c r="B15" s="169"/>
      <c r="C15" s="748"/>
      <c r="D15" s="745"/>
      <c r="E15" s="733"/>
      <c r="F15" s="733">
        <v>0</v>
      </c>
      <c r="G15" s="733">
        <v>0</v>
      </c>
      <c r="H15" s="733">
        <f>E15/12*10</f>
        <v>0</v>
      </c>
      <c r="I15" s="258">
        <f t="shared" si="1"/>
        <v>0</v>
      </c>
      <c r="J15" s="575" t="str">
        <f t="shared" si="2"/>
        <v/>
      </c>
      <c r="K15" s="735">
        <f>E15</f>
        <v>0</v>
      </c>
    </row>
    <row r="16" spans="1:11" ht="12.75" customHeight="1" x14ac:dyDescent="0.25">
      <c r="A16" s="574" t="s">
        <v>1215</v>
      </c>
      <c r="B16" s="169"/>
      <c r="C16" s="748"/>
      <c r="D16" s="745"/>
      <c r="E16" s="733"/>
      <c r="F16" s="733">
        <v>0</v>
      </c>
      <c r="G16" s="733">
        <v>0</v>
      </c>
      <c r="H16" s="733">
        <f>E16/12*10</f>
        <v>0</v>
      </c>
      <c r="I16" s="258">
        <f t="shared" si="1"/>
        <v>0</v>
      </c>
      <c r="J16" s="575" t="str">
        <f t="shared" si="2"/>
        <v/>
      </c>
      <c r="K16" s="735">
        <f>E16</f>
        <v>0</v>
      </c>
    </row>
    <row r="17" spans="1:11" ht="12.75" customHeight="1" x14ac:dyDescent="0.25">
      <c r="A17" s="518" t="s">
        <v>1216</v>
      </c>
      <c r="B17" s="169"/>
      <c r="C17" s="648">
        <f t="shared" ref="C17:H17" si="5">SUM(C18:C26)</f>
        <v>27759282.695</v>
      </c>
      <c r="D17" s="649">
        <f t="shared" si="5"/>
        <v>20200867</v>
      </c>
      <c r="E17" s="408">
        <f t="shared" si="5"/>
        <v>65238638</v>
      </c>
      <c r="F17" s="408">
        <f t="shared" si="5"/>
        <v>3713597.5259999996</v>
      </c>
      <c r="G17" s="408">
        <f t="shared" si="5"/>
        <v>22571856.379999999</v>
      </c>
      <c r="H17" s="408">
        <f t="shared" si="5"/>
        <v>54365531.666666672</v>
      </c>
      <c r="I17" s="258">
        <f t="shared" si="1"/>
        <v>31793675.286666673</v>
      </c>
      <c r="J17" s="575">
        <f t="shared" si="2"/>
        <v>0.58481310330237124</v>
      </c>
      <c r="K17" s="642">
        <f>SUM(K18:K26)</f>
        <v>65238638</v>
      </c>
    </row>
    <row r="18" spans="1:11" ht="12.75" customHeight="1" x14ac:dyDescent="0.25">
      <c r="A18" s="574" t="s">
        <v>1217</v>
      </c>
      <c r="B18" s="169"/>
      <c r="C18" s="748">
        <v>0</v>
      </c>
      <c r="D18" s="745">
        <v>0</v>
      </c>
      <c r="E18" s="733">
        <v>0</v>
      </c>
      <c r="F18" s="733">
        <v>0</v>
      </c>
      <c r="G18" s="733">
        <v>0</v>
      </c>
      <c r="H18" s="733">
        <f t="shared" ref="H18:H26" si="6">E18/12*10</f>
        <v>0</v>
      </c>
      <c r="I18" s="258">
        <f t="shared" si="1"/>
        <v>0</v>
      </c>
      <c r="J18" s="575" t="str">
        <f t="shared" si="2"/>
        <v/>
      </c>
      <c r="K18" s="735">
        <f t="shared" ref="K18:K25" si="7">E18</f>
        <v>0</v>
      </c>
    </row>
    <row r="19" spans="1:11" ht="12.75" customHeight="1" x14ac:dyDescent="0.25">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5">
      <c r="A20" s="574" t="s">
        <v>1219</v>
      </c>
      <c r="B20" s="169"/>
      <c r="C20" s="748">
        <v>0</v>
      </c>
      <c r="D20" s="745">
        <v>19900867</v>
      </c>
      <c r="E20" s="733">
        <v>0</v>
      </c>
      <c r="F20" s="733">
        <v>0</v>
      </c>
      <c r="G20" s="733">
        <v>0</v>
      </c>
      <c r="H20" s="733">
        <f t="shared" si="6"/>
        <v>0</v>
      </c>
      <c r="I20" s="258">
        <f t="shared" si="1"/>
        <v>0</v>
      </c>
      <c r="J20" s="575" t="str">
        <f t="shared" si="2"/>
        <v/>
      </c>
      <c r="K20" s="735">
        <f t="shared" si="7"/>
        <v>0</v>
      </c>
    </row>
    <row r="21" spans="1:11" ht="12.75" customHeight="1" x14ac:dyDescent="0.25">
      <c r="A21" s="574" t="s">
        <v>1220</v>
      </c>
      <c r="B21" s="169"/>
      <c r="C21" s="748">
        <f>29197708.615-1438425.92</f>
        <v>27759282.695</v>
      </c>
      <c r="D21" s="745">
        <v>0</v>
      </c>
      <c r="E21" s="733">
        <v>64938638</v>
      </c>
      <c r="F21" s="733">
        <v>3713597.5259999996</v>
      </c>
      <c r="G21" s="733">
        <v>22571856.379999999</v>
      </c>
      <c r="H21" s="733">
        <f>E21/12*10</f>
        <v>54115531.666666672</v>
      </c>
      <c r="I21" s="258">
        <f t="shared" si="1"/>
        <v>31543675.286666673</v>
      </c>
      <c r="J21" s="575">
        <f t="shared" si="2"/>
        <v>0.582895045381149</v>
      </c>
      <c r="K21" s="735">
        <f t="shared" si="7"/>
        <v>64938638</v>
      </c>
    </row>
    <row r="22" spans="1:11" ht="12.75" customHeight="1" x14ac:dyDescent="0.25">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5">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5">
      <c r="A24" s="574" t="s">
        <v>1223</v>
      </c>
      <c r="B24" s="169"/>
      <c r="C24" s="748">
        <v>0</v>
      </c>
      <c r="D24" s="745">
        <v>300000</v>
      </c>
      <c r="E24" s="733">
        <v>300000</v>
      </c>
      <c r="F24" s="733">
        <v>0</v>
      </c>
      <c r="G24" s="733">
        <v>0</v>
      </c>
      <c r="H24" s="733">
        <f t="shared" si="6"/>
        <v>250000</v>
      </c>
      <c r="I24" s="258">
        <f t="shared" si="1"/>
        <v>250000</v>
      </c>
      <c r="J24" s="575">
        <f t="shared" si="2"/>
        <v>1</v>
      </c>
      <c r="K24" s="735">
        <f t="shared" si="7"/>
        <v>300000</v>
      </c>
    </row>
    <row r="25" spans="1:11" ht="12.75" customHeight="1" x14ac:dyDescent="0.25">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5">
      <c r="A26" s="574" t="s">
        <v>1211</v>
      </c>
      <c r="B26" s="169"/>
      <c r="C26" s="748">
        <v>0</v>
      </c>
      <c r="D26" s="745">
        <v>0</v>
      </c>
      <c r="E26" s="733">
        <v>0</v>
      </c>
      <c r="F26" s="733">
        <v>0</v>
      </c>
      <c r="G26" s="733">
        <v>0</v>
      </c>
      <c r="H26" s="733">
        <f t="shared" si="6"/>
        <v>0</v>
      </c>
      <c r="I26" s="258">
        <f t="shared" si="1"/>
        <v>0</v>
      </c>
      <c r="J26" s="575" t="str">
        <f t="shared" si="2"/>
        <v/>
      </c>
      <c r="K26" s="735"/>
    </row>
    <row r="27" spans="1:11" ht="12.75" customHeight="1" x14ac:dyDescent="0.25">
      <c r="A27" s="517" t="s">
        <v>1225</v>
      </c>
      <c r="B27" s="169"/>
      <c r="C27" s="648">
        <f t="shared" ref="C27:H27" si="8">SUM(C28:C37)</f>
        <v>316109601.14599997</v>
      </c>
      <c r="D27" s="649">
        <f t="shared" si="8"/>
        <v>230087332</v>
      </c>
      <c r="E27" s="408">
        <f t="shared" si="8"/>
        <v>236383463</v>
      </c>
      <c r="F27" s="408">
        <f t="shared" si="8"/>
        <v>23028988.774499997</v>
      </c>
      <c r="G27" s="408">
        <f t="shared" si="8"/>
        <v>174633422.35549998</v>
      </c>
      <c r="H27" s="408">
        <f t="shared" si="8"/>
        <v>196986219.16666666</v>
      </c>
      <c r="I27" s="258">
        <f t="shared" si="1"/>
        <v>22352796.811166674</v>
      </c>
      <c r="J27" s="575">
        <f t="shared" si="2"/>
        <v>0.11347391155446442</v>
      </c>
      <c r="K27" s="642">
        <f>SUM(K28:K37)</f>
        <v>236383463</v>
      </c>
    </row>
    <row r="28" spans="1:11" ht="12.75" customHeight="1" x14ac:dyDescent="0.25">
      <c r="A28" s="574" t="s">
        <v>1226</v>
      </c>
      <c r="B28" s="169"/>
      <c r="C28" s="748">
        <v>0</v>
      </c>
      <c r="D28" s="745">
        <v>0</v>
      </c>
      <c r="E28" s="733">
        <v>0</v>
      </c>
      <c r="F28" s="733">
        <v>0</v>
      </c>
      <c r="G28" s="733">
        <v>0</v>
      </c>
      <c r="H28" s="733">
        <f t="shared" ref="H28:H37" si="9">E28/12*10</f>
        <v>0</v>
      </c>
      <c r="I28" s="258">
        <f t="shared" si="1"/>
        <v>0</v>
      </c>
      <c r="J28" s="575" t="str">
        <f t="shared" si="2"/>
        <v/>
      </c>
      <c r="K28" s="735">
        <f t="shared" ref="K28:K35" si="10">E28</f>
        <v>0</v>
      </c>
    </row>
    <row r="29" spans="1:11" ht="12.75" customHeight="1" x14ac:dyDescent="0.25">
      <c r="A29" s="574" t="s">
        <v>1227</v>
      </c>
      <c r="B29" s="169"/>
      <c r="C29" s="748">
        <v>0</v>
      </c>
      <c r="D29" s="745">
        <v>0</v>
      </c>
      <c r="E29" s="733">
        <v>112307170</v>
      </c>
      <c r="F29" s="733">
        <v>0</v>
      </c>
      <c r="G29" s="733">
        <v>0</v>
      </c>
      <c r="H29" s="733">
        <f t="shared" si="9"/>
        <v>93589308.333333343</v>
      </c>
      <c r="I29" s="258">
        <f t="shared" si="1"/>
        <v>93589308.333333343</v>
      </c>
      <c r="J29" s="575">
        <f t="shared" si="2"/>
        <v>1</v>
      </c>
      <c r="K29" s="735">
        <f t="shared" si="10"/>
        <v>112307170</v>
      </c>
    </row>
    <row r="30" spans="1:11" ht="12.75" customHeight="1" x14ac:dyDescent="0.25">
      <c r="A30" s="574" t="s">
        <v>1228</v>
      </c>
      <c r="B30" s="169"/>
      <c r="C30" s="748">
        <v>0</v>
      </c>
      <c r="D30" s="745">
        <v>0</v>
      </c>
      <c r="E30" s="733">
        <v>5000000</v>
      </c>
      <c r="F30" s="733">
        <v>0</v>
      </c>
      <c r="G30" s="733">
        <v>0</v>
      </c>
      <c r="H30" s="733">
        <f t="shared" si="9"/>
        <v>4166666.666666667</v>
      </c>
      <c r="I30" s="258">
        <f t="shared" si="1"/>
        <v>4166666.666666667</v>
      </c>
      <c r="J30" s="575">
        <f t="shared" si="2"/>
        <v>1</v>
      </c>
      <c r="K30" s="735">
        <f t="shared" si="10"/>
        <v>5000000</v>
      </c>
    </row>
    <row r="31" spans="1:11" ht="12.75" customHeight="1" x14ac:dyDescent="0.25">
      <c r="A31" s="574" t="s">
        <v>1229</v>
      </c>
      <c r="B31" s="169"/>
      <c r="C31" s="748">
        <v>0</v>
      </c>
      <c r="D31" s="745">
        <v>0</v>
      </c>
      <c r="E31" s="733">
        <v>0</v>
      </c>
      <c r="F31" s="733">
        <v>0</v>
      </c>
      <c r="G31" s="733">
        <v>0</v>
      </c>
      <c r="H31" s="733">
        <f t="shared" si="9"/>
        <v>0</v>
      </c>
      <c r="I31" s="258">
        <f t="shared" si="1"/>
        <v>0</v>
      </c>
      <c r="J31" s="575" t="str">
        <f t="shared" si="2"/>
        <v/>
      </c>
      <c r="K31" s="735">
        <f t="shared" si="10"/>
        <v>0</v>
      </c>
    </row>
    <row r="32" spans="1:11" ht="12.75" customHeight="1" x14ac:dyDescent="0.25">
      <c r="A32" s="574" t="s">
        <v>1230</v>
      </c>
      <c r="B32" s="169"/>
      <c r="C32" s="748">
        <v>0</v>
      </c>
      <c r="D32" s="745">
        <v>0</v>
      </c>
      <c r="E32" s="733">
        <v>0</v>
      </c>
      <c r="F32" s="733">
        <v>0</v>
      </c>
      <c r="G32" s="733">
        <v>0</v>
      </c>
      <c r="H32" s="733">
        <f t="shared" si="9"/>
        <v>0</v>
      </c>
      <c r="I32" s="258">
        <f t="shared" si="1"/>
        <v>0</v>
      </c>
      <c r="J32" s="575" t="str">
        <f t="shared" si="2"/>
        <v/>
      </c>
      <c r="K32" s="735">
        <f t="shared" si="10"/>
        <v>0</v>
      </c>
    </row>
    <row r="33" spans="1:11" ht="12.75" customHeight="1" x14ac:dyDescent="0.25">
      <c r="A33" s="574" t="s">
        <v>1231</v>
      </c>
      <c r="B33" s="169"/>
      <c r="C33" s="748">
        <v>44803243.311499976</v>
      </c>
      <c r="D33" s="745">
        <v>93600000</v>
      </c>
      <c r="E33" s="733">
        <v>80252496</v>
      </c>
      <c r="F33" s="733">
        <v>18421176.789999999</v>
      </c>
      <c r="G33" s="733">
        <v>159097883.37099999</v>
      </c>
      <c r="H33" s="733">
        <f t="shared" si="9"/>
        <v>66877080</v>
      </c>
      <c r="I33" s="258">
        <f t="shared" si="1"/>
        <v>-92220803.370999992</v>
      </c>
      <c r="J33" s="575">
        <f t="shared" si="2"/>
        <v>-1.3789597777145772</v>
      </c>
      <c r="K33" s="735">
        <f t="shared" si="10"/>
        <v>80252496</v>
      </c>
    </row>
    <row r="34" spans="1:11" ht="12.75" customHeight="1" x14ac:dyDescent="0.25">
      <c r="A34" s="574" t="s">
        <v>1232</v>
      </c>
      <c r="B34" s="169"/>
      <c r="C34" s="748">
        <v>0</v>
      </c>
      <c r="D34" s="745">
        <v>136487332</v>
      </c>
      <c r="E34" s="733">
        <v>38823797</v>
      </c>
      <c r="F34" s="733">
        <v>4607811.9845000003</v>
      </c>
      <c r="G34" s="733">
        <v>15535538.9845</v>
      </c>
      <c r="H34" s="733">
        <f t="shared" si="9"/>
        <v>32353164.166666664</v>
      </c>
      <c r="I34" s="258">
        <f t="shared" si="1"/>
        <v>16817625.182166666</v>
      </c>
      <c r="J34" s="575">
        <f t="shared" si="2"/>
        <v>0.5198139228525227</v>
      </c>
      <c r="K34" s="735">
        <f t="shared" si="10"/>
        <v>38823797</v>
      </c>
    </row>
    <row r="35" spans="1:11" ht="12.75" customHeight="1" x14ac:dyDescent="0.25">
      <c r="A35" s="574" t="s">
        <v>1233</v>
      </c>
      <c r="B35" s="169"/>
      <c r="C35" s="748">
        <v>271306357.83450001</v>
      </c>
      <c r="D35" s="745">
        <v>0</v>
      </c>
      <c r="E35" s="733">
        <v>0</v>
      </c>
      <c r="F35" s="733">
        <v>0</v>
      </c>
      <c r="G35" s="733">
        <v>0</v>
      </c>
      <c r="H35" s="733">
        <f t="shared" si="9"/>
        <v>0</v>
      </c>
      <c r="I35" s="258">
        <f t="shared" si="1"/>
        <v>0</v>
      </c>
      <c r="J35" s="575" t="str">
        <f t="shared" si="2"/>
        <v/>
      </c>
      <c r="K35" s="735">
        <f t="shared" si="10"/>
        <v>0</v>
      </c>
    </row>
    <row r="36" spans="1:11" ht="12.75" customHeight="1" x14ac:dyDescent="0.25">
      <c r="A36" s="574" t="s">
        <v>1234</v>
      </c>
      <c r="B36" s="169"/>
      <c r="C36" s="748">
        <v>0</v>
      </c>
      <c r="D36" s="745">
        <v>0</v>
      </c>
      <c r="E36" s="733">
        <v>0</v>
      </c>
      <c r="F36" s="733">
        <v>0</v>
      </c>
      <c r="G36" s="733">
        <v>0</v>
      </c>
      <c r="H36" s="733">
        <f t="shared" si="9"/>
        <v>0</v>
      </c>
      <c r="I36" s="258">
        <f t="shared" si="1"/>
        <v>0</v>
      </c>
      <c r="J36" s="575" t="str">
        <f t="shared" si="2"/>
        <v/>
      </c>
      <c r="K36" s="735"/>
    </row>
    <row r="37" spans="1:11" ht="12.75" customHeight="1" x14ac:dyDescent="0.25">
      <c r="A37" s="574" t="s">
        <v>1211</v>
      </c>
      <c r="B37" s="169"/>
      <c r="C37" s="748">
        <v>0</v>
      </c>
      <c r="D37" s="745">
        <v>0</v>
      </c>
      <c r="E37" s="733">
        <v>0</v>
      </c>
      <c r="F37" s="733">
        <v>0</v>
      </c>
      <c r="G37" s="733">
        <v>0</v>
      </c>
      <c r="H37" s="733">
        <f t="shared" si="9"/>
        <v>0</v>
      </c>
      <c r="I37" s="258">
        <f t="shared" si="1"/>
        <v>0</v>
      </c>
      <c r="J37" s="575" t="str">
        <f t="shared" si="2"/>
        <v/>
      </c>
      <c r="K37" s="735"/>
    </row>
    <row r="38" spans="1:11" ht="12.75" customHeight="1" x14ac:dyDescent="0.25">
      <c r="A38" s="517" t="s">
        <v>1235</v>
      </c>
      <c r="B38" s="169"/>
      <c r="C38" s="648">
        <f t="shared" ref="C38:H38" si="11">SUM(C39:C44)</f>
        <v>301997300.75833333</v>
      </c>
      <c r="D38" s="649">
        <f t="shared" si="11"/>
        <v>132000000</v>
      </c>
      <c r="E38" s="408">
        <f t="shared" si="11"/>
        <v>93000000</v>
      </c>
      <c r="F38" s="408">
        <f t="shared" si="11"/>
        <v>0</v>
      </c>
      <c r="G38" s="408">
        <f t="shared" si="11"/>
        <v>72057126.362499997</v>
      </c>
      <c r="H38" s="408">
        <f t="shared" si="11"/>
        <v>77500000</v>
      </c>
      <c r="I38" s="258">
        <f t="shared" ref="I38:I44" si="12">H38-G38</f>
        <v>5442873.637500003</v>
      </c>
      <c r="J38" s="575">
        <f t="shared" ref="J38:J44" si="13">IF(I38=0,"",I38/H38)</f>
        <v>7.0230627580645202E-2</v>
      </c>
      <c r="K38" s="642">
        <f>SUM(K39:K44)</f>
        <v>93000000</v>
      </c>
    </row>
    <row r="39" spans="1:11" ht="12.75" customHeight="1" x14ac:dyDescent="0.25">
      <c r="A39" s="574" t="s">
        <v>1236</v>
      </c>
      <c r="B39" s="169"/>
      <c r="C39" s="748">
        <v>0</v>
      </c>
      <c r="D39" s="745">
        <v>0</v>
      </c>
      <c r="E39" s="733">
        <v>0</v>
      </c>
      <c r="F39" s="733">
        <v>0</v>
      </c>
      <c r="G39" s="733">
        <v>0</v>
      </c>
      <c r="H39" s="733">
        <f t="shared" ref="H39:H44" si="14">E39/12*10</f>
        <v>0</v>
      </c>
      <c r="I39" s="258">
        <f t="shared" si="12"/>
        <v>0</v>
      </c>
      <c r="J39" s="575" t="str">
        <f t="shared" si="13"/>
        <v/>
      </c>
      <c r="K39" s="735">
        <f t="shared" ref="K39:K44" si="15">E39</f>
        <v>0</v>
      </c>
    </row>
    <row r="40" spans="1:11" ht="12.75" customHeight="1" x14ac:dyDescent="0.25">
      <c r="A40" s="574" t="s">
        <v>135</v>
      </c>
      <c r="B40" s="169"/>
      <c r="C40" s="748">
        <v>0</v>
      </c>
      <c r="D40" s="745">
        <v>0</v>
      </c>
      <c r="E40" s="733">
        <v>0</v>
      </c>
      <c r="F40" s="733">
        <v>0</v>
      </c>
      <c r="G40" s="733">
        <v>0</v>
      </c>
      <c r="H40" s="733">
        <f t="shared" si="14"/>
        <v>0</v>
      </c>
      <c r="I40" s="258">
        <f>H40-G40</f>
        <v>0</v>
      </c>
      <c r="J40" s="575" t="str">
        <f>IF(I40=0,"",I40/H40)</f>
        <v/>
      </c>
      <c r="K40" s="735">
        <f t="shared" si="15"/>
        <v>0</v>
      </c>
    </row>
    <row r="41" spans="1:11" ht="12.75" customHeight="1" x14ac:dyDescent="0.25">
      <c r="A41" s="574" t="s">
        <v>1237</v>
      </c>
      <c r="B41" s="169"/>
      <c r="C41" s="748">
        <v>301997300.75833333</v>
      </c>
      <c r="D41" s="745">
        <v>130000000</v>
      </c>
      <c r="E41" s="733">
        <v>93000000</v>
      </c>
      <c r="F41" s="733">
        <v>0</v>
      </c>
      <c r="G41" s="733">
        <v>72057126.362499997</v>
      </c>
      <c r="H41" s="733">
        <f t="shared" si="14"/>
        <v>77500000</v>
      </c>
      <c r="I41" s="258">
        <f>H41-G41</f>
        <v>5442873.637500003</v>
      </c>
      <c r="J41" s="575">
        <f>IF(I41=0,"",I41/H41)</f>
        <v>7.0230627580645202E-2</v>
      </c>
      <c r="K41" s="735">
        <f t="shared" si="15"/>
        <v>93000000</v>
      </c>
    </row>
    <row r="42" spans="1:11" ht="12.75" customHeight="1" x14ac:dyDescent="0.25">
      <c r="A42" s="574" t="s">
        <v>1238</v>
      </c>
      <c r="B42" s="169"/>
      <c r="C42" s="748">
        <v>0</v>
      </c>
      <c r="D42" s="745">
        <v>0</v>
      </c>
      <c r="E42" s="733">
        <v>0</v>
      </c>
      <c r="F42" s="733">
        <v>0</v>
      </c>
      <c r="G42" s="733">
        <v>0</v>
      </c>
      <c r="H42" s="733">
        <f t="shared" si="14"/>
        <v>0</v>
      </c>
      <c r="I42" s="258">
        <f>H42-G42</f>
        <v>0</v>
      </c>
      <c r="J42" s="575" t="str">
        <f>IF(I42=0,"",I42/H42)</f>
        <v/>
      </c>
      <c r="K42" s="735">
        <f t="shared" si="15"/>
        <v>0</v>
      </c>
    </row>
    <row r="43" spans="1:11" ht="12.75" customHeight="1" x14ac:dyDescent="0.25">
      <c r="A43" s="574" t="s">
        <v>1239</v>
      </c>
      <c r="B43" s="169"/>
      <c r="C43" s="748"/>
      <c r="D43" s="745">
        <v>0</v>
      </c>
      <c r="E43" s="733">
        <v>0</v>
      </c>
      <c r="F43" s="733">
        <v>0</v>
      </c>
      <c r="G43" s="733">
        <v>0</v>
      </c>
      <c r="H43" s="733">
        <f t="shared" si="14"/>
        <v>0</v>
      </c>
      <c r="I43" s="258">
        <f t="shared" si="12"/>
        <v>0</v>
      </c>
      <c r="J43" s="575" t="str">
        <f t="shared" si="13"/>
        <v/>
      </c>
      <c r="K43" s="735">
        <f t="shared" si="15"/>
        <v>0</v>
      </c>
    </row>
    <row r="44" spans="1:11" ht="12.75" customHeight="1" x14ac:dyDescent="0.25">
      <c r="A44" s="574" t="s">
        <v>1211</v>
      </c>
      <c r="B44" s="169"/>
      <c r="C44" s="748">
        <v>0</v>
      </c>
      <c r="D44" s="745">
        <v>2000000</v>
      </c>
      <c r="E44" s="733">
        <v>0</v>
      </c>
      <c r="F44" s="733">
        <v>0</v>
      </c>
      <c r="G44" s="733">
        <v>0</v>
      </c>
      <c r="H44" s="733">
        <f t="shared" si="14"/>
        <v>0</v>
      </c>
      <c r="I44" s="258">
        <f t="shared" si="12"/>
        <v>0</v>
      </c>
      <c r="J44" s="575" t="str">
        <f t="shared" si="13"/>
        <v/>
      </c>
      <c r="K44" s="735">
        <f t="shared" si="15"/>
        <v>0</v>
      </c>
    </row>
    <row r="45" spans="1:11" ht="12.75" customHeight="1" x14ac:dyDescent="0.25">
      <c r="A45" s="517" t="s">
        <v>1240</v>
      </c>
      <c r="B45" s="169"/>
      <c r="C45" s="648">
        <f t="shared" ref="C45:H45" si="16">SUM(C46:C52)</f>
        <v>2959236.9939999999</v>
      </c>
      <c r="D45" s="649">
        <f t="shared" si="16"/>
        <v>7600000</v>
      </c>
      <c r="E45" s="408">
        <f t="shared" si="16"/>
        <v>5223086</v>
      </c>
      <c r="F45" s="408">
        <f t="shared" si="16"/>
        <v>0</v>
      </c>
      <c r="G45" s="408">
        <f t="shared" si="16"/>
        <v>2254633.7305000001</v>
      </c>
      <c r="H45" s="408">
        <f t="shared" si="16"/>
        <v>4352571.666666667</v>
      </c>
      <c r="I45" s="258">
        <f t="shared" ref="I45:I68" si="17">H45-G45</f>
        <v>2097937.9361666669</v>
      </c>
      <c r="J45" s="575">
        <f t="shared" ref="J45:J68" si="18">IF(I45=0,"",I45/H45)</f>
        <v>0.48199963075469177</v>
      </c>
      <c r="K45" s="642">
        <f>SUM(K46:K52)</f>
        <v>5223086</v>
      </c>
    </row>
    <row r="46" spans="1:11" ht="12.75" customHeight="1" x14ac:dyDescent="0.25">
      <c r="A46" s="574" t="s">
        <v>1241</v>
      </c>
      <c r="B46" s="169"/>
      <c r="C46" s="748">
        <v>0</v>
      </c>
      <c r="D46" s="745">
        <v>2000000</v>
      </c>
      <c r="E46" s="733">
        <v>2200000</v>
      </c>
      <c r="F46" s="733">
        <v>0</v>
      </c>
      <c r="G46" s="733">
        <v>0</v>
      </c>
      <c r="H46" s="733">
        <f t="shared" ref="H46:H52" si="19">E46/12*10</f>
        <v>1833333.3333333335</v>
      </c>
      <c r="I46" s="258">
        <f t="shared" si="17"/>
        <v>1833333.3333333335</v>
      </c>
      <c r="J46" s="575">
        <f t="shared" si="18"/>
        <v>1</v>
      </c>
      <c r="K46" s="735">
        <f t="shared" ref="K46:K52" si="20">E46</f>
        <v>2200000</v>
      </c>
    </row>
    <row r="47" spans="1:11" ht="12.75" customHeight="1" x14ac:dyDescent="0.25">
      <c r="A47" s="574" t="s">
        <v>1242</v>
      </c>
      <c r="B47" s="169"/>
      <c r="C47" s="748">
        <v>2959236.9939999999</v>
      </c>
      <c r="D47" s="745">
        <v>4000000</v>
      </c>
      <c r="E47" s="733">
        <v>1593086</v>
      </c>
      <c r="F47" s="733">
        <v>0</v>
      </c>
      <c r="G47" s="733">
        <v>0</v>
      </c>
      <c r="H47" s="733">
        <f t="shared" si="19"/>
        <v>1327571.6666666665</v>
      </c>
      <c r="I47" s="258">
        <f t="shared" si="17"/>
        <v>1327571.6666666665</v>
      </c>
      <c r="J47" s="575">
        <f t="shared" si="18"/>
        <v>1</v>
      </c>
      <c r="K47" s="735">
        <f t="shared" si="20"/>
        <v>1593086</v>
      </c>
    </row>
    <row r="48" spans="1:11" ht="12.75" customHeight="1" x14ac:dyDescent="0.25">
      <c r="A48" s="574" t="s">
        <v>1243</v>
      </c>
      <c r="B48" s="169"/>
      <c r="C48" s="748">
        <v>0</v>
      </c>
      <c r="D48" s="745">
        <v>0</v>
      </c>
      <c r="E48" s="733">
        <v>0</v>
      </c>
      <c r="F48" s="733">
        <v>0</v>
      </c>
      <c r="G48" s="733">
        <v>0</v>
      </c>
      <c r="H48" s="733">
        <f t="shared" si="19"/>
        <v>0</v>
      </c>
      <c r="I48" s="258">
        <f>H48-G48</f>
        <v>0</v>
      </c>
      <c r="J48" s="575" t="str">
        <f>IF(I48=0,"",I48/H48)</f>
        <v/>
      </c>
      <c r="K48" s="735">
        <f t="shared" si="20"/>
        <v>0</v>
      </c>
    </row>
    <row r="49" spans="1:11" ht="12.75" customHeight="1" x14ac:dyDescent="0.25">
      <c r="A49" s="574" t="s">
        <v>1244</v>
      </c>
      <c r="B49" s="169"/>
      <c r="C49" s="748">
        <v>0</v>
      </c>
      <c r="D49" s="745">
        <v>0</v>
      </c>
      <c r="E49" s="733">
        <v>0</v>
      </c>
      <c r="F49" s="733">
        <v>0</v>
      </c>
      <c r="G49" s="733">
        <v>0</v>
      </c>
      <c r="H49" s="733">
        <f t="shared" si="19"/>
        <v>0</v>
      </c>
      <c r="I49" s="258">
        <f t="shared" si="17"/>
        <v>0</v>
      </c>
      <c r="J49" s="575" t="str">
        <f t="shared" si="18"/>
        <v/>
      </c>
      <c r="K49" s="735">
        <f t="shared" si="20"/>
        <v>0</v>
      </c>
    </row>
    <row r="50" spans="1:11" ht="12.75" customHeight="1" x14ac:dyDescent="0.25">
      <c r="A50" s="574" t="s">
        <v>1245</v>
      </c>
      <c r="B50" s="169"/>
      <c r="C50" s="748">
        <v>0</v>
      </c>
      <c r="D50" s="745">
        <v>0</v>
      </c>
      <c r="E50" s="733">
        <v>0</v>
      </c>
      <c r="F50" s="733">
        <v>0</v>
      </c>
      <c r="G50" s="733">
        <v>0</v>
      </c>
      <c r="H50" s="733">
        <f t="shared" si="19"/>
        <v>0</v>
      </c>
      <c r="I50" s="258">
        <f t="shared" si="17"/>
        <v>0</v>
      </c>
      <c r="J50" s="575" t="str">
        <f t="shared" si="18"/>
        <v/>
      </c>
      <c r="K50" s="735">
        <f t="shared" si="20"/>
        <v>0</v>
      </c>
    </row>
    <row r="51" spans="1:11" ht="12.75" customHeight="1" x14ac:dyDescent="0.25">
      <c r="A51" s="574" t="s">
        <v>1246</v>
      </c>
      <c r="B51" s="169"/>
      <c r="C51" s="748">
        <v>0</v>
      </c>
      <c r="D51" s="745">
        <v>0</v>
      </c>
      <c r="E51" s="733">
        <v>0</v>
      </c>
      <c r="F51" s="733">
        <v>0</v>
      </c>
      <c r="G51" s="733">
        <v>0</v>
      </c>
      <c r="H51" s="733">
        <f t="shared" si="19"/>
        <v>0</v>
      </c>
      <c r="I51" s="258">
        <f t="shared" si="17"/>
        <v>0</v>
      </c>
      <c r="J51" s="575" t="str">
        <f t="shared" si="18"/>
        <v/>
      </c>
      <c r="K51" s="735">
        <f t="shared" si="20"/>
        <v>0</v>
      </c>
    </row>
    <row r="52" spans="1:11" ht="12.75" customHeight="1" x14ac:dyDescent="0.25">
      <c r="A52" s="574" t="s">
        <v>1211</v>
      </c>
      <c r="B52" s="169"/>
      <c r="C52" s="748">
        <v>0</v>
      </c>
      <c r="D52" s="745">
        <v>1600000</v>
      </c>
      <c r="E52" s="733">
        <v>1430000</v>
      </c>
      <c r="F52" s="733">
        <v>0</v>
      </c>
      <c r="G52" s="733">
        <v>2254633.7305000001</v>
      </c>
      <c r="H52" s="733">
        <f t="shared" si="19"/>
        <v>1191666.6666666667</v>
      </c>
      <c r="I52" s="258">
        <f t="shared" si="17"/>
        <v>-1062967.0638333333</v>
      </c>
      <c r="J52" s="575">
        <f t="shared" si="18"/>
        <v>-0.89200033328671324</v>
      </c>
      <c r="K52" s="735">
        <f t="shared" si="20"/>
        <v>1430000</v>
      </c>
    </row>
    <row r="53" spans="1:11" ht="12.75" customHeight="1" x14ac:dyDescent="0.25">
      <c r="A53" s="518" t="s">
        <v>1247</v>
      </c>
      <c r="B53" s="169"/>
      <c r="C53" s="648">
        <f t="shared" ref="C53:H53" si="21">SUM(C54:C62)</f>
        <v>0</v>
      </c>
      <c r="D53" s="649">
        <f t="shared" si="21"/>
        <v>0</v>
      </c>
      <c r="E53" s="408">
        <f t="shared" si="21"/>
        <v>0</v>
      </c>
      <c r="F53" s="408">
        <f t="shared" si="21"/>
        <v>0</v>
      </c>
      <c r="G53" s="408">
        <f t="shared" si="21"/>
        <v>0</v>
      </c>
      <c r="H53" s="408">
        <f t="shared" si="21"/>
        <v>0</v>
      </c>
      <c r="I53" s="258">
        <f t="shared" si="17"/>
        <v>0</v>
      </c>
      <c r="J53" s="575" t="str">
        <f t="shared" si="18"/>
        <v/>
      </c>
      <c r="K53" s="642">
        <f>SUM(K54:K62)</f>
        <v>0</v>
      </c>
    </row>
    <row r="54" spans="1:11" ht="12.75" customHeight="1" x14ac:dyDescent="0.25">
      <c r="A54" s="574" t="s">
        <v>1248</v>
      </c>
      <c r="B54" s="169"/>
      <c r="C54" s="748"/>
      <c r="D54" s="733">
        <v>0</v>
      </c>
      <c r="E54" s="733">
        <v>0</v>
      </c>
      <c r="F54" s="733">
        <v>0</v>
      </c>
      <c r="G54" s="733">
        <v>0</v>
      </c>
      <c r="H54" s="733"/>
      <c r="I54" s="258">
        <f t="shared" si="17"/>
        <v>0</v>
      </c>
      <c r="J54" s="575" t="str">
        <f t="shared" si="18"/>
        <v/>
      </c>
      <c r="K54" s="735">
        <f t="shared" ref="K54:K62" si="22">E54</f>
        <v>0</v>
      </c>
    </row>
    <row r="55" spans="1:11" ht="12.75" customHeight="1" x14ac:dyDescent="0.25">
      <c r="A55" s="574" t="s">
        <v>1249</v>
      </c>
      <c r="B55" s="169"/>
      <c r="C55" s="748"/>
      <c r="D55" s="733">
        <v>0</v>
      </c>
      <c r="E55" s="733">
        <v>0</v>
      </c>
      <c r="F55" s="733">
        <v>0</v>
      </c>
      <c r="G55" s="733">
        <v>0</v>
      </c>
      <c r="H55" s="733">
        <f>E55/12*4</f>
        <v>0</v>
      </c>
      <c r="I55" s="258">
        <f t="shared" si="17"/>
        <v>0</v>
      </c>
      <c r="J55" s="575" t="str">
        <f t="shared" si="18"/>
        <v/>
      </c>
      <c r="K55" s="735">
        <f t="shared" si="22"/>
        <v>0</v>
      </c>
    </row>
    <row r="56" spans="1:11" ht="12.75" customHeight="1" x14ac:dyDescent="0.25">
      <c r="A56" s="574" t="s">
        <v>1250</v>
      </c>
      <c r="B56" s="169"/>
      <c r="C56" s="748"/>
      <c r="D56" s="733">
        <v>0</v>
      </c>
      <c r="E56" s="733">
        <v>0</v>
      </c>
      <c r="F56" s="733">
        <v>0</v>
      </c>
      <c r="G56" s="733">
        <v>0</v>
      </c>
      <c r="H56" s="733">
        <f t="shared" ref="H56:H62" si="23">E56/12*4</f>
        <v>0</v>
      </c>
      <c r="I56" s="258">
        <f t="shared" si="17"/>
        <v>0</v>
      </c>
      <c r="J56" s="575" t="str">
        <f t="shared" si="18"/>
        <v/>
      </c>
      <c r="K56" s="735">
        <f t="shared" si="22"/>
        <v>0</v>
      </c>
    </row>
    <row r="57" spans="1:11" ht="12.75" customHeight="1" x14ac:dyDescent="0.25">
      <c r="A57" s="574" t="s">
        <v>1213</v>
      </c>
      <c r="B57" s="169"/>
      <c r="C57" s="748"/>
      <c r="D57" s="733">
        <v>0</v>
      </c>
      <c r="E57" s="733">
        <v>0</v>
      </c>
      <c r="F57" s="733">
        <v>0</v>
      </c>
      <c r="G57" s="733">
        <v>0</v>
      </c>
      <c r="H57" s="733">
        <f t="shared" si="23"/>
        <v>0</v>
      </c>
      <c r="I57" s="258">
        <f t="shared" si="17"/>
        <v>0</v>
      </c>
      <c r="J57" s="575" t="str">
        <f t="shared" si="18"/>
        <v/>
      </c>
      <c r="K57" s="735">
        <f t="shared" si="22"/>
        <v>0</v>
      </c>
    </row>
    <row r="58" spans="1:11" ht="12.75" customHeight="1" x14ac:dyDescent="0.25">
      <c r="A58" s="574" t="s">
        <v>1214</v>
      </c>
      <c r="B58" s="169"/>
      <c r="C58" s="748"/>
      <c r="D58" s="733">
        <v>0</v>
      </c>
      <c r="E58" s="733">
        <v>0</v>
      </c>
      <c r="F58" s="733">
        <v>0</v>
      </c>
      <c r="G58" s="733">
        <v>0</v>
      </c>
      <c r="H58" s="733">
        <f t="shared" si="23"/>
        <v>0</v>
      </c>
      <c r="I58" s="258">
        <f t="shared" si="17"/>
        <v>0</v>
      </c>
      <c r="J58" s="575" t="str">
        <f t="shared" si="18"/>
        <v/>
      </c>
      <c r="K58" s="735">
        <f t="shared" si="22"/>
        <v>0</v>
      </c>
    </row>
    <row r="59" spans="1:11" ht="12.75" customHeight="1" x14ac:dyDescent="0.25">
      <c r="A59" s="574" t="s">
        <v>1215</v>
      </c>
      <c r="B59" s="169"/>
      <c r="C59" s="748"/>
      <c r="D59" s="733">
        <v>0</v>
      </c>
      <c r="E59" s="733">
        <v>0</v>
      </c>
      <c r="F59" s="733">
        <v>0</v>
      </c>
      <c r="G59" s="733">
        <v>0</v>
      </c>
      <c r="H59" s="733">
        <f t="shared" si="23"/>
        <v>0</v>
      </c>
      <c r="I59" s="258">
        <f t="shared" si="17"/>
        <v>0</v>
      </c>
      <c r="J59" s="575" t="str">
        <f t="shared" si="18"/>
        <v/>
      </c>
      <c r="K59" s="735">
        <f t="shared" si="22"/>
        <v>0</v>
      </c>
    </row>
    <row r="60" spans="1:11" ht="12.75" customHeight="1" x14ac:dyDescent="0.25">
      <c r="A60" s="574" t="s">
        <v>1221</v>
      </c>
      <c r="B60" s="169"/>
      <c r="C60" s="748"/>
      <c r="D60" s="733">
        <v>0</v>
      </c>
      <c r="E60" s="733">
        <v>0</v>
      </c>
      <c r="F60" s="733">
        <v>0</v>
      </c>
      <c r="G60" s="733">
        <v>0</v>
      </c>
      <c r="H60" s="733">
        <f t="shared" si="23"/>
        <v>0</v>
      </c>
      <c r="I60" s="258">
        <f t="shared" si="17"/>
        <v>0</v>
      </c>
      <c r="J60" s="575" t="str">
        <f t="shared" si="18"/>
        <v/>
      </c>
      <c r="K60" s="735">
        <f t="shared" si="22"/>
        <v>0</v>
      </c>
    </row>
    <row r="61" spans="1:11" ht="12.75" customHeight="1" x14ac:dyDescent="0.25">
      <c r="A61" s="574" t="s">
        <v>1224</v>
      </c>
      <c r="B61" s="169"/>
      <c r="C61" s="748"/>
      <c r="D61" s="733">
        <v>0</v>
      </c>
      <c r="E61" s="733">
        <v>0</v>
      </c>
      <c r="F61" s="733">
        <v>0</v>
      </c>
      <c r="G61" s="733">
        <v>0</v>
      </c>
      <c r="H61" s="733">
        <f t="shared" si="23"/>
        <v>0</v>
      </c>
      <c r="I61" s="258">
        <f t="shared" si="17"/>
        <v>0</v>
      </c>
      <c r="J61" s="575" t="str">
        <f t="shared" si="18"/>
        <v/>
      </c>
      <c r="K61" s="735">
        <f t="shared" si="22"/>
        <v>0</v>
      </c>
    </row>
    <row r="62" spans="1:11" ht="12.75" customHeight="1" x14ac:dyDescent="0.25">
      <c r="A62" s="574" t="s">
        <v>1211</v>
      </c>
      <c r="B62" s="169"/>
      <c r="C62" s="748"/>
      <c r="D62" s="733">
        <v>0</v>
      </c>
      <c r="E62" s="733">
        <v>0</v>
      </c>
      <c r="F62" s="733">
        <v>0</v>
      </c>
      <c r="G62" s="733">
        <v>0</v>
      </c>
      <c r="H62" s="733">
        <f t="shared" si="23"/>
        <v>0</v>
      </c>
      <c r="I62" s="258">
        <f t="shared" si="17"/>
        <v>0</v>
      </c>
      <c r="J62" s="575" t="str">
        <f t="shared" si="18"/>
        <v/>
      </c>
      <c r="K62" s="735">
        <f t="shared" si="22"/>
        <v>0</v>
      </c>
    </row>
    <row r="63" spans="1:11" ht="12.75" customHeight="1" x14ac:dyDescent="0.25">
      <c r="A63" s="517" t="s">
        <v>1251</v>
      </c>
      <c r="B63" s="169"/>
      <c r="C63" s="648">
        <f t="shared" ref="C63:H63" si="24">SUM(C64:C68)</f>
        <v>0</v>
      </c>
      <c r="D63" s="649">
        <f t="shared" si="24"/>
        <v>0</v>
      </c>
      <c r="E63" s="408">
        <f t="shared" si="24"/>
        <v>0</v>
      </c>
      <c r="F63" s="408">
        <f t="shared" si="24"/>
        <v>0</v>
      </c>
      <c r="G63" s="408">
        <f t="shared" si="24"/>
        <v>0</v>
      </c>
      <c r="H63" s="408">
        <f t="shared" si="24"/>
        <v>0</v>
      </c>
      <c r="I63" s="258">
        <f t="shared" si="17"/>
        <v>0</v>
      </c>
      <c r="J63" s="575" t="str">
        <f t="shared" si="18"/>
        <v/>
      </c>
      <c r="K63" s="642">
        <f>SUM(K64:K68)</f>
        <v>0</v>
      </c>
    </row>
    <row r="64" spans="1:11" ht="12.75" customHeight="1" x14ac:dyDescent="0.25">
      <c r="A64" s="574" t="s">
        <v>1252</v>
      </c>
      <c r="B64" s="169"/>
      <c r="C64" s="748"/>
      <c r="D64" s="733">
        <v>0</v>
      </c>
      <c r="E64" s="733">
        <v>0</v>
      </c>
      <c r="F64" s="733">
        <v>0</v>
      </c>
      <c r="G64" s="733">
        <v>0</v>
      </c>
      <c r="H64" s="733"/>
      <c r="I64" s="258">
        <f t="shared" si="17"/>
        <v>0</v>
      </c>
      <c r="J64" s="575" t="str">
        <f t="shared" si="18"/>
        <v/>
      </c>
      <c r="K64" s="735"/>
    </row>
    <row r="65" spans="1:11" ht="12.75" customHeight="1" x14ac:dyDescent="0.25">
      <c r="A65" s="574" t="s">
        <v>1253</v>
      </c>
      <c r="B65" s="169"/>
      <c r="C65" s="748"/>
      <c r="D65" s="733">
        <v>0</v>
      </c>
      <c r="E65" s="733">
        <v>0</v>
      </c>
      <c r="F65" s="733">
        <v>0</v>
      </c>
      <c r="G65" s="733">
        <v>0</v>
      </c>
      <c r="H65" s="733">
        <v>0</v>
      </c>
      <c r="I65" s="258">
        <f t="shared" si="17"/>
        <v>0</v>
      </c>
      <c r="J65" s="575" t="str">
        <f t="shared" si="18"/>
        <v/>
      </c>
      <c r="K65" s="735"/>
    </row>
    <row r="66" spans="1:11" ht="12.75" customHeight="1" x14ac:dyDescent="0.25">
      <c r="A66" s="574" t="s">
        <v>1254</v>
      </c>
      <c r="B66" s="169"/>
      <c r="C66" s="748"/>
      <c r="D66" s="733">
        <v>0</v>
      </c>
      <c r="E66" s="733">
        <v>0</v>
      </c>
      <c r="F66" s="733">
        <v>0</v>
      </c>
      <c r="G66" s="733">
        <v>0</v>
      </c>
      <c r="H66" s="733">
        <v>0</v>
      </c>
      <c r="I66" s="258">
        <f t="shared" si="17"/>
        <v>0</v>
      </c>
      <c r="J66" s="575" t="str">
        <f t="shared" si="18"/>
        <v/>
      </c>
      <c r="K66" s="735"/>
    </row>
    <row r="67" spans="1:11" ht="12.75" customHeight="1" x14ac:dyDescent="0.25">
      <c r="A67" s="574" t="s">
        <v>1255</v>
      </c>
      <c r="B67" s="169"/>
      <c r="C67" s="748"/>
      <c r="D67" s="733">
        <v>0</v>
      </c>
      <c r="E67" s="733">
        <v>0</v>
      </c>
      <c r="F67" s="733">
        <v>0</v>
      </c>
      <c r="G67" s="733">
        <v>0</v>
      </c>
      <c r="H67" s="733">
        <v>0</v>
      </c>
      <c r="I67" s="258">
        <f t="shared" si="17"/>
        <v>0</v>
      </c>
      <c r="J67" s="575" t="str">
        <f t="shared" si="18"/>
        <v/>
      </c>
      <c r="K67" s="735"/>
    </row>
    <row r="68" spans="1:11" ht="12.75" customHeight="1" x14ac:dyDescent="0.25">
      <c r="A68" s="574" t="s">
        <v>1211</v>
      </c>
      <c r="B68" s="169"/>
      <c r="C68" s="748"/>
      <c r="D68" s="733">
        <v>0</v>
      </c>
      <c r="E68" s="733">
        <v>0</v>
      </c>
      <c r="F68" s="733">
        <v>0</v>
      </c>
      <c r="G68" s="733">
        <v>0</v>
      </c>
      <c r="H68" s="733">
        <v>0</v>
      </c>
      <c r="I68" s="258">
        <f t="shared" si="17"/>
        <v>0</v>
      </c>
      <c r="J68" s="575" t="str">
        <f t="shared" si="18"/>
        <v/>
      </c>
      <c r="K68" s="735"/>
    </row>
    <row r="69" spans="1:11" ht="12.75" customHeight="1" x14ac:dyDescent="0.25">
      <c r="A69" s="518" t="s">
        <v>1256</v>
      </c>
      <c r="B69" s="169"/>
      <c r="C69" s="648">
        <f t="shared" ref="C69:H69" si="25">SUM(C70:C73)</f>
        <v>0</v>
      </c>
      <c r="D69" s="649">
        <f t="shared" si="25"/>
        <v>1500000</v>
      </c>
      <c r="E69" s="408">
        <f t="shared" si="25"/>
        <v>1500000</v>
      </c>
      <c r="F69" s="408">
        <f t="shared" si="25"/>
        <v>0</v>
      </c>
      <c r="G69" s="408">
        <f t="shared" si="25"/>
        <v>0</v>
      </c>
      <c r="H69" s="408">
        <f t="shared" si="25"/>
        <v>1250000</v>
      </c>
      <c r="I69" s="258">
        <f>H69-G69</f>
        <v>1250000</v>
      </c>
      <c r="J69" s="575">
        <f t="shared" ref="J69:J75" si="26">IF(I69=0,"",I69/H69)</f>
        <v>1</v>
      </c>
      <c r="K69" s="642">
        <f>SUM(K70:K73)</f>
        <v>1500000</v>
      </c>
    </row>
    <row r="70" spans="1:11" ht="12.75" customHeight="1" x14ac:dyDescent="0.25">
      <c r="A70" s="574" t="s">
        <v>1257</v>
      </c>
      <c r="B70" s="169"/>
      <c r="C70" s="748"/>
      <c r="D70" s="745">
        <v>1500000</v>
      </c>
      <c r="E70" s="733">
        <v>1500000</v>
      </c>
      <c r="F70" s="733">
        <v>0</v>
      </c>
      <c r="G70" s="733">
        <v>0</v>
      </c>
      <c r="H70" s="733">
        <f>E70/12*10</f>
        <v>1250000</v>
      </c>
      <c r="I70" s="258">
        <f>H70-G70</f>
        <v>1250000</v>
      </c>
      <c r="J70" s="575">
        <f t="shared" si="26"/>
        <v>1</v>
      </c>
      <c r="K70" s="735">
        <f>E70</f>
        <v>1500000</v>
      </c>
    </row>
    <row r="71" spans="1:11" ht="12.75" customHeight="1" x14ac:dyDescent="0.25">
      <c r="A71" s="574" t="s">
        <v>1258</v>
      </c>
      <c r="B71" s="169"/>
      <c r="C71" s="748"/>
      <c r="D71" s="745"/>
      <c r="E71" s="733">
        <v>0</v>
      </c>
      <c r="F71" s="733">
        <v>0</v>
      </c>
      <c r="G71" s="733">
        <v>0</v>
      </c>
      <c r="H71" s="733">
        <f>E71/12*10</f>
        <v>0</v>
      </c>
      <c r="I71" s="258">
        <f>H71-G71</f>
        <v>0</v>
      </c>
      <c r="J71" s="575" t="str">
        <f t="shared" si="26"/>
        <v/>
      </c>
      <c r="K71" s="735"/>
    </row>
    <row r="72" spans="1:11" ht="12.75" customHeight="1" x14ac:dyDescent="0.25">
      <c r="A72" s="574" t="s">
        <v>1259</v>
      </c>
      <c r="B72" s="169"/>
      <c r="C72" s="748"/>
      <c r="D72" s="745"/>
      <c r="E72" s="733">
        <v>0</v>
      </c>
      <c r="F72" s="733">
        <v>0</v>
      </c>
      <c r="G72" s="733">
        <v>0</v>
      </c>
      <c r="H72" s="733">
        <f>E72/12*10</f>
        <v>0</v>
      </c>
      <c r="I72" s="258">
        <f>H72-G72</f>
        <v>0</v>
      </c>
      <c r="J72" s="575" t="str">
        <f t="shared" si="26"/>
        <v/>
      </c>
      <c r="K72" s="735"/>
    </row>
    <row r="73" spans="1:11" ht="12.75" customHeight="1" x14ac:dyDescent="0.25">
      <c r="A73" s="574" t="s">
        <v>1211</v>
      </c>
      <c r="B73" s="169"/>
      <c r="C73" s="748"/>
      <c r="D73" s="745"/>
      <c r="E73" s="733">
        <v>0</v>
      </c>
      <c r="F73" s="733">
        <v>0</v>
      </c>
      <c r="G73" s="733">
        <v>0</v>
      </c>
      <c r="H73" s="733">
        <f>E73/12*10</f>
        <v>0</v>
      </c>
      <c r="I73" s="258">
        <f>H73-G73</f>
        <v>0</v>
      </c>
      <c r="J73" s="575" t="str">
        <f t="shared" si="26"/>
        <v/>
      </c>
      <c r="K73" s="735"/>
    </row>
    <row r="74" spans="1:11" ht="5.25" customHeight="1" x14ac:dyDescent="0.25">
      <c r="A74" s="574"/>
      <c r="B74" s="169"/>
      <c r="C74" s="134"/>
      <c r="D74" s="46"/>
      <c r="E74" s="44"/>
      <c r="F74" s="44"/>
      <c r="G74" s="44"/>
      <c r="H74" s="44"/>
      <c r="I74" s="258"/>
      <c r="J74" s="575" t="str">
        <f t="shared" si="26"/>
        <v/>
      </c>
      <c r="K74" s="144"/>
    </row>
    <row r="75" spans="1:11" ht="12.75" customHeight="1" x14ac:dyDescent="0.25">
      <c r="A75" s="35" t="s">
        <v>1280</v>
      </c>
      <c r="B75" s="169"/>
      <c r="C75" s="576">
        <f t="shared" ref="C75:H75" si="27">+C76+C99</f>
        <v>36478046.581999995</v>
      </c>
      <c r="D75" s="577">
        <f t="shared" si="27"/>
        <v>158596190</v>
      </c>
      <c r="E75" s="578">
        <f t="shared" si="27"/>
        <v>136620256</v>
      </c>
      <c r="F75" s="578">
        <f t="shared" si="27"/>
        <v>7336647.9200000018</v>
      </c>
      <c r="G75" s="578">
        <f t="shared" si="27"/>
        <v>34953024.681000002</v>
      </c>
      <c r="H75" s="578">
        <f t="shared" si="27"/>
        <v>113850213.33333334</v>
      </c>
      <c r="I75" s="578">
        <f>H75-G75</f>
        <v>78897188.652333349</v>
      </c>
      <c r="J75" s="579">
        <f t="shared" si="26"/>
        <v>0.69299113582981431</v>
      </c>
      <c r="K75" s="580">
        <f>+K76+K99</f>
        <v>136620256</v>
      </c>
    </row>
    <row r="76" spans="1:11" ht="12.75" customHeight="1" x14ac:dyDescent="0.25">
      <c r="A76" s="518" t="s">
        <v>1260</v>
      </c>
      <c r="B76" s="169"/>
      <c r="C76" s="648">
        <f t="shared" ref="C76:H76" si="28">SUM(C77:C98)</f>
        <v>12531957.624499999</v>
      </c>
      <c r="D76" s="649">
        <f t="shared" si="28"/>
        <v>113596190</v>
      </c>
      <c r="E76" s="408">
        <f t="shared" si="28"/>
        <v>82579620</v>
      </c>
      <c r="F76" s="408">
        <f t="shared" si="28"/>
        <v>358522.08199999994</v>
      </c>
      <c r="G76" s="408">
        <f t="shared" si="28"/>
        <v>24787553.495499998</v>
      </c>
      <c r="H76" s="408">
        <f t="shared" si="28"/>
        <v>68816350.000000015</v>
      </c>
      <c r="I76" s="258">
        <f t="shared" ref="I76:I87" si="29">H76-G76</f>
        <v>44028796.504500017</v>
      </c>
      <c r="J76" s="575">
        <f t="shared" ref="J76:J87" si="30">IF(I76=0,"",I76/H76)</f>
        <v>0.63980139174048034</v>
      </c>
      <c r="K76" s="642">
        <f>SUM(K77:K98)</f>
        <v>82579620</v>
      </c>
    </row>
    <row r="77" spans="1:11" ht="12.75" customHeight="1" x14ac:dyDescent="0.25">
      <c r="A77" s="574" t="s">
        <v>1261</v>
      </c>
      <c r="B77" s="169"/>
      <c r="C77" s="748">
        <v>0</v>
      </c>
      <c r="D77" s="753">
        <v>0</v>
      </c>
      <c r="E77" s="733">
        <v>0</v>
      </c>
      <c r="F77" s="733">
        <v>0</v>
      </c>
      <c r="G77" s="733">
        <v>0</v>
      </c>
      <c r="H77" s="733">
        <f t="shared" ref="H77:H98" si="31">E77/12*10</f>
        <v>0</v>
      </c>
      <c r="I77" s="44">
        <f t="shared" si="29"/>
        <v>0</v>
      </c>
      <c r="J77" s="124" t="str">
        <f t="shared" si="30"/>
        <v/>
      </c>
      <c r="K77" s="735">
        <f t="shared" ref="K77:K92" si="32">E77</f>
        <v>0</v>
      </c>
    </row>
    <row r="78" spans="1:11" ht="12.75" customHeight="1" x14ac:dyDescent="0.25">
      <c r="A78" s="574" t="s">
        <v>1262</v>
      </c>
      <c r="B78" s="169"/>
      <c r="C78" s="748">
        <v>0</v>
      </c>
      <c r="D78" s="753">
        <v>2578065</v>
      </c>
      <c r="E78" s="733">
        <v>1000396</v>
      </c>
      <c r="F78" s="733">
        <v>0</v>
      </c>
      <c r="G78" s="733">
        <v>709521.41100000008</v>
      </c>
      <c r="H78" s="733">
        <f t="shared" si="31"/>
        <v>833663.33333333326</v>
      </c>
      <c r="I78" s="44">
        <f t="shared" si="29"/>
        <v>124141.92233333318</v>
      </c>
      <c r="J78" s="124">
        <f t="shared" si="30"/>
        <v>0.1489113379101874</v>
      </c>
      <c r="K78" s="735">
        <f t="shared" si="32"/>
        <v>1000396</v>
      </c>
    </row>
    <row r="79" spans="1:11" ht="12.75" customHeight="1" x14ac:dyDescent="0.25">
      <c r="A79" s="574" t="s">
        <v>1263</v>
      </c>
      <c r="B79" s="169"/>
      <c r="C79" s="748">
        <v>0</v>
      </c>
      <c r="D79" s="753">
        <v>0</v>
      </c>
      <c r="E79" s="733">
        <v>0</v>
      </c>
      <c r="F79" s="733">
        <v>0</v>
      </c>
      <c r="G79" s="733">
        <v>0</v>
      </c>
      <c r="H79" s="733">
        <f t="shared" si="31"/>
        <v>0</v>
      </c>
      <c r="I79" s="44">
        <f t="shared" si="29"/>
        <v>0</v>
      </c>
      <c r="J79" s="124" t="str">
        <f t="shared" si="30"/>
        <v/>
      </c>
      <c r="K79" s="735">
        <f t="shared" si="32"/>
        <v>0</v>
      </c>
    </row>
    <row r="80" spans="1:11" ht="12.75" customHeight="1" x14ac:dyDescent="0.25">
      <c r="A80" s="574" t="s">
        <v>1264</v>
      </c>
      <c r="B80" s="169"/>
      <c r="C80" s="748">
        <v>0</v>
      </c>
      <c r="D80" s="753">
        <v>0</v>
      </c>
      <c r="E80" s="733">
        <v>0</v>
      </c>
      <c r="F80" s="733">
        <v>0</v>
      </c>
      <c r="G80" s="733">
        <v>0</v>
      </c>
      <c r="H80" s="733">
        <f t="shared" si="31"/>
        <v>0</v>
      </c>
      <c r="I80" s="44">
        <f t="shared" si="29"/>
        <v>0</v>
      </c>
      <c r="J80" s="124" t="str">
        <f t="shared" si="30"/>
        <v/>
      </c>
      <c r="K80" s="735">
        <f t="shared" si="32"/>
        <v>0</v>
      </c>
    </row>
    <row r="81" spans="1:11" ht="12.75" customHeight="1" x14ac:dyDescent="0.25">
      <c r="A81" s="574" t="s">
        <v>1265</v>
      </c>
      <c r="B81" s="169"/>
      <c r="C81" s="748">
        <v>248986.5</v>
      </c>
      <c r="D81" s="753">
        <v>168035</v>
      </c>
      <c r="E81" s="733">
        <v>168035</v>
      </c>
      <c r="F81" s="733">
        <v>0</v>
      </c>
      <c r="G81" s="733">
        <v>156113.88</v>
      </c>
      <c r="H81" s="733">
        <f t="shared" si="31"/>
        <v>140029.16666666666</v>
      </c>
      <c r="I81" s="44">
        <f t="shared" si="29"/>
        <v>-16084.713333333348</v>
      </c>
      <c r="J81" s="124">
        <f t="shared" si="30"/>
        <v>-0.1148668789240338</v>
      </c>
      <c r="K81" s="735">
        <f t="shared" si="32"/>
        <v>168035</v>
      </c>
    </row>
    <row r="82" spans="1:11" ht="12.75" customHeight="1" x14ac:dyDescent="0.25">
      <c r="A82" s="574" t="s">
        <v>1266</v>
      </c>
      <c r="B82" s="169"/>
      <c r="C82" s="748">
        <v>0</v>
      </c>
      <c r="D82" s="753">
        <v>3150000</v>
      </c>
      <c r="E82" s="733">
        <v>12796965</v>
      </c>
      <c r="F82" s="733">
        <v>0</v>
      </c>
      <c r="G82" s="733">
        <v>678908.36499999999</v>
      </c>
      <c r="H82" s="733">
        <f t="shared" si="31"/>
        <v>10664137.5</v>
      </c>
      <c r="I82" s="44">
        <f t="shared" si="29"/>
        <v>9985229.1349999998</v>
      </c>
      <c r="J82" s="124">
        <f t="shared" si="30"/>
        <v>0.93633724574537791</v>
      </c>
      <c r="K82" s="735">
        <f t="shared" si="32"/>
        <v>12796965</v>
      </c>
    </row>
    <row r="83" spans="1:11" ht="12.75" customHeight="1" x14ac:dyDescent="0.25">
      <c r="A83" s="574" t="s">
        <v>1267</v>
      </c>
      <c r="B83" s="169"/>
      <c r="C83" s="748">
        <v>0</v>
      </c>
      <c r="D83" s="753">
        <v>156000</v>
      </c>
      <c r="E83" s="733">
        <v>100000</v>
      </c>
      <c r="F83" s="733">
        <v>0</v>
      </c>
      <c r="G83" s="733">
        <v>91367.5</v>
      </c>
      <c r="H83" s="733">
        <f t="shared" si="31"/>
        <v>83333.333333333343</v>
      </c>
      <c r="I83" s="44">
        <f t="shared" si="29"/>
        <v>-8034.166666666657</v>
      </c>
      <c r="J83" s="124">
        <f t="shared" si="30"/>
        <v>-9.6409999999999871E-2</v>
      </c>
      <c r="K83" s="735">
        <f t="shared" si="32"/>
        <v>100000</v>
      </c>
    </row>
    <row r="84" spans="1:11" ht="12.75" customHeight="1" x14ac:dyDescent="0.25">
      <c r="A84" s="574" t="s">
        <v>1268</v>
      </c>
      <c r="B84" s="169"/>
      <c r="C84" s="748">
        <v>0</v>
      </c>
      <c r="D84" s="753">
        <v>0</v>
      </c>
      <c r="E84" s="733">
        <v>0</v>
      </c>
      <c r="F84" s="733">
        <v>0</v>
      </c>
      <c r="G84" s="733">
        <v>0</v>
      </c>
      <c r="H84" s="733">
        <f t="shared" si="31"/>
        <v>0</v>
      </c>
      <c r="I84" s="44">
        <f t="shared" si="29"/>
        <v>0</v>
      </c>
      <c r="J84" s="124" t="str">
        <f t="shared" si="30"/>
        <v/>
      </c>
      <c r="K84" s="735">
        <f t="shared" si="32"/>
        <v>0</v>
      </c>
    </row>
    <row r="85" spans="1:11" ht="12.75" customHeight="1" x14ac:dyDescent="0.25">
      <c r="A85" s="574" t="s">
        <v>1144</v>
      </c>
      <c r="B85" s="169"/>
      <c r="C85" s="748">
        <v>0</v>
      </c>
      <c r="D85" s="753">
        <v>0</v>
      </c>
      <c r="E85" s="733">
        <v>0</v>
      </c>
      <c r="F85" s="733">
        <v>0</v>
      </c>
      <c r="G85" s="733">
        <v>0</v>
      </c>
      <c r="H85" s="733">
        <f t="shared" si="31"/>
        <v>0</v>
      </c>
      <c r="I85" s="44">
        <f t="shared" si="29"/>
        <v>0</v>
      </c>
      <c r="J85" s="124" t="str">
        <f t="shared" si="30"/>
        <v/>
      </c>
      <c r="K85" s="735">
        <f t="shared" si="32"/>
        <v>0</v>
      </c>
    </row>
    <row r="86" spans="1:11" ht="12.75" customHeight="1" x14ac:dyDescent="0.25">
      <c r="A86" s="574" t="s">
        <v>555</v>
      </c>
      <c r="B86" s="169"/>
      <c r="C86" s="748">
        <v>0</v>
      </c>
      <c r="D86" s="753">
        <v>100000</v>
      </c>
      <c r="E86" s="733">
        <v>100000</v>
      </c>
      <c r="F86" s="733">
        <v>0</v>
      </c>
      <c r="G86" s="733">
        <v>0</v>
      </c>
      <c r="H86" s="733">
        <f t="shared" si="31"/>
        <v>83333.333333333343</v>
      </c>
      <c r="I86" s="44">
        <f t="shared" si="29"/>
        <v>83333.333333333343</v>
      </c>
      <c r="J86" s="124">
        <f t="shared" si="30"/>
        <v>1</v>
      </c>
      <c r="K86" s="735">
        <f t="shared" si="32"/>
        <v>100000</v>
      </c>
    </row>
    <row r="87" spans="1:11" ht="12.75" customHeight="1" x14ac:dyDescent="0.25">
      <c r="A87" s="574" t="s">
        <v>1269</v>
      </c>
      <c r="B87" s="169"/>
      <c r="C87" s="748">
        <v>0</v>
      </c>
      <c r="D87" s="753">
        <v>0</v>
      </c>
      <c r="E87" s="733">
        <v>0</v>
      </c>
      <c r="F87" s="733">
        <v>0</v>
      </c>
      <c r="G87" s="733">
        <v>0</v>
      </c>
      <c r="H87" s="733">
        <f t="shared" si="31"/>
        <v>0</v>
      </c>
      <c r="I87" s="44">
        <f t="shared" si="29"/>
        <v>0</v>
      </c>
      <c r="J87" s="124" t="str">
        <f t="shared" si="30"/>
        <v/>
      </c>
      <c r="K87" s="735">
        <f t="shared" si="32"/>
        <v>0</v>
      </c>
    </row>
    <row r="88" spans="1:11" ht="12.75" customHeight="1" x14ac:dyDescent="0.25">
      <c r="A88" s="574" t="s">
        <v>166</v>
      </c>
      <c r="B88" s="169"/>
      <c r="C88" s="748">
        <v>419946.38549999997</v>
      </c>
      <c r="D88" s="753">
        <v>872803</v>
      </c>
      <c r="E88" s="733">
        <v>47494</v>
      </c>
      <c r="F88" s="733">
        <v>0</v>
      </c>
      <c r="G88" s="733">
        <v>0</v>
      </c>
      <c r="H88" s="733">
        <f t="shared" si="31"/>
        <v>39578.333333333336</v>
      </c>
      <c r="I88" s="44">
        <f t="shared" ref="I88:I133" si="33">H88-G88</f>
        <v>39578.333333333336</v>
      </c>
      <c r="J88" s="124">
        <f t="shared" ref="J88:J119" si="34">IF(I88=0,"",I88/H88)</f>
        <v>1</v>
      </c>
      <c r="K88" s="735">
        <f t="shared" si="32"/>
        <v>47494</v>
      </c>
    </row>
    <row r="89" spans="1:11" ht="12.75" customHeight="1" x14ac:dyDescent="0.25">
      <c r="A89" s="574" t="s">
        <v>1270</v>
      </c>
      <c r="B89" s="169"/>
      <c r="C89" s="748">
        <v>0</v>
      </c>
      <c r="D89" s="753">
        <v>0</v>
      </c>
      <c r="E89" s="733">
        <v>0</v>
      </c>
      <c r="F89" s="733">
        <v>0</v>
      </c>
      <c r="G89" s="733">
        <v>0</v>
      </c>
      <c r="H89" s="733">
        <f t="shared" si="31"/>
        <v>0</v>
      </c>
      <c r="I89" s="44">
        <f t="shared" si="33"/>
        <v>0</v>
      </c>
      <c r="J89" s="124" t="str">
        <f t="shared" si="34"/>
        <v/>
      </c>
      <c r="K89" s="735">
        <f t="shared" si="32"/>
        <v>0</v>
      </c>
    </row>
    <row r="90" spans="1:11" ht="12.75" customHeight="1" x14ac:dyDescent="0.25">
      <c r="A90" s="574" t="s">
        <v>1271</v>
      </c>
      <c r="B90" s="169"/>
      <c r="C90" s="748">
        <v>0</v>
      </c>
      <c r="D90" s="753">
        <v>0</v>
      </c>
      <c r="E90" s="733">
        <v>0</v>
      </c>
      <c r="F90" s="733">
        <v>0</v>
      </c>
      <c r="G90" s="733">
        <v>0</v>
      </c>
      <c r="H90" s="733">
        <f t="shared" si="31"/>
        <v>0</v>
      </c>
      <c r="I90" s="44">
        <f t="shared" si="33"/>
        <v>0</v>
      </c>
      <c r="J90" s="124" t="str">
        <f t="shared" si="34"/>
        <v/>
      </c>
      <c r="K90" s="735">
        <f t="shared" si="32"/>
        <v>0</v>
      </c>
    </row>
    <row r="91" spans="1:11" ht="12.75" customHeight="1" x14ac:dyDescent="0.25">
      <c r="A91" s="574" t="s">
        <v>1272</v>
      </c>
      <c r="B91" s="169"/>
      <c r="C91" s="748">
        <v>0</v>
      </c>
      <c r="D91" s="753">
        <v>0</v>
      </c>
      <c r="E91" s="733">
        <v>0</v>
      </c>
      <c r="F91" s="733">
        <v>0</v>
      </c>
      <c r="G91" s="733">
        <v>0</v>
      </c>
      <c r="H91" s="733">
        <f t="shared" si="31"/>
        <v>0</v>
      </c>
      <c r="I91" s="44">
        <f t="shared" si="33"/>
        <v>0</v>
      </c>
      <c r="J91" s="124" t="str">
        <f t="shared" si="34"/>
        <v/>
      </c>
      <c r="K91" s="735">
        <f t="shared" si="32"/>
        <v>0</v>
      </c>
    </row>
    <row r="92" spans="1:11" ht="12.75" customHeight="1" x14ac:dyDescent="0.25">
      <c r="A92" s="574" t="s">
        <v>1273</v>
      </c>
      <c r="B92" s="169"/>
      <c r="C92" s="748">
        <v>0</v>
      </c>
      <c r="D92" s="753">
        <v>320309</v>
      </c>
      <c r="E92" s="733">
        <v>320309</v>
      </c>
      <c r="F92" s="733">
        <v>0</v>
      </c>
      <c r="G92" s="733">
        <v>0</v>
      </c>
      <c r="H92" s="733">
        <f t="shared" si="31"/>
        <v>266924.16666666669</v>
      </c>
      <c r="I92" s="44">
        <f t="shared" si="33"/>
        <v>266924.16666666669</v>
      </c>
      <c r="J92" s="124">
        <f t="shared" si="34"/>
        <v>1</v>
      </c>
      <c r="K92" s="735">
        <f t="shared" si="32"/>
        <v>320309</v>
      </c>
    </row>
    <row r="93" spans="1:11" ht="12.75" customHeight="1" x14ac:dyDescent="0.25">
      <c r="A93" s="574" t="s">
        <v>441</v>
      </c>
      <c r="B93" s="169"/>
      <c r="C93" s="748">
        <v>0</v>
      </c>
      <c r="D93" s="753">
        <v>0</v>
      </c>
      <c r="E93" s="733">
        <v>0</v>
      </c>
      <c r="F93" s="733">
        <v>0</v>
      </c>
      <c r="G93" s="733">
        <v>0</v>
      </c>
      <c r="H93" s="733">
        <f t="shared" si="31"/>
        <v>0</v>
      </c>
      <c r="I93" s="44">
        <f t="shared" si="33"/>
        <v>0</v>
      </c>
      <c r="J93" s="124" t="str">
        <f t="shared" si="34"/>
        <v/>
      </c>
      <c r="K93" s="735">
        <f t="shared" ref="K93:K98" si="35">E93</f>
        <v>0</v>
      </c>
    </row>
    <row r="94" spans="1:11" ht="12.75" customHeight="1" x14ac:dyDescent="0.25">
      <c r="A94" s="574" t="s">
        <v>1274</v>
      </c>
      <c r="B94" s="169"/>
      <c r="C94" s="748"/>
      <c r="D94" s="753">
        <v>0</v>
      </c>
      <c r="E94" s="733">
        <v>0</v>
      </c>
      <c r="F94" s="733">
        <v>0</v>
      </c>
      <c r="G94" s="733">
        <v>0</v>
      </c>
      <c r="H94" s="733">
        <f t="shared" si="31"/>
        <v>0</v>
      </c>
      <c r="I94" s="44">
        <f t="shared" si="33"/>
        <v>0</v>
      </c>
      <c r="J94" s="124" t="str">
        <f t="shared" si="34"/>
        <v/>
      </c>
      <c r="K94" s="735">
        <f t="shared" si="35"/>
        <v>0</v>
      </c>
    </row>
    <row r="95" spans="1:11" ht="12.75" customHeight="1" x14ac:dyDescent="0.25">
      <c r="A95" s="574" t="s">
        <v>440</v>
      </c>
      <c r="B95" s="169"/>
      <c r="C95" s="748">
        <v>0</v>
      </c>
      <c r="D95" s="753">
        <v>0</v>
      </c>
      <c r="E95" s="733">
        <v>0</v>
      </c>
      <c r="F95" s="733">
        <v>0</v>
      </c>
      <c r="G95" s="733">
        <v>0</v>
      </c>
      <c r="H95" s="733">
        <f t="shared" si="31"/>
        <v>0</v>
      </c>
      <c r="I95" s="44">
        <f t="shared" si="33"/>
        <v>0</v>
      </c>
      <c r="J95" s="124" t="str">
        <f t="shared" si="34"/>
        <v/>
      </c>
      <c r="K95" s="735">
        <f t="shared" si="35"/>
        <v>0</v>
      </c>
    </row>
    <row r="96" spans="1:11" ht="12.75" customHeight="1" x14ac:dyDescent="0.25">
      <c r="A96" s="574" t="s">
        <v>1275</v>
      </c>
      <c r="B96" s="169"/>
      <c r="C96" s="748">
        <v>0</v>
      </c>
      <c r="D96" s="753">
        <v>0</v>
      </c>
      <c r="E96" s="733">
        <v>0</v>
      </c>
      <c r="F96" s="733">
        <v>0</v>
      </c>
      <c r="G96" s="733">
        <v>0</v>
      </c>
      <c r="H96" s="733">
        <f t="shared" si="31"/>
        <v>0</v>
      </c>
      <c r="I96" s="44">
        <f t="shared" si="33"/>
        <v>0</v>
      </c>
      <c r="J96" s="124" t="str">
        <f t="shared" si="34"/>
        <v/>
      </c>
      <c r="K96" s="735">
        <f t="shared" si="35"/>
        <v>0</v>
      </c>
    </row>
    <row r="97" spans="1:11" ht="12.75" customHeight="1" x14ac:dyDescent="0.25">
      <c r="A97" s="574" t="s">
        <v>1276</v>
      </c>
      <c r="B97" s="169"/>
      <c r="C97" s="748">
        <v>9769837.891499998</v>
      </c>
      <c r="D97" s="753">
        <v>106000000</v>
      </c>
      <c r="E97" s="733">
        <v>67845443</v>
      </c>
      <c r="F97" s="733">
        <f>3485584.082-3127062</f>
        <v>358522.08199999994</v>
      </c>
      <c r="G97" s="733">
        <f>26278710.3395-3127068</f>
        <v>23151642.339499999</v>
      </c>
      <c r="H97" s="733">
        <f t="shared" si="31"/>
        <v>56537869.166666672</v>
      </c>
      <c r="I97" s="44">
        <f t="shared" si="33"/>
        <v>33386226.827166673</v>
      </c>
      <c r="J97" s="124">
        <f t="shared" si="34"/>
        <v>0.590510879155141</v>
      </c>
      <c r="K97" s="735">
        <f t="shared" si="35"/>
        <v>67845443</v>
      </c>
    </row>
    <row r="98" spans="1:11" ht="12.75" customHeight="1" x14ac:dyDescent="0.25">
      <c r="A98" s="574" t="s">
        <v>1211</v>
      </c>
      <c r="B98" s="169"/>
      <c r="C98" s="748">
        <f>2815379.2275-722192.38</f>
        <v>2093186.8475000001</v>
      </c>
      <c r="D98" s="753">
        <v>250978</v>
      </c>
      <c r="E98" s="733">
        <v>200978</v>
      </c>
      <c r="F98" s="733">
        <v>0</v>
      </c>
      <c r="G98" s="733">
        <v>0</v>
      </c>
      <c r="H98" s="733">
        <f t="shared" si="31"/>
        <v>167481.66666666669</v>
      </c>
      <c r="I98" s="44">
        <f t="shared" si="33"/>
        <v>167481.66666666669</v>
      </c>
      <c r="J98" s="124">
        <f t="shared" si="34"/>
        <v>1</v>
      </c>
      <c r="K98" s="735">
        <f t="shared" si="35"/>
        <v>200978</v>
      </c>
    </row>
    <row r="99" spans="1:11" ht="12.75" customHeight="1" x14ac:dyDescent="0.25">
      <c r="A99" s="518" t="s">
        <v>1277</v>
      </c>
      <c r="B99" s="169"/>
      <c r="C99" s="648">
        <f t="shared" ref="C99:H99" si="36">SUM(C100:C102)</f>
        <v>23946088.957499996</v>
      </c>
      <c r="D99" s="649">
        <f t="shared" si="36"/>
        <v>45000000</v>
      </c>
      <c r="E99" s="408">
        <f t="shared" si="36"/>
        <v>54040636</v>
      </c>
      <c r="F99" s="408">
        <f t="shared" si="36"/>
        <v>6978125.8380000014</v>
      </c>
      <c r="G99" s="408">
        <f t="shared" si="36"/>
        <v>10165471.185500002</v>
      </c>
      <c r="H99" s="408">
        <f t="shared" si="36"/>
        <v>45033863.333333328</v>
      </c>
      <c r="I99" s="258">
        <f t="shared" si="33"/>
        <v>34868392.147833325</v>
      </c>
      <c r="J99" s="575">
        <f t="shared" si="34"/>
        <v>0.77427050594667302</v>
      </c>
      <c r="K99" s="642">
        <f>SUM(K100:K102)</f>
        <v>54040636</v>
      </c>
    </row>
    <row r="100" spans="1:11" ht="12.75" customHeight="1" x14ac:dyDescent="0.25">
      <c r="A100" s="574" t="s">
        <v>1278</v>
      </c>
      <c r="B100" s="169"/>
      <c r="C100" s="748">
        <v>0</v>
      </c>
      <c r="D100" s="753">
        <v>0</v>
      </c>
      <c r="E100" s="733">
        <v>0</v>
      </c>
      <c r="F100" s="733">
        <v>0</v>
      </c>
      <c r="G100" s="733">
        <v>0</v>
      </c>
      <c r="H100" s="733">
        <f>E100/12*10</f>
        <v>0</v>
      </c>
      <c r="I100" s="44">
        <f t="shared" si="33"/>
        <v>0</v>
      </c>
      <c r="J100" s="124" t="str">
        <f t="shared" si="34"/>
        <v/>
      </c>
      <c r="K100" s="735">
        <f>E100</f>
        <v>0</v>
      </c>
    </row>
    <row r="101" spans="1:11" ht="12.75" customHeight="1" x14ac:dyDescent="0.25">
      <c r="A101" s="574" t="s">
        <v>1279</v>
      </c>
      <c r="B101" s="169"/>
      <c r="C101" s="748">
        <v>23946088.957499996</v>
      </c>
      <c r="D101" s="753">
        <v>45000000</v>
      </c>
      <c r="E101" s="733">
        <v>54040636</v>
      </c>
      <c r="F101" s="733">
        <v>6978125.8380000014</v>
      </c>
      <c r="G101" s="733">
        <v>10165471.185500002</v>
      </c>
      <c r="H101" s="733">
        <f>E101/12*10</f>
        <v>45033863.333333328</v>
      </c>
      <c r="I101" s="44">
        <f t="shared" si="33"/>
        <v>34868392.147833325</v>
      </c>
      <c r="J101" s="124">
        <f t="shared" si="34"/>
        <v>0.77427050594667302</v>
      </c>
      <c r="K101" s="735">
        <f>E101</f>
        <v>54040636</v>
      </c>
    </row>
    <row r="102" spans="1:11" ht="12.75" customHeight="1" x14ac:dyDescent="0.25">
      <c r="A102" s="574" t="s">
        <v>1211</v>
      </c>
      <c r="B102" s="169"/>
      <c r="C102" s="748">
        <v>0</v>
      </c>
      <c r="D102" s="753"/>
      <c r="E102" s="733"/>
      <c r="F102" s="733">
        <v>0</v>
      </c>
      <c r="G102" s="733">
        <v>0</v>
      </c>
      <c r="H102" s="733">
        <f>E102/12*10</f>
        <v>0</v>
      </c>
      <c r="I102" s="44">
        <f t="shared" si="33"/>
        <v>0</v>
      </c>
      <c r="J102" s="124" t="str">
        <f t="shared" si="34"/>
        <v/>
      </c>
      <c r="K102" s="735">
        <f>E102</f>
        <v>0</v>
      </c>
    </row>
    <row r="103" spans="1:11" ht="12.75" customHeight="1" x14ac:dyDescent="0.25">
      <c r="A103" s="549" t="s">
        <v>672</v>
      </c>
      <c r="B103" s="169"/>
      <c r="C103" s="249">
        <f t="shared" ref="C103:H103" si="37">SUM(C104:C108)</f>
        <v>1550261.9735000895</v>
      </c>
      <c r="D103" s="264">
        <f t="shared" si="37"/>
        <v>0</v>
      </c>
      <c r="E103" s="99">
        <f t="shared" si="37"/>
        <v>0</v>
      </c>
      <c r="F103" s="99">
        <f t="shared" si="37"/>
        <v>0</v>
      </c>
      <c r="G103" s="99">
        <f t="shared" si="37"/>
        <v>0</v>
      </c>
      <c r="H103" s="99">
        <f t="shared" si="37"/>
        <v>0</v>
      </c>
      <c r="I103" s="99">
        <f t="shared" si="33"/>
        <v>0</v>
      </c>
      <c r="J103" s="324" t="str">
        <f t="shared" si="34"/>
        <v/>
      </c>
      <c r="K103" s="195">
        <f>SUM(K104:K108)</f>
        <v>0</v>
      </c>
    </row>
    <row r="104" spans="1:11" ht="12.75" customHeight="1" x14ac:dyDescent="0.25">
      <c r="A104" s="518" t="s">
        <v>1281</v>
      </c>
      <c r="B104" s="169"/>
      <c r="C104" s="786">
        <v>0</v>
      </c>
      <c r="D104" s="753">
        <v>0</v>
      </c>
      <c r="E104" s="733"/>
      <c r="F104" s="733"/>
      <c r="G104" s="733"/>
      <c r="H104" s="733"/>
      <c r="I104" s="44">
        <f t="shared" si="33"/>
        <v>0</v>
      </c>
      <c r="J104" s="124" t="str">
        <f t="shared" si="34"/>
        <v/>
      </c>
      <c r="K104" s="735">
        <f>E104</f>
        <v>0</v>
      </c>
    </row>
    <row r="105" spans="1:11" ht="12.75" customHeight="1" x14ac:dyDescent="0.25">
      <c r="A105" s="517" t="s">
        <v>1282</v>
      </c>
      <c r="B105" s="169"/>
      <c r="C105" s="786">
        <v>1550261.9735000895</v>
      </c>
      <c r="D105" s="753">
        <v>0</v>
      </c>
      <c r="E105" s="733"/>
      <c r="F105" s="733"/>
      <c r="G105" s="733"/>
      <c r="H105" s="733"/>
      <c r="I105" s="44">
        <f t="shared" si="33"/>
        <v>0</v>
      </c>
      <c r="J105" s="124" t="str">
        <f t="shared" si="34"/>
        <v/>
      </c>
      <c r="K105" s="735">
        <f>E105</f>
        <v>0</v>
      </c>
    </row>
    <row r="106" spans="1:11" ht="12.75" customHeight="1" x14ac:dyDescent="0.25">
      <c r="A106" s="518" t="s">
        <v>1283</v>
      </c>
      <c r="B106" s="169"/>
      <c r="C106" s="786">
        <v>0</v>
      </c>
      <c r="D106" s="753">
        <v>0</v>
      </c>
      <c r="E106" s="733"/>
      <c r="F106" s="733"/>
      <c r="G106" s="733"/>
      <c r="H106" s="733"/>
      <c r="I106" s="44">
        <f t="shared" si="33"/>
        <v>0</v>
      </c>
      <c r="J106" s="124" t="str">
        <f t="shared" si="34"/>
        <v/>
      </c>
      <c r="K106" s="735">
        <f>E106</f>
        <v>0</v>
      </c>
    </row>
    <row r="107" spans="1:11" ht="12.75" customHeight="1" x14ac:dyDescent="0.25">
      <c r="A107" s="518" t="s">
        <v>1284</v>
      </c>
      <c r="B107" s="169"/>
      <c r="C107" s="786"/>
      <c r="D107" s="753">
        <v>0</v>
      </c>
      <c r="E107" s="733"/>
      <c r="F107" s="733"/>
      <c r="G107" s="733"/>
      <c r="H107" s="733"/>
      <c r="I107" s="44">
        <f t="shared" si="33"/>
        <v>0</v>
      </c>
      <c r="J107" s="124" t="str">
        <f t="shared" si="34"/>
        <v/>
      </c>
      <c r="K107" s="735">
        <f>E107</f>
        <v>0</v>
      </c>
    </row>
    <row r="108" spans="1:11" ht="12.75" customHeight="1" x14ac:dyDescent="0.25">
      <c r="A108" s="517" t="s">
        <v>1285</v>
      </c>
      <c r="B108" s="169"/>
      <c r="C108" s="786"/>
      <c r="D108" s="753"/>
      <c r="E108" s="733"/>
      <c r="F108" s="733"/>
      <c r="G108" s="733"/>
      <c r="H108" s="733"/>
      <c r="I108" s="44">
        <f t="shared" si="33"/>
        <v>0</v>
      </c>
      <c r="J108" s="124" t="str">
        <f t="shared" si="34"/>
        <v/>
      </c>
      <c r="K108" s="735">
        <f>E108</f>
        <v>0</v>
      </c>
    </row>
    <row r="109" spans="1:11" ht="5.0999999999999996" customHeight="1" x14ac:dyDescent="0.25">
      <c r="A109" s="939"/>
      <c r="B109" s="169"/>
      <c r="C109" s="134"/>
      <c r="D109" s="258"/>
      <c r="E109" s="44"/>
      <c r="F109" s="44"/>
      <c r="G109" s="44"/>
      <c r="H109" s="44"/>
      <c r="I109" s="44">
        <f t="shared" si="33"/>
        <v>0</v>
      </c>
      <c r="J109" s="124" t="str">
        <f t="shared" si="34"/>
        <v/>
      </c>
      <c r="K109" s="144"/>
    </row>
    <row r="110" spans="1:11" ht="12.75" customHeight="1" x14ac:dyDescent="0.25">
      <c r="A110" s="940" t="s">
        <v>673</v>
      </c>
      <c r="B110" s="38"/>
      <c r="C110" s="576">
        <f t="shared" ref="C110:H110" si="38">+C111+C114</f>
        <v>0</v>
      </c>
      <c r="D110" s="577">
        <f t="shared" si="38"/>
        <v>5201619</v>
      </c>
      <c r="E110" s="578">
        <f t="shared" si="38"/>
        <v>3993513</v>
      </c>
      <c r="F110" s="578">
        <f t="shared" si="38"/>
        <v>396750</v>
      </c>
      <c r="G110" s="578">
        <f t="shared" si="38"/>
        <v>1410961.8544999999</v>
      </c>
      <c r="H110" s="578">
        <f t="shared" si="38"/>
        <v>3327927.5</v>
      </c>
      <c r="I110" s="99">
        <f t="shared" si="33"/>
        <v>1916965.6455000001</v>
      </c>
      <c r="J110" s="324">
        <f t="shared" si="34"/>
        <v>0.57602386034551534</v>
      </c>
      <c r="K110" s="580">
        <f>+K111+K114</f>
        <v>3993513</v>
      </c>
    </row>
    <row r="111" spans="1:11" ht="12.75" customHeight="1" x14ac:dyDescent="0.25">
      <c r="A111" s="518" t="s">
        <v>1286</v>
      </c>
      <c r="B111" s="169"/>
      <c r="C111" s="648">
        <f t="shared" ref="C111:H111" si="39">SUM(C112:C113)</f>
        <v>0</v>
      </c>
      <c r="D111" s="649">
        <f t="shared" si="39"/>
        <v>5201619</v>
      </c>
      <c r="E111" s="408">
        <f t="shared" si="39"/>
        <v>3993513</v>
      </c>
      <c r="F111" s="408">
        <f t="shared" si="39"/>
        <v>396750</v>
      </c>
      <c r="G111" s="408">
        <f t="shared" si="39"/>
        <v>1410961.8544999999</v>
      </c>
      <c r="H111" s="408">
        <f t="shared" si="39"/>
        <v>3327927.5</v>
      </c>
      <c r="I111" s="258">
        <f t="shared" si="33"/>
        <v>1916965.6455000001</v>
      </c>
      <c r="J111" s="575">
        <f t="shared" si="34"/>
        <v>0.57602386034551534</v>
      </c>
      <c r="K111" s="642">
        <f>SUM(K112:K113)</f>
        <v>3993513</v>
      </c>
    </row>
    <row r="112" spans="1:11" ht="12.75" customHeight="1" x14ac:dyDescent="0.25">
      <c r="A112" s="574" t="s">
        <v>1287</v>
      </c>
      <c r="B112" s="169"/>
      <c r="C112" s="748">
        <v>0</v>
      </c>
      <c r="D112" s="753"/>
      <c r="E112" s="733">
        <v>0</v>
      </c>
      <c r="F112" s="733"/>
      <c r="G112" s="733"/>
      <c r="H112" s="733">
        <f>E112/12*10</f>
        <v>0</v>
      </c>
      <c r="I112" s="44">
        <f t="shared" si="33"/>
        <v>0</v>
      </c>
      <c r="J112" s="124" t="str">
        <f t="shared" si="34"/>
        <v/>
      </c>
      <c r="K112" s="735">
        <f>E112</f>
        <v>0</v>
      </c>
    </row>
    <row r="113" spans="1:11" ht="12.75" customHeight="1" x14ac:dyDescent="0.25">
      <c r="A113" s="574" t="s">
        <v>1288</v>
      </c>
      <c r="B113" s="169"/>
      <c r="C113" s="748">
        <v>0</v>
      </c>
      <c r="D113" s="753">
        <v>5201619</v>
      </c>
      <c r="E113" s="733">
        <v>3993513</v>
      </c>
      <c r="F113" s="733">
        <v>396750</v>
      </c>
      <c r="G113" s="733">
        <v>1410961.8544999999</v>
      </c>
      <c r="H113" s="733">
        <f>E113/12*10</f>
        <v>3327927.5</v>
      </c>
      <c r="I113" s="44">
        <f t="shared" si="33"/>
        <v>1916965.6455000001</v>
      </c>
      <c r="J113" s="124">
        <f t="shared" si="34"/>
        <v>0.57602386034551534</v>
      </c>
      <c r="K113" s="735">
        <f>E113</f>
        <v>3993513</v>
      </c>
    </row>
    <row r="114" spans="1:11" ht="12.75" customHeight="1" x14ac:dyDescent="0.25">
      <c r="A114" s="518" t="s">
        <v>1289</v>
      </c>
      <c r="B114" s="169"/>
      <c r="C114" s="648">
        <f t="shared" ref="C114:H114" si="40">SUM(C115:C116)</f>
        <v>0</v>
      </c>
      <c r="D114" s="649">
        <f t="shared" si="40"/>
        <v>0</v>
      </c>
      <c r="E114" s="408">
        <f t="shared" si="40"/>
        <v>0</v>
      </c>
      <c r="F114" s="408">
        <f t="shared" si="40"/>
        <v>0</v>
      </c>
      <c r="G114" s="408">
        <f t="shared" si="40"/>
        <v>0</v>
      </c>
      <c r="H114" s="408">
        <f t="shared" si="40"/>
        <v>0</v>
      </c>
      <c r="I114" s="258">
        <f t="shared" si="33"/>
        <v>0</v>
      </c>
      <c r="J114" s="575" t="str">
        <f t="shared" si="34"/>
        <v/>
      </c>
      <c r="K114" s="642">
        <f>SUM(K115:K116)</f>
        <v>0</v>
      </c>
    </row>
    <row r="115" spans="1:11" ht="12.75" customHeight="1" x14ac:dyDescent="0.25">
      <c r="A115" s="574" t="s">
        <v>1287</v>
      </c>
      <c r="B115" s="169"/>
      <c r="C115" s="748"/>
      <c r="D115" s="753"/>
      <c r="E115" s="733"/>
      <c r="F115" s="733">
        <v>0</v>
      </c>
      <c r="G115" s="733"/>
      <c r="H115" s="733"/>
      <c r="I115" s="44">
        <f t="shared" si="33"/>
        <v>0</v>
      </c>
      <c r="J115" s="124" t="str">
        <f t="shared" si="34"/>
        <v/>
      </c>
      <c r="K115" s="735">
        <f>E115</f>
        <v>0</v>
      </c>
    </row>
    <row r="116" spans="1:11" ht="12.75" customHeight="1" x14ac:dyDescent="0.25">
      <c r="A116" s="574" t="s">
        <v>1288</v>
      </c>
      <c r="B116" s="169"/>
      <c r="C116" s="748"/>
      <c r="D116" s="753"/>
      <c r="E116" s="733"/>
      <c r="F116" s="733"/>
      <c r="G116" s="733"/>
      <c r="H116" s="733"/>
      <c r="I116" s="44">
        <f t="shared" si="33"/>
        <v>0</v>
      </c>
      <c r="J116" s="124" t="str">
        <f t="shared" si="34"/>
        <v/>
      </c>
      <c r="K116" s="735">
        <f>E116</f>
        <v>0</v>
      </c>
    </row>
    <row r="117" spans="1:11" ht="12.75" customHeight="1" x14ac:dyDescent="0.25">
      <c r="A117" s="940" t="s">
        <v>674</v>
      </c>
      <c r="B117" s="169"/>
      <c r="C117" s="576">
        <f t="shared" ref="C117:H117" si="41">+C118+C130</f>
        <v>4783622.3475000001</v>
      </c>
      <c r="D117" s="577">
        <f t="shared" si="41"/>
        <v>1300398</v>
      </c>
      <c r="E117" s="578">
        <f t="shared" si="41"/>
        <v>4550504</v>
      </c>
      <c r="F117" s="578">
        <f t="shared" si="41"/>
        <v>0</v>
      </c>
      <c r="G117" s="578">
        <f t="shared" si="41"/>
        <v>3478247.8295</v>
      </c>
      <c r="H117" s="578">
        <f t="shared" si="41"/>
        <v>3792086.6666666665</v>
      </c>
      <c r="I117" s="578">
        <f t="shared" si="33"/>
        <v>313838.83716666652</v>
      </c>
      <c r="J117" s="579">
        <f t="shared" si="34"/>
        <v>8.2761514900327487E-2</v>
      </c>
      <c r="K117" s="580">
        <f>+K118+K130</f>
        <v>4550504</v>
      </c>
    </row>
    <row r="118" spans="1:11" ht="12.75" customHeight="1" x14ac:dyDescent="0.25">
      <c r="A118" s="518" t="s">
        <v>1290</v>
      </c>
      <c r="B118" s="169"/>
      <c r="C118" s="648">
        <f t="shared" ref="C118:H118" si="42">SUM(C119:C129)</f>
        <v>4783622.3475000001</v>
      </c>
      <c r="D118" s="649">
        <f t="shared" si="42"/>
        <v>1300398</v>
      </c>
      <c r="E118" s="408">
        <f t="shared" si="42"/>
        <v>4550504</v>
      </c>
      <c r="F118" s="408">
        <f t="shared" si="42"/>
        <v>0</v>
      </c>
      <c r="G118" s="408">
        <f t="shared" si="42"/>
        <v>3478247.8295</v>
      </c>
      <c r="H118" s="408">
        <f t="shared" si="42"/>
        <v>3792086.6666666665</v>
      </c>
      <c r="I118" s="258">
        <f t="shared" si="33"/>
        <v>313838.83716666652</v>
      </c>
      <c r="J118" s="575">
        <f t="shared" si="34"/>
        <v>8.2761514900327487E-2</v>
      </c>
      <c r="K118" s="642">
        <f>SUM(K119:K129)</f>
        <v>4550504</v>
      </c>
    </row>
    <row r="119" spans="1:11" ht="12.75" customHeight="1" x14ac:dyDescent="0.25">
      <c r="A119" s="574" t="s">
        <v>1291</v>
      </c>
      <c r="B119" s="169"/>
      <c r="C119" s="748">
        <v>1395852.9684999997</v>
      </c>
      <c r="D119" s="753">
        <v>0</v>
      </c>
      <c r="E119" s="733">
        <v>0</v>
      </c>
      <c r="F119" s="733">
        <v>0</v>
      </c>
      <c r="G119" s="733">
        <v>0</v>
      </c>
      <c r="H119" s="733">
        <f t="shared" ref="H119:H129" si="43">E119/12*10</f>
        <v>0</v>
      </c>
      <c r="I119" s="44">
        <f t="shared" si="33"/>
        <v>0</v>
      </c>
      <c r="J119" s="124" t="str">
        <f t="shared" si="34"/>
        <v/>
      </c>
      <c r="K119" s="735">
        <f t="shared" ref="K119:K129" si="44">E119</f>
        <v>0</v>
      </c>
    </row>
    <row r="120" spans="1:11" ht="12.75" customHeight="1" x14ac:dyDescent="0.25">
      <c r="A120" s="574" t="s">
        <v>1292</v>
      </c>
      <c r="B120" s="169"/>
      <c r="C120" s="748">
        <v>0</v>
      </c>
      <c r="D120" s="753">
        <v>0</v>
      </c>
      <c r="E120" s="733">
        <v>0</v>
      </c>
      <c r="F120" s="733">
        <v>0</v>
      </c>
      <c r="G120" s="733">
        <v>0</v>
      </c>
      <c r="H120" s="733">
        <f t="shared" si="43"/>
        <v>0</v>
      </c>
      <c r="I120" s="44">
        <f t="shared" si="33"/>
        <v>0</v>
      </c>
      <c r="J120" s="124" t="str">
        <f t="shared" ref="J120:J146" si="45">IF(I120=0,"",I120/H120)</f>
        <v/>
      </c>
      <c r="K120" s="735">
        <f t="shared" si="44"/>
        <v>0</v>
      </c>
    </row>
    <row r="121" spans="1:11" ht="12.75" customHeight="1" x14ac:dyDescent="0.25">
      <c r="A121" s="574" t="s">
        <v>1293</v>
      </c>
      <c r="B121" s="169"/>
      <c r="C121" s="748">
        <v>0</v>
      </c>
      <c r="D121" s="753">
        <v>300000</v>
      </c>
      <c r="E121" s="733">
        <v>300000</v>
      </c>
      <c r="F121" s="733">
        <v>0</v>
      </c>
      <c r="G121" s="733">
        <v>2367865.9964999999</v>
      </c>
      <c r="H121" s="733">
        <f t="shared" si="43"/>
        <v>250000</v>
      </c>
      <c r="I121" s="44">
        <f t="shared" si="33"/>
        <v>-2117865.9964999999</v>
      </c>
      <c r="J121" s="124">
        <f t="shared" si="45"/>
        <v>-8.4714639859999998</v>
      </c>
      <c r="K121" s="735">
        <f t="shared" si="44"/>
        <v>300000</v>
      </c>
    </row>
    <row r="122" spans="1:11" ht="12.75" customHeight="1" x14ac:dyDescent="0.25">
      <c r="A122" s="574" t="s">
        <v>1294</v>
      </c>
      <c r="B122" s="169"/>
      <c r="C122" s="748">
        <v>0</v>
      </c>
      <c r="D122" s="753">
        <v>0</v>
      </c>
      <c r="E122" s="733">
        <v>0</v>
      </c>
      <c r="F122" s="733">
        <v>0</v>
      </c>
      <c r="G122" s="733">
        <v>0</v>
      </c>
      <c r="H122" s="733">
        <f t="shared" si="43"/>
        <v>0</v>
      </c>
      <c r="I122" s="44">
        <f t="shared" si="33"/>
        <v>0</v>
      </c>
      <c r="J122" s="124" t="str">
        <f t="shared" si="45"/>
        <v/>
      </c>
      <c r="K122" s="735">
        <f t="shared" si="44"/>
        <v>0</v>
      </c>
    </row>
    <row r="123" spans="1:11" ht="12.75" customHeight="1" x14ac:dyDescent="0.25">
      <c r="A123" s="574" t="s">
        <v>1295</v>
      </c>
      <c r="B123" s="169"/>
      <c r="C123" s="748">
        <v>0</v>
      </c>
      <c r="D123" s="753">
        <v>0</v>
      </c>
      <c r="E123" s="733">
        <v>0</v>
      </c>
      <c r="F123" s="733">
        <v>0</v>
      </c>
      <c r="G123" s="733">
        <v>0</v>
      </c>
      <c r="H123" s="733">
        <f t="shared" si="43"/>
        <v>0</v>
      </c>
      <c r="I123" s="44">
        <f t="shared" si="33"/>
        <v>0</v>
      </c>
      <c r="J123" s="124" t="str">
        <f t="shared" si="45"/>
        <v/>
      </c>
      <c r="K123" s="735">
        <f t="shared" si="44"/>
        <v>0</v>
      </c>
    </row>
    <row r="124" spans="1:11" ht="12.75" customHeight="1" x14ac:dyDescent="0.25">
      <c r="A124" s="574" t="s">
        <v>1296</v>
      </c>
      <c r="B124" s="169"/>
      <c r="C124" s="748">
        <v>2721392.2689999999</v>
      </c>
      <c r="D124" s="753">
        <v>1000398</v>
      </c>
      <c r="E124" s="733">
        <v>1685084</v>
      </c>
      <c r="F124" s="733">
        <v>0</v>
      </c>
      <c r="G124" s="733">
        <v>1110381.8330000001</v>
      </c>
      <c r="H124" s="733">
        <f t="shared" si="43"/>
        <v>1404236.6666666665</v>
      </c>
      <c r="I124" s="44">
        <f t="shared" si="33"/>
        <v>293854.83366666641</v>
      </c>
      <c r="J124" s="124">
        <f t="shared" si="45"/>
        <v>0.2092630399434092</v>
      </c>
      <c r="K124" s="735">
        <f t="shared" si="44"/>
        <v>1685084</v>
      </c>
    </row>
    <row r="125" spans="1:11" ht="12.75" customHeight="1" x14ac:dyDescent="0.25">
      <c r="A125" s="574" t="s">
        <v>1297</v>
      </c>
      <c r="B125" s="169"/>
      <c r="C125" s="748"/>
      <c r="D125" s="753">
        <v>0</v>
      </c>
      <c r="E125" s="733">
        <v>0</v>
      </c>
      <c r="F125" s="733">
        <v>0</v>
      </c>
      <c r="G125" s="733">
        <v>0</v>
      </c>
      <c r="H125" s="733">
        <f t="shared" si="43"/>
        <v>0</v>
      </c>
      <c r="I125" s="44">
        <f t="shared" si="33"/>
        <v>0</v>
      </c>
      <c r="J125" s="124" t="str">
        <f t="shared" si="45"/>
        <v/>
      </c>
      <c r="K125" s="735">
        <f t="shared" si="44"/>
        <v>0</v>
      </c>
    </row>
    <row r="126" spans="1:11" ht="12.75" customHeight="1" x14ac:dyDescent="0.25">
      <c r="A126" s="574" t="s">
        <v>1298</v>
      </c>
      <c r="B126" s="169"/>
      <c r="C126" s="748">
        <v>0</v>
      </c>
      <c r="D126" s="753">
        <v>0</v>
      </c>
      <c r="E126" s="733">
        <v>0</v>
      </c>
      <c r="F126" s="733">
        <v>0</v>
      </c>
      <c r="G126" s="733">
        <v>0</v>
      </c>
      <c r="H126" s="733">
        <f t="shared" si="43"/>
        <v>0</v>
      </c>
      <c r="I126" s="44">
        <f t="shared" si="33"/>
        <v>0</v>
      </c>
      <c r="J126" s="124" t="str">
        <f t="shared" si="45"/>
        <v/>
      </c>
      <c r="K126" s="735">
        <f t="shared" si="44"/>
        <v>0</v>
      </c>
    </row>
    <row r="127" spans="1:11" ht="12.75" customHeight="1" x14ac:dyDescent="0.25">
      <c r="A127" s="574" t="s">
        <v>1299</v>
      </c>
      <c r="B127" s="169"/>
      <c r="C127" s="748">
        <v>0</v>
      </c>
      <c r="D127" s="753">
        <v>0</v>
      </c>
      <c r="E127" s="733">
        <v>0</v>
      </c>
      <c r="F127" s="733">
        <v>0</v>
      </c>
      <c r="G127" s="733">
        <v>0</v>
      </c>
      <c r="H127" s="733">
        <f t="shared" si="43"/>
        <v>0</v>
      </c>
      <c r="I127" s="44">
        <f t="shared" si="33"/>
        <v>0</v>
      </c>
      <c r="J127" s="124" t="str">
        <f t="shared" si="45"/>
        <v/>
      </c>
      <c r="K127" s="735">
        <f t="shared" si="44"/>
        <v>0</v>
      </c>
    </row>
    <row r="128" spans="1:11" ht="12.75" customHeight="1" x14ac:dyDescent="0.25">
      <c r="A128" s="574" t="s">
        <v>1300</v>
      </c>
      <c r="B128" s="169"/>
      <c r="C128" s="748">
        <v>0</v>
      </c>
      <c r="D128" s="753">
        <v>0</v>
      </c>
      <c r="E128" s="733">
        <v>2565420</v>
      </c>
      <c r="F128" s="733">
        <v>0</v>
      </c>
      <c r="G128" s="733">
        <v>0</v>
      </c>
      <c r="H128" s="733">
        <f t="shared" si="43"/>
        <v>2137850</v>
      </c>
      <c r="I128" s="44">
        <f t="shared" si="33"/>
        <v>2137850</v>
      </c>
      <c r="J128" s="124">
        <f t="shared" si="45"/>
        <v>1</v>
      </c>
      <c r="K128" s="735">
        <f t="shared" si="44"/>
        <v>2565420</v>
      </c>
    </row>
    <row r="129" spans="1:11" ht="12.75" customHeight="1" x14ac:dyDescent="0.25">
      <c r="A129" s="574" t="s">
        <v>1211</v>
      </c>
      <c r="B129" s="169"/>
      <c r="C129" s="748">
        <f>666377.11</f>
        <v>666377.11</v>
      </c>
      <c r="D129" s="753">
        <v>0</v>
      </c>
      <c r="E129" s="733">
        <v>0</v>
      </c>
      <c r="F129" s="733">
        <v>0</v>
      </c>
      <c r="G129" s="733">
        <v>0</v>
      </c>
      <c r="H129" s="733">
        <f t="shared" si="43"/>
        <v>0</v>
      </c>
      <c r="I129" s="44">
        <f t="shared" si="33"/>
        <v>0</v>
      </c>
      <c r="J129" s="124" t="str">
        <f t="shared" si="45"/>
        <v/>
      </c>
      <c r="K129" s="735">
        <f t="shared" si="44"/>
        <v>0</v>
      </c>
    </row>
    <row r="130" spans="1:11" ht="12.75" customHeight="1" x14ac:dyDescent="0.25">
      <c r="A130" s="518" t="s">
        <v>713</v>
      </c>
      <c r="B130" s="169"/>
      <c r="C130" s="648">
        <f t="shared" ref="C130:H130" si="46">SUM(C131:C133)</f>
        <v>0</v>
      </c>
      <c r="D130" s="649">
        <f t="shared" si="46"/>
        <v>0</v>
      </c>
      <c r="E130" s="408">
        <f t="shared" si="46"/>
        <v>0</v>
      </c>
      <c r="F130" s="408">
        <f t="shared" si="46"/>
        <v>0</v>
      </c>
      <c r="G130" s="408">
        <f t="shared" si="46"/>
        <v>0</v>
      </c>
      <c r="H130" s="408">
        <f t="shared" si="46"/>
        <v>0</v>
      </c>
      <c r="I130" s="258">
        <f t="shared" si="33"/>
        <v>0</v>
      </c>
      <c r="J130" s="575" t="str">
        <f t="shared" si="45"/>
        <v/>
      </c>
      <c r="K130" s="642">
        <f>SUM(K131:K133)</f>
        <v>0</v>
      </c>
    </row>
    <row r="131" spans="1:11" ht="12.75" customHeight="1" x14ac:dyDescent="0.25">
      <c r="A131" s="574" t="s">
        <v>1301</v>
      </c>
      <c r="B131" s="169"/>
      <c r="C131" s="748">
        <v>0</v>
      </c>
      <c r="D131" s="753">
        <v>0</v>
      </c>
      <c r="E131" s="733">
        <v>0</v>
      </c>
      <c r="F131" s="733">
        <v>0</v>
      </c>
      <c r="G131" s="733">
        <v>0</v>
      </c>
      <c r="H131" s="733">
        <v>0</v>
      </c>
      <c r="I131" s="44">
        <f t="shared" si="33"/>
        <v>0</v>
      </c>
      <c r="J131" s="124" t="str">
        <f t="shared" si="45"/>
        <v/>
      </c>
      <c r="K131" s="735">
        <v>0</v>
      </c>
    </row>
    <row r="132" spans="1:11" ht="12.75" customHeight="1" x14ac:dyDescent="0.25">
      <c r="A132" s="574" t="s">
        <v>1302</v>
      </c>
      <c r="B132" s="169"/>
      <c r="C132" s="748">
        <v>0</v>
      </c>
      <c r="D132" s="753">
        <v>0</v>
      </c>
      <c r="E132" s="733">
        <v>0</v>
      </c>
      <c r="F132" s="733">
        <v>0</v>
      </c>
      <c r="G132" s="733">
        <v>0</v>
      </c>
      <c r="H132" s="733">
        <v>0</v>
      </c>
      <c r="I132" s="44">
        <f t="shared" si="33"/>
        <v>0</v>
      </c>
      <c r="J132" s="124" t="str">
        <f t="shared" si="45"/>
        <v/>
      </c>
      <c r="K132" s="735">
        <v>0</v>
      </c>
    </row>
    <row r="133" spans="1:11" ht="12.75" customHeight="1" x14ac:dyDescent="0.25">
      <c r="A133" s="574" t="s">
        <v>1211</v>
      </c>
      <c r="B133" s="169"/>
      <c r="C133" s="748">
        <v>0</v>
      </c>
      <c r="D133" s="753">
        <v>0</v>
      </c>
      <c r="E133" s="733">
        <v>0</v>
      </c>
      <c r="F133" s="733">
        <v>0</v>
      </c>
      <c r="G133" s="733">
        <v>0</v>
      </c>
      <c r="H133" s="733">
        <v>0</v>
      </c>
      <c r="I133" s="44">
        <f t="shared" si="33"/>
        <v>0</v>
      </c>
      <c r="J133" s="124" t="str">
        <f t="shared" si="45"/>
        <v/>
      </c>
      <c r="K133" s="735">
        <v>0</v>
      </c>
    </row>
    <row r="134" spans="1:11" ht="5.0999999999999996" customHeight="1" x14ac:dyDescent="0.25">
      <c r="A134" s="39"/>
      <c r="B134" s="169"/>
      <c r="C134" s="134"/>
      <c r="D134" s="258"/>
      <c r="E134" s="44"/>
      <c r="F134" s="44"/>
      <c r="G134" s="44"/>
      <c r="H134" s="44"/>
      <c r="I134" s="44"/>
      <c r="J134" s="124" t="str">
        <f t="shared" si="45"/>
        <v/>
      </c>
      <c r="K134" s="144"/>
    </row>
    <row r="135" spans="1:11" ht="12.75" customHeight="1" x14ac:dyDescent="0.25">
      <c r="A135" s="549" t="s">
        <v>1303</v>
      </c>
      <c r="B135" s="169"/>
      <c r="C135" s="576">
        <f t="shared" ref="C135:H135" si="47">SUM(C136:C136)</f>
        <v>0</v>
      </c>
      <c r="D135" s="577">
        <f t="shared" si="47"/>
        <v>0</v>
      </c>
      <c r="E135" s="578">
        <f t="shared" si="47"/>
        <v>0</v>
      </c>
      <c r="F135" s="578">
        <f t="shared" si="47"/>
        <v>0</v>
      </c>
      <c r="G135" s="578">
        <f t="shared" si="47"/>
        <v>0</v>
      </c>
      <c r="H135" s="578">
        <f t="shared" si="47"/>
        <v>0</v>
      </c>
      <c r="I135" s="578">
        <f>H135-G135</f>
        <v>0</v>
      </c>
      <c r="J135" s="324" t="str">
        <f t="shared" si="45"/>
        <v/>
      </c>
      <c r="K135" s="580">
        <f>SUM(K136)</f>
        <v>0</v>
      </c>
    </row>
    <row r="136" spans="1:11" ht="12.75" customHeight="1" x14ac:dyDescent="0.25">
      <c r="A136" s="518" t="s">
        <v>1303</v>
      </c>
      <c r="B136" s="169"/>
      <c r="C136" s="748"/>
      <c r="D136" s="753"/>
      <c r="E136" s="733"/>
      <c r="F136" s="733"/>
      <c r="G136" s="733"/>
      <c r="H136" s="733"/>
      <c r="I136" s="44">
        <f>H136-G136</f>
        <v>0</v>
      </c>
      <c r="J136" s="124" t="str">
        <f t="shared" si="45"/>
        <v/>
      </c>
      <c r="K136" s="735"/>
    </row>
    <row r="137" spans="1:11" ht="5.0999999999999996" customHeight="1" x14ac:dyDescent="0.25">
      <c r="A137" s="548"/>
      <c r="B137" s="169"/>
      <c r="C137" s="134"/>
      <c r="D137" s="258"/>
      <c r="E137" s="44"/>
      <c r="F137" s="44"/>
      <c r="G137" s="44"/>
      <c r="H137" s="44"/>
      <c r="I137" s="44"/>
      <c r="J137" s="124" t="str">
        <f t="shared" si="45"/>
        <v/>
      </c>
      <c r="K137" s="144"/>
    </row>
    <row r="138" spans="1:11" s="100" customFormat="1" ht="12.75" customHeight="1" x14ac:dyDescent="0.25">
      <c r="A138" s="549" t="s">
        <v>1304</v>
      </c>
      <c r="B138" s="171"/>
      <c r="C138" s="941">
        <f t="shared" ref="C138:H138" si="48">SUM(C139:C140)</f>
        <v>0</v>
      </c>
      <c r="D138" s="942">
        <f t="shared" si="48"/>
        <v>303584</v>
      </c>
      <c r="E138" s="943">
        <f t="shared" si="48"/>
        <v>161690</v>
      </c>
      <c r="F138" s="943">
        <f t="shared" si="48"/>
        <v>0</v>
      </c>
      <c r="G138" s="943">
        <f t="shared" si="48"/>
        <v>161690</v>
      </c>
      <c r="H138" s="943">
        <f t="shared" si="48"/>
        <v>134741.66666666666</v>
      </c>
      <c r="I138" s="943">
        <f t="shared" ref="I138:I146" si="49">H138-G138</f>
        <v>-26948.333333333343</v>
      </c>
      <c r="J138" s="324">
        <f t="shared" si="45"/>
        <v>-0.20000000000000009</v>
      </c>
      <c r="K138" s="944">
        <f>SUM(K139:K140)</f>
        <v>161690</v>
      </c>
    </row>
    <row r="139" spans="1:11" ht="12.75" customHeight="1" x14ac:dyDescent="0.25">
      <c r="A139" s="517" t="s">
        <v>1305</v>
      </c>
      <c r="B139" s="169"/>
      <c r="C139" s="748"/>
      <c r="D139" s="753"/>
      <c r="E139" s="733"/>
      <c r="F139" s="733"/>
      <c r="G139" s="733"/>
      <c r="H139" s="733"/>
      <c r="I139" s="44">
        <f t="shared" si="49"/>
        <v>0</v>
      </c>
      <c r="J139" s="124" t="str">
        <f t="shared" si="45"/>
        <v/>
      </c>
      <c r="K139" s="735"/>
    </row>
    <row r="140" spans="1:11" ht="12.75" customHeight="1" x14ac:dyDescent="0.25">
      <c r="A140" s="517" t="s">
        <v>1306</v>
      </c>
      <c r="B140" s="169"/>
      <c r="C140" s="648">
        <f t="shared" ref="C140:H140" si="50">SUM(C141:C146)</f>
        <v>0</v>
      </c>
      <c r="D140" s="649">
        <f t="shared" si="50"/>
        <v>303584</v>
      </c>
      <c r="E140" s="408">
        <f t="shared" si="50"/>
        <v>161690</v>
      </c>
      <c r="F140" s="408">
        <f t="shared" si="50"/>
        <v>0</v>
      </c>
      <c r="G140" s="408">
        <f t="shared" si="50"/>
        <v>161690</v>
      </c>
      <c r="H140" s="408">
        <f t="shared" si="50"/>
        <v>134741.66666666666</v>
      </c>
      <c r="I140" s="258">
        <f t="shared" si="49"/>
        <v>-26948.333333333343</v>
      </c>
      <c r="J140" s="575">
        <f t="shared" si="45"/>
        <v>-0.20000000000000009</v>
      </c>
      <c r="K140" s="642">
        <f>SUM(K141:K146)</f>
        <v>161690</v>
      </c>
    </row>
    <row r="141" spans="1:11" ht="12.75" customHeight="1" x14ac:dyDescent="0.25">
      <c r="A141" s="574" t="s">
        <v>1307</v>
      </c>
      <c r="B141" s="169"/>
      <c r="C141" s="748">
        <v>0</v>
      </c>
      <c r="D141" s="753">
        <v>0</v>
      </c>
      <c r="E141" s="733">
        <v>0</v>
      </c>
      <c r="F141" s="733">
        <v>0</v>
      </c>
      <c r="G141" s="733">
        <v>0</v>
      </c>
      <c r="H141" s="733">
        <f t="shared" ref="H141:H146" si="51">E141/12*10</f>
        <v>0</v>
      </c>
      <c r="I141" s="44">
        <f t="shared" si="49"/>
        <v>0</v>
      </c>
      <c r="J141" s="124" t="str">
        <f t="shared" si="45"/>
        <v/>
      </c>
      <c r="K141" s="735">
        <f t="shared" ref="K141:K146" si="52">E141</f>
        <v>0</v>
      </c>
    </row>
    <row r="142" spans="1:11" ht="12.75" customHeight="1" x14ac:dyDescent="0.25">
      <c r="A142" s="574" t="s">
        <v>1308</v>
      </c>
      <c r="B142" s="169"/>
      <c r="C142" s="748">
        <v>0</v>
      </c>
      <c r="D142" s="753">
        <v>0</v>
      </c>
      <c r="E142" s="733">
        <v>0</v>
      </c>
      <c r="F142" s="733">
        <v>0</v>
      </c>
      <c r="G142" s="733">
        <v>0</v>
      </c>
      <c r="H142" s="733">
        <f t="shared" si="51"/>
        <v>0</v>
      </c>
      <c r="I142" s="44">
        <f t="shared" si="49"/>
        <v>0</v>
      </c>
      <c r="J142" s="124" t="str">
        <f t="shared" si="45"/>
        <v/>
      </c>
      <c r="K142" s="735">
        <f t="shared" si="52"/>
        <v>0</v>
      </c>
    </row>
    <row r="143" spans="1:11" ht="12.75" customHeight="1" x14ac:dyDescent="0.25">
      <c r="A143" s="574" t="s">
        <v>1309</v>
      </c>
      <c r="B143" s="169"/>
      <c r="C143" s="748">
        <v>0</v>
      </c>
      <c r="D143" s="753">
        <v>0</v>
      </c>
      <c r="E143" s="733">
        <v>0</v>
      </c>
      <c r="F143" s="733">
        <v>0</v>
      </c>
      <c r="G143" s="733">
        <v>0</v>
      </c>
      <c r="H143" s="733">
        <f t="shared" si="51"/>
        <v>0</v>
      </c>
      <c r="I143" s="44">
        <f t="shared" si="49"/>
        <v>0</v>
      </c>
      <c r="J143" s="124" t="str">
        <f t="shared" si="45"/>
        <v/>
      </c>
      <c r="K143" s="735">
        <f t="shared" si="52"/>
        <v>0</v>
      </c>
    </row>
    <row r="144" spans="1:11" ht="12.75" customHeight="1" x14ac:dyDescent="0.25">
      <c r="A144" s="574" t="s">
        <v>1310</v>
      </c>
      <c r="B144" s="169"/>
      <c r="C144" s="748">
        <v>0</v>
      </c>
      <c r="D144" s="753">
        <v>303584</v>
      </c>
      <c r="E144" s="733">
        <v>161690</v>
      </c>
      <c r="F144" s="733">
        <v>0</v>
      </c>
      <c r="G144" s="733">
        <v>161690</v>
      </c>
      <c r="H144" s="733">
        <f t="shared" si="51"/>
        <v>134741.66666666666</v>
      </c>
      <c r="I144" s="44">
        <f t="shared" si="49"/>
        <v>-26948.333333333343</v>
      </c>
      <c r="J144" s="124">
        <f t="shared" si="45"/>
        <v>-0.20000000000000009</v>
      </c>
      <c r="K144" s="735">
        <f t="shared" si="52"/>
        <v>161690</v>
      </c>
    </row>
    <row r="145" spans="1:12" ht="12.75" customHeight="1" x14ac:dyDescent="0.25">
      <c r="A145" s="574" t="s">
        <v>1311</v>
      </c>
      <c r="B145" s="169"/>
      <c r="C145" s="748">
        <v>0</v>
      </c>
      <c r="D145" s="753">
        <v>0</v>
      </c>
      <c r="E145" s="733">
        <v>0</v>
      </c>
      <c r="F145" s="733">
        <v>0</v>
      </c>
      <c r="G145" s="733">
        <v>0</v>
      </c>
      <c r="H145" s="733">
        <f t="shared" si="51"/>
        <v>0</v>
      </c>
      <c r="I145" s="44">
        <f t="shared" si="49"/>
        <v>0</v>
      </c>
      <c r="J145" s="124" t="str">
        <f t="shared" si="45"/>
        <v/>
      </c>
      <c r="K145" s="735">
        <f t="shared" si="52"/>
        <v>0</v>
      </c>
    </row>
    <row r="146" spans="1:12" ht="12.75" customHeight="1" x14ac:dyDescent="0.25">
      <c r="A146" s="574" t="s">
        <v>1312</v>
      </c>
      <c r="B146" s="169"/>
      <c r="C146" s="748">
        <v>0</v>
      </c>
      <c r="D146" s="753">
        <v>0</v>
      </c>
      <c r="E146" s="733">
        <v>0</v>
      </c>
      <c r="F146" s="733">
        <v>0</v>
      </c>
      <c r="G146" s="733">
        <v>0</v>
      </c>
      <c r="H146" s="733">
        <f t="shared" si="51"/>
        <v>0</v>
      </c>
      <c r="I146" s="44">
        <f t="shared" si="49"/>
        <v>0</v>
      </c>
      <c r="J146" s="124" t="str">
        <f t="shared" si="45"/>
        <v/>
      </c>
      <c r="K146" s="735">
        <f t="shared" si="52"/>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53">SUM(C149:C149)</f>
        <v>2352421.807</v>
      </c>
      <c r="D148" s="577">
        <f t="shared" si="53"/>
        <v>2000000</v>
      </c>
      <c r="E148" s="578">
        <f t="shared" si="53"/>
        <v>2500000</v>
      </c>
      <c r="F148" s="578">
        <f t="shared" si="53"/>
        <v>876540.39600000007</v>
      </c>
      <c r="G148" s="578">
        <f t="shared" si="53"/>
        <v>2158047.818</v>
      </c>
      <c r="H148" s="578">
        <f t="shared" si="53"/>
        <v>2083333.3333333335</v>
      </c>
      <c r="I148" s="578">
        <f>H148-G148</f>
        <v>-74714.484666666482</v>
      </c>
      <c r="J148" s="324">
        <f>IF(I148=0,"",I148/H148)</f>
        <v>-3.5862952639999911E-2</v>
      </c>
      <c r="K148" s="580">
        <f>SUM(K149)</f>
        <v>2500000</v>
      </c>
    </row>
    <row r="149" spans="1:12" ht="12.75" customHeight="1" x14ac:dyDescent="0.25">
      <c r="A149" s="518" t="s">
        <v>1313</v>
      </c>
      <c r="B149" s="169"/>
      <c r="C149" s="748">
        <v>2352421.807</v>
      </c>
      <c r="D149" s="753">
        <v>2000000</v>
      </c>
      <c r="E149" s="733">
        <v>2500000</v>
      </c>
      <c r="F149" s="733">
        <v>876540.39600000007</v>
      </c>
      <c r="G149" s="733">
        <v>2158047.818</v>
      </c>
      <c r="H149" s="733">
        <f>E149/12*10</f>
        <v>2083333.3333333335</v>
      </c>
      <c r="I149" s="44">
        <f>H149-G149</f>
        <v>-74714.484666666482</v>
      </c>
      <c r="J149" s="124">
        <f>IF(I149=0,"",I149/H149)</f>
        <v>-3.5862952639999911E-2</v>
      </c>
      <c r="K149" s="735">
        <f>E149</f>
        <v>2500000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4">SUM(C152:C152)</f>
        <v>1103425</v>
      </c>
      <c r="D151" s="577">
        <f t="shared" si="54"/>
        <v>373225</v>
      </c>
      <c r="E151" s="578">
        <f t="shared" si="54"/>
        <v>1773225</v>
      </c>
      <c r="F151" s="578">
        <f t="shared" si="54"/>
        <v>0</v>
      </c>
      <c r="G151" s="578">
        <f t="shared" si="54"/>
        <v>33205.870499999997</v>
      </c>
      <c r="H151" s="578">
        <f t="shared" si="54"/>
        <v>1477687.5</v>
      </c>
      <c r="I151" s="578">
        <f>H151-G151</f>
        <v>1444481.6295</v>
      </c>
      <c r="J151" s="324">
        <f>IF(I151=0,"",I151/H151)</f>
        <v>0.97752848927801039</v>
      </c>
      <c r="K151" s="580">
        <f>SUM(K152)</f>
        <v>1773225</v>
      </c>
    </row>
    <row r="152" spans="1:12" ht="12.75" customHeight="1" x14ac:dyDescent="0.25">
      <c r="A152" s="518" t="s">
        <v>1314</v>
      </c>
      <c r="B152" s="169"/>
      <c r="C152" s="748">
        <v>1103425</v>
      </c>
      <c r="D152" s="753">
        <v>373225</v>
      </c>
      <c r="E152" s="733">
        <v>1773225</v>
      </c>
      <c r="F152" s="733">
        <v>0</v>
      </c>
      <c r="G152" s="733">
        <v>33205.870499999997</v>
      </c>
      <c r="H152" s="733">
        <f>E152/12*10</f>
        <v>1477687.5</v>
      </c>
      <c r="I152" s="44">
        <f>H152-G152</f>
        <v>1444481.6295</v>
      </c>
      <c r="J152" s="124">
        <f>IF(I152=0,"",I152/H152)</f>
        <v>0.97752848927801039</v>
      </c>
      <c r="K152" s="735">
        <f>E152</f>
        <v>1773225</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5">SUM(C155:C155)</f>
        <v>6427758.2615</v>
      </c>
      <c r="D154" s="577">
        <f t="shared" si="55"/>
        <v>3670121</v>
      </c>
      <c r="E154" s="578">
        <f t="shared" si="55"/>
        <v>3159997</v>
      </c>
      <c r="F154" s="578">
        <f t="shared" si="55"/>
        <v>0</v>
      </c>
      <c r="G154" s="578">
        <f t="shared" si="55"/>
        <v>36144.5</v>
      </c>
      <c r="H154" s="578">
        <f t="shared" si="55"/>
        <v>2633330.833333333</v>
      </c>
      <c r="I154" s="578">
        <f>H154-G154</f>
        <v>2597186.333333333</v>
      </c>
      <c r="J154" s="324">
        <f>IF(I154=0,"",I154/H154)</f>
        <v>0.98627422747553239</v>
      </c>
      <c r="K154" s="580">
        <f>SUM(K155)</f>
        <v>3159997</v>
      </c>
    </row>
    <row r="155" spans="1:12" ht="12.75" customHeight="1" x14ac:dyDescent="0.25">
      <c r="A155" s="518" t="s">
        <v>1315</v>
      </c>
      <c r="B155" s="169"/>
      <c r="C155" s="748">
        <v>6427758.2615</v>
      </c>
      <c r="D155" s="753">
        <v>3670121</v>
      </c>
      <c r="E155" s="733">
        <v>3159997</v>
      </c>
      <c r="F155" s="733">
        <v>0</v>
      </c>
      <c r="G155" s="733">
        <v>36144.5</v>
      </c>
      <c r="H155" s="733">
        <f>E155/12*10</f>
        <v>2633330.833333333</v>
      </c>
      <c r="I155" s="44">
        <f>H155-G155</f>
        <v>2597186.333333333</v>
      </c>
      <c r="J155" s="124">
        <f>IF(I155=0,"",I155/H155)</f>
        <v>0.98627422747553239</v>
      </c>
      <c r="K155" s="735">
        <f>E155</f>
        <v>3159997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6">SUM(C158:C158)</f>
        <v>53035881.218369007</v>
      </c>
      <c r="D157" s="577">
        <f t="shared" si="56"/>
        <v>20000000</v>
      </c>
      <c r="E157" s="578">
        <f t="shared" si="56"/>
        <v>60500000</v>
      </c>
      <c r="F157" s="578">
        <f t="shared" si="56"/>
        <v>49741990.888000004</v>
      </c>
      <c r="G157" s="578">
        <f t="shared" si="56"/>
        <v>49741990.888000004</v>
      </c>
      <c r="H157" s="578">
        <f t="shared" si="56"/>
        <v>50416666.666666672</v>
      </c>
      <c r="I157" s="578">
        <f>H157-G157</f>
        <v>674675.77866666764</v>
      </c>
      <c r="J157" s="324">
        <f>IF(I157=0,"",I157/H157)</f>
        <v>1.3381998915702497E-2</v>
      </c>
      <c r="K157" s="580">
        <f>SUM(K158)</f>
        <v>60500000</v>
      </c>
    </row>
    <row r="158" spans="1:12" ht="12.75" customHeight="1" x14ac:dyDescent="0.25">
      <c r="A158" s="518" t="s">
        <v>1316</v>
      </c>
      <c r="B158" s="169"/>
      <c r="C158" s="748">
        <f>219803527.248369-166767646.03</f>
        <v>53035881.218369007</v>
      </c>
      <c r="D158" s="753">
        <v>20000000</v>
      </c>
      <c r="E158" s="733">
        <v>60500000</v>
      </c>
      <c r="F158" s="733">
        <v>49741990.888000004</v>
      </c>
      <c r="G158" s="733">
        <v>49741990.888000004</v>
      </c>
      <c r="H158" s="733">
        <f>E158/12*10</f>
        <v>50416666.666666672</v>
      </c>
      <c r="I158" s="44">
        <f>H158-G158</f>
        <v>674675.77866666764</v>
      </c>
      <c r="J158" s="124">
        <f>IF(I158=0,"",I158/H158)</f>
        <v>1.3381998915702497E-2</v>
      </c>
      <c r="K158" s="735">
        <f>E158</f>
        <v>60500000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7">SUM(C161:C161)</f>
        <v>0</v>
      </c>
      <c r="D160" s="577">
        <f t="shared" si="57"/>
        <v>0</v>
      </c>
      <c r="E160" s="578">
        <f t="shared" si="57"/>
        <v>0</v>
      </c>
      <c r="F160" s="578">
        <f t="shared" si="57"/>
        <v>0</v>
      </c>
      <c r="G160" s="578">
        <f t="shared" si="57"/>
        <v>0</v>
      </c>
      <c r="H160" s="578">
        <f t="shared" si="57"/>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58">SUM(C164:C164)</f>
        <v>0</v>
      </c>
      <c r="D163" s="577">
        <f t="shared" si="58"/>
        <v>0</v>
      </c>
      <c r="E163" s="578">
        <f t="shared" si="58"/>
        <v>0</v>
      </c>
      <c r="F163" s="578">
        <f t="shared" si="58"/>
        <v>0</v>
      </c>
      <c r="G163" s="578">
        <f t="shared" si="58"/>
        <v>0</v>
      </c>
      <c r="H163" s="578">
        <f t="shared" si="58"/>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1003"/>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59">C7+C75+C103+C110+C117+C135+C138+C148+C151+C154+C157+C160+C163</f>
        <v>812849600.0577023</v>
      </c>
      <c r="D166" s="271">
        <f t="shared" si="59"/>
        <v>845912778</v>
      </c>
      <c r="E166" s="55">
        <f t="shared" si="59"/>
        <v>717741124</v>
      </c>
      <c r="F166" s="55">
        <f t="shared" si="59"/>
        <v>93381956.326499999</v>
      </c>
      <c r="G166" s="55">
        <f t="shared" si="59"/>
        <v>407426601.07100004</v>
      </c>
      <c r="H166" s="55">
        <f t="shared" si="59"/>
        <v>598117603.33333325</v>
      </c>
      <c r="I166" s="55">
        <f>H166-G166</f>
        <v>190691002.26233321</v>
      </c>
      <c r="J166" s="290">
        <f>IF(I166=0,"",I166/H166)</f>
        <v>0.31881857547680365</v>
      </c>
      <c r="K166" s="235">
        <f>K7+K75+K103+K110+K117+K135+K138+K148+K151+K154+K157+K160+K163</f>
        <v>717741124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C166+SC13b!C166+SC13e!C166-'C5-Capex'!C40</f>
        <v>1.8689632415771484E-3</v>
      </c>
      <c r="D171" s="135">
        <f>D166+SC13b!D166+SC13e!D166-'C5-Capex'!D40</f>
        <v>0</v>
      </c>
      <c r="E171" s="135">
        <f>E166+SC13b!E166+SC13e!E166-'C5-Capex'!E40</f>
        <v>0.58036541938781738</v>
      </c>
      <c r="F171" s="135">
        <f>F166+SC13b!F166+SC13e!F166-'C5-Capex'!F40</f>
        <v>0</v>
      </c>
      <c r="G171" s="135">
        <f>G166+SC13b!G166+SC13e!G166-'C5-Capex'!G40</f>
        <v>1.0000109672546387E-2</v>
      </c>
      <c r="H171" s="135">
        <f>H166+SC13b!H166+SC13e!H166-'C5-Capex'!H40</f>
        <v>0.48363780975341797</v>
      </c>
      <c r="I171" s="135"/>
      <c r="J171" s="135"/>
      <c r="K171" s="135">
        <f>K166+SC13b!K166+SC13e!K166-'C5-Capex'!K40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indexed="42"/>
  </sheetPr>
  <dimension ref="A1:L206"/>
  <sheetViews>
    <sheetView showGridLines="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"&amp;S71Sb&amp; " - "&amp;Head57</f>
        <v>LIM354 Polokwane - Supporting Table SC13b Monthly Budget Statement - capital expenditure on renewal of existing assets by asset class - M10 April</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41799947.926333331</v>
      </c>
      <c r="D7" s="602">
        <f t="shared" si="0"/>
        <v>1500000</v>
      </c>
      <c r="E7" s="102">
        <f t="shared" si="0"/>
        <v>9180377</v>
      </c>
      <c r="F7" s="102">
        <f t="shared" si="0"/>
        <v>387779.43650000007</v>
      </c>
      <c r="G7" s="102">
        <f t="shared" si="0"/>
        <v>1276222.344</v>
      </c>
      <c r="H7" s="102">
        <f t="shared" si="0"/>
        <v>7650314.166666667</v>
      </c>
      <c r="I7" s="101">
        <f t="shared" ref="I7:I133" si="1">H7-G7</f>
        <v>6374091.8226666674</v>
      </c>
      <c r="J7" s="579">
        <f t="shared" ref="J7:J136" si="2">IF(I7=0,"",I7/H7)</f>
        <v>0.8331804006741772</v>
      </c>
      <c r="K7" s="603">
        <f>K8+K13+K17+K27+K38+K45+K53+K63+K69</f>
        <v>9180377</v>
      </c>
    </row>
    <row r="8" spans="1:11" ht="12.75" customHeight="1" x14ac:dyDescent="0.25">
      <c r="A8" s="518" t="s">
        <v>1208</v>
      </c>
      <c r="B8" s="169"/>
      <c r="C8" s="677">
        <f t="shared" ref="C8:H8" si="3">SUM(C9:C12)</f>
        <v>2787861.7859999998</v>
      </c>
      <c r="D8" s="609">
        <f t="shared" si="3"/>
        <v>1500000</v>
      </c>
      <c r="E8" s="608">
        <f t="shared" si="3"/>
        <v>3500000</v>
      </c>
      <c r="F8" s="608">
        <f t="shared" si="3"/>
        <v>387779.43650000007</v>
      </c>
      <c r="G8" s="608">
        <f t="shared" si="3"/>
        <v>1276222.344</v>
      </c>
      <c r="H8" s="608">
        <f t="shared" si="3"/>
        <v>2916666.666666667</v>
      </c>
      <c r="I8" s="258">
        <f t="shared" si="1"/>
        <v>1640444.3226666669</v>
      </c>
      <c r="J8" s="575">
        <f t="shared" si="2"/>
        <v>0.5624380534857143</v>
      </c>
      <c r="K8" s="610">
        <f>SUM(K9:K12)</f>
        <v>3500000</v>
      </c>
    </row>
    <row r="9" spans="1:11" ht="12.75" customHeight="1" x14ac:dyDescent="0.25">
      <c r="A9" s="574" t="s">
        <v>168</v>
      </c>
      <c r="B9" s="169"/>
      <c r="C9" s="748">
        <v>2787861.7859999998</v>
      </c>
      <c r="D9" s="745">
        <v>1500000</v>
      </c>
      <c r="E9" s="733">
        <v>3500000</v>
      </c>
      <c r="F9" s="733">
        <v>387779.43650000007</v>
      </c>
      <c r="G9" s="733">
        <v>1276222.344</v>
      </c>
      <c r="H9" s="733">
        <f>E9/12*10</f>
        <v>2916666.666666667</v>
      </c>
      <c r="I9" s="258">
        <f t="shared" si="1"/>
        <v>1640444.3226666669</v>
      </c>
      <c r="J9" s="575">
        <f t="shared" si="2"/>
        <v>0.5624380534857143</v>
      </c>
      <c r="K9" s="735">
        <f>E9</f>
        <v>3500000</v>
      </c>
    </row>
    <row r="10" spans="1:11" ht="12.75" customHeight="1" x14ac:dyDescent="0.25">
      <c r="A10" s="574" t="s">
        <v>1209</v>
      </c>
      <c r="B10" s="169"/>
      <c r="C10" s="748">
        <v>0</v>
      </c>
      <c r="D10" s="745">
        <v>0</v>
      </c>
      <c r="E10" s="733">
        <v>0</v>
      </c>
      <c r="F10" s="733">
        <v>0</v>
      </c>
      <c r="G10" s="733">
        <v>0</v>
      </c>
      <c r="H10" s="733">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v>0</v>
      </c>
      <c r="I16" s="258">
        <f t="shared" si="1"/>
        <v>0</v>
      </c>
      <c r="J16" s="575" t="str">
        <f t="shared" si="2"/>
        <v/>
      </c>
      <c r="K16" s="735">
        <f>E16</f>
        <v>0</v>
      </c>
    </row>
    <row r="17" spans="1:11" ht="12.75" customHeight="1" x14ac:dyDescent="0.25">
      <c r="A17" s="518" t="s">
        <v>1216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1217</v>
      </c>
      <c r="B18" s="169"/>
      <c r="C18" s="748">
        <v>0</v>
      </c>
      <c r="D18" s="745">
        <v>0</v>
      </c>
      <c r="E18" s="733">
        <v>0</v>
      </c>
      <c r="F18" s="733">
        <v>0</v>
      </c>
      <c r="G18" s="733">
        <v>0</v>
      </c>
      <c r="H18" s="733">
        <v>0</v>
      </c>
      <c r="I18" s="258">
        <f t="shared" si="1"/>
        <v>0</v>
      </c>
      <c r="J18" s="575" t="str">
        <f t="shared" si="2"/>
        <v/>
      </c>
      <c r="K18" s="735">
        <f t="shared" ref="K18:K26" si="6">E18</f>
        <v>0</v>
      </c>
    </row>
    <row r="19" spans="1:11" ht="12.75" customHeight="1" x14ac:dyDescent="0.25">
      <c r="A19" s="574" t="s">
        <v>1218</v>
      </c>
      <c r="B19" s="169"/>
      <c r="C19" s="748">
        <v>0</v>
      </c>
      <c r="D19" s="745">
        <v>0</v>
      </c>
      <c r="E19" s="733">
        <v>0</v>
      </c>
      <c r="F19" s="733">
        <v>0</v>
      </c>
      <c r="G19" s="733">
        <v>0</v>
      </c>
      <c r="H19" s="733">
        <v>0</v>
      </c>
      <c r="I19" s="258">
        <f t="shared" si="1"/>
        <v>0</v>
      </c>
      <c r="J19" s="575" t="str">
        <f t="shared" si="2"/>
        <v/>
      </c>
      <c r="K19" s="735">
        <f t="shared" si="6"/>
        <v>0</v>
      </c>
    </row>
    <row r="20" spans="1:11" ht="12.75" customHeight="1" x14ac:dyDescent="0.25">
      <c r="A20" s="574" t="s">
        <v>1219</v>
      </c>
      <c r="B20" s="169"/>
      <c r="C20" s="748">
        <v>0</v>
      </c>
      <c r="D20" s="745">
        <v>0</v>
      </c>
      <c r="E20" s="733">
        <v>0</v>
      </c>
      <c r="F20" s="733">
        <v>0</v>
      </c>
      <c r="G20" s="733">
        <v>0</v>
      </c>
      <c r="H20" s="733">
        <v>0</v>
      </c>
      <c r="I20" s="258">
        <f t="shared" si="1"/>
        <v>0</v>
      </c>
      <c r="J20" s="575" t="str">
        <f t="shared" si="2"/>
        <v/>
      </c>
      <c r="K20" s="735">
        <f t="shared" si="6"/>
        <v>0</v>
      </c>
    </row>
    <row r="21" spans="1:11" ht="12.75" customHeight="1" x14ac:dyDescent="0.25">
      <c r="A21" s="574" t="s">
        <v>1220</v>
      </c>
      <c r="B21" s="169"/>
      <c r="C21" s="748">
        <v>59055.179499999998</v>
      </c>
      <c r="D21" s="745">
        <v>0</v>
      </c>
      <c r="E21" s="733">
        <v>0</v>
      </c>
      <c r="F21" s="733">
        <v>0</v>
      </c>
      <c r="G21" s="733">
        <v>0</v>
      </c>
      <c r="H21" s="733">
        <v>0</v>
      </c>
      <c r="I21" s="258">
        <f t="shared" si="1"/>
        <v>0</v>
      </c>
      <c r="J21" s="575" t="str">
        <f t="shared" si="2"/>
        <v/>
      </c>
      <c r="K21" s="735">
        <f t="shared" si="6"/>
        <v>0</v>
      </c>
    </row>
    <row r="22" spans="1:11" ht="12.75" customHeight="1" x14ac:dyDescent="0.25">
      <c r="A22" s="574" t="s">
        <v>1221</v>
      </c>
      <c r="B22" s="169"/>
      <c r="C22" s="748">
        <v>0</v>
      </c>
      <c r="D22" s="745">
        <v>0</v>
      </c>
      <c r="E22" s="733">
        <v>0</v>
      </c>
      <c r="F22" s="733">
        <v>0</v>
      </c>
      <c r="G22" s="733">
        <v>0</v>
      </c>
      <c r="H22" s="733">
        <v>0</v>
      </c>
      <c r="I22" s="258">
        <f t="shared" si="1"/>
        <v>0</v>
      </c>
      <c r="J22" s="575" t="str">
        <f t="shared" si="2"/>
        <v/>
      </c>
      <c r="K22" s="735">
        <f t="shared" si="6"/>
        <v>0</v>
      </c>
    </row>
    <row r="23" spans="1:11" ht="12.75" customHeight="1" x14ac:dyDescent="0.25">
      <c r="A23" s="574" t="s">
        <v>1222</v>
      </c>
      <c r="B23" s="169"/>
      <c r="C23" s="748">
        <v>0</v>
      </c>
      <c r="D23" s="745">
        <v>0</v>
      </c>
      <c r="E23" s="733">
        <v>0</v>
      </c>
      <c r="F23" s="733">
        <v>0</v>
      </c>
      <c r="G23" s="733">
        <v>0</v>
      </c>
      <c r="H23" s="733">
        <v>0</v>
      </c>
      <c r="I23" s="258">
        <f t="shared" si="1"/>
        <v>0</v>
      </c>
      <c r="J23" s="575" t="str">
        <f t="shared" si="2"/>
        <v/>
      </c>
      <c r="K23" s="735">
        <f t="shared" si="6"/>
        <v>0</v>
      </c>
    </row>
    <row r="24" spans="1:11" ht="12.75" customHeight="1" x14ac:dyDescent="0.25">
      <c r="A24" s="574" t="s">
        <v>1223</v>
      </c>
      <c r="B24" s="169"/>
      <c r="C24" s="748">
        <v>0</v>
      </c>
      <c r="D24" s="745">
        <v>0</v>
      </c>
      <c r="E24" s="733">
        <v>0</v>
      </c>
      <c r="F24" s="733">
        <v>0</v>
      </c>
      <c r="G24" s="733">
        <v>0</v>
      </c>
      <c r="H24" s="733">
        <v>0</v>
      </c>
      <c r="I24" s="258">
        <f t="shared" si="1"/>
        <v>0</v>
      </c>
      <c r="J24" s="575" t="str">
        <f t="shared" si="2"/>
        <v/>
      </c>
      <c r="K24" s="735">
        <f t="shared" si="6"/>
        <v>0</v>
      </c>
    </row>
    <row r="25" spans="1:11" ht="12.75" customHeight="1" x14ac:dyDescent="0.25">
      <c r="A25" s="574" t="s">
        <v>1224</v>
      </c>
      <c r="B25" s="169"/>
      <c r="C25" s="748">
        <v>0</v>
      </c>
      <c r="D25" s="745">
        <v>0</v>
      </c>
      <c r="E25" s="733">
        <v>0</v>
      </c>
      <c r="F25" s="733">
        <v>0</v>
      </c>
      <c r="G25" s="733">
        <v>0</v>
      </c>
      <c r="H25" s="733">
        <v>0</v>
      </c>
      <c r="I25" s="258">
        <f t="shared" si="1"/>
        <v>0</v>
      </c>
      <c r="J25" s="575" t="str">
        <f t="shared" si="2"/>
        <v/>
      </c>
      <c r="K25" s="735">
        <f t="shared" si="6"/>
        <v>0</v>
      </c>
    </row>
    <row r="26" spans="1:11" ht="12.75" customHeight="1" x14ac:dyDescent="0.25">
      <c r="A26" s="574" t="s">
        <v>1211</v>
      </c>
      <c r="B26" s="169"/>
      <c r="C26" s="748">
        <v>0</v>
      </c>
      <c r="D26" s="745">
        <v>0</v>
      </c>
      <c r="E26" s="733">
        <v>0</v>
      </c>
      <c r="F26" s="733">
        <v>0</v>
      </c>
      <c r="G26" s="733">
        <v>0</v>
      </c>
      <c r="H26" s="733">
        <v>0</v>
      </c>
      <c r="I26" s="258">
        <f t="shared" si="1"/>
        <v>0</v>
      </c>
      <c r="J26" s="575" t="str">
        <f t="shared" si="2"/>
        <v/>
      </c>
      <c r="K26" s="735">
        <f t="shared" si="6"/>
        <v>0</v>
      </c>
    </row>
    <row r="27" spans="1:11" ht="12.75" customHeight="1" x14ac:dyDescent="0.25">
      <c r="A27" s="517" t="s">
        <v>1225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5">
      <c r="A28" s="574" t="s">
        <v>1226</v>
      </c>
      <c r="B28" s="169"/>
      <c r="C28" s="748">
        <v>0</v>
      </c>
      <c r="D28" s="745">
        <v>0</v>
      </c>
      <c r="E28" s="733">
        <v>0</v>
      </c>
      <c r="F28" s="733">
        <v>0</v>
      </c>
      <c r="G28" s="733">
        <v>0</v>
      </c>
      <c r="H28" s="733">
        <v>0</v>
      </c>
      <c r="I28" s="258">
        <f t="shared" si="1"/>
        <v>0</v>
      </c>
      <c r="J28" s="575" t="str">
        <f t="shared" si="2"/>
        <v/>
      </c>
      <c r="K28" s="735">
        <f t="shared" ref="K28:K37" si="8">E28</f>
        <v>0</v>
      </c>
    </row>
    <row r="29" spans="1:11" ht="12.75" customHeight="1" x14ac:dyDescent="0.25">
      <c r="A29" s="574" t="s">
        <v>1227</v>
      </c>
      <c r="B29" s="169"/>
      <c r="C29" s="748">
        <v>0</v>
      </c>
      <c r="D29" s="745">
        <v>0</v>
      </c>
      <c r="E29" s="733">
        <v>0</v>
      </c>
      <c r="F29" s="733">
        <v>0</v>
      </c>
      <c r="G29" s="733">
        <v>0</v>
      </c>
      <c r="H29" s="733">
        <v>0</v>
      </c>
      <c r="I29" s="258">
        <f t="shared" si="1"/>
        <v>0</v>
      </c>
      <c r="J29" s="575" t="str">
        <f t="shared" si="2"/>
        <v/>
      </c>
      <c r="K29" s="735">
        <f t="shared" si="8"/>
        <v>0</v>
      </c>
    </row>
    <row r="30" spans="1:11" ht="12.75" customHeight="1" x14ac:dyDescent="0.25">
      <c r="A30" s="574" t="s">
        <v>1228</v>
      </c>
      <c r="B30" s="169"/>
      <c r="C30" s="748">
        <v>0</v>
      </c>
      <c r="D30" s="745">
        <v>0</v>
      </c>
      <c r="E30" s="733">
        <v>0</v>
      </c>
      <c r="F30" s="733">
        <v>0</v>
      </c>
      <c r="G30" s="733">
        <v>0</v>
      </c>
      <c r="H30" s="733">
        <v>0</v>
      </c>
      <c r="I30" s="258">
        <f t="shared" si="1"/>
        <v>0</v>
      </c>
      <c r="J30" s="575" t="str">
        <f t="shared" si="2"/>
        <v/>
      </c>
      <c r="K30" s="735">
        <f t="shared" si="8"/>
        <v>0</v>
      </c>
    </row>
    <row r="31" spans="1:11" ht="12.75" customHeight="1" x14ac:dyDescent="0.25">
      <c r="A31" s="574" t="s">
        <v>1229</v>
      </c>
      <c r="B31" s="169"/>
      <c r="C31" s="748">
        <v>0</v>
      </c>
      <c r="D31" s="745">
        <v>0</v>
      </c>
      <c r="E31" s="733">
        <v>0</v>
      </c>
      <c r="F31" s="733">
        <v>0</v>
      </c>
      <c r="G31" s="733">
        <v>0</v>
      </c>
      <c r="H31" s="733">
        <v>0</v>
      </c>
      <c r="I31" s="258">
        <f t="shared" si="1"/>
        <v>0</v>
      </c>
      <c r="J31" s="575" t="str">
        <f t="shared" si="2"/>
        <v/>
      </c>
      <c r="K31" s="735">
        <f t="shared" si="8"/>
        <v>0</v>
      </c>
    </row>
    <row r="32" spans="1:11" ht="12.75" customHeight="1" x14ac:dyDescent="0.25">
      <c r="A32" s="574" t="s">
        <v>1230</v>
      </c>
      <c r="B32" s="169"/>
      <c r="C32" s="748">
        <v>0</v>
      </c>
      <c r="D32" s="745">
        <v>0</v>
      </c>
      <c r="E32" s="733">
        <v>0</v>
      </c>
      <c r="F32" s="733">
        <v>0</v>
      </c>
      <c r="G32" s="733">
        <v>0</v>
      </c>
      <c r="H32" s="733">
        <v>0</v>
      </c>
      <c r="I32" s="258">
        <f t="shared" si="1"/>
        <v>0</v>
      </c>
      <c r="J32" s="575" t="str">
        <f t="shared" si="2"/>
        <v/>
      </c>
      <c r="K32" s="735">
        <f t="shared" si="8"/>
        <v>0</v>
      </c>
    </row>
    <row r="33" spans="1:11" ht="12.75" customHeight="1" x14ac:dyDescent="0.25">
      <c r="A33" s="574" t="s">
        <v>1231</v>
      </c>
      <c r="B33" s="169"/>
      <c r="C33" s="748">
        <v>0</v>
      </c>
      <c r="D33" s="745">
        <v>0</v>
      </c>
      <c r="E33" s="733">
        <v>0</v>
      </c>
      <c r="F33" s="733">
        <v>0</v>
      </c>
      <c r="G33" s="733">
        <v>0</v>
      </c>
      <c r="H33" s="733">
        <v>0</v>
      </c>
      <c r="I33" s="258">
        <f t="shared" si="1"/>
        <v>0</v>
      </c>
      <c r="J33" s="575" t="str">
        <f t="shared" si="2"/>
        <v/>
      </c>
      <c r="K33" s="735">
        <f t="shared" si="8"/>
        <v>0</v>
      </c>
    </row>
    <row r="34" spans="1:11" ht="12.75" customHeight="1" x14ac:dyDescent="0.25">
      <c r="A34" s="574" t="s">
        <v>1232</v>
      </c>
      <c r="B34" s="169"/>
      <c r="C34" s="748">
        <v>0</v>
      </c>
      <c r="D34" s="745">
        <v>0</v>
      </c>
      <c r="E34" s="733">
        <v>0</v>
      </c>
      <c r="F34" s="733">
        <v>0</v>
      </c>
      <c r="G34" s="733">
        <v>0</v>
      </c>
      <c r="H34" s="733">
        <v>0</v>
      </c>
      <c r="I34" s="258">
        <f t="shared" si="1"/>
        <v>0</v>
      </c>
      <c r="J34" s="575" t="str">
        <f t="shared" si="2"/>
        <v/>
      </c>
      <c r="K34" s="735">
        <f t="shared" si="8"/>
        <v>0</v>
      </c>
    </row>
    <row r="35" spans="1:11" ht="12.75" customHeight="1" x14ac:dyDescent="0.25">
      <c r="A35" s="574" t="s">
        <v>1233</v>
      </c>
      <c r="B35" s="169"/>
      <c r="C35" s="748">
        <v>0</v>
      </c>
      <c r="D35" s="745">
        <v>0</v>
      </c>
      <c r="E35" s="733">
        <v>0</v>
      </c>
      <c r="F35" s="733">
        <v>0</v>
      </c>
      <c r="G35" s="733">
        <v>0</v>
      </c>
      <c r="H35" s="733">
        <v>0</v>
      </c>
      <c r="I35" s="258">
        <f t="shared" si="1"/>
        <v>0</v>
      </c>
      <c r="J35" s="575" t="str">
        <f t="shared" si="2"/>
        <v/>
      </c>
      <c r="K35" s="735">
        <f t="shared" si="8"/>
        <v>0</v>
      </c>
    </row>
    <row r="36" spans="1:11" ht="12.75" customHeight="1" x14ac:dyDescent="0.25">
      <c r="A36" s="574" t="s">
        <v>1234</v>
      </c>
      <c r="B36" s="169"/>
      <c r="C36" s="748">
        <v>0</v>
      </c>
      <c r="D36" s="745">
        <v>0</v>
      </c>
      <c r="E36" s="733">
        <v>0</v>
      </c>
      <c r="F36" s="733">
        <v>0</v>
      </c>
      <c r="G36" s="733">
        <v>0</v>
      </c>
      <c r="H36" s="733">
        <v>0</v>
      </c>
      <c r="I36" s="258">
        <f t="shared" si="1"/>
        <v>0</v>
      </c>
      <c r="J36" s="575" t="str">
        <f t="shared" si="2"/>
        <v/>
      </c>
      <c r="K36" s="735">
        <f t="shared" si="8"/>
        <v>0</v>
      </c>
    </row>
    <row r="37" spans="1:11" ht="12.75" customHeight="1" x14ac:dyDescent="0.25">
      <c r="A37" s="574" t="s">
        <v>1211</v>
      </c>
      <c r="B37" s="169"/>
      <c r="C37" s="748">
        <v>0</v>
      </c>
      <c r="D37" s="745">
        <v>0</v>
      </c>
      <c r="E37" s="733">
        <v>0</v>
      </c>
      <c r="F37" s="733">
        <v>0</v>
      </c>
      <c r="G37" s="733">
        <v>0</v>
      </c>
      <c r="H37" s="733">
        <v>0</v>
      </c>
      <c r="I37" s="258">
        <f t="shared" si="1"/>
        <v>0</v>
      </c>
      <c r="J37" s="575" t="str">
        <f t="shared" si="2"/>
        <v/>
      </c>
      <c r="K37" s="735">
        <f t="shared" si="8"/>
        <v>0</v>
      </c>
    </row>
    <row r="38" spans="1:11" ht="12.75" customHeight="1" x14ac:dyDescent="0.25">
      <c r="A38" s="517" t="s">
        <v>1235</v>
      </c>
      <c r="B38" s="169"/>
      <c r="C38" s="648">
        <f t="shared" ref="C38:H38" si="9">SUM(C39:C44)</f>
        <v>38953030.960833333</v>
      </c>
      <c r="D38" s="649">
        <f t="shared" si="9"/>
        <v>0</v>
      </c>
      <c r="E38" s="408">
        <f t="shared" si="9"/>
        <v>5680377</v>
      </c>
      <c r="F38" s="408">
        <f t="shared" si="9"/>
        <v>0</v>
      </c>
      <c r="G38" s="408">
        <f t="shared" si="9"/>
        <v>0</v>
      </c>
      <c r="H38" s="408">
        <f t="shared" si="9"/>
        <v>4733647.5</v>
      </c>
      <c r="I38" s="258">
        <f t="shared" si="1"/>
        <v>4733647.5</v>
      </c>
      <c r="J38" s="575">
        <f t="shared" si="2"/>
        <v>1</v>
      </c>
      <c r="K38" s="642">
        <f>SUM(K39:K44)</f>
        <v>5680377</v>
      </c>
    </row>
    <row r="39" spans="1:11" ht="12.75" customHeight="1" x14ac:dyDescent="0.25">
      <c r="A39" s="574" t="s">
        <v>1236</v>
      </c>
      <c r="B39" s="169"/>
      <c r="C39" s="748">
        <v>0</v>
      </c>
      <c r="D39" s="745">
        <v>0</v>
      </c>
      <c r="E39" s="733">
        <v>0</v>
      </c>
      <c r="F39" s="733">
        <v>0</v>
      </c>
      <c r="G39" s="733">
        <v>0</v>
      </c>
      <c r="H39" s="733">
        <v>0</v>
      </c>
      <c r="I39" s="258">
        <f t="shared" si="1"/>
        <v>0</v>
      </c>
      <c r="J39" s="575" t="str">
        <f t="shared" si="2"/>
        <v/>
      </c>
      <c r="K39" s="735">
        <f t="shared" ref="K39:K44" si="10">-E39</f>
        <v>0</v>
      </c>
    </row>
    <row r="40" spans="1:11" ht="12.75" customHeight="1" x14ac:dyDescent="0.25">
      <c r="A40" s="574" t="s">
        <v>135</v>
      </c>
      <c r="B40" s="169"/>
      <c r="C40" s="748">
        <v>0</v>
      </c>
      <c r="D40" s="745">
        <v>0</v>
      </c>
      <c r="E40" s="733">
        <v>0</v>
      </c>
      <c r="F40" s="733">
        <v>0</v>
      </c>
      <c r="G40" s="733">
        <v>0</v>
      </c>
      <c r="H40" s="733">
        <v>0</v>
      </c>
      <c r="I40" s="258">
        <f t="shared" si="1"/>
        <v>0</v>
      </c>
      <c r="J40" s="575" t="str">
        <f t="shared" si="2"/>
        <v/>
      </c>
      <c r="K40" s="735">
        <f t="shared" si="10"/>
        <v>0</v>
      </c>
    </row>
    <row r="41" spans="1:11" ht="12.75" customHeight="1" x14ac:dyDescent="0.25">
      <c r="A41" s="574" t="s">
        <v>1237</v>
      </c>
      <c r="B41" s="169"/>
      <c r="C41" s="748">
        <v>38953030.960833333</v>
      </c>
      <c r="D41" s="745">
        <v>0</v>
      </c>
      <c r="E41" s="733">
        <v>5680377</v>
      </c>
      <c r="F41" s="733">
        <v>0</v>
      </c>
      <c r="G41" s="733">
        <v>0</v>
      </c>
      <c r="H41" s="733">
        <f>E41/12*10</f>
        <v>4733647.5</v>
      </c>
      <c r="I41" s="258">
        <f t="shared" si="1"/>
        <v>4733647.5</v>
      </c>
      <c r="J41" s="575">
        <f t="shared" si="2"/>
        <v>1</v>
      </c>
      <c r="K41" s="735">
        <v>5680377</v>
      </c>
    </row>
    <row r="42" spans="1:11" ht="12.75" customHeight="1" x14ac:dyDescent="0.25">
      <c r="A42" s="574" t="s">
        <v>1238</v>
      </c>
      <c r="B42" s="169"/>
      <c r="C42" s="748">
        <v>0</v>
      </c>
      <c r="D42" s="745">
        <v>0</v>
      </c>
      <c r="E42" s="733">
        <v>0</v>
      </c>
      <c r="F42" s="733">
        <v>0</v>
      </c>
      <c r="G42" s="733">
        <v>0</v>
      </c>
      <c r="H42" s="733">
        <v>0</v>
      </c>
      <c r="I42" s="258">
        <f t="shared" si="1"/>
        <v>0</v>
      </c>
      <c r="J42" s="575" t="str">
        <f t="shared" si="2"/>
        <v/>
      </c>
      <c r="K42" s="735">
        <f t="shared" si="10"/>
        <v>0</v>
      </c>
    </row>
    <row r="43" spans="1:11" ht="12.75" customHeight="1" x14ac:dyDescent="0.25">
      <c r="A43" s="574" t="s">
        <v>1239</v>
      </c>
      <c r="B43" s="169"/>
      <c r="C43" s="748">
        <v>0</v>
      </c>
      <c r="D43" s="745">
        <v>0</v>
      </c>
      <c r="E43" s="733">
        <v>0</v>
      </c>
      <c r="F43" s="733">
        <v>0</v>
      </c>
      <c r="G43" s="733">
        <v>0</v>
      </c>
      <c r="H43" s="733">
        <v>0</v>
      </c>
      <c r="I43" s="258">
        <f t="shared" si="1"/>
        <v>0</v>
      </c>
      <c r="J43" s="575" t="str">
        <f t="shared" si="2"/>
        <v/>
      </c>
      <c r="K43" s="735">
        <f t="shared" si="10"/>
        <v>0</v>
      </c>
    </row>
    <row r="44" spans="1:11" ht="12.75" customHeight="1" x14ac:dyDescent="0.25">
      <c r="A44" s="574" t="s">
        <v>1211</v>
      </c>
      <c r="B44" s="169"/>
      <c r="C44" s="748">
        <v>0</v>
      </c>
      <c r="D44" s="745">
        <v>0</v>
      </c>
      <c r="E44" s="733">
        <v>0</v>
      </c>
      <c r="F44" s="733">
        <v>0</v>
      </c>
      <c r="G44" s="733">
        <v>0</v>
      </c>
      <c r="H44" s="733">
        <v>0</v>
      </c>
      <c r="I44" s="258">
        <f t="shared" si="1"/>
        <v>0</v>
      </c>
      <c r="J44" s="575" t="str">
        <f t="shared" si="2"/>
        <v/>
      </c>
      <c r="K44" s="735">
        <f t="shared" si="10"/>
        <v>0</v>
      </c>
    </row>
    <row r="45" spans="1:11" ht="12.75" customHeight="1" x14ac:dyDescent="0.25">
      <c r="A45" s="517" t="s">
        <v>1240</v>
      </c>
      <c r="B45" s="169"/>
      <c r="C45" s="648">
        <f t="shared" ref="C45:H45" si="11">SUM(C46:C52)</f>
        <v>0</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5">
      <c r="A46" s="574" t="s">
        <v>1241</v>
      </c>
      <c r="B46" s="169"/>
      <c r="C46" s="748">
        <v>0</v>
      </c>
      <c r="D46" s="745">
        <v>0</v>
      </c>
      <c r="E46" s="733">
        <v>0</v>
      </c>
      <c r="F46" s="733">
        <v>0</v>
      </c>
      <c r="G46" s="733">
        <v>0</v>
      </c>
      <c r="H46" s="733">
        <v>0</v>
      </c>
      <c r="I46" s="258">
        <f t="shared" si="1"/>
        <v>0</v>
      </c>
      <c r="J46" s="575" t="str">
        <f t="shared" si="2"/>
        <v/>
      </c>
      <c r="K46" s="735">
        <f t="shared" ref="K46:K52" si="12">-E46</f>
        <v>0</v>
      </c>
    </row>
    <row r="47" spans="1:11" ht="12.75" customHeight="1" x14ac:dyDescent="0.25">
      <c r="A47" s="574" t="s">
        <v>1242</v>
      </c>
      <c r="B47" s="169"/>
      <c r="C47" s="748">
        <v>0</v>
      </c>
      <c r="D47" s="745">
        <v>0</v>
      </c>
      <c r="E47" s="733">
        <v>0</v>
      </c>
      <c r="F47" s="733">
        <v>0</v>
      </c>
      <c r="G47" s="733">
        <v>0</v>
      </c>
      <c r="H47" s="733">
        <v>0</v>
      </c>
      <c r="I47" s="258">
        <f t="shared" si="1"/>
        <v>0</v>
      </c>
      <c r="J47" s="575" t="str">
        <f t="shared" si="2"/>
        <v/>
      </c>
      <c r="K47" s="735">
        <f t="shared" si="12"/>
        <v>0</v>
      </c>
    </row>
    <row r="48" spans="1:11" ht="12.75" customHeight="1" x14ac:dyDescent="0.25">
      <c r="A48" s="574" t="s">
        <v>1243</v>
      </c>
      <c r="B48" s="169"/>
      <c r="C48" s="748">
        <v>0</v>
      </c>
      <c r="D48" s="745">
        <v>0</v>
      </c>
      <c r="E48" s="733">
        <v>0</v>
      </c>
      <c r="F48" s="733">
        <v>0</v>
      </c>
      <c r="G48" s="733">
        <v>0</v>
      </c>
      <c r="H48" s="733">
        <v>0</v>
      </c>
      <c r="I48" s="258">
        <f t="shared" si="1"/>
        <v>0</v>
      </c>
      <c r="J48" s="575" t="str">
        <f t="shared" si="2"/>
        <v/>
      </c>
      <c r="K48" s="735">
        <f t="shared" si="12"/>
        <v>0</v>
      </c>
    </row>
    <row r="49" spans="1:11" ht="12.75" customHeight="1" x14ac:dyDescent="0.25">
      <c r="A49" s="574" t="s">
        <v>1244</v>
      </c>
      <c r="B49" s="169"/>
      <c r="C49" s="748">
        <v>0</v>
      </c>
      <c r="D49" s="745">
        <v>0</v>
      </c>
      <c r="E49" s="733">
        <v>0</v>
      </c>
      <c r="F49" s="733">
        <v>0</v>
      </c>
      <c r="G49" s="733">
        <v>0</v>
      </c>
      <c r="H49" s="733">
        <v>0</v>
      </c>
      <c r="I49" s="258">
        <f t="shared" si="1"/>
        <v>0</v>
      </c>
      <c r="J49" s="575" t="str">
        <f t="shared" si="2"/>
        <v/>
      </c>
      <c r="K49" s="735">
        <f t="shared" si="12"/>
        <v>0</v>
      </c>
    </row>
    <row r="50" spans="1:11" ht="12.75" customHeight="1" x14ac:dyDescent="0.25">
      <c r="A50" s="574" t="s">
        <v>1245</v>
      </c>
      <c r="B50" s="169"/>
      <c r="C50" s="748">
        <v>0</v>
      </c>
      <c r="D50" s="745">
        <v>0</v>
      </c>
      <c r="E50" s="733">
        <v>0</v>
      </c>
      <c r="F50" s="733">
        <v>0</v>
      </c>
      <c r="G50" s="733">
        <v>0</v>
      </c>
      <c r="H50" s="733">
        <v>0</v>
      </c>
      <c r="I50" s="258">
        <f t="shared" si="1"/>
        <v>0</v>
      </c>
      <c r="J50" s="575" t="str">
        <f t="shared" si="2"/>
        <v/>
      </c>
      <c r="K50" s="735">
        <f t="shared" si="12"/>
        <v>0</v>
      </c>
    </row>
    <row r="51" spans="1:11" ht="12.75" customHeight="1" x14ac:dyDescent="0.25">
      <c r="A51" s="574" t="s">
        <v>1246</v>
      </c>
      <c r="B51" s="169"/>
      <c r="C51" s="748">
        <v>0</v>
      </c>
      <c r="D51" s="745">
        <v>0</v>
      </c>
      <c r="E51" s="733">
        <v>0</v>
      </c>
      <c r="F51" s="733">
        <v>0</v>
      </c>
      <c r="G51" s="733">
        <v>0</v>
      </c>
      <c r="H51" s="733">
        <v>0</v>
      </c>
      <c r="I51" s="258">
        <f t="shared" si="1"/>
        <v>0</v>
      </c>
      <c r="J51" s="575" t="str">
        <f t="shared" si="2"/>
        <v/>
      </c>
      <c r="K51" s="735">
        <f t="shared" si="12"/>
        <v>0</v>
      </c>
    </row>
    <row r="52" spans="1:11" ht="12.75" customHeight="1" x14ac:dyDescent="0.25">
      <c r="A52" s="574" t="s">
        <v>1211</v>
      </c>
      <c r="B52" s="169"/>
      <c r="C52" s="748">
        <v>0</v>
      </c>
      <c r="D52" s="745">
        <v>0</v>
      </c>
      <c r="E52" s="733">
        <v>0</v>
      </c>
      <c r="F52" s="733">
        <v>0</v>
      </c>
      <c r="G52" s="733">
        <v>0</v>
      </c>
      <c r="H52" s="733">
        <v>0</v>
      </c>
      <c r="I52" s="258">
        <f t="shared" si="1"/>
        <v>0</v>
      </c>
      <c r="J52" s="575" t="str">
        <f t="shared" si="2"/>
        <v/>
      </c>
      <c r="K52" s="735">
        <f t="shared" si="12"/>
        <v>0</v>
      </c>
    </row>
    <row r="53" spans="1:11" ht="12.75" customHeight="1" x14ac:dyDescent="0.25">
      <c r="A53" s="518" t="s">
        <v>1247</v>
      </c>
      <c r="B53" s="169"/>
      <c r="C53" s="648">
        <f t="shared" ref="C53:H53" si="13">SUM(C54:C62)</f>
        <v>0</v>
      </c>
      <c r="D53" s="649">
        <f t="shared" si="13"/>
        <v>0</v>
      </c>
      <c r="E53" s="408">
        <f t="shared" si="13"/>
        <v>0</v>
      </c>
      <c r="F53" s="408">
        <f t="shared" si="13"/>
        <v>0</v>
      </c>
      <c r="G53" s="408">
        <f t="shared" si="13"/>
        <v>0</v>
      </c>
      <c r="H53" s="408">
        <f t="shared" si="13"/>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v>0</v>
      </c>
      <c r="I54" s="258">
        <f t="shared" si="1"/>
        <v>0</v>
      </c>
      <c r="J54" s="575" t="str">
        <f t="shared" si="2"/>
        <v/>
      </c>
      <c r="K54" s="735">
        <f t="shared" ref="K54:K62" si="14">-E54</f>
        <v>0</v>
      </c>
    </row>
    <row r="55" spans="1:11" ht="12.75" customHeight="1" x14ac:dyDescent="0.25">
      <c r="A55" s="574" t="s">
        <v>1249</v>
      </c>
      <c r="B55" s="169"/>
      <c r="C55" s="748">
        <v>0</v>
      </c>
      <c r="D55" s="745">
        <v>0</v>
      </c>
      <c r="E55" s="733">
        <v>0</v>
      </c>
      <c r="F55" s="733">
        <v>0</v>
      </c>
      <c r="G55" s="733">
        <v>0</v>
      </c>
      <c r="H55" s="733">
        <v>0</v>
      </c>
      <c r="I55" s="258">
        <f t="shared" si="1"/>
        <v>0</v>
      </c>
      <c r="J55" s="575" t="str">
        <f t="shared" si="2"/>
        <v/>
      </c>
      <c r="K55" s="735">
        <f t="shared" si="14"/>
        <v>0</v>
      </c>
    </row>
    <row r="56" spans="1:11" ht="12.75" customHeight="1" x14ac:dyDescent="0.25">
      <c r="A56" s="574" t="s">
        <v>1250</v>
      </c>
      <c r="B56" s="169"/>
      <c r="C56" s="748">
        <v>0</v>
      </c>
      <c r="D56" s="745">
        <v>0</v>
      </c>
      <c r="E56" s="733">
        <v>0</v>
      </c>
      <c r="F56" s="733">
        <v>0</v>
      </c>
      <c r="G56" s="733">
        <v>0</v>
      </c>
      <c r="H56" s="733">
        <v>0</v>
      </c>
      <c r="I56" s="258">
        <f t="shared" si="1"/>
        <v>0</v>
      </c>
      <c r="J56" s="575" t="str">
        <f t="shared" si="2"/>
        <v/>
      </c>
      <c r="K56" s="735">
        <f t="shared" si="14"/>
        <v>0</v>
      </c>
    </row>
    <row r="57" spans="1:11" ht="12.75" customHeight="1" x14ac:dyDescent="0.25">
      <c r="A57" s="574" t="s">
        <v>1213</v>
      </c>
      <c r="B57" s="169"/>
      <c r="C57" s="748">
        <v>0</v>
      </c>
      <c r="D57" s="745">
        <v>0</v>
      </c>
      <c r="E57" s="733">
        <v>0</v>
      </c>
      <c r="F57" s="733">
        <v>0</v>
      </c>
      <c r="G57" s="733">
        <v>0</v>
      </c>
      <c r="H57" s="733">
        <v>0</v>
      </c>
      <c r="I57" s="258">
        <f t="shared" si="1"/>
        <v>0</v>
      </c>
      <c r="J57" s="575" t="str">
        <f t="shared" si="2"/>
        <v/>
      </c>
      <c r="K57" s="735">
        <f t="shared" si="14"/>
        <v>0</v>
      </c>
    </row>
    <row r="58" spans="1:11" ht="12.75" customHeight="1" x14ac:dyDescent="0.25">
      <c r="A58" s="574" t="s">
        <v>1214</v>
      </c>
      <c r="B58" s="169"/>
      <c r="C58" s="748">
        <v>0</v>
      </c>
      <c r="D58" s="745">
        <v>0</v>
      </c>
      <c r="E58" s="733">
        <v>0</v>
      </c>
      <c r="F58" s="733">
        <v>0</v>
      </c>
      <c r="G58" s="733">
        <v>0</v>
      </c>
      <c r="H58" s="733">
        <v>0</v>
      </c>
      <c r="I58" s="258">
        <f t="shared" si="1"/>
        <v>0</v>
      </c>
      <c r="J58" s="575" t="str">
        <f t="shared" si="2"/>
        <v/>
      </c>
      <c r="K58" s="735">
        <f t="shared" si="14"/>
        <v>0</v>
      </c>
    </row>
    <row r="59" spans="1:11" ht="12.75" customHeight="1" x14ac:dyDescent="0.25">
      <c r="A59" s="574" t="s">
        <v>1215</v>
      </c>
      <c r="B59" s="169"/>
      <c r="C59" s="748">
        <v>0</v>
      </c>
      <c r="D59" s="745">
        <v>0</v>
      </c>
      <c r="E59" s="733">
        <v>0</v>
      </c>
      <c r="F59" s="733">
        <v>0</v>
      </c>
      <c r="G59" s="733">
        <v>0</v>
      </c>
      <c r="H59" s="733">
        <v>0</v>
      </c>
      <c r="I59" s="258">
        <f t="shared" si="1"/>
        <v>0</v>
      </c>
      <c r="J59" s="575" t="str">
        <f t="shared" si="2"/>
        <v/>
      </c>
      <c r="K59" s="735">
        <f t="shared" si="14"/>
        <v>0</v>
      </c>
    </row>
    <row r="60" spans="1:11" ht="12.75" customHeight="1" x14ac:dyDescent="0.25">
      <c r="A60" s="574" t="s">
        <v>1221</v>
      </c>
      <c r="B60" s="169"/>
      <c r="C60" s="748">
        <v>0</v>
      </c>
      <c r="D60" s="745">
        <v>0</v>
      </c>
      <c r="E60" s="733">
        <v>0</v>
      </c>
      <c r="F60" s="733">
        <v>0</v>
      </c>
      <c r="G60" s="733">
        <v>0</v>
      </c>
      <c r="H60" s="733">
        <v>0</v>
      </c>
      <c r="I60" s="258">
        <f t="shared" si="1"/>
        <v>0</v>
      </c>
      <c r="J60" s="575" t="str">
        <f t="shared" si="2"/>
        <v/>
      </c>
      <c r="K60" s="735">
        <f t="shared" si="14"/>
        <v>0</v>
      </c>
    </row>
    <row r="61" spans="1:11" ht="12.75" customHeight="1" x14ac:dyDescent="0.25">
      <c r="A61" s="574" t="s">
        <v>1224</v>
      </c>
      <c r="B61" s="169"/>
      <c r="C61" s="748">
        <v>0</v>
      </c>
      <c r="D61" s="745">
        <v>0</v>
      </c>
      <c r="E61" s="733">
        <v>0</v>
      </c>
      <c r="F61" s="733">
        <v>0</v>
      </c>
      <c r="G61" s="733">
        <v>0</v>
      </c>
      <c r="H61" s="733">
        <v>0</v>
      </c>
      <c r="I61" s="258">
        <f t="shared" si="1"/>
        <v>0</v>
      </c>
      <c r="J61" s="575" t="str">
        <f t="shared" si="2"/>
        <v/>
      </c>
      <c r="K61" s="735">
        <f t="shared" si="14"/>
        <v>0</v>
      </c>
    </row>
    <row r="62" spans="1:11" ht="12.75" customHeight="1" x14ac:dyDescent="0.25">
      <c r="A62" s="574" t="s">
        <v>1211</v>
      </c>
      <c r="B62" s="169"/>
      <c r="C62" s="748">
        <v>0</v>
      </c>
      <c r="D62" s="745">
        <v>0</v>
      </c>
      <c r="E62" s="733">
        <v>0</v>
      </c>
      <c r="F62" s="733">
        <v>0</v>
      </c>
      <c r="G62" s="733">
        <v>0</v>
      </c>
      <c r="H62" s="733">
        <v>0</v>
      </c>
      <c r="I62" s="258">
        <f t="shared" si="1"/>
        <v>0</v>
      </c>
      <c r="J62" s="575" t="str">
        <f t="shared" si="2"/>
        <v/>
      </c>
      <c r="K62" s="735">
        <f t="shared" si="14"/>
        <v>0</v>
      </c>
    </row>
    <row r="63" spans="1:11" ht="12.75" customHeight="1" x14ac:dyDescent="0.25">
      <c r="A63" s="517" t="s">
        <v>1251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v>0</v>
      </c>
      <c r="I68" s="258">
        <f t="shared" si="1"/>
        <v>0</v>
      </c>
      <c r="J68" s="575" t="str">
        <f t="shared" si="2"/>
        <v/>
      </c>
      <c r="K68" s="735">
        <f>-E68</f>
        <v>0</v>
      </c>
    </row>
    <row r="69" spans="1:11" ht="12.75" customHeight="1" x14ac:dyDescent="0.25">
      <c r="A69" s="518" t="s">
        <v>1256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17">+C76+C99</f>
        <v>1475690.8570000725</v>
      </c>
      <c r="D75" s="577">
        <f t="shared" si="17"/>
        <v>6868023</v>
      </c>
      <c r="E75" s="578">
        <f t="shared" si="17"/>
        <v>13294642</v>
      </c>
      <c r="F75" s="578">
        <f t="shared" si="17"/>
        <v>0</v>
      </c>
      <c r="G75" s="578">
        <f t="shared" si="17"/>
        <v>3106634.8744999757</v>
      </c>
      <c r="H75" s="578">
        <f t="shared" si="17"/>
        <v>11078868.333333334</v>
      </c>
      <c r="I75" s="578">
        <f t="shared" si="1"/>
        <v>7972233.4588333583</v>
      </c>
      <c r="J75" s="579">
        <f t="shared" si="2"/>
        <v>0.71958915107304355</v>
      </c>
      <c r="K75" s="580">
        <f>+K76+K99</f>
        <v>13294642</v>
      </c>
    </row>
    <row r="76" spans="1:11" ht="12.75" customHeight="1" x14ac:dyDescent="0.25">
      <c r="A76" s="518" t="s">
        <v>1260</v>
      </c>
      <c r="B76" s="169"/>
      <c r="C76" s="648">
        <f t="shared" ref="C76:H76" si="18">SUM(C77:C98)</f>
        <v>1475690.8570000725</v>
      </c>
      <c r="D76" s="649">
        <f t="shared" si="18"/>
        <v>6868023</v>
      </c>
      <c r="E76" s="408">
        <f t="shared" si="18"/>
        <v>13294642</v>
      </c>
      <c r="F76" s="408">
        <f t="shared" si="18"/>
        <v>0</v>
      </c>
      <c r="G76" s="408">
        <f t="shared" si="18"/>
        <v>3106634.8744999757</v>
      </c>
      <c r="H76" s="408">
        <f t="shared" si="18"/>
        <v>11078868.333333334</v>
      </c>
      <c r="I76" s="258">
        <f t="shared" si="1"/>
        <v>7972233.4588333583</v>
      </c>
      <c r="J76" s="575">
        <f t="shared" si="2"/>
        <v>0.71958915107304355</v>
      </c>
      <c r="K76" s="642">
        <f>SUM(K77:K98)</f>
        <v>13294642</v>
      </c>
    </row>
    <row r="77" spans="1:11" ht="12.75" customHeight="1" x14ac:dyDescent="0.25">
      <c r="A77" s="574" t="s">
        <v>1261</v>
      </c>
      <c r="B77" s="169"/>
      <c r="C77" s="748">
        <v>0</v>
      </c>
      <c r="D77" s="753">
        <v>700000</v>
      </c>
      <c r="E77" s="733">
        <v>1200000</v>
      </c>
      <c r="F77" s="733">
        <v>0</v>
      </c>
      <c r="G77" s="733">
        <v>912720.0745000554</v>
      </c>
      <c r="H77" s="733">
        <f>E77/12*10</f>
        <v>1000000</v>
      </c>
      <c r="I77" s="44">
        <f t="shared" si="1"/>
        <v>87279.925499944598</v>
      </c>
      <c r="J77" s="124">
        <f t="shared" si="2"/>
        <v>8.7279925499944594E-2</v>
      </c>
      <c r="K77" s="735">
        <f t="shared" ref="K77:K96" si="19">E77</f>
        <v>1200000</v>
      </c>
    </row>
    <row r="78" spans="1:11" ht="12.75" customHeight="1" x14ac:dyDescent="0.25">
      <c r="A78" s="574" t="s">
        <v>1262</v>
      </c>
      <c r="B78" s="169"/>
      <c r="C78" s="748">
        <v>813766.2555000725</v>
      </c>
      <c r="D78" s="753">
        <v>1218023</v>
      </c>
      <c r="E78" s="733">
        <v>1104103</v>
      </c>
      <c r="F78" s="733">
        <v>0</v>
      </c>
      <c r="G78" s="733">
        <v>2193914.7999999202</v>
      </c>
      <c r="H78" s="733">
        <f>E78/12*10</f>
        <v>920085.83333333326</v>
      </c>
      <c r="I78" s="44">
        <f t="shared" si="1"/>
        <v>-1273828.9666665869</v>
      </c>
      <c r="J78" s="124">
        <f t="shared" si="2"/>
        <v>-1.3844675360902963</v>
      </c>
      <c r="K78" s="735">
        <f t="shared" si="19"/>
        <v>1104103</v>
      </c>
    </row>
    <row r="79" spans="1:11" ht="12.75" customHeight="1" x14ac:dyDescent="0.25">
      <c r="A79" s="574" t="s">
        <v>1263</v>
      </c>
      <c r="B79" s="169"/>
      <c r="C79" s="748">
        <v>0</v>
      </c>
      <c r="D79" s="753">
        <v>0</v>
      </c>
      <c r="E79" s="733">
        <v>0</v>
      </c>
      <c r="F79" s="733">
        <v>0</v>
      </c>
      <c r="G79" s="733">
        <v>0</v>
      </c>
      <c r="H79" s="733">
        <f>E79/12*10</f>
        <v>0</v>
      </c>
      <c r="I79" s="44">
        <f t="shared" si="1"/>
        <v>0</v>
      </c>
      <c r="J79" s="124" t="str">
        <f t="shared" si="2"/>
        <v/>
      </c>
      <c r="K79" s="735">
        <f t="shared" si="19"/>
        <v>0</v>
      </c>
    </row>
    <row r="80" spans="1:11" ht="12.75" customHeight="1" x14ac:dyDescent="0.25">
      <c r="A80" s="574" t="s">
        <v>1264</v>
      </c>
      <c r="B80" s="169"/>
      <c r="C80" s="748">
        <v>0</v>
      </c>
      <c r="D80" s="753">
        <v>0</v>
      </c>
      <c r="E80" s="733">
        <v>0</v>
      </c>
      <c r="F80" s="733">
        <v>0</v>
      </c>
      <c r="G80" s="733">
        <v>0</v>
      </c>
      <c r="H80" s="733">
        <f t="shared" ref="H80:H98" si="20">E80/12*9</f>
        <v>0</v>
      </c>
      <c r="I80" s="44">
        <f t="shared" si="1"/>
        <v>0</v>
      </c>
      <c r="J80" s="124" t="str">
        <f t="shared" si="2"/>
        <v/>
      </c>
      <c r="K80" s="735">
        <f t="shared" si="19"/>
        <v>0</v>
      </c>
    </row>
    <row r="81" spans="1:11" ht="12.75" customHeight="1" x14ac:dyDescent="0.25">
      <c r="A81" s="574" t="s">
        <v>1265</v>
      </c>
      <c r="B81" s="169"/>
      <c r="C81" s="748">
        <v>0</v>
      </c>
      <c r="D81" s="753">
        <v>0</v>
      </c>
      <c r="E81" s="733">
        <v>0</v>
      </c>
      <c r="F81" s="733">
        <v>0</v>
      </c>
      <c r="G81" s="733">
        <v>0</v>
      </c>
      <c r="H81" s="733">
        <f t="shared" si="20"/>
        <v>0</v>
      </c>
      <c r="I81" s="44">
        <f t="shared" si="1"/>
        <v>0</v>
      </c>
      <c r="J81" s="124" t="str">
        <f t="shared" si="2"/>
        <v/>
      </c>
      <c r="K81" s="735">
        <f t="shared" si="19"/>
        <v>0</v>
      </c>
    </row>
    <row r="82" spans="1:11" ht="12.75" customHeight="1" x14ac:dyDescent="0.25">
      <c r="A82" s="574" t="s">
        <v>1266</v>
      </c>
      <c r="B82" s="169"/>
      <c r="C82" s="748">
        <v>0</v>
      </c>
      <c r="D82" s="753">
        <v>0</v>
      </c>
      <c r="E82" s="733">
        <v>0</v>
      </c>
      <c r="F82" s="733">
        <v>0</v>
      </c>
      <c r="G82" s="733">
        <v>0</v>
      </c>
      <c r="H82" s="733">
        <f t="shared" si="20"/>
        <v>0</v>
      </c>
      <c r="I82" s="44">
        <f t="shared" si="1"/>
        <v>0</v>
      </c>
      <c r="J82" s="124" t="str">
        <f t="shared" si="2"/>
        <v/>
      </c>
      <c r="K82" s="735">
        <f t="shared" si="19"/>
        <v>0</v>
      </c>
    </row>
    <row r="83" spans="1:11" ht="12.75" customHeight="1" x14ac:dyDescent="0.25">
      <c r="A83" s="574" t="s">
        <v>1267</v>
      </c>
      <c r="B83" s="169"/>
      <c r="C83" s="748">
        <v>0</v>
      </c>
      <c r="D83" s="753">
        <v>0</v>
      </c>
      <c r="E83" s="733">
        <v>0</v>
      </c>
      <c r="F83" s="733">
        <v>0</v>
      </c>
      <c r="G83" s="733">
        <v>0</v>
      </c>
      <c r="H83" s="733">
        <f t="shared" si="20"/>
        <v>0</v>
      </c>
      <c r="I83" s="44">
        <f t="shared" si="1"/>
        <v>0</v>
      </c>
      <c r="J83" s="124" t="str">
        <f t="shared" si="2"/>
        <v/>
      </c>
      <c r="K83" s="735">
        <f t="shared" si="19"/>
        <v>0</v>
      </c>
    </row>
    <row r="84" spans="1:11" ht="12.75" customHeight="1" x14ac:dyDescent="0.25">
      <c r="A84" s="574" t="s">
        <v>1268</v>
      </c>
      <c r="B84" s="169"/>
      <c r="C84" s="748">
        <v>0</v>
      </c>
      <c r="D84" s="753">
        <v>0</v>
      </c>
      <c r="E84" s="733">
        <v>0</v>
      </c>
      <c r="F84" s="733">
        <v>0</v>
      </c>
      <c r="G84" s="733">
        <v>0</v>
      </c>
      <c r="H84" s="733">
        <f t="shared" si="20"/>
        <v>0</v>
      </c>
      <c r="I84" s="44">
        <f t="shared" si="1"/>
        <v>0</v>
      </c>
      <c r="J84" s="124" t="str">
        <f t="shared" si="2"/>
        <v/>
      </c>
      <c r="K84" s="735">
        <f t="shared" si="19"/>
        <v>0</v>
      </c>
    </row>
    <row r="85" spans="1:11" ht="12.75" customHeight="1" x14ac:dyDescent="0.25">
      <c r="A85" s="574" t="s">
        <v>1144</v>
      </c>
      <c r="B85" s="169"/>
      <c r="C85" s="748">
        <v>0</v>
      </c>
      <c r="D85" s="753">
        <v>0</v>
      </c>
      <c r="E85" s="733">
        <v>0</v>
      </c>
      <c r="F85" s="733">
        <v>0</v>
      </c>
      <c r="G85" s="733">
        <v>0</v>
      </c>
      <c r="H85" s="733">
        <f t="shared" si="20"/>
        <v>0</v>
      </c>
      <c r="I85" s="44">
        <f t="shared" si="1"/>
        <v>0</v>
      </c>
      <c r="J85" s="124" t="str">
        <f t="shared" si="2"/>
        <v/>
      </c>
      <c r="K85" s="735">
        <f t="shared" si="19"/>
        <v>0</v>
      </c>
    </row>
    <row r="86" spans="1:11" ht="12.75" customHeight="1" x14ac:dyDescent="0.25">
      <c r="A86" s="574" t="s">
        <v>555</v>
      </c>
      <c r="B86" s="169"/>
      <c r="C86" s="748"/>
      <c r="D86" s="753">
        <v>0</v>
      </c>
      <c r="E86" s="733">
        <v>0</v>
      </c>
      <c r="F86" s="733">
        <v>0</v>
      </c>
      <c r="G86" s="733">
        <v>0</v>
      </c>
      <c r="H86" s="733">
        <f t="shared" si="20"/>
        <v>0</v>
      </c>
      <c r="I86" s="44">
        <f t="shared" si="1"/>
        <v>0</v>
      </c>
      <c r="J86" s="124" t="str">
        <f t="shared" si="2"/>
        <v/>
      </c>
      <c r="K86" s="735">
        <f t="shared" si="19"/>
        <v>0</v>
      </c>
    </row>
    <row r="87" spans="1:11" ht="12.75" customHeight="1" x14ac:dyDescent="0.25">
      <c r="A87" s="574" t="s">
        <v>1269</v>
      </c>
      <c r="B87" s="169"/>
      <c r="C87" s="748">
        <v>0</v>
      </c>
      <c r="D87" s="753">
        <v>0</v>
      </c>
      <c r="E87" s="733">
        <v>0</v>
      </c>
      <c r="F87" s="733">
        <v>0</v>
      </c>
      <c r="G87" s="733">
        <v>0</v>
      </c>
      <c r="H87" s="733">
        <f t="shared" si="20"/>
        <v>0</v>
      </c>
      <c r="I87" s="44">
        <f t="shared" si="1"/>
        <v>0</v>
      </c>
      <c r="J87" s="124" t="str">
        <f t="shared" si="2"/>
        <v/>
      </c>
      <c r="K87" s="735">
        <f t="shared" si="19"/>
        <v>0</v>
      </c>
    </row>
    <row r="88" spans="1:11" ht="12.75" customHeight="1" x14ac:dyDescent="0.25">
      <c r="A88" s="574" t="s">
        <v>166</v>
      </c>
      <c r="B88" s="169"/>
      <c r="C88" s="748">
        <v>0</v>
      </c>
      <c r="D88" s="753">
        <v>0</v>
      </c>
      <c r="E88" s="733">
        <v>0</v>
      </c>
      <c r="F88" s="733">
        <v>0</v>
      </c>
      <c r="G88" s="733">
        <v>0</v>
      </c>
      <c r="H88" s="733">
        <f t="shared" si="20"/>
        <v>0</v>
      </c>
      <c r="I88" s="44">
        <f t="shared" si="1"/>
        <v>0</v>
      </c>
      <c r="J88" s="124" t="str">
        <f t="shared" si="2"/>
        <v/>
      </c>
      <c r="K88" s="735">
        <f t="shared" si="19"/>
        <v>0</v>
      </c>
    </row>
    <row r="89" spans="1:11" ht="12.75" customHeight="1" x14ac:dyDescent="0.25">
      <c r="A89" s="574" t="s">
        <v>1270</v>
      </c>
      <c r="B89" s="169"/>
      <c r="C89" s="748">
        <v>0</v>
      </c>
      <c r="D89" s="753">
        <v>0</v>
      </c>
      <c r="E89" s="733">
        <v>0</v>
      </c>
      <c r="F89" s="733">
        <v>0</v>
      </c>
      <c r="G89" s="733">
        <v>0</v>
      </c>
      <c r="H89" s="733">
        <f t="shared" si="20"/>
        <v>0</v>
      </c>
      <c r="I89" s="44">
        <f t="shared" si="1"/>
        <v>0</v>
      </c>
      <c r="J89" s="124" t="str">
        <f t="shared" si="2"/>
        <v/>
      </c>
      <c r="K89" s="735">
        <f t="shared" si="19"/>
        <v>0</v>
      </c>
    </row>
    <row r="90" spans="1:11" ht="12.75" customHeight="1" x14ac:dyDescent="0.25">
      <c r="A90" s="574" t="s">
        <v>1271</v>
      </c>
      <c r="B90" s="169"/>
      <c r="C90" s="748">
        <v>0</v>
      </c>
      <c r="D90" s="753">
        <v>0</v>
      </c>
      <c r="E90" s="733">
        <v>0</v>
      </c>
      <c r="F90" s="733">
        <v>0</v>
      </c>
      <c r="G90" s="733">
        <v>0</v>
      </c>
      <c r="H90" s="733">
        <f t="shared" si="20"/>
        <v>0</v>
      </c>
      <c r="I90" s="44">
        <f t="shared" si="1"/>
        <v>0</v>
      </c>
      <c r="J90" s="124" t="str">
        <f t="shared" si="2"/>
        <v/>
      </c>
      <c r="K90" s="735">
        <f t="shared" si="19"/>
        <v>0</v>
      </c>
    </row>
    <row r="91" spans="1:11" ht="12.75" customHeight="1" x14ac:dyDescent="0.25">
      <c r="A91" s="574" t="s">
        <v>1272</v>
      </c>
      <c r="B91" s="169"/>
      <c r="C91" s="748">
        <v>0</v>
      </c>
      <c r="D91" s="753">
        <v>0</v>
      </c>
      <c r="E91" s="733">
        <v>0</v>
      </c>
      <c r="F91" s="733">
        <v>0</v>
      </c>
      <c r="G91" s="733">
        <v>0</v>
      </c>
      <c r="H91" s="733">
        <f t="shared" si="20"/>
        <v>0</v>
      </c>
      <c r="I91" s="44">
        <f t="shared" si="1"/>
        <v>0</v>
      </c>
      <c r="J91" s="124" t="str">
        <f t="shared" si="2"/>
        <v/>
      </c>
      <c r="K91" s="735">
        <f t="shared" si="19"/>
        <v>0</v>
      </c>
    </row>
    <row r="92" spans="1:11" ht="12.75" customHeight="1" x14ac:dyDescent="0.25">
      <c r="A92" s="574" t="s">
        <v>1273</v>
      </c>
      <c r="B92" s="169"/>
      <c r="C92" s="748">
        <v>0</v>
      </c>
      <c r="D92" s="753">
        <v>0</v>
      </c>
      <c r="E92" s="733">
        <v>0</v>
      </c>
      <c r="F92" s="733">
        <v>0</v>
      </c>
      <c r="G92" s="733">
        <v>0</v>
      </c>
      <c r="H92" s="733">
        <f t="shared" si="20"/>
        <v>0</v>
      </c>
      <c r="I92" s="44">
        <f t="shared" si="1"/>
        <v>0</v>
      </c>
      <c r="J92" s="124" t="str">
        <f t="shared" si="2"/>
        <v/>
      </c>
      <c r="K92" s="735">
        <f t="shared" si="19"/>
        <v>0</v>
      </c>
    </row>
    <row r="93" spans="1:11" ht="12.75" customHeight="1" x14ac:dyDescent="0.25">
      <c r="A93" s="574" t="s">
        <v>441</v>
      </c>
      <c r="B93" s="169"/>
      <c r="C93" s="748">
        <v>0</v>
      </c>
      <c r="D93" s="753">
        <v>0</v>
      </c>
      <c r="E93" s="733">
        <v>0</v>
      </c>
      <c r="F93" s="733">
        <v>0</v>
      </c>
      <c r="G93" s="733">
        <v>0</v>
      </c>
      <c r="H93" s="733">
        <f t="shared" si="20"/>
        <v>0</v>
      </c>
      <c r="I93" s="44">
        <f t="shared" si="1"/>
        <v>0</v>
      </c>
      <c r="J93" s="124" t="str">
        <f t="shared" si="2"/>
        <v/>
      </c>
      <c r="K93" s="735">
        <f t="shared" si="19"/>
        <v>0</v>
      </c>
    </row>
    <row r="94" spans="1:11" ht="12.75" customHeight="1" x14ac:dyDescent="0.25">
      <c r="A94" s="574" t="s">
        <v>1274</v>
      </c>
      <c r="B94" s="169"/>
      <c r="C94" s="748">
        <v>0</v>
      </c>
      <c r="D94" s="753">
        <v>0</v>
      </c>
      <c r="E94" s="733">
        <v>0</v>
      </c>
      <c r="F94" s="733">
        <v>0</v>
      </c>
      <c r="G94" s="733">
        <v>0</v>
      </c>
      <c r="H94" s="733">
        <f t="shared" si="20"/>
        <v>0</v>
      </c>
      <c r="I94" s="44">
        <f t="shared" si="1"/>
        <v>0</v>
      </c>
      <c r="J94" s="124" t="str">
        <f t="shared" si="2"/>
        <v/>
      </c>
      <c r="K94" s="735">
        <f t="shared" si="19"/>
        <v>0</v>
      </c>
    </row>
    <row r="95" spans="1:11" ht="12.75" customHeight="1" x14ac:dyDescent="0.25">
      <c r="A95" s="574" t="s">
        <v>440</v>
      </c>
      <c r="B95" s="169"/>
      <c r="C95" s="748">
        <v>0</v>
      </c>
      <c r="D95" s="753">
        <v>0</v>
      </c>
      <c r="E95" s="733">
        <v>0</v>
      </c>
      <c r="F95" s="733">
        <v>0</v>
      </c>
      <c r="G95" s="733">
        <v>0</v>
      </c>
      <c r="H95" s="733">
        <f t="shared" si="20"/>
        <v>0</v>
      </c>
      <c r="I95" s="44">
        <f t="shared" si="1"/>
        <v>0</v>
      </c>
      <c r="J95" s="124" t="str">
        <f t="shared" si="2"/>
        <v/>
      </c>
      <c r="K95" s="735">
        <f t="shared" si="19"/>
        <v>0</v>
      </c>
    </row>
    <row r="96" spans="1:11" ht="12.75" customHeight="1" x14ac:dyDescent="0.25">
      <c r="A96" s="574" t="s">
        <v>1275</v>
      </c>
      <c r="B96" s="169"/>
      <c r="C96" s="748">
        <v>0</v>
      </c>
      <c r="D96" s="753">
        <v>0</v>
      </c>
      <c r="E96" s="733">
        <v>0</v>
      </c>
      <c r="F96" s="733">
        <v>0</v>
      </c>
      <c r="G96" s="733">
        <v>0</v>
      </c>
      <c r="H96" s="733">
        <f t="shared" si="20"/>
        <v>0</v>
      </c>
      <c r="I96" s="44">
        <f t="shared" si="1"/>
        <v>0</v>
      </c>
      <c r="J96" s="124" t="str">
        <f t="shared" si="2"/>
        <v/>
      </c>
      <c r="K96" s="735">
        <f t="shared" si="19"/>
        <v>0</v>
      </c>
    </row>
    <row r="97" spans="1:11" ht="12.75" customHeight="1" x14ac:dyDescent="0.25">
      <c r="A97" s="574" t="s">
        <v>1276</v>
      </c>
      <c r="B97" s="169"/>
      <c r="C97" s="748">
        <v>0</v>
      </c>
      <c r="D97" s="753">
        <v>4950000</v>
      </c>
      <c r="E97" s="733">
        <v>10990539</v>
      </c>
      <c r="F97" s="733">
        <v>0</v>
      </c>
      <c r="G97" s="733">
        <v>0</v>
      </c>
      <c r="H97" s="733">
        <f>E97/12*10</f>
        <v>9158782.5</v>
      </c>
      <c r="I97" s="44">
        <f t="shared" si="1"/>
        <v>9158782.5</v>
      </c>
      <c r="J97" s="124">
        <f t="shared" si="2"/>
        <v>1</v>
      </c>
      <c r="K97" s="735">
        <f>E97</f>
        <v>10990539</v>
      </c>
    </row>
    <row r="98" spans="1:11" ht="12.75" customHeight="1" x14ac:dyDescent="0.25">
      <c r="A98" s="574" t="s">
        <v>1211</v>
      </c>
      <c r="B98" s="169"/>
      <c r="C98" s="748">
        <v>661924.60149999999</v>
      </c>
      <c r="D98" s="753">
        <v>0</v>
      </c>
      <c r="E98" s="733">
        <v>0</v>
      </c>
      <c r="F98" s="733">
        <v>0</v>
      </c>
      <c r="G98" s="733">
        <v>0</v>
      </c>
      <c r="H98" s="733">
        <f t="shared" si="20"/>
        <v>0</v>
      </c>
      <c r="I98" s="44">
        <f t="shared" si="1"/>
        <v>0</v>
      </c>
      <c r="J98" s="124" t="str">
        <f t="shared" si="2"/>
        <v/>
      </c>
      <c r="K98" s="735">
        <f>-E98</f>
        <v>0</v>
      </c>
    </row>
    <row r="99" spans="1:11" ht="12.75" customHeight="1" x14ac:dyDescent="0.25">
      <c r="A99" s="518" t="s">
        <v>1277</v>
      </c>
      <c r="B99" s="169"/>
      <c r="C99" s="648">
        <f t="shared" ref="C99:H99" si="21">SUM(C100:C102)</f>
        <v>0</v>
      </c>
      <c r="D99" s="649">
        <f t="shared" si="21"/>
        <v>0</v>
      </c>
      <c r="E99" s="408">
        <f t="shared" si="21"/>
        <v>0</v>
      </c>
      <c r="F99" s="408">
        <f t="shared" si="21"/>
        <v>0</v>
      </c>
      <c r="G99" s="408">
        <f t="shared" si="21"/>
        <v>0</v>
      </c>
      <c r="H99" s="408">
        <f t="shared" si="21"/>
        <v>0</v>
      </c>
      <c r="I99" s="258">
        <f t="shared" si="1"/>
        <v>0</v>
      </c>
      <c r="J99" s="575" t="str">
        <f t="shared" si="2"/>
        <v/>
      </c>
      <c r="K99" s="642">
        <f>SUM(K100:K102)</f>
        <v>0</v>
      </c>
    </row>
    <row r="100" spans="1:11" ht="12.75" customHeight="1" x14ac:dyDescent="0.25">
      <c r="A100" s="574" t="s">
        <v>1278</v>
      </c>
      <c r="B100" s="169"/>
      <c r="C100" s="748">
        <v>0</v>
      </c>
      <c r="D100" s="753">
        <v>0</v>
      </c>
      <c r="E100" s="733">
        <v>0</v>
      </c>
      <c r="F100" s="733">
        <v>0</v>
      </c>
      <c r="G100" s="733">
        <v>0</v>
      </c>
      <c r="H100" s="733">
        <f t="shared" ref="H100:H102" si="22">E100/12*7</f>
        <v>0</v>
      </c>
      <c r="I100" s="44">
        <f t="shared" si="1"/>
        <v>0</v>
      </c>
      <c r="J100" s="124" t="str">
        <f t="shared" si="2"/>
        <v/>
      </c>
      <c r="K100" s="735"/>
    </row>
    <row r="101" spans="1:11" ht="12.75" customHeight="1" x14ac:dyDescent="0.25">
      <c r="A101" s="574" t="s">
        <v>1279</v>
      </c>
      <c r="B101" s="169"/>
      <c r="C101" s="748">
        <v>0</v>
      </c>
      <c r="D101" s="753">
        <v>0</v>
      </c>
      <c r="E101" s="733">
        <v>0</v>
      </c>
      <c r="F101" s="733">
        <v>0</v>
      </c>
      <c r="G101" s="733">
        <v>0</v>
      </c>
      <c r="H101" s="733">
        <f t="shared" si="22"/>
        <v>0</v>
      </c>
      <c r="I101" s="44">
        <f>H101-G101</f>
        <v>0</v>
      </c>
      <c r="J101" s="124" t="str">
        <f>IF(I101=0,"",I101/H101)</f>
        <v/>
      </c>
      <c r="K101" s="735"/>
    </row>
    <row r="102" spans="1:11" ht="12.75" customHeight="1" x14ac:dyDescent="0.25">
      <c r="A102" s="574" t="s">
        <v>1211</v>
      </c>
      <c r="B102" s="169"/>
      <c r="C102" s="748">
        <v>0</v>
      </c>
      <c r="D102" s="753">
        <v>0</v>
      </c>
      <c r="E102" s="733">
        <v>0</v>
      </c>
      <c r="F102" s="733">
        <v>0</v>
      </c>
      <c r="G102" s="733">
        <v>0</v>
      </c>
      <c r="H102" s="733">
        <f t="shared" si="22"/>
        <v>0</v>
      </c>
      <c r="I102" s="44">
        <f t="shared" si="1"/>
        <v>0</v>
      </c>
      <c r="J102" s="124" t="str">
        <f t="shared" si="2"/>
        <v/>
      </c>
      <c r="K102" s="735"/>
    </row>
    <row r="103" spans="1:11" ht="12.75" customHeight="1" x14ac:dyDescent="0.25">
      <c r="A103" s="549" t="s">
        <v>672</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24">E104/12*7</f>
        <v>0</v>
      </c>
      <c r="I104" s="44">
        <f t="shared" si="1"/>
        <v>0</v>
      </c>
      <c r="J104" s="124" t="str">
        <f t="shared" si="2"/>
        <v/>
      </c>
      <c r="K104" s="735"/>
    </row>
    <row r="105" spans="1:11" ht="12.75" customHeight="1" x14ac:dyDescent="0.25">
      <c r="A105" s="517" t="s">
        <v>1282</v>
      </c>
      <c r="B105" s="169"/>
      <c r="C105" s="786">
        <v>0</v>
      </c>
      <c r="D105" s="753">
        <v>0</v>
      </c>
      <c r="E105" s="733">
        <v>0</v>
      </c>
      <c r="F105" s="733">
        <v>0</v>
      </c>
      <c r="G105" s="733">
        <v>0</v>
      </c>
      <c r="H105" s="733">
        <f t="shared" si="24"/>
        <v>0</v>
      </c>
      <c r="I105" s="44">
        <f t="shared" si="1"/>
        <v>0</v>
      </c>
      <c r="J105" s="124" t="str">
        <f t="shared" si="2"/>
        <v/>
      </c>
      <c r="K105" s="735"/>
    </row>
    <row r="106" spans="1:11" ht="12.75" customHeight="1" x14ac:dyDescent="0.25">
      <c r="A106" s="518" t="s">
        <v>1283</v>
      </c>
      <c r="B106" s="169"/>
      <c r="C106" s="786">
        <v>0</v>
      </c>
      <c r="D106" s="753">
        <v>0</v>
      </c>
      <c r="E106" s="733">
        <v>0</v>
      </c>
      <c r="F106" s="733">
        <v>0</v>
      </c>
      <c r="G106" s="733">
        <v>0</v>
      </c>
      <c r="H106" s="733">
        <f t="shared" si="24"/>
        <v>0</v>
      </c>
      <c r="I106" s="44">
        <f t="shared" si="1"/>
        <v>0</v>
      </c>
      <c r="J106" s="124" t="str">
        <f t="shared" si="2"/>
        <v/>
      </c>
      <c r="K106" s="735"/>
    </row>
    <row r="107" spans="1:11" ht="12.75" customHeight="1" x14ac:dyDescent="0.25">
      <c r="A107" s="518" t="s">
        <v>1284</v>
      </c>
      <c r="B107" s="169"/>
      <c r="C107" s="786">
        <v>0</v>
      </c>
      <c r="D107" s="753">
        <v>0</v>
      </c>
      <c r="E107" s="733">
        <v>0</v>
      </c>
      <c r="F107" s="733">
        <v>0</v>
      </c>
      <c r="G107" s="733">
        <v>0</v>
      </c>
      <c r="H107" s="733">
        <f t="shared" si="24"/>
        <v>0</v>
      </c>
      <c r="I107" s="44">
        <f t="shared" si="1"/>
        <v>0</v>
      </c>
      <c r="J107" s="124" t="str">
        <f t="shared" si="2"/>
        <v/>
      </c>
      <c r="K107" s="735"/>
    </row>
    <row r="108" spans="1:11" ht="12.75" customHeight="1" x14ac:dyDescent="0.25">
      <c r="A108" s="517" t="s">
        <v>1285</v>
      </c>
      <c r="B108" s="169"/>
      <c r="C108" s="786">
        <v>0</v>
      </c>
      <c r="D108" s="753">
        <v>0</v>
      </c>
      <c r="E108" s="733">
        <v>0</v>
      </c>
      <c r="F108" s="733">
        <v>0</v>
      </c>
      <c r="G108" s="733">
        <v>0</v>
      </c>
      <c r="H108" s="733">
        <f t="shared" si="24"/>
        <v>0</v>
      </c>
      <c r="I108" s="44">
        <f t="shared" si="1"/>
        <v>0</v>
      </c>
      <c r="J108" s="124" t="str">
        <f t="shared" si="2"/>
        <v/>
      </c>
      <c r="K108" s="735"/>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25">+C111+C114</f>
        <v>0</v>
      </c>
      <c r="D110" s="577">
        <f t="shared" si="25"/>
        <v>0</v>
      </c>
      <c r="E110" s="578">
        <f t="shared" si="25"/>
        <v>0</v>
      </c>
      <c r="F110" s="578">
        <f t="shared" si="25"/>
        <v>0</v>
      </c>
      <c r="G110" s="578">
        <f t="shared" si="25"/>
        <v>0</v>
      </c>
      <c r="H110" s="578">
        <f t="shared" si="25"/>
        <v>0</v>
      </c>
      <c r="I110" s="99">
        <f t="shared" si="1"/>
        <v>0</v>
      </c>
      <c r="J110" s="324" t="str">
        <f t="shared" si="2"/>
        <v/>
      </c>
      <c r="K110" s="580">
        <f>+K111+K114</f>
        <v>0</v>
      </c>
    </row>
    <row r="111" spans="1:11" ht="12.75" customHeight="1" x14ac:dyDescent="0.25">
      <c r="A111" s="518" t="s">
        <v>1286</v>
      </c>
      <c r="B111" s="169"/>
      <c r="C111" s="648">
        <f t="shared" ref="C111:H111" si="26">SUM(C112:C113)</f>
        <v>0</v>
      </c>
      <c r="D111" s="649">
        <f t="shared" si="26"/>
        <v>0</v>
      </c>
      <c r="E111" s="408">
        <f t="shared" si="26"/>
        <v>0</v>
      </c>
      <c r="F111" s="408">
        <f t="shared" si="26"/>
        <v>0</v>
      </c>
      <c r="G111" s="408">
        <f t="shared" si="26"/>
        <v>0</v>
      </c>
      <c r="H111" s="408">
        <f t="shared" si="26"/>
        <v>0</v>
      </c>
      <c r="I111" s="258">
        <f t="shared" si="1"/>
        <v>0</v>
      </c>
      <c r="J111" s="575" t="str">
        <f t="shared" si="2"/>
        <v/>
      </c>
      <c r="K111" s="642">
        <f>SUM(K112:K113)</f>
        <v>0</v>
      </c>
    </row>
    <row r="112" spans="1:11" ht="12.75" customHeight="1" x14ac:dyDescent="0.25">
      <c r="A112" s="574" t="s">
        <v>1287</v>
      </c>
      <c r="B112" s="169"/>
      <c r="C112" s="748"/>
      <c r="D112" s="753"/>
      <c r="E112" s="733"/>
      <c r="F112" s="733"/>
      <c r="G112" s="733"/>
      <c r="H112" s="733">
        <f t="shared" ref="H112:H113" si="27">E112/12*7</f>
        <v>0</v>
      </c>
      <c r="I112" s="44">
        <f t="shared" si="1"/>
        <v>0</v>
      </c>
      <c r="J112" s="124" t="str">
        <f t="shared" si="2"/>
        <v/>
      </c>
      <c r="K112" s="735"/>
    </row>
    <row r="113" spans="1:11" ht="12.75" customHeight="1" x14ac:dyDescent="0.25">
      <c r="A113" s="574" t="s">
        <v>1288</v>
      </c>
      <c r="B113" s="169"/>
      <c r="C113" s="748"/>
      <c r="D113" s="753"/>
      <c r="E113" s="733"/>
      <c r="F113" s="733"/>
      <c r="G113" s="733"/>
      <c r="H113" s="733">
        <f t="shared" si="27"/>
        <v>0</v>
      </c>
      <c r="I113" s="44">
        <f t="shared" si="1"/>
        <v>0</v>
      </c>
      <c r="J113" s="124" t="str">
        <f t="shared" si="2"/>
        <v/>
      </c>
      <c r="K113" s="735"/>
    </row>
    <row r="114" spans="1:11" ht="12.75" customHeight="1" x14ac:dyDescent="0.25">
      <c r="A114" s="518" t="s">
        <v>1289</v>
      </c>
      <c r="B114" s="169"/>
      <c r="C114" s="648">
        <f t="shared" ref="C114:H114" si="28">SUM(C115:C116)</f>
        <v>0</v>
      </c>
      <c r="D114" s="649">
        <f t="shared" si="28"/>
        <v>0</v>
      </c>
      <c r="E114" s="408">
        <f t="shared" si="28"/>
        <v>0</v>
      </c>
      <c r="F114" s="408">
        <f t="shared" si="28"/>
        <v>0</v>
      </c>
      <c r="G114" s="408">
        <f t="shared" si="28"/>
        <v>0</v>
      </c>
      <c r="H114" s="408">
        <f t="shared" si="28"/>
        <v>0</v>
      </c>
      <c r="I114" s="258">
        <f t="shared" si="1"/>
        <v>0</v>
      </c>
      <c r="J114" s="575" t="str">
        <f t="shared" si="2"/>
        <v/>
      </c>
      <c r="K114" s="642">
        <f>SUM(K115:K116)</f>
        <v>0</v>
      </c>
    </row>
    <row r="115" spans="1:11" ht="12.75" customHeight="1" x14ac:dyDescent="0.25">
      <c r="A115" s="574" t="s">
        <v>1287</v>
      </c>
      <c r="B115" s="169"/>
      <c r="C115" s="748"/>
      <c r="D115" s="753"/>
      <c r="E115" s="733"/>
      <c r="F115" s="733"/>
      <c r="G115" s="733"/>
      <c r="H115" s="733">
        <f t="shared" ref="H115:H116" si="29">E115/12*7</f>
        <v>0</v>
      </c>
      <c r="I115" s="44">
        <f t="shared" si="1"/>
        <v>0</v>
      </c>
      <c r="J115" s="124" t="str">
        <f t="shared" si="2"/>
        <v/>
      </c>
      <c r="K115" s="735">
        <f>E115</f>
        <v>0</v>
      </c>
    </row>
    <row r="116" spans="1:11" ht="12.75" customHeight="1" x14ac:dyDescent="0.25">
      <c r="A116" s="574" t="s">
        <v>1288</v>
      </c>
      <c r="B116" s="169"/>
      <c r="C116" s="748"/>
      <c r="D116" s="753"/>
      <c r="E116" s="733"/>
      <c r="F116" s="733"/>
      <c r="G116" s="733"/>
      <c r="H116" s="733">
        <f t="shared" si="29"/>
        <v>0</v>
      </c>
      <c r="I116" s="44">
        <f>H116-G116</f>
        <v>0</v>
      </c>
      <c r="J116" s="124" t="str">
        <f>IF(I116=0,"",I116/H116)</f>
        <v/>
      </c>
      <c r="K116" s="735">
        <f>E116</f>
        <v>0</v>
      </c>
    </row>
    <row r="117" spans="1:11" ht="12.75" customHeight="1" x14ac:dyDescent="0.25">
      <c r="A117" s="940" t="s">
        <v>674</v>
      </c>
      <c r="B117" s="169"/>
      <c r="C117" s="576">
        <f t="shared" ref="C117:H117" si="30">+C118+C130</f>
        <v>424242.22200000001</v>
      </c>
      <c r="D117" s="577">
        <f t="shared" si="30"/>
        <v>2120261</v>
      </c>
      <c r="E117" s="578">
        <f t="shared" si="30"/>
        <v>10120261</v>
      </c>
      <c r="F117" s="578">
        <f t="shared" si="30"/>
        <v>0</v>
      </c>
      <c r="G117" s="578">
        <f t="shared" si="30"/>
        <v>663313.20349999995</v>
      </c>
      <c r="H117" s="578">
        <f t="shared" si="30"/>
        <v>8433550.833333334</v>
      </c>
      <c r="I117" s="578">
        <f t="shared" si="1"/>
        <v>7770237.6298333341</v>
      </c>
      <c r="J117" s="579">
        <f t="shared" si="2"/>
        <v>0.92134828892258813</v>
      </c>
      <c r="K117" s="580">
        <f>+K118+K130</f>
        <v>10120261</v>
      </c>
    </row>
    <row r="118" spans="1:11" ht="12.75" customHeight="1" x14ac:dyDescent="0.25">
      <c r="A118" s="518" t="s">
        <v>1290</v>
      </c>
      <c r="B118" s="169"/>
      <c r="C118" s="648">
        <f t="shared" ref="C118:H118" si="31">SUM(C119:C129)</f>
        <v>424242.22200000001</v>
      </c>
      <c r="D118" s="649">
        <f t="shared" si="31"/>
        <v>2120261</v>
      </c>
      <c r="E118" s="408">
        <f t="shared" si="31"/>
        <v>10120261</v>
      </c>
      <c r="F118" s="408">
        <f t="shared" si="31"/>
        <v>0</v>
      </c>
      <c r="G118" s="408">
        <f t="shared" si="31"/>
        <v>663313.20349999995</v>
      </c>
      <c r="H118" s="408">
        <f t="shared" si="31"/>
        <v>8433550.833333334</v>
      </c>
      <c r="I118" s="258">
        <f t="shared" si="1"/>
        <v>7770237.6298333341</v>
      </c>
      <c r="J118" s="575">
        <f t="shared" si="2"/>
        <v>0.92134828892258813</v>
      </c>
      <c r="K118" s="642">
        <f>SUM(K119:K129)</f>
        <v>10120261</v>
      </c>
    </row>
    <row r="119" spans="1:11" ht="12.75" customHeight="1" x14ac:dyDescent="0.25">
      <c r="A119" s="574" t="s">
        <v>1291</v>
      </c>
      <c r="B119" s="169"/>
      <c r="C119" s="748">
        <v>424242.22200000001</v>
      </c>
      <c r="D119" s="753">
        <v>2120261</v>
      </c>
      <c r="E119" s="733">
        <v>10120261</v>
      </c>
      <c r="F119" s="733">
        <v>0</v>
      </c>
      <c r="G119" s="733">
        <v>663313.20349999995</v>
      </c>
      <c r="H119" s="733">
        <f>E119/12*10</f>
        <v>8433550.833333334</v>
      </c>
      <c r="I119" s="44">
        <f t="shared" si="1"/>
        <v>7770237.6298333341</v>
      </c>
      <c r="J119" s="124">
        <f t="shared" si="2"/>
        <v>0.92134828892258813</v>
      </c>
      <c r="K119" s="735">
        <f t="shared" ref="K119:K132" si="32">E119</f>
        <v>10120261</v>
      </c>
    </row>
    <row r="120" spans="1:11" ht="12.75" customHeight="1" x14ac:dyDescent="0.25">
      <c r="A120" s="574" t="s">
        <v>1292</v>
      </c>
      <c r="B120" s="169"/>
      <c r="C120" s="748">
        <v>0</v>
      </c>
      <c r="D120" s="753">
        <v>0</v>
      </c>
      <c r="E120" s="733">
        <v>0</v>
      </c>
      <c r="F120" s="733">
        <v>0</v>
      </c>
      <c r="G120" s="733">
        <v>0</v>
      </c>
      <c r="H120" s="733">
        <f t="shared" ref="H120:H129" si="33">E120/12*7</f>
        <v>0</v>
      </c>
      <c r="I120" s="44">
        <f t="shared" si="1"/>
        <v>0</v>
      </c>
      <c r="J120" s="124" t="str">
        <f t="shared" si="2"/>
        <v/>
      </c>
      <c r="K120" s="735">
        <f t="shared" si="32"/>
        <v>0</v>
      </c>
    </row>
    <row r="121" spans="1:11" ht="12.75" customHeight="1" x14ac:dyDescent="0.25">
      <c r="A121" s="574" t="s">
        <v>1293</v>
      </c>
      <c r="B121" s="169"/>
      <c r="C121" s="748">
        <v>0</v>
      </c>
      <c r="D121" s="753">
        <v>0</v>
      </c>
      <c r="E121" s="733">
        <v>0</v>
      </c>
      <c r="F121" s="733">
        <v>0</v>
      </c>
      <c r="G121" s="733">
        <v>0</v>
      </c>
      <c r="H121" s="733">
        <f t="shared" si="33"/>
        <v>0</v>
      </c>
      <c r="I121" s="44">
        <f t="shared" si="1"/>
        <v>0</v>
      </c>
      <c r="J121" s="124" t="str">
        <f t="shared" si="2"/>
        <v/>
      </c>
      <c r="K121" s="735">
        <f t="shared" si="32"/>
        <v>0</v>
      </c>
    </row>
    <row r="122" spans="1:11" ht="12.75" customHeight="1" x14ac:dyDescent="0.25">
      <c r="A122" s="574" t="s">
        <v>1294</v>
      </c>
      <c r="B122" s="169"/>
      <c r="C122" s="748">
        <v>0</v>
      </c>
      <c r="D122" s="753">
        <v>0</v>
      </c>
      <c r="E122" s="733">
        <v>0</v>
      </c>
      <c r="F122" s="733">
        <v>0</v>
      </c>
      <c r="G122" s="733">
        <v>0</v>
      </c>
      <c r="H122" s="733">
        <f t="shared" si="33"/>
        <v>0</v>
      </c>
      <c r="I122" s="44">
        <f t="shared" si="1"/>
        <v>0</v>
      </c>
      <c r="J122" s="124" t="str">
        <f t="shared" si="2"/>
        <v/>
      </c>
      <c r="K122" s="735">
        <f t="shared" si="32"/>
        <v>0</v>
      </c>
    </row>
    <row r="123" spans="1:11" ht="12.75" customHeight="1" x14ac:dyDescent="0.25">
      <c r="A123" s="574" t="s">
        <v>1295</v>
      </c>
      <c r="B123" s="169"/>
      <c r="C123" s="748">
        <v>0</v>
      </c>
      <c r="D123" s="753">
        <v>0</v>
      </c>
      <c r="E123" s="733">
        <v>0</v>
      </c>
      <c r="F123" s="733">
        <v>0</v>
      </c>
      <c r="G123" s="733">
        <v>0</v>
      </c>
      <c r="H123" s="733">
        <f t="shared" si="33"/>
        <v>0</v>
      </c>
      <c r="I123" s="44">
        <f t="shared" si="1"/>
        <v>0</v>
      </c>
      <c r="J123" s="124" t="str">
        <f t="shared" si="2"/>
        <v/>
      </c>
      <c r="K123" s="735">
        <f t="shared" si="32"/>
        <v>0</v>
      </c>
    </row>
    <row r="124" spans="1:11" ht="12.75" customHeight="1" x14ac:dyDescent="0.25">
      <c r="A124" s="574" t="s">
        <v>1296</v>
      </c>
      <c r="B124" s="169"/>
      <c r="C124" s="748">
        <v>0</v>
      </c>
      <c r="D124" s="753">
        <v>0</v>
      </c>
      <c r="E124" s="733">
        <v>0</v>
      </c>
      <c r="F124" s="733">
        <v>0</v>
      </c>
      <c r="G124" s="733">
        <v>0</v>
      </c>
      <c r="H124" s="733">
        <f t="shared" si="33"/>
        <v>0</v>
      </c>
      <c r="I124" s="44">
        <f t="shared" si="1"/>
        <v>0</v>
      </c>
      <c r="J124" s="124" t="str">
        <f t="shared" si="2"/>
        <v/>
      </c>
      <c r="K124" s="735">
        <f t="shared" si="32"/>
        <v>0</v>
      </c>
    </row>
    <row r="125" spans="1:11" ht="12.75" customHeight="1" x14ac:dyDescent="0.25">
      <c r="A125" s="574" t="s">
        <v>1297</v>
      </c>
      <c r="B125" s="169"/>
      <c r="C125" s="748">
        <v>0</v>
      </c>
      <c r="D125" s="753">
        <v>0</v>
      </c>
      <c r="E125" s="733">
        <v>0</v>
      </c>
      <c r="F125" s="733">
        <v>0</v>
      </c>
      <c r="G125" s="733">
        <v>0</v>
      </c>
      <c r="H125" s="733">
        <f t="shared" si="33"/>
        <v>0</v>
      </c>
      <c r="I125" s="44">
        <f t="shared" si="1"/>
        <v>0</v>
      </c>
      <c r="J125" s="124" t="str">
        <f t="shared" si="2"/>
        <v/>
      </c>
      <c r="K125" s="735">
        <f t="shared" si="32"/>
        <v>0</v>
      </c>
    </row>
    <row r="126" spans="1:11" ht="12.75" customHeight="1" x14ac:dyDescent="0.25">
      <c r="A126" s="574" t="s">
        <v>1298</v>
      </c>
      <c r="B126" s="169"/>
      <c r="C126" s="748">
        <v>0</v>
      </c>
      <c r="D126" s="753">
        <v>0</v>
      </c>
      <c r="E126" s="733">
        <v>0</v>
      </c>
      <c r="F126" s="733">
        <v>0</v>
      </c>
      <c r="G126" s="733">
        <v>0</v>
      </c>
      <c r="H126" s="733">
        <f t="shared" si="33"/>
        <v>0</v>
      </c>
      <c r="I126" s="44">
        <f t="shared" si="1"/>
        <v>0</v>
      </c>
      <c r="J126" s="124" t="str">
        <f t="shared" si="2"/>
        <v/>
      </c>
      <c r="K126" s="735">
        <f t="shared" si="32"/>
        <v>0</v>
      </c>
    </row>
    <row r="127" spans="1:11" ht="12.75" customHeight="1" x14ac:dyDescent="0.25">
      <c r="A127" s="574" t="s">
        <v>1299</v>
      </c>
      <c r="B127" s="169"/>
      <c r="C127" s="748">
        <v>0</v>
      </c>
      <c r="D127" s="753">
        <v>0</v>
      </c>
      <c r="E127" s="733">
        <v>0</v>
      </c>
      <c r="F127" s="733">
        <v>0</v>
      </c>
      <c r="G127" s="733">
        <v>0</v>
      </c>
      <c r="H127" s="733">
        <f t="shared" si="33"/>
        <v>0</v>
      </c>
      <c r="I127" s="44">
        <f t="shared" si="1"/>
        <v>0</v>
      </c>
      <c r="J127" s="124" t="str">
        <f t="shared" si="2"/>
        <v/>
      </c>
      <c r="K127" s="735">
        <f t="shared" si="32"/>
        <v>0</v>
      </c>
    </row>
    <row r="128" spans="1:11" ht="12.75" customHeight="1" x14ac:dyDescent="0.25">
      <c r="A128" s="574" t="s">
        <v>1300</v>
      </c>
      <c r="B128" s="169"/>
      <c r="C128" s="748">
        <v>0</v>
      </c>
      <c r="D128" s="753">
        <v>0</v>
      </c>
      <c r="E128" s="733">
        <v>0</v>
      </c>
      <c r="F128" s="733">
        <v>0</v>
      </c>
      <c r="G128" s="733">
        <v>0</v>
      </c>
      <c r="H128" s="733">
        <f t="shared" si="33"/>
        <v>0</v>
      </c>
      <c r="I128" s="44">
        <f t="shared" si="1"/>
        <v>0</v>
      </c>
      <c r="J128" s="124" t="str">
        <f t="shared" si="2"/>
        <v/>
      </c>
      <c r="K128" s="735">
        <f t="shared" si="32"/>
        <v>0</v>
      </c>
    </row>
    <row r="129" spans="1:11" ht="12.75" customHeight="1" x14ac:dyDescent="0.25">
      <c r="A129" s="574" t="s">
        <v>1211</v>
      </c>
      <c r="B129" s="169"/>
      <c r="C129" s="748">
        <v>0</v>
      </c>
      <c r="D129" s="753">
        <v>0</v>
      </c>
      <c r="E129" s="733">
        <v>0</v>
      </c>
      <c r="F129" s="733">
        <v>0</v>
      </c>
      <c r="G129" s="733">
        <v>0</v>
      </c>
      <c r="H129" s="733">
        <f t="shared" si="33"/>
        <v>0</v>
      </c>
      <c r="I129" s="44">
        <f t="shared" si="1"/>
        <v>0</v>
      </c>
      <c r="J129" s="124" t="str">
        <f t="shared" si="2"/>
        <v/>
      </c>
      <c r="K129" s="735">
        <f t="shared" si="32"/>
        <v>0</v>
      </c>
    </row>
    <row r="130" spans="1:11" ht="12.75" customHeight="1" x14ac:dyDescent="0.25">
      <c r="A130" s="518" t="s">
        <v>713</v>
      </c>
      <c r="B130" s="169"/>
      <c r="C130" s="648">
        <f t="shared" ref="C130:H130" si="34">SUM(C131:C133)</f>
        <v>0</v>
      </c>
      <c r="D130" s="649">
        <f t="shared" si="34"/>
        <v>0</v>
      </c>
      <c r="E130" s="408">
        <f t="shared" si="34"/>
        <v>0</v>
      </c>
      <c r="F130" s="408">
        <f t="shared" si="34"/>
        <v>0</v>
      </c>
      <c r="G130" s="408">
        <f t="shared" si="34"/>
        <v>0</v>
      </c>
      <c r="H130" s="408">
        <f t="shared" si="34"/>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35">E131/12*7</f>
        <v>0</v>
      </c>
      <c r="I131" s="44">
        <f t="shared" si="1"/>
        <v>0</v>
      </c>
      <c r="J131" s="124" t="str">
        <f t="shared" si="2"/>
        <v/>
      </c>
      <c r="K131" s="735">
        <f t="shared" si="32"/>
        <v>0</v>
      </c>
    </row>
    <row r="132" spans="1:11" ht="12.75" customHeight="1" x14ac:dyDescent="0.25">
      <c r="A132" s="574" t="s">
        <v>1302</v>
      </c>
      <c r="B132" s="169"/>
      <c r="C132" s="748">
        <v>0</v>
      </c>
      <c r="D132" s="753">
        <v>0</v>
      </c>
      <c r="E132" s="733">
        <v>0</v>
      </c>
      <c r="F132" s="733">
        <v>0</v>
      </c>
      <c r="G132" s="733">
        <v>0</v>
      </c>
      <c r="H132" s="733">
        <f t="shared" si="35"/>
        <v>0</v>
      </c>
      <c r="I132" s="44">
        <f t="shared" si="1"/>
        <v>0</v>
      </c>
      <c r="J132" s="124" t="str">
        <f t="shared" si="2"/>
        <v/>
      </c>
      <c r="K132" s="735">
        <f t="shared" si="32"/>
        <v>0</v>
      </c>
    </row>
    <row r="133" spans="1:11" ht="12.75" customHeight="1" x14ac:dyDescent="0.25">
      <c r="A133" s="574" t="s">
        <v>1211</v>
      </c>
      <c r="B133" s="169"/>
      <c r="C133" s="748">
        <v>0</v>
      </c>
      <c r="D133" s="753">
        <v>0</v>
      </c>
      <c r="E133" s="733">
        <v>0</v>
      </c>
      <c r="F133" s="733">
        <v>0</v>
      </c>
      <c r="G133" s="733">
        <v>0</v>
      </c>
      <c r="H133" s="733">
        <f t="shared" si="35"/>
        <v>0</v>
      </c>
      <c r="I133" s="44">
        <f t="shared" si="1"/>
        <v>0</v>
      </c>
      <c r="J133" s="124" t="str">
        <f t="shared" si="2"/>
        <v/>
      </c>
      <c r="K133" s="735">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36">SUM(C136:C136)</f>
        <v>0</v>
      </c>
      <c r="D135" s="577">
        <f t="shared" si="36"/>
        <v>0</v>
      </c>
      <c r="E135" s="578">
        <f t="shared" si="36"/>
        <v>0</v>
      </c>
      <c r="F135" s="578">
        <f t="shared" si="36"/>
        <v>0</v>
      </c>
      <c r="G135" s="578">
        <f t="shared" si="36"/>
        <v>0</v>
      </c>
      <c r="H135" s="578">
        <f t="shared" si="36"/>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37">IF(I137=0,"",I137/H137)</f>
        <v/>
      </c>
      <c r="K137" s="144"/>
    </row>
    <row r="138" spans="1:11" s="100" customFormat="1" ht="12.75" customHeight="1" x14ac:dyDescent="0.25">
      <c r="A138" s="549" t="s">
        <v>1304</v>
      </c>
      <c r="B138" s="171"/>
      <c r="C138" s="941">
        <f t="shared" ref="C138:H138" si="38">SUM(C139:C140)</f>
        <v>0</v>
      </c>
      <c r="D138" s="942">
        <f t="shared" si="38"/>
        <v>0</v>
      </c>
      <c r="E138" s="943">
        <f t="shared" si="38"/>
        <v>0</v>
      </c>
      <c r="F138" s="943">
        <f t="shared" si="38"/>
        <v>0</v>
      </c>
      <c r="G138" s="943">
        <f t="shared" si="38"/>
        <v>0</v>
      </c>
      <c r="H138" s="943">
        <f t="shared" si="38"/>
        <v>0</v>
      </c>
      <c r="I138" s="943">
        <f t="shared" ref="I138:I146" si="39">H138-G138</f>
        <v>0</v>
      </c>
      <c r="J138" s="324" t="str">
        <f t="shared" si="37"/>
        <v/>
      </c>
      <c r="K138" s="944">
        <f>SUM(K139:K140)</f>
        <v>0</v>
      </c>
    </row>
    <row r="139" spans="1:11" ht="12.75" customHeight="1" x14ac:dyDescent="0.25">
      <c r="A139" s="517" t="s">
        <v>1305</v>
      </c>
      <c r="B139" s="169"/>
      <c r="C139" s="748"/>
      <c r="D139" s="753"/>
      <c r="E139" s="733"/>
      <c r="F139" s="733"/>
      <c r="G139" s="733"/>
      <c r="H139" s="733">
        <f>E139/12*7</f>
        <v>0</v>
      </c>
      <c r="I139" s="44">
        <f t="shared" si="39"/>
        <v>0</v>
      </c>
      <c r="J139" s="124" t="str">
        <f t="shared" si="37"/>
        <v/>
      </c>
      <c r="K139" s="735"/>
    </row>
    <row r="140" spans="1:11" ht="12.75" customHeight="1" x14ac:dyDescent="0.25">
      <c r="A140" s="517" t="s">
        <v>1306</v>
      </c>
      <c r="B140" s="169"/>
      <c r="C140" s="648">
        <f t="shared" ref="C140:H140" si="40">SUM(C141:C146)</f>
        <v>0</v>
      </c>
      <c r="D140" s="649">
        <f t="shared" si="40"/>
        <v>0</v>
      </c>
      <c r="E140" s="408">
        <f t="shared" si="40"/>
        <v>0</v>
      </c>
      <c r="F140" s="408">
        <f t="shared" si="40"/>
        <v>0</v>
      </c>
      <c r="G140" s="408">
        <f t="shared" si="40"/>
        <v>0</v>
      </c>
      <c r="H140" s="408">
        <f t="shared" si="40"/>
        <v>0</v>
      </c>
      <c r="I140" s="258">
        <f t="shared" si="39"/>
        <v>0</v>
      </c>
      <c r="J140" s="575" t="str">
        <f t="shared" si="37"/>
        <v/>
      </c>
      <c r="K140" s="642">
        <f>SUM(K141:K146)</f>
        <v>0</v>
      </c>
    </row>
    <row r="141" spans="1:11" ht="12.75" customHeight="1" x14ac:dyDescent="0.25">
      <c r="A141" s="574" t="s">
        <v>1307</v>
      </c>
      <c r="B141" s="169"/>
      <c r="C141" s="748">
        <v>0</v>
      </c>
      <c r="D141" s="753">
        <v>0</v>
      </c>
      <c r="E141" s="733">
        <v>0</v>
      </c>
      <c r="F141" s="733">
        <v>0</v>
      </c>
      <c r="G141" s="733">
        <v>0</v>
      </c>
      <c r="H141" s="733">
        <f t="shared" ref="H141:H147" si="41">E141/12*7</f>
        <v>0</v>
      </c>
      <c r="I141" s="44">
        <f t="shared" si="39"/>
        <v>0</v>
      </c>
      <c r="J141" s="124" t="str">
        <f t="shared" si="37"/>
        <v/>
      </c>
      <c r="K141" s="735">
        <f t="shared" ref="K141:K146" si="42">-E141</f>
        <v>0</v>
      </c>
    </row>
    <row r="142" spans="1:11" ht="12.75" customHeight="1" x14ac:dyDescent="0.25">
      <c r="A142" s="574" t="s">
        <v>1308</v>
      </c>
      <c r="B142" s="169"/>
      <c r="C142" s="748">
        <v>0</v>
      </c>
      <c r="D142" s="753">
        <v>0</v>
      </c>
      <c r="E142" s="733">
        <v>0</v>
      </c>
      <c r="F142" s="733">
        <v>0</v>
      </c>
      <c r="G142" s="733">
        <v>0</v>
      </c>
      <c r="H142" s="733">
        <f t="shared" si="41"/>
        <v>0</v>
      </c>
      <c r="I142" s="44">
        <f t="shared" si="39"/>
        <v>0</v>
      </c>
      <c r="J142" s="124" t="str">
        <f t="shared" si="37"/>
        <v/>
      </c>
      <c r="K142" s="735">
        <f t="shared" si="42"/>
        <v>0</v>
      </c>
    </row>
    <row r="143" spans="1:11" ht="12.75" customHeight="1" x14ac:dyDescent="0.25">
      <c r="A143" s="574" t="s">
        <v>1309</v>
      </c>
      <c r="B143" s="169"/>
      <c r="C143" s="748">
        <v>0</v>
      </c>
      <c r="D143" s="753">
        <v>0</v>
      </c>
      <c r="E143" s="733">
        <v>0</v>
      </c>
      <c r="F143" s="733">
        <v>0</v>
      </c>
      <c r="G143" s="733">
        <v>0</v>
      </c>
      <c r="H143" s="733">
        <f t="shared" si="41"/>
        <v>0</v>
      </c>
      <c r="I143" s="44">
        <f t="shared" si="39"/>
        <v>0</v>
      </c>
      <c r="J143" s="124" t="str">
        <f t="shared" si="37"/>
        <v/>
      </c>
      <c r="K143" s="735">
        <f t="shared" si="42"/>
        <v>0</v>
      </c>
    </row>
    <row r="144" spans="1:11" ht="12.75" customHeight="1" x14ac:dyDescent="0.25">
      <c r="A144" s="574" t="s">
        <v>1310</v>
      </c>
      <c r="B144" s="169"/>
      <c r="C144" s="748">
        <v>0</v>
      </c>
      <c r="D144" s="753">
        <v>0</v>
      </c>
      <c r="E144" s="733">
        <v>0</v>
      </c>
      <c r="F144" s="733">
        <v>0</v>
      </c>
      <c r="G144" s="733">
        <v>0</v>
      </c>
      <c r="H144" s="733">
        <f t="shared" si="41"/>
        <v>0</v>
      </c>
      <c r="I144" s="44">
        <f t="shared" si="39"/>
        <v>0</v>
      </c>
      <c r="J144" s="124" t="str">
        <f t="shared" si="37"/>
        <v/>
      </c>
      <c r="K144" s="735">
        <f t="shared" si="42"/>
        <v>0</v>
      </c>
    </row>
    <row r="145" spans="1:12" ht="12.75" customHeight="1" x14ac:dyDescent="0.25">
      <c r="A145" s="574" t="s">
        <v>1311</v>
      </c>
      <c r="B145" s="169"/>
      <c r="C145" s="748">
        <v>0</v>
      </c>
      <c r="D145" s="753">
        <v>0</v>
      </c>
      <c r="E145" s="733">
        <v>0</v>
      </c>
      <c r="F145" s="733">
        <v>0</v>
      </c>
      <c r="G145" s="733">
        <v>0</v>
      </c>
      <c r="H145" s="733">
        <f t="shared" si="41"/>
        <v>0</v>
      </c>
      <c r="I145" s="44">
        <f t="shared" si="39"/>
        <v>0</v>
      </c>
      <c r="J145" s="124" t="str">
        <f t="shared" si="37"/>
        <v/>
      </c>
      <c r="K145" s="735">
        <f t="shared" si="42"/>
        <v>0</v>
      </c>
    </row>
    <row r="146" spans="1:12" ht="12.75" customHeight="1" x14ac:dyDescent="0.25">
      <c r="A146" s="574" t="s">
        <v>1312</v>
      </c>
      <c r="B146" s="169"/>
      <c r="C146" s="748">
        <v>0</v>
      </c>
      <c r="D146" s="753">
        <v>0</v>
      </c>
      <c r="E146" s="733">
        <v>0</v>
      </c>
      <c r="F146" s="733">
        <v>0</v>
      </c>
      <c r="G146" s="733">
        <v>0</v>
      </c>
      <c r="H146" s="733">
        <f t="shared" si="41"/>
        <v>0</v>
      </c>
      <c r="I146" s="44">
        <f t="shared" si="39"/>
        <v>0</v>
      </c>
      <c r="J146" s="124" t="str">
        <f t="shared" si="37"/>
        <v/>
      </c>
      <c r="K146" s="735">
        <f t="shared" si="42"/>
        <v>0</v>
      </c>
    </row>
    <row r="147" spans="1:12" s="100" customFormat="1" ht="5.25" customHeight="1" x14ac:dyDescent="0.25">
      <c r="A147" s="548"/>
      <c r="B147" s="171"/>
      <c r="C147" s="748">
        <v>0</v>
      </c>
      <c r="D147" s="753">
        <v>0</v>
      </c>
      <c r="E147" s="733">
        <v>0</v>
      </c>
      <c r="F147" s="733">
        <v>0</v>
      </c>
      <c r="G147" s="733">
        <v>0</v>
      </c>
      <c r="H147" s="733">
        <f t="shared" si="41"/>
        <v>0</v>
      </c>
      <c r="I147" s="47"/>
      <c r="J147" s="124"/>
      <c r="K147" s="536"/>
      <c r="L147" s="25"/>
    </row>
    <row r="148" spans="1:12" ht="12.75" customHeight="1" x14ac:dyDescent="0.25">
      <c r="A148" s="549" t="s">
        <v>1313</v>
      </c>
      <c r="B148" s="169"/>
      <c r="C148" s="576">
        <f t="shared" ref="C148:H148" si="43">SUM(C149:C149)</f>
        <v>0</v>
      </c>
      <c r="D148" s="577">
        <f t="shared" si="43"/>
        <v>0</v>
      </c>
      <c r="E148" s="578">
        <f t="shared" si="43"/>
        <v>0</v>
      </c>
      <c r="F148" s="578">
        <f t="shared" si="43"/>
        <v>0</v>
      </c>
      <c r="G148" s="578">
        <f t="shared" si="43"/>
        <v>0</v>
      </c>
      <c r="H148" s="578">
        <f t="shared" si="43"/>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44">SUM(C152:C152)</f>
        <v>0</v>
      </c>
      <c r="D151" s="577">
        <f t="shared" si="44"/>
        <v>0</v>
      </c>
      <c r="E151" s="578">
        <f t="shared" si="44"/>
        <v>0</v>
      </c>
      <c r="F151" s="578">
        <f t="shared" si="44"/>
        <v>0</v>
      </c>
      <c r="G151" s="578">
        <f t="shared" si="44"/>
        <v>0</v>
      </c>
      <c r="H151" s="578">
        <f t="shared" si="44"/>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45">SUM(C155:C155)</f>
        <v>0</v>
      </c>
      <c r="D154" s="577">
        <f t="shared" si="45"/>
        <v>0</v>
      </c>
      <c r="E154" s="578">
        <f t="shared" si="45"/>
        <v>0</v>
      </c>
      <c r="F154" s="578">
        <f t="shared" si="45"/>
        <v>0</v>
      </c>
      <c r="G154" s="578">
        <f t="shared" si="45"/>
        <v>0</v>
      </c>
      <c r="H154" s="578">
        <f t="shared" si="45"/>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46">SUM(C158:C158)</f>
        <v>0</v>
      </c>
      <c r="D157" s="577">
        <f t="shared" si="46"/>
        <v>0</v>
      </c>
      <c r="E157" s="578">
        <f t="shared" si="46"/>
        <v>0</v>
      </c>
      <c r="F157" s="578">
        <f t="shared" si="46"/>
        <v>0</v>
      </c>
      <c r="G157" s="578">
        <f t="shared" si="46"/>
        <v>0</v>
      </c>
      <c r="H157" s="578">
        <f t="shared" si="46"/>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47">SUM(C161:C161)</f>
        <v>0</v>
      </c>
      <c r="D160" s="577">
        <f t="shared" si="47"/>
        <v>0</v>
      </c>
      <c r="E160" s="578">
        <f t="shared" si="47"/>
        <v>0</v>
      </c>
      <c r="F160" s="578">
        <f t="shared" si="47"/>
        <v>0</v>
      </c>
      <c r="G160" s="578">
        <f t="shared" si="47"/>
        <v>0</v>
      </c>
      <c r="H160" s="578">
        <f t="shared" si="47"/>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48">SUM(C164:C164)</f>
        <v>0</v>
      </c>
      <c r="D163" s="577">
        <f t="shared" si="48"/>
        <v>0</v>
      </c>
      <c r="E163" s="578">
        <f t="shared" si="48"/>
        <v>0</v>
      </c>
      <c r="F163" s="578">
        <f t="shared" si="48"/>
        <v>0</v>
      </c>
      <c r="G163" s="578">
        <f t="shared" si="48"/>
        <v>0</v>
      </c>
      <c r="H163" s="578">
        <f t="shared" si="48"/>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735">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883</v>
      </c>
      <c r="B166" s="236">
        <v>1</v>
      </c>
      <c r="C166" s="112">
        <f t="shared" ref="C166:H166" si="49">C7+C75+C103+C110+C117+C135+C138+C148+C151+C154+C157+C160+C163</f>
        <v>43699881.005333409</v>
      </c>
      <c r="D166" s="271">
        <f t="shared" si="49"/>
        <v>10488284</v>
      </c>
      <c r="E166" s="55">
        <f t="shared" si="49"/>
        <v>32595280</v>
      </c>
      <c r="F166" s="55">
        <f t="shared" si="49"/>
        <v>387779.43650000007</v>
      </c>
      <c r="G166" s="55">
        <f t="shared" si="49"/>
        <v>5046170.4219999751</v>
      </c>
      <c r="H166" s="55">
        <f t="shared" si="49"/>
        <v>27162733.333333336</v>
      </c>
      <c r="I166" s="55">
        <f>H166-G166</f>
        <v>22116562.91133336</v>
      </c>
      <c r="J166" s="290">
        <f>IF(I166=0,"",I166/H166)</f>
        <v>0.81422449795185159</v>
      </c>
      <c r="K166" s="235">
        <f>K7+K75+K103+K110+K117+K135+K138+K148+K151+K154+K157+K160+K163</f>
        <v>32595280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C166+SC13a!C166+SC13e!C166-'C5-Capex'!C40</f>
        <v>1.8689632415771484E-3</v>
      </c>
      <c r="D171" s="135">
        <f>D166+SC13a!D166+SC13e!D166-'C5-Capex'!D40</f>
        <v>0</v>
      </c>
      <c r="E171" s="135">
        <f>E166+SC13a!E166+SC13e!E166-'C5-Capex'!E40</f>
        <v>0.58036541938781738</v>
      </c>
      <c r="F171" s="135">
        <f>F166+SC13a!F166+SC13e!F166-'C5-Capex'!F40</f>
        <v>0</v>
      </c>
      <c r="G171" s="135">
        <f>G166+SC13a!G166+SC13e!G166-'C5-Capex'!G40</f>
        <v>1.0000109672546387E-2</v>
      </c>
      <c r="H171" s="135">
        <f>H166+SC13a!H166+SC13e!H166-'C5-Capex'!H40</f>
        <v>0.48363780975341797</v>
      </c>
      <c r="I171" s="135"/>
      <c r="J171" s="135"/>
      <c r="K171" s="135">
        <f>K166+SC13a!K166+SC13e!K166-'C5-Capex'!K40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tabColor indexed="42"/>
  </sheetPr>
  <dimension ref="A1:L205"/>
  <sheetViews>
    <sheetView showGridLines="0" workbookViewId="0">
      <pane xSplit="2" ySplit="4" topLeftCell="C155" activePane="bottomRight" state="frozen"/>
      <selection pane="topRight"/>
      <selection pane="bottomLeft"/>
      <selection pane="bottomRight" activeCell="I171" sqref="I171:I173"/>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"&amp;S71Sc&amp; " - "&amp;Head57</f>
        <v>LIM354 Polokwane - Supporting Table SC13c Monthly Budget Statement - expenditure on repairs and maintenance by asset class - M10 April</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285454846.29000002</v>
      </c>
      <c r="D7" s="602">
        <f t="shared" si="0"/>
        <v>390956497</v>
      </c>
      <c r="E7" s="102">
        <f t="shared" si="0"/>
        <v>390956497</v>
      </c>
      <c r="F7" s="102">
        <f t="shared" si="0"/>
        <v>10715569</v>
      </c>
      <c r="G7" s="102">
        <f t="shared" si="0"/>
        <v>283906986.98000002</v>
      </c>
      <c r="H7" s="102">
        <f t="shared" si="0"/>
        <v>325797080.83333331</v>
      </c>
      <c r="I7" s="101">
        <f t="shared" ref="I7:I166" si="1">H7-G7</f>
        <v>41890093.853333294</v>
      </c>
      <c r="J7" s="579">
        <f t="shared" ref="J7:J166" si="2">IF(I7=0,"",I7/H7)</f>
        <v>0.12857725350449914</v>
      </c>
      <c r="K7" s="603">
        <f>K8+K13+K17+K27+K38+K45+K53+K63+K69</f>
        <v>390956497</v>
      </c>
    </row>
    <row r="8" spans="1:11" ht="12.75" customHeight="1" x14ac:dyDescent="0.25">
      <c r="A8" s="518" t="s">
        <v>1208</v>
      </c>
      <c r="B8" s="169"/>
      <c r="C8" s="677">
        <f t="shared" ref="C8:H8" si="3">SUM(C9:C12)</f>
        <v>50989461.449999996</v>
      </c>
      <c r="D8" s="609">
        <f t="shared" si="3"/>
        <v>77031479</v>
      </c>
      <c r="E8" s="608">
        <f t="shared" si="3"/>
        <v>77031479</v>
      </c>
      <c r="F8" s="608">
        <f t="shared" si="3"/>
        <v>1187847</v>
      </c>
      <c r="G8" s="608">
        <f t="shared" si="3"/>
        <v>50320525.57</v>
      </c>
      <c r="H8" s="608">
        <f t="shared" si="3"/>
        <v>64192899.166666672</v>
      </c>
      <c r="I8" s="258">
        <f t="shared" si="1"/>
        <v>13872373.596666671</v>
      </c>
      <c r="J8" s="575">
        <f t="shared" si="2"/>
        <v>0.21610448782893035</v>
      </c>
      <c r="K8" s="610">
        <f>SUM(K9:K12)</f>
        <v>77031479</v>
      </c>
    </row>
    <row r="9" spans="1:11" ht="12.75" customHeight="1" x14ac:dyDescent="0.25">
      <c r="A9" s="574" t="s">
        <v>168</v>
      </c>
      <c r="B9" s="169"/>
      <c r="C9" s="748">
        <v>759565.92</v>
      </c>
      <c r="D9" s="745">
        <v>77031479</v>
      </c>
      <c r="E9" s="733">
        <v>77031479</v>
      </c>
      <c r="F9" s="733">
        <v>1187847</v>
      </c>
      <c r="G9" s="733">
        <f>47938728.27+1193950.3+1187847</f>
        <v>50320525.57</v>
      </c>
      <c r="H9" s="733">
        <f>E9/12*10</f>
        <v>64192899.166666672</v>
      </c>
      <c r="I9" s="258">
        <f t="shared" si="1"/>
        <v>13872373.596666671</v>
      </c>
      <c r="J9" s="575">
        <f t="shared" si="2"/>
        <v>0.21610448782893035</v>
      </c>
      <c r="K9" s="735">
        <f>E9</f>
        <v>77031479</v>
      </c>
    </row>
    <row r="10" spans="1:11" ht="12.75" customHeight="1" x14ac:dyDescent="0.25">
      <c r="A10" s="574" t="s">
        <v>1209</v>
      </c>
      <c r="B10" s="169"/>
      <c r="C10" s="748">
        <v>0</v>
      </c>
      <c r="D10" s="745">
        <v>0</v>
      </c>
      <c r="E10" s="733">
        <v>0</v>
      </c>
      <c r="F10" s="733">
        <v>0</v>
      </c>
      <c r="G10" s="733">
        <v>0</v>
      </c>
      <c r="H10" s="733">
        <f t="shared" ref="H10:H12" si="4">E10/12*7</f>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5">
      <c r="A12" s="574" t="s">
        <v>1211</v>
      </c>
      <c r="B12" s="169"/>
      <c r="C12" s="748">
        <v>50229895.529999994</v>
      </c>
      <c r="D12" s="745">
        <v>0</v>
      </c>
      <c r="E12" s="733">
        <v>0</v>
      </c>
      <c r="F12" s="733">
        <v>0</v>
      </c>
      <c r="G12" s="733"/>
      <c r="H12" s="733">
        <f t="shared" si="4"/>
        <v>0</v>
      </c>
      <c r="I12" s="258">
        <f t="shared" si="1"/>
        <v>0</v>
      </c>
      <c r="J12" s="575" t="str">
        <f t="shared" si="2"/>
        <v/>
      </c>
      <c r="K12" s="735">
        <f>E12</f>
        <v>0</v>
      </c>
    </row>
    <row r="13" spans="1:11" ht="12.75" customHeight="1" x14ac:dyDescent="0.25">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1213</v>
      </c>
      <c r="B14" s="169"/>
      <c r="C14" s="748"/>
      <c r="D14" s="745"/>
      <c r="E14" s="733"/>
      <c r="F14" s="733"/>
      <c r="G14" s="733"/>
      <c r="H14" s="733">
        <f t="shared" ref="H14:H16" si="6">E14/12*7</f>
        <v>0</v>
      </c>
      <c r="I14" s="258">
        <f t="shared" si="1"/>
        <v>0</v>
      </c>
      <c r="J14" s="575" t="str">
        <f t="shared" si="2"/>
        <v/>
      </c>
      <c r="K14" s="735">
        <f>E14</f>
        <v>0</v>
      </c>
    </row>
    <row r="15" spans="1:11" ht="12.75" customHeight="1" x14ac:dyDescent="0.25">
      <c r="A15" s="574" t="s">
        <v>1214</v>
      </c>
      <c r="B15" s="169"/>
      <c r="C15" s="748"/>
      <c r="D15" s="745"/>
      <c r="E15" s="733"/>
      <c r="F15" s="733"/>
      <c r="G15" s="733"/>
      <c r="H15" s="733">
        <f t="shared" si="6"/>
        <v>0</v>
      </c>
      <c r="I15" s="258">
        <f t="shared" si="1"/>
        <v>0</v>
      </c>
      <c r="J15" s="575" t="str">
        <f t="shared" si="2"/>
        <v/>
      </c>
      <c r="K15" s="735">
        <f>E15</f>
        <v>0</v>
      </c>
    </row>
    <row r="16" spans="1:11" ht="12.75" customHeight="1" x14ac:dyDescent="0.25">
      <c r="A16" s="574" t="s">
        <v>1215</v>
      </c>
      <c r="B16" s="169"/>
      <c r="C16" s="748"/>
      <c r="D16" s="745"/>
      <c r="E16" s="733"/>
      <c r="F16" s="733"/>
      <c r="G16" s="733"/>
      <c r="H16" s="733">
        <f t="shared" si="6"/>
        <v>0</v>
      </c>
      <c r="I16" s="258">
        <f t="shared" si="1"/>
        <v>0</v>
      </c>
      <c r="J16" s="575" t="str">
        <f t="shared" si="2"/>
        <v/>
      </c>
      <c r="K16" s="735">
        <f>E16</f>
        <v>0</v>
      </c>
    </row>
    <row r="17" spans="1:11" ht="12.75" customHeight="1" x14ac:dyDescent="0.25">
      <c r="A17" s="518" t="s">
        <v>1216</v>
      </c>
      <c r="B17" s="169"/>
      <c r="C17" s="648">
        <f t="shared" ref="C17:H17" si="7">SUM(C18:C26)</f>
        <v>37208963.009999998</v>
      </c>
      <c r="D17" s="649">
        <f t="shared" si="7"/>
        <v>114437734</v>
      </c>
      <c r="E17" s="408">
        <f t="shared" si="7"/>
        <v>114437734</v>
      </c>
      <c r="F17" s="408">
        <f t="shared" si="7"/>
        <v>6293257</v>
      </c>
      <c r="G17" s="408">
        <f t="shared" si="7"/>
        <v>64335638.390000001</v>
      </c>
      <c r="H17" s="408">
        <f t="shared" si="7"/>
        <v>95364778.333333343</v>
      </c>
      <c r="I17" s="258">
        <f t="shared" si="1"/>
        <v>31029139.943333343</v>
      </c>
      <c r="J17" s="575">
        <f t="shared" si="2"/>
        <v>0.32537316696606389</v>
      </c>
      <c r="K17" s="642">
        <f>SUM(K18:K26)</f>
        <v>114437734</v>
      </c>
    </row>
    <row r="18" spans="1:11" ht="12.75" customHeight="1" x14ac:dyDescent="0.25">
      <c r="A18" s="574" t="s">
        <v>1217</v>
      </c>
      <c r="B18" s="169"/>
      <c r="C18" s="748">
        <v>0</v>
      </c>
      <c r="D18" s="745">
        <v>0</v>
      </c>
      <c r="E18" s="733">
        <v>0</v>
      </c>
      <c r="F18" s="733">
        <v>0</v>
      </c>
      <c r="G18" s="733">
        <v>0</v>
      </c>
      <c r="H18" s="733">
        <f t="shared" ref="H18:H26" si="8">E18/12*9</f>
        <v>0</v>
      </c>
      <c r="I18" s="258">
        <f t="shared" si="1"/>
        <v>0</v>
      </c>
      <c r="J18" s="575" t="str">
        <f t="shared" si="2"/>
        <v/>
      </c>
      <c r="K18" s="735">
        <f t="shared" ref="K18:K26" si="9">E18</f>
        <v>0</v>
      </c>
    </row>
    <row r="19" spans="1:11" ht="12.75" customHeight="1" x14ac:dyDescent="0.25">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5">
      <c r="A20" s="574" t="s">
        <v>1219</v>
      </c>
      <c r="B20" s="169"/>
      <c r="C20" s="748">
        <v>0</v>
      </c>
      <c r="D20" s="745">
        <v>0</v>
      </c>
      <c r="E20" s="733">
        <v>0</v>
      </c>
      <c r="F20" s="733">
        <v>0</v>
      </c>
      <c r="G20" s="733">
        <v>0</v>
      </c>
      <c r="H20" s="733">
        <f t="shared" si="8"/>
        <v>0</v>
      </c>
      <c r="I20" s="258">
        <f t="shared" si="1"/>
        <v>0</v>
      </c>
      <c r="J20" s="575" t="str">
        <f t="shared" si="2"/>
        <v/>
      </c>
      <c r="K20" s="735">
        <f t="shared" si="9"/>
        <v>0</v>
      </c>
    </row>
    <row r="21" spans="1:11" ht="12.75" customHeight="1" x14ac:dyDescent="0.25">
      <c r="A21" s="574" t="s">
        <v>1220</v>
      </c>
      <c r="B21" s="169"/>
      <c r="C21" s="748">
        <v>37208963.009999998</v>
      </c>
      <c r="D21" s="745">
        <v>0</v>
      </c>
      <c r="E21" s="733">
        <v>0</v>
      </c>
      <c r="F21" s="733">
        <v>0</v>
      </c>
      <c r="G21" s="733">
        <v>0</v>
      </c>
      <c r="H21" s="733">
        <f t="shared" si="8"/>
        <v>0</v>
      </c>
      <c r="I21" s="258">
        <f t="shared" si="1"/>
        <v>0</v>
      </c>
      <c r="J21" s="575" t="str">
        <f t="shared" si="2"/>
        <v/>
      </c>
      <c r="K21" s="735">
        <f t="shared" si="9"/>
        <v>0</v>
      </c>
    </row>
    <row r="22" spans="1:11" ht="12.75" customHeight="1" x14ac:dyDescent="0.25">
      <c r="A22" s="574" t="s">
        <v>1221</v>
      </c>
      <c r="B22" s="169"/>
      <c r="C22" s="748">
        <v>0</v>
      </c>
      <c r="D22" s="745">
        <v>114437734</v>
      </c>
      <c r="E22" s="733">
        <v>114437734</v>
      </c>
      <c r="F22" s="733">
        <v>6293257</v>
      </c>
      <c r="G22" s="733">
        <f>58042381.39+6293257</f>
        <v>64335638.390000001</v>
      </c>
      <c r="H22" s="733">
        <f>E22/12*10</f>
        <v>95364778.333333343</v>
      </c>
      <c r="I22" s="258">
        <f t="shared" si="1"/>
        <v>31029139.943333343</v>
      </c>
      <c r="J22" s="575">
        <f t="shared" si="2"/>
        <v>0.32537316696606389</v>
      </c>
      <c r="K22" s="735">
        <f t="shared" si="9"/>
        <v>114437734</v>
      </c>
    </row>
    <row r="23" spans="1:11" ht="12.75" customHeight="1" x14ac:dyDescent="0.25">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5">
      <c r="A24" s="574" t="s">
        <v>1223</v>
      </c>
      <c r="B24" s="169"/>
      <c r="C24" s="748">
        <v>0</v>
      </c>
      <c r="D24" s="745">
        <v>0</v>
      </c>
      <c r="E24" s="733">
        <v>0</v>
      </c>
      <c r="F24" s="733">
        <v>0</v>
      </c>
      <c r="G24" s="733">
        <v>0</v>
      </c>
      <c r="H24" s="733">
        <f t="shared" si="8"/>
        <v>0</v>
      </c>
      <c r="I24" s="258">
        <f t="shared" si="1"/>
        <v>0</v>
      </c>
      <c r="J24" s="575" t="str">
        <f t="shared" si="2"/>
        <v/>
      </c>
      <c r="K24" s="735">
        <f t="shared" si="9"/>
        <v>0</v>
      </c>
    </row>
    <row r="25" spans="1:11" ht="12.75" customHeight="1" x14ac:dyDescent="0.25">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5">
      <c r="A26" s="574" t="s">
        <v>1211</v>
      </c>
      <c r="B26" s="169"/>
      <c r="C26" s="748">
        <v>0</v>
      </c>
      <c r="D26" s="745">
        <v>0</v>
      </c>
      <c r="E26" s="733">
        <v>0</v>
      </c>
      <c r="F26" s="733">
        <v>0</v>
      </c>
      <c r="G26" s="733">
        <v>0</v>
      </c>
      <c r="H26" s="733">
        <f t="shared" si="8"/>
        <v>0</v>
      </c>
      <c r="I26" s="258">
        <f t="shared" si="1"/>
        <v>0</v>
      </c>
      <c r="J26" s="575" t="str">
        <f t="shared" si="2"/>
        <v/>
      </c>
      <c r="K26" s="735">
        <f t="shared" si="9"/>
        <v>0</v>
      </c>
    </row>
    <row r="27" spans="1:11" ht="12.75" customHeight="1" x14ac:dyDescent="0.25">
      <c r="A27" s="517" t="s">
        <v>1225</v>
      </c>
      <c r="B27" s="169"/>
      <c r="C27" s="648">
        <f t="shared" ref="C27:H27" si="10">SUM(C28:C37)</f>
        <v>128764015.84</v>
      </c>
      <c r="D27" s="649">
        <f t="shared" si="10"/>
        <v>130506825</v>
      </c>
      <c r="E27" s="408">
        <f t="shared" si="10"/>
        <v>130506825</v>
      </c>
      <c r="F27" s="408">
        <f t="shared" si="10"/>
        <v>1863581</v>
      </c>
      <c r="G27" s="408">
        <f t="shared" si="10"/>
        <v>119209662.45999999</v>
      </c>
      <c r="H27" s="408">
        <f t="shared" si="10"/>
        <v>108755687.5</v>
      </c>
      <c r="I27" s="258">
        <f t="shared" si="1"/>
        <v>-10453974.959999993</v>
      </c>
      <c r="J27" s="575">
        <f t="shared" si="2"/>
        <v>-9.6123478231885509E-2</v>
      </c>
      <c r="K27" s="642">
        <f>SUM(K28:K37)</f>
        <v>130506825</v>
      </c>
    </row>
    <row r="28" spans="1:11" ht="12.75" customHeight="1" x14ac:dyDescent="0.25">
      <c r="A28" s="574" t="s">
        <v>1226</v>
      </c>
      <c r="B28" s="169"/>
      <c r="C28" s="748">
        <v>0</v>
      </c>
      <c r="D28" s="745">
        <v>0</v>
      </c>
      <c r="E28" s="733">
        <v>0</v>
      </c>
      <c r="F28" s="733">
        <v>0</v>
      </c>
      <c r="G28" s="733">
        <v>0</v>
      </c>
      <c r="H28" s="733">
        <f t="shared" ref="H28:H37" si="11">E28/12*9</f>
        <v>0</v>
      </c>
      <c r="I28" s="258">
        <f t="shared" si="1"/>
        <v>0</v>
      </c>
      <c r="J28" s="575" t="str">
        <f t="shared" si="2"/>
        <v/>
      </c>
      <c r="K28" s="735">
        <f t="shared" ref="K28:K37" si="12">E28</f>
        <v>0</v>
      </c>
    </row>
    <row r="29" spans="1:11" ht="12.75" customHeight="1" x14ac:dyDescent="0.25">
      <c r="A29" s="574" t="s">
        <v>1227</v>
      </c>
      <c r="B29" s="169"/>
      <c r="C29" s="748">
        <v>0</v>
      </c>
      <c r="D29" s="745">
        <v>0</v>
      </c>
      <c r="E29" s="733">
        <v>0</v>
      </c>
      <c r="F29" s="733">
        <v>0</v>
      </c>
      <c r="G29" s="733">
        <v>0</v>
      </c>
      <c r="H29" s="733">
        <f t="shared" si="11"/>
        <v>0</v>
      </c>
      <c r="I29" s="258">
        <f t="shared" si="1"/>
        <v>0</v>
      </c>
      <c r="J29" s="575" t="str">
        <f t="shared" si="2"/>
        <v/>
      </c>
      <c r="K29" s="735">
        <f t="shared" si="12"/>
        <v>0</v>
      </c>
    </row>
    <row r="30" spans="1:11" ht="12.75" customHeight="1" x14ac:dyDescent="0.25">
      <c r="A30" s="574" t="s">
        <v>1228</v>
      </c>
      <c r="B30" s="169"/>
      <c r="C30" s="748">
        <v>128764015.84</v>
      </c>
      <c r="D30" s="745">
        <v>0</v>
      </c>
      <c r="E30" s="733">
        <v>0</v>
      </c>
      <c r="F30" s="733">
        <v>0</v>
      </c>
      <c r="G30" s="733">
        <v>0</v>
      </c>
      <c r="H30" s="733">
        <f t="shared" si="11"/>
        <v>0</v>
      </c>
      <c r="I30" s="258">
        <f t="shared" si="1"/>
        <v>0</v>
      </c>
      <c r="J30" s="575" t="str">
        <f t="shared" si="2"/>
        <v/>
      </c>
      <c r="K30" s="735">
        <f t="shared" si="12"/>
        <v>0</v>
      </c>
    </row>
    <row r="31" spans="1:11" ht="12.75" customHeight="1" x14ac:dyDescent="0.25">
      <c r="A31" s="574" t="s">
        <v>1229</v>
      </c>
      <c r="B31" s="169"/>
      <c r="C31" s="748">
        <v>0</v>
      </c>
      <c r="D31" s="745">
        <v>0</v>
      </c>
      <c r="E31" s="733">
        <v>0</v>
      </c>
      <c r="F31" s="733">
        <v>0</v>
      </c>
      <c r="G31" s="733">
        <v>0</v>
      </c>
      <c r="H31" s="733">
        <f t="shared" si="11"/>
        <v>0</v>
      </c>
      <c r="I31" s="258">
        <f t="shared" si="1"/>
        <v>0</v>
      </c>
      <c r="J31" s="575" t="str">
        <f t="shared" si="2"/>
        <v/>
      </c>
      <c r="K31" s="735">
        <f t="shared" si="12"/>
        <v>0</v>
      </c>
    </row>
    <row r="32" spans="1:11" ht="12.75" customHeight="1" x14ac:dyDescent="0.25">
      <c r="A32" s="574" t="s">
        <v>1230</v>
      </c>
      <c r="B32" s="169"/>
      <c r="C32" s="748">
        <v>0</v>
      </c>
      <c r="D32" s="745">
        <v>0</v>
      </c>
      <c r="E32" s="733">
        <v>0</v>
      </c>
      <c r="F32" s="733">
        <v>0</v>
      </c>
      <c r="G32" s="733">
        <v>0</v>
      </c>
      <c r="H32" s="733">
        <f t="shared" si="11"/>
        <v>0</v>
      </c>
      <c r="I32" s="258">
        <f t="shared" si="1"/>
        <v>0</v>
      </c>
      <c r="J32" s="575" t="str">
        <f t="shared" si="2"/>
        <v/>
      </c>
      <c r="K32" s="735">
        <f t="shared" si="12"/>
        <v>0</v>
      </c>
    </row>
    <row r="33" spans="1:11" ht="12.75" customHeight="1" x14ac:dyDescent="0.25">
      <c r="A33" s="574" t="s">
        <v>1231</v>
      </c>
      <c r="B33" s="169"/>
      <c r="C33" s="748">
        <v>0</v>
      </c>
      <c r="D33" s="745">
        <v>0</v>
      </c>
      <c r="E33" s="733">
        <v>0</v>
      </c>
      <c r="F33" s="733">
        <v>0</v>
      </c>
      <c r="G33" s="733">
        <v>0</v>
      </c>
      <c r="H33" s="733">
        <f t="shared" si="11"/>
        <v>0</v>
      </c>
      <c r="I33" s="258">
        <f t="shared" si="1"/>
        <v>0</v>
      </c>
      <c r="J33" s="575" t="str">
        <f t="shared" si="2"/>
        <v/>
      </c>
      <c r="K33" s="735">
        <f t="shared" si="12"/>
        <v>0</v>
      </c>
    </row>
    <row r="34" spans="1:11" ht="12.75" customHeight="1" x14ac:dyDescent="0.25">
      <c r="A34" s="574" t="s">
        <v>1232</v>
      </c>
      <c r="B34" s="169"/>
      <c r="C34" s="748">
        <v>0</v>
      </c>
      <c r="D34" s="745">
        <v>130506825</v>
      </c>
      <c r="E34" s="733">
        <v>130506825</v>
      </c>
      <c r="F34" s="733">
        <v>1863581</v>
      </c>
      <c r="G34" s="733">
        <f>117346081.46+1863581</f>
        <v>119209662.45999999</v>
      </c>
      <c r="H34" s="733">
        <f>E34/12*10</f>
        <v>108755687.5</v>
      </c>
      <c r="I34" s="258">
        <f t="shared" si="1"/>
        <v>-10453974.959999993</v>
      </c>
      <c r="J34" s="575">
        <f t="shared" si="2"/>
        <v>-9.6123478231885509E-2</v>
      </c>
      <c r="K34" s="735">
        <f t="shared" si="12"/>
        <v>130506825</v>
      </c>
    </row>
    <row r="35" spans="1:11" ht="12.75" customHeight="1" x14ac:dyDescent="0.25">
      <c r="A35" s="574" t="s">
        <v>1233</v>
      </c>
      <c r="B35" s="169"/>
      <c r="C35" s="748">
        <v>0</v>
      </c>
      <c r="D35" s="745">
        <v>0</v>
      </c>
      <c r="E35" s="733">
        <v>0</v>
      </c>
      <c r="F35" s="733">
        <v>0</v>
      </c>
      <c r="G35" s="733">
        <v>0</v>
      </c>
      <c r="H35" s="733">
        <f t="shared" si="11"/>
        <v>0</v>
      </c>
      <c r="I35" s="258">
        <f t="shared" si="1"/>
        <v>0</v>
      </c>
      <c r="J35" s="575" t="str">
        <f t="shared" si="2"/>
        <v/>
      </c>
      <c r="K35" s="735">
        <f t="shared" si="12"/>
        <v>0</v>
      </c>
    </row>
    <row r="36" spans="1:11" ht="12.75" customHeight="1" x14ac:dyDescent="0.25">
      <c r="A36" s="574" t="s">
        <v>1234</v>
      </c>
      <c r="B36" s="169"/>
      <c r="C36" s="748">
        <v>0</v>
      </c>
      <c r="D36" s="745">
        <v>0</v>
      </c>
      <c r="E36" s="733">
        <v>0</v>
      </c>
      <c r="F36" s="733">
        <v>0</v>
      </c>
      <c r="G36" s="733">
        <v>0</v>
      </c>
      <c r="H36" s="733">
        <f t="shared" si="11"/>
        <v>0</v>
      </c>
      <c r="I36" s="258">
        <f t="shared" si="1"/>
        <v>0</v>
      </c>
      <c r="J36" s="575" t="str">
        <f t="shared" si="2"/>
        <v/>
      </c>
      <c r="K36" s="735">
        <f t="shared" si="12"/>
        <v>0</v>
      </c>
    </row>
    <row r="37" spans="1:11" ht="12.75" customHeight="1" x14ac:dyDescent="0.25">
      <c r="A37" s="574" t="s">
        <v>1211</v>
      </c>
      <c r="B37" s="169"/>
      <c r="C37" s="748">
        <v>0</v>
      </c>
      <c r="D37" s="745">
        <v>0</v>
      </c>
      <c r="E37" s="733">
        <v>0</v>
      </c>
      <c r="F37" s="733">
        <v>0</v>
      </c>
      <c r="G37" s="733">
        <v>0</v>
      </c>
      <c r="H37" s="733">
        <f t="shared" si="11"/>
        <v>0</v>
      </c>
      <c r="I37" s="258">
        <f t="shared" si="1"/>
        <v>0</v>
      </c>
      <c r="J37" s="575" t="str">
        <f t="shared" si="2"/>
        <v/>
      </c>
      <c r="K37" s="735">
        <f t="shared" si="12"/>
        <v>0</v>
      </c>
    </row>
    <row r="38" spans="1:11" ht="12.75" customHeight="1" x14ac:dyDescent="0.25">
      <c r="A38" s="517" t="s">
        <v>1235</v>
      </c>
      <c r="B38" s="169"/>
      <c r="C38" s="648">
        <f t="shared" ref="C38:H38" si="13">SUM(C39:C44)</f>
        <v>4377853.13</v>
      </c>
      <c r="D38" s="649">
        <f t="shared" si="13"/>
        <v>11132574</v>
      </c>
      <c r="E38" s="408">
        <f t="shared" si="13"/>
        <v>11132574</v>
      </c>
      <c r="F38" s="408">
        <f t="shared" si="13"/>
        <v>194430</v>
      </c>
      <c r="G38" s="408">
        <f t="shared" si="13"/>
        <v>6082678.7999999998</v>
      </c>
      <c r="H38" s="408">
        <f t="shared" si="13"/>
        <v>9277145</v>
      </c>
      <c r="I38" s="258">
        <f t="shared" si="1"/>
        <v>3194466.2</v>
      </c>
      <c r="J38" s="575">
        <f t="shared" si="2"/>
        <v>0.34433720719035871</v>
      </c>
      <c r="K38" s="642">
        <f>SUM(K39:K44)</f>
        <v>11132574</v>
      </c>
    </row>
    <row r="39" spans="1:11" ht="12.75" customHeight="1" x14ac:dyDescent="0.25">
      <c r="A39" s="574" t="s">
        <v>1236</v>
      </c>
      <c r="B39" s="169"/>
      <c r="C39" s="748">
        <v>0</v>
      </c>
      <c r="D39" s="745">
        <v>0</v>
      </c>
      <c r="E39" s="733">
        <v>0</v>
      </c>
      <c r="F39" s="733">
        <v>0</v>
      </c>
      <c r="G39" s="733">
        <v>0</v>
      </c>
      <c r="H39" s="733">
        <f t="shared" ref="H39:H44" si="14">E39/12*9</f>
        <v>0</v>
      </c>
      <c r="I39" s="258">
        <f t="shared" si="1"/>
        <v>0</v>
      </c>
      <c r="J39" s="575" t="str">
        <f t="shared" si="2"/>
        <v/>
      </c>
      <c r="K39" s="735">
        <f t="shared" ref="K39:K44" si="15">E39</f>
        <v>0</v>
      </c>
    </row>
    <row r="40" spans="1:11" ht="12.75" customHeight="1" x14ac:dyDescent="0.25">
      <c r="A40" s="574" t="s">
        <v>135</v>
      </c>
      <c r="B40" s="169"/>
      <c r="C40" s="748">
        <v>4377853.13</v>
      </c>
      <c r="D40" s="745">
        <v>0</v>
      </c>
      <c r="E40" s="733">
        <v>0</v>
      </c>
      <c r="F40" s="733">
        <v>0</v>
      </c>
      <c r="G40" s="733">
        <v>0</v>
      </c>
      <c r="H40" s="733">
        <f t="shared" si="14"/>
        <v>0</v>
      </c>
      <c r="I40" s="258">
        <f t="shared" si="1"/>
        <v>0</v>
      </c>
      <c r="J40" s="575" t="str">
        <f t="shared" si="2"/>
        <v/>
      </c>
      <c r="K40" s="735">
        <f t="shared" si="15"/>
        <v>0</v>
      </c>
    </row>
    <row r="41" spans="1:11" ht="12.75" customHeight="1" x14ac:dyDescent="0.25">
      <c r="A41" s="574" t="s">
        <v>1237</v>
      </c>
      <c r="B41" s="169"/>
      <c r="C41" s="748">
        <v>0</v>
      </c>
      <c r="D41" s="745">
        <v>11132574</v>
      </c>
      <c r="E41" s="733">
        <v>11132574</v>
      </c>
      <c r="F41" s="733">
        <v>194430</v>
      </c>
      <c r="G41" s="733">
        <f>5888248.8+194430</f>
        <v>6082678.7999999998</v>
      </c>
      <c r="H41" s="733">
        <f>E41/12*10</f>
        <v>9277145</v>
      </c>
      <c r="I41" s="258">
        <f t="shared" si="1"/>
        <v>3194466.2</v>
      </c>
      <c r="J41" s="575">
        <f t="shared" si="2"/>
        <v>0.34433720719035871</v>
      </c>
      <c r="K41" s="735">
        <f t="shared" si="15"/>
        <v>11132574</v>
      </c>
    </row>
    <row r="42" spans="1:11" ht="12.75" customHeight="1" x14ac:dyDescent="0.25">
      <c r="A42" s="574" t="s">
        <v>1238</v>
      </c>
      <c r="B42" s="169"/>
      <c r="C42" s="748">
        <v>0</v>
      </c>
      <c r="D42" s="745">
        <v>0</v>
      </c>
      <c r="E42" s="733">
        <v>0</v>
      </c>
      <c r="F42" s="733">
        <v>0</v>
      </c>
      <c r="G42" s="733">
        <v>0</v>
      </c>
      <c r="H42" s="733">
        <f t="shared" si="14"/>
        <v>0</v>
      </c>
      <c r="I42" s="258">
        <f t="shared" si="1"/>
        <v>0</v>
      </c>
      <c r="J42" s="575" t="str">
        <f t="shared" si="2"/>
        <v/>
      </c>
      <c r="K42" s="735">
        <f t="shared" si="15"/>
        <v>0</v>
      </c>
    </row>
    <row r="43" spans="1:11" ht="12.75" customHeight="1" x14ac:dyDescent="0.25">
      <c r="A43" s="574" t="s">
        <v>1239</v>
      </c>
      <c r="B43" s="169"/>
      <c r="C43" s="748">
        <v>0</v>
      </c>
      <c r="D43" s="745">
        <v>0</v>
      </c>
      <c r="E43" s="733">
        <v>0</v>
      </c>
      <c r="F43" s="733">
        <v>0</v>
      </c>
      <c r="G43" s="733">
        <v>0</v>
      </c>
      <c r="H43" s="733">
        <f t="shared" si="14"/>
        <v>0</v>
      </c>
      <c r="I43" s="258">
        <f t="shared" si="1"/>
        <v>0</v>
      </c>
      <c r="J43" s="575" t="str">
        <f t="shared" si="2"/>
        <v/>
      </c>
      <c r="K43" s="735">
        <f t="shared" si="15"/>
        <v>0</v>
      </c>
    </row>
    <row r="44" spans="1:11" ht="12.75" customHeight="1" x14ac:dyDescent="0.25">
      <c r="A44" s="574" t="s">
        <v>1211</v>
      </c>
      <c r="B44" s="169"/>
      <c r="C44" s="748">
        <v>0</v>
      </c>
      <c r="D44" s="745">
        <v>0</v>
      </c>
      <c r="E44" s="733">
        <v>0</v>
      </c>
      <c r="F44" s="733">
        <v>0</v>
      </c>
      <c r="G44" s="733">
        <v>0</v>
      </c>
      <c r="H44" s="733">
        <f t="shared" si="14"/>
        <v>0</v>
      </c>
      <c r="I44" s="258">
        <f t="shared" si="1"/>
        <v>0</v>
      </c>
      <c r="J44" s="575" t="str">
        <f t="shared" si="2"/>
        <v/>
      </c>
      <c r="K44" s="735">
        <f t="shared" si="15"/>
        <v>0</v>
      </c>
    </row>
    <row r="45" spans="1:11" ht="12.75" customHeight="1" x14ac:dyDescent="0.25">
      <c r="A45" s="517" t="s">
        <v>1240</v>
      </c>
      <c r="B45" s="169"/>
      <c r="C45" s="648">
        <f t="shared" ref="C45:H45" si="16">SUM(C46:C52)</f>
        <v>64114552.859999999</v>
      </c>
      <c r="D45" s="649">
        <f t="shared" si="16"/>
        <v>57847885</v>
      </c>
      <c r="E45" s="408">
        <f t="shared" si="16"/>
        <v>57847885</v>
      </c>
      <c r="F45" s="408">
        <f t="shared" si="16"/>
        <v>1176454</v>
      </c>
      <c r="G45" s="408">
        <f t="shared" si="16"/>
        <v>43958481.759999998</v>
      </c>
      <c r="H45" s="408">
        <f t="shared" si="16"/>
        <v>48206570.833333328</v>
      </c>
      <c r="I45" s="258">
        <f t="shared" si="1"/>
        <v>4248089.0733333305</v>
      </c>
      <c r="J45" s="575">
        <f t="shared" si="2"/>
        <v>8.8122614819884898E-2</v>
      </c>
      <c r="K45" s="642">
        <f>SUM(K46:K52)</f>
        <v>57847885</v>
      </c>
    </row>
    <row r="46" spans="1:11" ht="12.75" customHeight="1" x14ac:dyDescent="0.25">
      <c r="A46" s="574" t="s">
        <v>1241</v>
      </c>
      <c r="B46" s="169"/>
      <c r="C46" s="748">
        <v>0</v>
      </c>
      <c r="D46" s="745">
        <v>0</v>
      </c>
      <c r="E46" s="733">
        <v>0</v>
      </c>
      <c r="F46" s="733">
        <v>0</v>
      </c>
      <c r="G46" s="733">
        <v>0</v>
      </c>
      <c r="H46" s="733">
        <f t="shared" ref="H46:H51" si="17">E46/12*9</f>
        <v>0</v>
      </c>
      <c r="I46" s="258">
        <f t="shared" si="1"/>
        <v>0</v>
      </c>
      <c r="J46" s="575" t="str">
        <f t="shared" si="2"/>
        <v/>
      </c>
      <c r="K46" s="735">
        <f t="shared" ref="K46:K52" si="18">E46</f>
        <v>0</v>
      </c>
    </row>
    <row r="47" spans="1:11" ht="12.75" customHeight="1" x14ac:dyDescent="0.25">
      <c r="A47" s="574" t="s">
        <v>1242</v>
      </c>
      <c r="B47" s="169"/>
      <c r="C47" s="748">
        <v>0</v>
      </c>
      <c r="D47" s="745">
        <v>0</v>
      </c>
      <c r="E47" s="733">
        <v>0</v>
      </c>
      <c r="F47" s="733">
        <v>0</v>
      </c>
      <c r="G47" s="733">
        <v>0</v>
      </c>
      <c r="H47" s="733">
        <f t="shared" si="17"/>
        <v>0</v>
      </c>
      <c r="I47" s="258">
        <f t="shared" si="1"/>
        <v>0</v>
      </c>
      <c r="J47" s="575" t="str">
        <f t="shared" si="2"/>
        <v/>
      </c>
      <c r="K47" s="735">
        <f t="shared" si="18"/>
        <v>0</v>
      </c>
    </row>
    <row r="48" spans="1:11" ht="12.75" customHeight="1" x14ac:dyDescent="0.25">
      <c r="A48" s="574" t="s">
        <v>1243</v>
      </c>
      <c r="B48" s="169"/>
      <c r="C48" s="748">
        <v>64114552.859999999</v>
      </c>
      <c r="D48" s="745">
        <v>57847885</v>
      </c>
      <c r="E48" s="733">
        <v>57847885</v>
      </c>
      <c r="F48" s="733">
        <v>1176454</v>
      </c>
      <c r="G48" s="733">
        <f>42782027.76+1176454</f>
        <v>43958481.759999998</v>
      </c>
      <c r="H48" s="733">
        <f>E48/12*10</f>
        <v>48206570.833333328</v>
      </c>
      <c r="I48" s="258">
        <f t="shared" si="1"/>
        <v>4248089.0733333305</v>
      </c>
      <c r="J48" s="575">
        <f t="shared" si="2"/>
        <v>8.8122614819884898E-2</v>
      </c>
      <c r="K48" s="735">
        <f t="shared" si="18"/>
        <v>57847885</v>
      </c>
    </row>
    <row r="49" spans="1:11" ht="12.75" customHeight="1" x14ac:dyDescent="0.25">
      <c r="A49" s="574" t="s">
        <v>1244</v>
      </c>
      <c r="B49" s="169"/>
      <c r="C49" s="748">
        <v>0</v>
      </c>
      <c r="D49" s="745">
        <v>0</v>
      </c>
      <c r="E49" s="733">
        <v>0</v>
      </c>
      <c r="F49" s="733">
        <v>0</v>
      </c>
      <c r="G49" s="733">
        <v>0</v>
      </c>
      <c r="H49" s="733">
        <f t="shared" si="17"/>
        <v>0</v>
      </c>
      <c r="I49" s="258">
        <f t="shared" si="1"/>
        <v>0</v>
      </c>
      <c r="J49" s="575" t="str">
        <f t="shared" si="2"/>
        <v/>
      </c>
      <c r="K49" s="735">
        <f t="shared" si="18"/>
        <v>0</v>
      </c>
    </row>
    <row r="50" spans="1:11" ht="12.75" customHeight="1" x14ac:dyDescent="0.25">
      <c r="A50" s="574" t="s">
        <v>1245</v>
      </c>
      <c r="B50" s="169"/>
      <c r="C50" s="748">
        <v>0</v>
      </c>
      <c r="D50" s="745">
        <v>0</v>
      </c>
      <c r="E50" s="733">
        <v>0</v>
      </c>
      <c r="F50" s="733">
        <v>0</v>
      </c>
      <c r="G50" s="733">
        <v>0</v>
      </c>
      <c r="H50" s="733">
        <f t="shared" si="17"/>
        <v>0</v>
      </c>
      <c r="I50" s="258">
        <f t="shared" si="1"/>
        <v>0</v>
      </c>
      <c r="J50" s="575" t="str">
        <f t="shared" si="2"/>
        <v/>
      </c>
      <c r="K50" s="735">
        <f t="shared" si="18"/>
        <v>0</v>
      </c>
    </row>
    <row r="51" spans="1:11" ht="12.75" customHeight="1" x14ac:dyDescent="0.25">
      <c r="A51" s="574" t="s">
        <v>1246</v>
      </c>
      <c r="B51" s="169"/>
      <c r="C51" s="748">
        <v>0</v>
      </c>
      <c r="D51" s="745">
        <v>0</v>
      </c>
      <c r="E51" s="733">
        <v>0</v>
      </c>
      <c r="F51" s="733">
        <v>0</v>
      </c>
      <c r="G51" s="733">
        <v>0</v>
      </c>
      <c r="H51" s="733">
        <f t="shared" si="17"/>
        <v>0</v>
      </c>
      <c r="I51" s="258">
        <f t="shared" si="1"/>
        <v>0</v>
      </c>
      <c r="J51" s="575" t="str">
        <f t="shared" si="2"/>
        <v/>
      </c>
      <c r="K51" s="735">
        <f t="shared" si="18"/>
        <v>0</v>
      </c>
    </row>
    <row r="52" spans="1:11" ht="12.75" customHeight="1" x14ac:dyDescent="0.25">
      <c r="A52" s="574" t="s">
        <v>1211</v>
      </c>
      <c r="B52" s="169"/>
      <c r="C52" s="748">
        <v>0</v>
      </c>
      <c r="D52" s="745">
        <v>0</v>
      </c>
      <c r="E52" s="733">
        <v>0</v>
      </c>
      <c r="F52" s="733">
        <v>0</v>
      </c>
      <c r="G52" s="733">
        <v>0</v>
      </c>
      <c r="H52" s="733">
        <f t="shared" ref="H52" si="19">E52/12*8</f>
        <v>0</v>
      </c>
      <c r="I52" s="258">
        <f t="shared" si="1"/>
        <v>0</v>
      </c>
      <c r="J52" s="575" t="str">
        <f t="shared" si="2"/>
        <v/>
      </c>
      <c r="K52" s="735">
        <f t="shared" si="18"/>
        <v>0</v>
      </c>
    </row>
    <row r="53" spans="1:11" ht="12.75" customHeight="1" x14ac:dyDescent="0.25">
      <c r="A53" s="518" t="s">
        <v>1247</v>
      </c>
      <c r="B53" s="169"/>
      <c r="C53" s="648">
        <f t="shared" ref="C53:H53" si="20">SUM(C54:C62)</f>
        <v>0</v>
      </c>
      <c r="D53" s="649">
        <f t="shared" si="20"/>
        <v>0</v>
      </c>
      <c r="E53" s="408">
        <f t="shared" si="20"/>
        <v>0</v>
      </c>
      <c r="F53" s="408">
        <f t="shared" si="20"/>
        <v>0</v>
      </c>
      <c r="G53" s="408">
        <f t="shared" si="20"/>
        <v>0</v>
      </c>
      <c r="H53" s="408">
        <f t="shared" si="20"/>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E54/12*4</f>
        <v>0</v>
      </c>
      <c r="I54" s="258">
        <f t="shared" si="1"/>
        <v>0</v>
      </c>
      <c r="J54" s="575" t="str">
        <f t="shared" si="2"/>
        <v/>
      </c>
      <c r="K54" s="735">
        <f t="shared" ref="K54:K62" si="21">E54</f>
        <v>0</v>
      </c>
    </row>
    <row r="55" spans="1:11" ht="12.75" customHeight="1" x14ac:dyDescent="0.25">
      <c r="A55" s="574" t="s">
        <v>1249</v>
      </c>
      <c r="B55" s="169"/>
      <c r="C55" s="748">
        <v>0</v>
      </c>
      <c r="D55" s="745">
        <v>0</v>
      </c>
      <c r="E55" s="733">
        <v>0</v>
      </c>
      <c r="F55" s="733">
        <v>0</v>
      </c>
      <c r="G55" s="733">
        <v>0</v>
      </c>
      <c r="H55" s="733">
        <f t="shared" ref="H55:H62" si="22">E55/12*4</f>
        <v>0</v>
      </c>
      <c r="I55" s="258">
        <f t="shared" si="1"/>
        <v>0</v>
      </c>
      <c r="J55" s="575" t="str">
        <f t="shared" si="2"/>
        <v/>
      </c>
      <c r="K55" s="735">
        <f t="shared" si="21"/>
        <v>0</v>
      </c>
    </row>
    <row r="56" spans="1:11" ht="12.75" customHeight="1" x14ac:dyDescent="0.25">
      <c r="A56" s="574" t="s">
        <v>1250</v>
      </c>
      <c r="B56" s="169"/>
      <c r="C56" s="748">
        <v>0</v>
      </c>
      <c r="D56" s="745">
        <v>0</v>
      </c>
      <c r="E56" s="733">
        <v>0</v>
      </c>
      <c r="F56" s="733">
        <v>0</v>
      </c>
      <c r="G56" s="733">
        <v>0</v>
      </c>
      <c r="H56" s="733">
        <f t="shared" si="22"/>
        <v>0</v>
      </c>
      <c r="I56" s="258">
        <f t="shared" si="1"/>
        <v>0</v>
      </c>
      <c r="J56" s="575" t="str">
        <f t="shared" si="2"/>
        <v/>
      </c>
      <c r="K56" s="735">
        <f t="shared" si="21"/>
        <v>0</v>
      </c>
    </row>
    <row r="57" spans="1:11" ht="12.75" customHeight="1" x14ac:dyDescent="0.25">
      <c r="A57" s="574" t="s">
        <v>1213</v>
      </c>
      <c r="B57" s="169"/>
      <c r="C57" s="748">
        <v>0</v>
      </c>
      <c r="D57" s="745">
        <v>0</v>
      </c>
      <c r="E57" s="733">
        <v>0</v>
      </c>
      <c r="F57" s="733">
        <v>0</v>
      </c>
      <c r="G57" s="733">
        <v>0</v>
      </c>
      <c r="H57" s="733">
        <f t="shared" si="22"/>
        <v>0</v>
      </c>
      <c r="I57" s="258">
        <f t="shared" si="1"/>
        <v>0</v>
      </c>
      <c r="J57" s="575" t="str">
        <f t="shared" si="2"/>
        <v/>
      </c>
      <c r="K57" s="735">
        <f t="shared" si="21"/>
        <v>0</v>
      </c>
    </row>
    <row r="58" spans="1:11" ht="12.75" customHeight="1" x14ac:dyDescent="0.25">
      <c r="A58" s="574" t="s">
        <v>1214</v>
      </c>
      <c r="B58" s="169"/>
      <c r="C58" s="748">
        <v>0</v>
      </c>
      <c r="D58" s="745">
        <v>0</v>
      </c>
      <c r="E58" s="733">
        <v>0</v>
      </c>
      <c r="F58" s="733">
        <v>0</v>
      </c>
      <c r="G58" s="733">
        <v>0</v>
      </c>
      <c r="H58" s="733">
        <f t="shared" si="22"/>
        <v>0</v>
      </c>
      <c r="I58" s="258">
        <f t="shared" si="1"/>
        <v>0</v>
      </c>
      <c r="J58" s="575" t="str">
        <f t="shared" si="2"/>
        <v/>
      </c>
      <c r="K58" s="735">
        <f t="shared" si="21"/>
        <v>0</v>
      </c>
    </row>
    <row r="59" spans="1:11" ht="12.75" customHeight="1" x14ac:dyDescent="0.25">
      <c r="A59" s="574" t="s">
        <v>1215</v>
      </c>
      <c r="B59" s="169"/>
      <c r="C59" s="748">
        <v>0</v>
      </c>
      <c r="D59" s="745">
        <v>0</v>
      </c>
      <c r="E59" s="733">
        <v>0</v>
      </c>
      <c r="F59" s="733">
        <v>0</v>
      </c>
      <c r="G59" s="733">
        <v>0</v>
      </c>
      <c r="H59" s="733">
        <f t="shared" si="22"/>
        <v>0</v>
      </c>
      <c r="I59" s="258">
        <f t="shared" si="1"/>
        <v>0</v>
      </c>
      <c r="J59" s="575" t="str">
        <f t="shared" si="2"/>
        <v/>
      </c>
      <c r="K59" s="735">
        <f t="shared" si="21"/>
        <v>0</v>
      </c>
    </row>
    <row r="60" spans="1:11" ht="12.75" customHeight="1" x14ac:dyDescent="0.25">
      <c r="A60" s="574" t="s">
        <v>1221</v>
      </c>
      <c r="B60" s="169"/>
      <c r="C60" s="748">
        <v>0</v>
      </c>
      <c r="D60" s="745">
        <v>0</v>
      </c>
      <c r="E60" s="733">
        <v>0</v>
      </c>
      <c r="F60" s="733">
        <v>0</v>
      </c>
      <c r="G60" s="733">
        <v>0</v>
      </c>
      <c r="H60" s="733">
        <f t="shared" si="22"/>
        <v>0</v>
      </c>
      <c r="I60" s="258">
        <f t="shared" si="1"/>
        <v>0</v>
      </c>
      <c r="J60" s="575" t="str">
        <f t="shared" si="2"/>
        <v/>
      </c>
      <c r="K60" s="735">
        <f t="shared" si="21"/>
        <v>0</v>
      </c>
    </row>
    <row r="61" spans="1:11" ht="12.75" customHeight="1" x14ac:dyDescent="0.25">
      <c r="A61" s="574" t="s">
        <v>1224</v>
      </c>
      <c r="B61" s="169"/>
      <c r="C61" s="748">
        <v>0</v>
      </c>
      <c r="D61" s="745">
        <v>0</v>
      </c>
      <c r="E61" s="733">
        <v>0</v>
      </c>
      <c r="F61" s="733">
        <v>0</v>
      </c>
      <c r="G61" s="733">
        <v>0</v>
      </c>
      <c r="H61" s="733">
        <f t="shared" si="22"/>
        <v>0</v>
      </c>
      <c r="I61" s="258">
        <f t="shared" si="1"/>
        <v>0</v>
      </c>
      <c r="J61" s="575" t="str">
        <f t="shared" si="2"/>
        <v/>
      </c>
      <c r="K61" s="735">
        <f t="shared" si="21"/>
        <v>0</v>
      </c>
    </row>
    <row r="62" spans="1:11" ht="12.75" customHeight="1" x14ac:dyDescent="0.25">
      <c r="A62" s="574" t="s">
        <v>1211</v>
      </c>
      <c r="B62" s="169"/>
      <c r="C62" s="748">
        <v>0</v>
      </c>
      <c r="D62" s="745">
        <v>0</v>
      </c>
      <c r="E62" s="733">
        <v>0</v>
      </c>
      <c r="F62" s="733">
        <v>0</v>
      </c>
      <c r="G62" s="733">
        <v>0</v>
      </c>
      <c r="H62" s="733">
        <f t="shared" si="22"/>
        <v>0</v>
      </c>
      <c r="I62" s="258">
        <f t="shared" si="1"/>
        <v>0</v>
      </c>
      <c r="J62" s="575" t="str">
        <f t="shared" si="2"/>
        <v/>
      </c>
      <c r="K62" s="735">
        <f t="shared" si="21"/>
        <v>0</v>
      </c>
    </row>
    <row r="63" spans="1:11" ht="12.75" customHeight="1" x14ac:dyDescent="0.25">
      <c r="A63" s="517" t="s">
        <v>1251</v>
      </c>
      <c r="B63" s="169"/>
      <c r="C63" s="648">
        <f t="shared" ref="C63:H63" si="23">SUM(C64:C68)</f>
        <v>0</v>
      </c>
      <c r="D63" s="649">
        <f t="shared" si="23"/>
        <v>0</v>
      </c>
      <c r="E63" s="408">
        <f t="shared" si="23"/>
        <v>0</v>
      </c>
      <c r="F63" s="408">
        <f t="shared" si="23"/>
        <v>0</v>
      </c>
      <c r="G63" s="408">
        <f t="shared" si="23"/>
        <v>0</v>
      </c>
      <c r="H63" s="408">
        <f t="shared" si="23"/>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ref="H65:H68" si="24">E65/12*4</f>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24"/>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24"/>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24"/>
        <v>0</v>
      </c>
      <c r="I68" s="258">
        <f t="shared" si="1"/>
        <v>0</v>
      </c>
      <c r="J68" s="575" t="str">
        <f t="shared" si="2"/>
        <v/>
      </c>
      <c r="K68" s="735">
        <f>E68</f>
        <v>0</v>
      </c>
    </row>
    <row r="69" spans="1:11" ht="12.75" customHeight="1" x14ac:dyDescent="0.25">
      <c r="A69" s="518" t="s">
        <v>1256</v>
      </c>
      <c r="B69" s="169"/>
      <c r="C69" s="648">
        <f t="shared" ref="C69:H69" si="25">SUM(C70:C73)</f>
        <v>0</v>
      </c>
      <c r="D69" s="649">
        <f t="shared" si="25"/>
        <v>0</v>
      </c>
      <c r="E69" s="408">
        <f t="shared" si="25"/>
        <v>0</v>
      </c>
      <c r="F69" s="408">
        <f t="shared" si="25"/>
        <v>0</v>
      </c>
      <c r="G69" s="408">
        <f t="shared" si="25"/>
        <v>0</v>
      </c>
      <c r="H69" s="408">
        <f t="shared" si="25"/>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f>E70/12*4</f>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ref="H71:H73" si="26">E71/12*4</f>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26"/>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26"/>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7">+C76+C99</f>
        <v>34659002.869999997</v>
      </c>
      <c r="D75" s="577">
        <f t="shared" si="27"/>
        <v>40122433</v>
      </c>
      <c r="E75" s="578">
        <f t="shared" si="27"/>
        <v>40122433</v>
      </c>
      <c r="F75" s="578">
        <f t="shared" si="27"/>
        <v>3110888</v>
      </c>
      <c r="G75" s="578">
        <f t="shared" si="27"/>
        <v>21544978.670000002</v>
      </c>
      <c r="H75" s="578">
        <f t="shared" si="27"/>
        <v>33435360.833333336</v>
      </c>
      <c r="I75" s="578">
        <f t="shared" si="1"/>
        <v>11890382.163333334</v>
      </c>
      <c r="J75" s="579">
        <f t="shared" si="2"/>
        <v>0.35562296523742715</v>
      </c>
      <c r="K75" s="580">
        <f>+K76+K99</f>
        <v>40122433</v>
      </c>
    </row>
    <row r="76" spans="1:11" ht="12.75" customHeight="1" x14ac:dyDescent="0.25">
      <c r="A76" s="518" t="s">
        <v>1260</v>
      </c>
      <c r="B76" s="169"/>
      <c r="C76" s="648">
        <f t="shared" ref="C76:H76" si="28">SUM(C77:C98)</f>
        <v>6197873.3799999999</v>
      </c>
      <c r="D76" s="649">
        <f t="shared" si="28"/>
        <v>7588114</v>
      </c>
      <c r="E76" s="408">
        <f t="shared" si="28"/>
        <v>7588114</v>
      </c>
      <c r="F76" s="408">
        <f t="shared" si="28"/>
        <v>1057401</v>
      </c>
      <c r="G76" s="408">
        <f t="shared" si="28"/>
        <v>1155258.01</v>
      </c>
      <c r="H76" s="408">
        <f t="shared" si="28"/>
        <v>6323428.333333334</v>
      </c>
      <c r="I76" s="258">
        <f t="shared" si="1"/>
        <v>5168170.3233333342</v>
      </c>
      <c r="J76" s="575">
        <f t="shared" si="2"/>
        <v>0.81730511534223138</v>
      </c>
      <c r="K76" s="642">
        <f>SUM(K77:K98)</f>
        <v>7588114</v>
      </c>
    </row>
    <row r="77" spans="1:11" ht="12.75" customHeight="1" x14ac:dyDescent="0.25">
      <c r="A77" s="574" t="s">
        <v>1261</v>
      </c>
      <c r="B77" s="169"/>
      <c r="C77" s="748">
        <v>0</v>
      </c>
      <c r="D77" s="753">
        <v>7588114</v>
      </c>
      <c r="E77" s="733">
        <v>7588114</v>
      </c>
      <c r="F77" s="733">
        <v>1057401</v>
      </c>
      <c r="G77" s="733">
        <f>97857.01+1057401</f>
        <v>1155258.01</v>
      </c>
      <c r="H77" s="733">
        <f>E77/12*10</f>
        <v>6323428.333333334</v>
      </c>
      <c r="I77" s="44">
        <f t="shared" si="1"/>
        <v>5168170.3233333342</v>
      </c>
      <c r="J77" s="124">
        <f t="shared" si="2"/>
        <v>0.81730511534223138</v>
      </c>
      <c r="K77" s="735">
        <f t="shared" ref="K77:K98" si="29">E77</f>
        <v>7588114</v>
      </c>
    </row>
    <row r="78" spans="1:11" ht="12.75" customHeight="1" x14ac:dyDescent="0.25">
      <c r="A78" s="574" t="s">
        <v>1262</v>
      </c>
      <c r="B78" s="169"/>
      <c r="C78" s="748">
        <v>0</v>
      </c>
      <c r="D78" s="753">
        <v>0</v>
      </c>
      <c r="E78" s="733">
        <v>0</v>
      </c>
      <c r="F78" s="733">
        <v>0</v>
      </c>
      <c r="G78" s="733">
        <v>0</v>
      </c>
      <c r="H78" s="1001">
        <f t="shared" ref="H78:H98" si="30">E78/12*7</f>
        <v>0</v>
      </c>
      <c r="I78" s="44">
        <f t="shared" si="1"/>
        <v>0</v>
      </c>
      <c r="J78" s="124" t="str">
        <f t="shared" si="2"/>
        <v/>
      </c>
      <c r="K78" s="735">
        <f t="shared" si="29"/>
        <v>0</v>
      </c>
    </row>
    <row r="79" spans="1:11" ht="12.75" customHeight="1" x14ac:dyDescent="0.25">
      <c r="A79" s="574" t="s">
        <v>1263</v>
      </c>
      <c r="B79" s="169"/>
      <c r="C79" s="748">
        <v>0</v>
      </c>
      <c r="D79" s="753">
        <v>0</v>
      </c>
      <c r="E79" s="733">
        <v>0</v>
      </c>
      <c r="F79" s="733">
        <v>0</v>
      </c>
      <c r="G79" s="733">
        <v>0</v>
      </c>
      <c r="H79" s="1001">
        <f t="shared" si="30"/>
        <v>0</v>
      </c>
      <c r="I79" s="44">
        <f t="shared" si="1"/>
        <v>0</v>
      </c>
      <c r="J79" s="124" t="str">
        <f t="shared" si="2"/>
        <v/>
      </c>
      <c r="K79" s="735">
        <f t="shared" si="29"/>
        <v>0</v>
      </c>
    </row>
    <row r="80" spans="1:11" ht="12.75" customHeight="1" x14ac:dyDescent="0.25">
      <c r="A80" s="574" t="s">
        <v>1264</v>
      </c>
      <c r="B80" s="169"/>
      <c r="C80" s="748">
        <v>0</v>
      </c>
      <c r="D80" s="753">
        <v>0</v>
      </c>
      <c r="E80" s="733">
        <v>0</v>
      </c>
      <c r="F80" s="733">
        <v>0</v>
      </c>
      <c r="G80" s="733">
        <v>0</v>
      </c>
      <c r="H80" s="1001">
        <f t="shared" si="30"/>
        <v>0</v>
      </c>
      <c r="I80" s="44">
        <f t="shared" si="1"/>
        <v>0</v>
      </c>
      <c r="J80" s="124" t="str">
        <f t="shared" si="2"/>
        <v/>
      </c>
      <c r="K80" s="735">
        <f t="shared" si="29"/>
        <v>0</v>
      </c>
    </row>
    <row r="81" spans="1:11" ht="12.75" customHeight="1" x14ac:dyDescent="0.25">
      <c r="A81" s="574" t="s">
        <v>1265</v>
      </c>
      <c r="B81" s="169"/>
      <c r="C81" s="748">
        <v>0</v>
      </c>
      <c r="D81" s="753">
        <v>0</v>
      </c>
      <c r="E81" s="733">
        <v>0</v>
      </c>
      <c r="F81" s="733">
        <v>0</v>
      </c>
      <c r="G81" s="733">
        <v>0</v>
      </c>
      <c r="H81" s="1001">
        <f t="shared" si="30"/>
        <v>0</v>
      </c>
      <c r="I81" s="44">
        <f t="shared" si="1"/>
        <v>0</v>
      </c>
      <c r="J81" s="124" t="str">
        <f t="shared" si="2"/>
        <v/>
      </c>
      <c r="K81" s="735">
        <f t="shared" si="29"/>
        <v>0</v>
      </c>
    </row>
    <row r="82" spans="1:11" ht="12.75" customHeight="1" x14ac:dyDescent="0.25">
      <c r="A82" s="574" t="s">
        <v>1266</v>
      </c>
      <c r="B82" s="169"/>
      <c r="C82" s="748">
        <v>0</v>
      </c>
      <c r="D82" s="753">
        <v>0</v>
      </c>
      <c r="E82" s="733">
        <v>0</v>
      </c>
      <c r="F82" s="733">
        <v>0</v>
      </c>
      <c r="G82" s="733">
        <v>0</v>
      </c>
      <c r="H82" s="1001">
        <f t="shared" si="30"/>
        <v>0</v>
      </c>
      <c r="I82" s="44">
        <f t="shared" si="1"/>
        <v>0</v>
      </c>
      <c r="J82" s="124" t="str">
        <f t="shared" si="2"/>
        <v/>
      </c>
      <c r="K82" s="735">
        <f t="shared" si="29"/>
        <v>0</v>
      </c>
    </row>
    <row r="83" spans="1:11" ht="12.75" customHeight="1" x14ac:dyDescent="0.25">
      <c r="A83" s="574" t="s">
        <v>1267</v>
      </c>
      <c r="B83" s="169"/>
      <c r="C83" s="748">
        <v>0</v>
      </c>
      <c r="D83" s="753">
        <v>0</v>
      </c>
      <c r="E83" s="733">
        <v>0</v>
      </c>
      <c r="F83" s="733">
        <v>0</v>
      </c>
      <c r="G83" s="733">
        <v>0</v>
      </c>
      <c r="H83" s="1001">
        <f t="shared" si="30"/>
        <v>0</v>
      </c>
      <c r="I83" s="44">
        <f t="shared" si="1"/>
        <v>0</v>
      </c>
      <c r="J83" s="124" t="str">
        <f t="shared" si="2"/>
        <v/>
      </c>
      <c r="K83" s="735">
        <f t="shared" si="29"/>
        <v>0</v>
      </c>
    </row>
    <row r="84" spans="1:11" ht="12.75" customHeight="1" x14ac:dyDescent="0.25">
      <c r="A84" s="574" t="s">
        <v>1268</v>
      </c>
      <c r="B84" s="169"/>
      <c r="C84" s="748">
        <v>0</v>
      </c>
      <c r="D84" s="753">
        <v>0</v>
      </c>
      <c r="E84" s="733">
        <v>0</v>
      </c>
      <c r="F84" s="733">
        <v>0</v>
      </c>
      <c r="G84" s="733">
        <v>0</v>
      </c>
      <c r="H84" s="1001">
        <f t="shared" si="30"/>
        <v>0</v>
      </c>
      <c r="I84" s="44">
        <f t="shared" si="1"/>
        <v>0</v>
      </c>
      <c r="J84" s="124" t="str">
        <f t="shared" si="2"/>
        <v/>
      </c>
      <c r="K84" s="735">
        <f t="shared" si="29"/>
        <v>0</v>
      </c>
    </row>
    <row r="85" spans="1:11" ht="12.75" customHeight="1" x14ac:dyDescent="0.25">
      <c r="A85" s="574" t="s">
        <v>1144</v>
      </c>
      <c r="B85" s="169"/>
      <c r="C85" s="748">
        <v>0</v>
      </c>
      <c r="D85" s="753">
        <v>0</v>
      </c>
      <c r="E85" s="733">
        <v>0</v>
      </c>
      <c r="F85" s="733">
        <v>0</v>
      </c>
      <c r="G85" s="733">
        <v>0</v>
      </c>
      <c r="H85" s="1001">
        <f t="shared" si="30"/>
        <v>0</v>
      </c>
      <c r="I85" s="44">
        <f t="shared" si="1"/>
        <v>0</v>
      </c>
      <c r="J85" s="124" t="str">
        <f t="shared" si="2"/>
        <v/>
      </c>
      <c r="K85" s="735">
        <f t="shared" si="29"/>
        <v>0</v>
      </c>
    </row>
    <row r="86" spans="1:11" ht="12.75" customHeight="1" x14ac:dyDescent="0.25">
      <c r="A86" s="574" t="s">
        <v>555</v>
      </c>
      <c r="B86" s="169"/>
      <c r="C86" s="748">
        <v>0</v>
      </c>
      <c r="D86" s="753">
        <v>0</v>
      </c>
      <c r="E86" s="733">
        <v>0</v>
      </c>
      <c r="F86" s="733">
        <v>0</v>
      </c>
      <c r="G86" s="733">
        <v>0</v>
      </c>
      <c r="H86" s="1001">
        <f t="shared" si="30"/>
        <v>0</v>
      </c>
      <c r="I86" s="44">
        <f t="shared" si="1"/>
        <v>0</v>
      </c>
      <c r="J86" s="124" t="str">
        <f t="shared" si="2"/>
        <v/>
      </c>
      <c r="K86" s="735">
        <f t="shared" si="29"/>
        <v>0</v>
      </c>
    </row>
    <row r="87" spans="1:11" ht="12.75" customHeight="1" x14ac:dyDescent="0.25">
      <c r="A87" s="574" t="s">
        <v>1269</v>
      </c>
      <c r="B87" s="169"/>
      <c r="C87" s="748">
        <v>0</v>
      </c>
      <c r="D87" s="753">
        <v>0</v>
      </c>
      <c r="E87" s="733">
        <v>0</v>
      </c>
      <c r="F87" s="733">
        <v>0</v>
      </c>
      <c r="G87" s="733">
        <v>0</v>
      </c>
      <c r="H87" s="1001">
        <f t="shared" si="30"/>
        <v>0</v>
      </c>
      <c r="I87" s="44">
        <f t="shared" si="1"/>
        <v>0</v>
      </c>
      <c r="J87" s="124" t="str">
        <f t="shared" si="2"/>
        <v/>
      </c>
      <c r="K87" s="735">
        <f t="shared" si="29"/>
        <v>0</v>
      </c>
    </row>
    <row r="88" spans="1:11" ht="12.75" customHeight="1" x14ac:dyDescent="0.25">
      <c r="A88" s="574" t="s">
        <v>166</v>
      </c>
      <c r="B88" s="169"/>
      <c r="C88" s="748">
        <v>0</v>
      </c>
      <c r="D88" s="753">
        <v>0</v>
      </c>
      <c r="E88" s="733">
        <v>0</v>
      </c>
      <c r="F88" s="733">
        <v>0</v>
      </c>
      <c r="G88" s="733">
        <v>0</v>
      </c>
      <c r="H88" s="1001">
        <f t="shared" si="30"/>
        <v>0</v>
      </c>
      <c r="I88" s="44">
        <f t="shared" si="1"/>
        <v>0</v>
      </c>
      <c r="J88" s="124" t="str">
        <f t="shared" si="2"/>
        <v/>
      </c>
      <c r="K88" s="735">
        <f t="shared" si="29"/>
        <v>0</v>
      </c>
    </row>
    <row r="89" spans="1:11" ht="12.75" customHeight="1" x14ac:dyDescent="0.25">
      <c r="A89" s="574" t="s">
        <v>1270</v>
      </c>
      <c r="B89" s="169"/>
      <c r="C89" s="748">
        <v>1541375.69</v>
      </c>
      <c r="D89" s="753">
        <v>0</v>
      </c>
      <c r="E89" s="733">
        <v>0</v>
      </c>
      <c r="F89" s="733">
        <v>0</v>
      </c>
      <c r="G89" s="733">
        <v>0</v>
      </c>
      <c r="H89" s="1001">
        <f t="shared" si="30"/>
        <v>0</v>
      </c>
      <c r="I89" s="44">
        <f t="shared" si="1"/>
        <v>0</v>
      </c>
      <c r="J89" s="124" t="str">
        <f t="shared" si="2"/>
        <v/>
      </c>
      <c r="K89" s="735">
        <f t="shared" si="29"/>
        <v>0</v>
      </c>
    </row>
    <row r="90" spans="1:11" ht="12.75" customHeight="1" x14ac:dyDescent="0.25">
      <c r="A90" s="574" t="s">
        <v>1271</v>
      </c>
      <c r="B90" s="169"/>
      <c r="C90" s="748">
        <v>0</v>
      </c>
      <c r="D90" s="753">
        <v>0</v>
      </c>
      <c r="E90" s="733">
        <v>0</v>
      </c>
      <c r="F90" s="733">
        <v>0</v>
      </c>
      <c r="G90" s="733">
        <v>0</v>
      </c>
      <c r="H90" s="1001">
        <f t="shared" si="30"/>
        <v>0</v>
      </c>
      <c r="I90" s="44">
        <f t="shared" si="1"/>
        <v>0</v>
      </c>
      <c r="J90" s="124" t="str">
        <f t="shared" si="2"/>
        <v/>
      </c>
      <c r="K90" s="735">
        <f t="shared" si="29"/>
        <v>0</v>
      </c>
    </row>
    <row r="91" spans="1:11" ht="12.75" customHeight="1" x14ac:dyDescent="0.25">
      <c r="A91" s="574" t="s">
        <v>1272</v>
      </c>
      <c r="B91" s="169"/>
      <c r="C91" s="748">
        <v>8059.65</v>
      </c>
      <c r="D91" s="753">
        <v>0</v>
      </c>
      <c r="E91" s="733">
        <v>0</v>
      </c>
      <c r="F91" s="733">
        <v>0</v>
      </c>
      <c r="G91" s="733">
        <v>0</v>
      </c>
      <c r="H91" s="1001">
        <f t="shared" si="30"/>
        <v>0</v>
      </c>
      <c r="I91" s="44">
        <f t="shared" si="1"/>
        <v>0</v>
      </c>
      <c r="J91" s="124" t="str">
        <f t="shared" si="2"/>
        <v/>
      </c>
      <c r="K91" s="735">
        <f t="shared" si="29"/>
        <v>0</v>
      </c>
    </row>
    <row r="92" spans="1:11" ht="12.75" customHeight="1" x14ac:dyDescent="0.25">
      <c r="A92" s="574" t="s">
        <v>1273</v>
      </c>
      <c r="B92" s="169"/>
      <c r="C92" s="748">
        <v>0</v>
      </c>
      <c r="D92" s="753">
        <v>0</v>
      </c>
      <c r="E92" s="733">
        <v>0</v>
      </c>
      <c r="F92" s="733">
        <v>0</v>
      </c>
      <c r="G92" s="733">
        <v>0</v>
      </c>
      <c r="H92" s="1001">
        <f t="shared" si="30"/>
        <v>0</v>
      </c>
      <c r="I92" s="44">
        <f t="shared" si="1"/>
        <v>0</v>
      </c>
      <c r="J92" s="124" t="str">
        <f t="shared" si="2"/>
        <v/>
      </c>
      <c r="K92" s="735">
        <f t="shared" si="29"/>
        <v>0</v>
      </c>
    </row>
    <row r="93" spans="1:11" ht="12.75" customHeight="1" x14ac:dyDescent="0.25">
      <c r="A93" s="574" t="s">
        <v>441</v>
      </c>
      <c r="B93" s="169"/>
      <c r="C93" s="748">
        <v>0</v>
      </c>
      <c r="D93" s="753">
        <v>0</v>
      </c>
      <c r="E93" s="733">
        <v>0</v>
      </c>
      <c r="F93" s="733">
        <v>0</v>
      </c>
      <c r="G93" s="733">
        <v>0</v>
      </c>
      <c r="H93" s="1001">
        <f t="shared" si="30"/>
        <v>0</v>
      </c>
      <c r="I93" s="44">
        <f t="shared" si="1"/>
        <v>0</v>
      </c>
      <c r="J93" s="124" t="str">
        <f t="shared" si="2"/>
        <v/>
      </c>
      <c r="K93" s="735">
        <f t="shared" si="29"/>
        <v>0</v>
      </c>
    </row>
    <row r="94" spans="1:11" ht="12.75" customHeight="1" x14ac:dyDescent="0.25">
      <c r="A94" s="574" t="s">
        <v>1274</v>
      </c>
      <c r="B94" s="169"/>
      <c r="C94" s="748">
        <v>0</v>
      </c>
      <c r="D94" s="753">
        <v>0</v>
      </c>
      <c r="E94" s="733">
        <v>0</v>
      </c>
      <c r="F94" s="733">
        <v>0</v>
      </c>
      <c r="G94" s="733">
        <v>0</v>
      </c>
      <c r="H94" s="1001">
        <f t="shared" si="30"/>
        <v>0</v>
      </c>
      <c r="I94" s="44">
        <f t="shared" si="1"/>
        <v>0</v>
      </c>
      <c r="J94" s="124" t="str">
        <f t="shared" si="2"/>
        <v/>
      </c>
      <c r="K94" s="735">
        <f t="shared" si="29"/>
        <v>0</v>
      </c>
    </row>
    <row r="95" spans="1:11" ht="12.75" customHeight="1" x14ac:dyDescent="0.25">
      <c r="A95" s="574" t="s">
        <v>440</v>
      </c>
      <c r="B95" s="169"/>
      <c r="C95" s="748">
        <v>0</v>
      </c>
      <c r="D95" s="753">
        <v>0</v>
      </c>
      <c r="E95" s="733">
        <v>0</v>
      </c>
      <c r="F95" s="733">
        <v>0</v>
      </c>
      <c r="G95" s="733">
        <v>0</v>
      </c>
      <c r="H95" s="1001">
        <f t="shared" si="30"/>
        <v>0</v>
      </c>
      <c r="I95" s="44">
        <f t="shared" si="1"/>
        <v>0</v>
      </c>
      <c r="J95" s="124" t="str">
        <f t="shared" si="2"/>
        <v/>
      </c>
      <c r="K95" s="735">
        <f t="shared" si="29"/>
        <v>0</v>
      </c>
    </row>
    <row r="96" spans="1:11" ht="12.75" customHeight="1" x14ac:dyDescent="0.25">
      <c r="A96" s="574" t="s">
        <v>1275</v>
      </c>
      <c r="B96" s="169"/>
      <c r="C96" s="748">
        <v>0</v>
      </c>
      <c r="D96" s="753">
        <v>0</v>
      </c>
      <c r="E96" s="733">
        <v>0</v>
      </c>
      <c r="F96" s="733">
        <v>0</v>
      </c>
      <c r="G96" s="733">
        <v>0</v>
      </c>
      <c r="H96" s="1001">
        <f t="shared" si="30"/>
        <v>0</v>
      </c>
      <c r="I96" s="44">
        <f t="shared" si="1"/>
        <v>0</v>
      </c>
      <c r="J96" s="124" t="str">
        <f t="shared" si="2"/>
        <v/>
      </c>
      <c r="K96" s="735">
        <f t="shared" si="29"/>
        <v>0</v>
      </c>
    </row>
    <row r="97" spans="1:11" ht="12.75" customHeight="1" x14ac:dyDescent="0.25">
      <c r="A97" s="574" t="s">
        <v>1276</v>
      </c>
      <c r="B97" s="169"/>
      <c r="C97" s="748">
        <v>0</v>
      </c>
      <c r="D97" s="753">
        <v>0</v>
      </c>
      <c r="E97" s="733">
        <v>0</v>
      </c>
      <c r="F97" s="733">
        <v>0</v>
      </c>
      <c r="G97" s="733">
        <v>0</v>
      </c>
      <c r="H97" s="1001">
        <f t="shared" si="30"/>
        <v>0</v>
      </c>
      <c r="I97" s="44">
        <f t="shared" si="1"/>
        <v>0</v>
      </c>
      <c r="J97" s="124" t="str">
        <f t="shared" si="2"/>
        <v/>
      </c>
      <c r="K97" s="735">
        <f t="shared" si="29"/>
        <v>0</v>
      </c>
    </row>
    <row r="98" spans="1:11" ht="12.75" customHeight="1" x14ac:dyDescent="0.25">
      <c r="A98" s="574" t="s">
        <v>1211</v>
      </c>
      <c r="B98" s="169"/>
      <c r="C98" s="748">
        <v>4648438.04</v>
      </c>
      <c r="D98" s="753">
        <v>0</v>
      </c>
      <c r="E98" s="733">
        <v>0</v>
      </c>
      <c r="F98" s="733">
        <v>0</v>
      </c>
      <c r="G98" s="733">
        <v>0</v>
      </c>
      <c r="H98" s="1001">
        <f t="shared" si="30"/>
        <v>0</v>
      </c>
      <c r="I98" s="44">
        <f t="shared" si="1"/>
        <v>0</v>
      </c>
      <c r="J98" s="124" t="str">
        <f t="shared" si="2"/>
        <v/>
      </c>
      <c r="K98" s="735">
        <f t="shared" si="29"/>
        <v>0</v>
      </c>
    </row>
    <row r="99" spans="1:11" ht="12.75" customHeight="1" x14ac:dyDescent="0.25">
      <c r="A99" s="518" t="s">
        <v>1277</v>
      </c>
      <c r="B99" s="169"/>
      <c r="C99" s="648">
        <f t="shared" ref="C99:H99" si="31">SUM(C100:C102)</f>
        <v>28461129.489999998</v>
      </c>
      <c r="D99" s="649">
        <f t="shared" si="31"/>
        <v>32534319</v>
      </c>
      <c r="E99" s="408">
        <f t="shared" si="31"/>
        <v>32534319</v>
      </c>
      <c r="F99" s="408">
        <f t="shared" si="31"/>
        <v>2053487</v>
      </c>
      <c r="G99" s="408">
        <f t="shared" si="31"/>
        <v>20389720.66</v>
      </c>
      <c r="H99" s="408">
        <f t="shared" si="31"/>
        <v>27111932.5</v>
      </c>
      <c r="I99" s="258">
        <f t="shared" si="1"/>
        <v>6722211.8399999999</v>
      </c>
      <c r="J99" s="575">
        <f t="shared" si="2"/>
        <v>0.24794292476200286</v>
      </c>
      <c r="K99" s="642">
        <f>SUM(K100:K102)</f>
        <v>32534319</v>
      </c>
    </row>
    <row r="100" spans="1:11" ht="12.75" customHeight="1" x14ac:dyDescent="0.25">
      <c r="A100" s="574" t="s">
        <v>1278</v>
      </c>
      <c r="B100" s="169"/>
      <c r="C100" s="748">
        <v>0</v>
      </c>
      <c r="D100" s="753">
        <v>0</v>
      </c>
      <c r="E100" s="733">
        <v>0</v>
      </c>
      <c r="F100" s="733">
        <v>0</v>
      </c>
      <c r="G100" s="733">
        <v>0</v>
      </c>
      <c r="H100" s="733">
        <f t="shared" ref="H100:H102" si="32">E100/12*7</f>
        <v>0</v>
      </c>
      <c r="I100" s="44">
        <f t="shared" si="1"/>
        <v>0</v>
      </c>
      <c r="J100" s="124" t="str">
        <f t="shared" si="2"/>
        <v/>
      </c>
      <c r="K100" s="735">
        <f>E100</f>
        <v>0</v>
      </c>
    </row>
    <row r="101" spans="1:11" ht="12.75" customHeight="1" x14ac:dyDescent="0.25">
      <c r="A101" s="574" t="s">
        <v>1279</v>
      </c>
      <c r="B101" s="169"/>
      <c r="C101" s="748">
        <v>0</v>
      </c>
      <c r="D101" s="753">
        <v>32534319</v>
      </c>
      <c r="E101" s="733">
        <v>32534319</v>
      </c>
      <c r="F101" s="733">
        <v>2053487</v>
      </c>
      <c r="G101" s="733">
        <f>18336233.66+2053487</f>
        <v>20389720.66</v>
      </c>
      <c r="H101" s="733">
        <f>E101/12*10</f>
        <v>27111932.5</v>
      </c>
      <c r="I101" s="44">
        <f>H101-G101</f>
        <v>6722211.8399999999</v>
      </c>
      <c r="J101" s="124">
        <f>IF(I101=0,"",I101/H101)</f>
        <v>0.24794292476200286</v>
      </c>
      <c r="K101" s="735">
        <f>E101</f>
        <v>32534319</v>
      </c>
    </row>
    <row r="102" spans="1:11" ht="12.75" customHeight="1" x14ac:dyDescent="0.25">
      <c r="A102" s="574" t="s">
        <v>1211</v>
      </c>
      <c r="B102" s="169"/>
      <c r="C102" s="748">
        <v>28461129.489999998</v>
      </c>
      <c r="D102" s="753">
        <v>0</v>
      </c>
      <c r="E102" s="733">
        <v>0</v>
      </c>
      <c r="F102" s="733">
        <v>0</v>
      </c>
      <c r="G102" s="733">
        <v>0</v>
      </c>
      <c r="H102" s="733">
        <f t="shared" si="32"/>
        <v>0</v>
      </c>
      <c r="I102" s="44">
        <f t="shared" si="1"/>
        <v>0</v>
      </c>
      <c r="J102" s="124" t="str">
        <f t="shared" si="2"/>
        <v/>
      </c>
      <c r="K102" s="735">
        <f>E102</f>
        <v>0</v>
      </c>
    </row>
    <row r="103" spans="1:11" ht="12.75" customHeight="1" x14ac:dyDescent="0.25">
      <c r="A103" s="549" t="s">
        <v>672</v>
      </c>
      <c r="B103" s="169"/>
      <c r="C103" s="249">
        <f t="shared" ref="C103:H103" si="33">SUM(C104:C108)</f>
        <v>0</v>
      </c>
      <c r="D103" s="264">
        <f t="shared" si="33"/>
        <v>0</v>
      </c>
      <c r="E103" s="99">
        <f t="shared" si="33"/>
        <v>0</v>
      </c>
      <c r="F103" s="99">
        <f t="shared" si="33"/>
        <v>0</v>
      </c>
      <c r="G103" s="99">
        <f t="shared" si="33"/>
        <v>0</v>
      </c>
      <c r="H103" s="99">
        <f t="shared" si="33"/>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5">
      <c r="A105" s="517" t="s">
        <v>1282</v>
      </c>
      <c r="B105" s="169"/>
      <c r="C105" s="786"/>
      <c r="D105" s="753"/>
      <c r="E105" s="733"/>
      <c r="F105" s="733"/>
      <c r="G105" s="733"/>
      <c r="H105" s="733">
        <f t="shared" ref="H105:H108" si="34">E105/12*4</f>
        <v>0</v>
      </c>
      <c r="I105" s="44">
        <f t="shared" si="1"/>
        <v>0</v>
      </c>
      <c r="J105" s="124" t="str">
        <f t="shared" si="2"/>
        <v/>
      </c>
      <c r="K105" s="735">
        <f>E105</f>
        <v>0</v>
      </c>
    </row>
    <row r="106" spans="1:11" ht="12.75" customHeight="1" x14ac:dyDescent="0.25">
      <c r="A106" s="518" t="s">
        <v>1283</v>
      </c>
      <c r="B106" s="169"/>
      <c r="C106" s="786"/>
      <c r="D106" s="753"/>
      <c r="E106" s="733"/>
      <c r="F106" s="733"/>
      <c r="G106" s="733"/>
      <c r="H106" s="733">
        <f t="shared" si="34"/>
        <v>0</v>
      </c>
      <c r="I106" s="44">
        <f t="shared" si="1"/>
        <v>0</v>
      </c>
      <c r="J106" s="124" t="str">
        <f t="shared" si="2"/>
        <v/>
      </c>
      <c r="K106" s="735">
        <f>E106</f>
        <v>0</v>
      </c>
    </row>
    <row r="107" spans="1:11" ht="12.75" customHeight="1" x14ac:dyDescent="0.25">
      <c r="A107" s="518" t="s">
        <v>1284</v>
      </c>
      <c r="B107" s="169"/>
      <c r="C107" s="786"/>
      <c r="D107" s="753"/>
      <c r="E107" s="733"/>
      <c r="F107" s="733"/>
      <c r="G107" s="733"/>
      <c r="H107" s="733">
        <f t="shared" si="34"/>
        <v>0</v>
      </c>
      <c r="I107" s="44">
        <f t="shared" si="1"/>
        <v>0</v>
      </c>
      <c r="J107" s="124" t="str">
        <f t="shared" si="2"/>
        <v/>
      </c>
      <c r="K107" s="735">
        <f>E107</f>
        <v>0</v>
      </c>
    </row>
    <row r="108" spans="1:11" ht="12.75" customHeight="1" x14ac:dyDescent="0.25">
      <c r="A108" s="517" t="s">
        <v>1285</v>
      </c>
      <c r="B108" s="169"/>
      <c r="C108" s="786"/>
      <c r="D108" s="753"/>
      <c r="E108" s="733"/>
      <c r="F108" s="733"/>
      <c r="G108" s="733"/>
      <c r="H108" s="733">
        <f t="shared" si="34"/>
        <v>0</v>
      </c>
      <c r="I108" s="44">
        <f t="shared" si="1"/>
        <v>0</v>
      </c>
      <c r="J108" s="124" t="str">
        <f t="shared" si="2"/>
        <v/>
      </c>
      <c r="K108" s="735">
        <f>E108</f>
        <v>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35">+C111+C114</f>
        <v>0</v>
      </c>
      <c r="D110" s="577">
        <f t="shared" si="35"/>
        <v>0</v>
      </c>
      <c r="E110" s="578">
        <f t="shared" si="35"/>
        <v>0</v>
      </c>
      <c r="F110" s="578">
        <f t="shared" si="35"/>
        <v>0</v>
      </c>
      <c r="G110" s="578">
        <f t="shared" si="35"/>
        <v>0</v>
      </c>
      <c r="H110" s="578">
        <f t="shared" si="35"/>
        <v>0</v>
      </c>
      <c r="I110" s="99">
        <f t="shared" si="1"/>
        <v>0</v>
      </c>
      <c r="J110" s="324" t="str">
        <f t="shared" si="2"/>
        <v/>
      </c>
      <c r="K110" s="580">
        <f>+K111+K114</f>
        <v>0</v>
      </c>
    </row>
    <row r="111" spans="1:11" ht="12.75" customHeight="1" x14ac:dyDescent="0.25">
      <c r="A111" s="518" t="s">
        <v>1286</v>
      </c>
      <c r="B111" s="169"/>
      <c r="C111" s="648">
        <f t="shared" ref="C111:H111" si="36">SUM(C112:C113)</f>
        <v>0</v>
      </c>
      <c r="D111" s="649">
        <f t="shared" si="36"/>
        <v>0</v>
      </c>
      <c r="E111" s="408">
        <f t="shared" si="36"/>
        <v>0</v>
      </c>
      <c r="F111" s="408">
        <f t="shared" si="36"/>
        <v>0</v>
      </c>
      <c r="G111" s="408">
        <f t="shared" si="36"/>
        <v>0</v>
      </c>
      <c r="H111" s="408">
        <f t="shared" si="36"/>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5">
      <c r="A113" s="574" t="s">
        <v>1288</v>
      </c>
      <c r="B113" s="169"/>
      <c r="C113" s="748">
        <v>0</v>
      </c>
      <c r="D113" s="753">
        <v>0</v>
      </c>
      <c r="E113" s="733">
        <v>0</v>
      </c>
      <c r="F113" s="733">
        <v>0</v>
      </c>
      <c r="G113" s="733">
        <v>0</v>
      </c>
      <c r="H113" s="733">
        <f>E113/12*4</f>
        <v>0</v>
      </c>
      <c r="I113" s="44">
        <f t="shared" si="1"/>
        <v>0</v>
      </c>
      <c r="J113" s="124" t="str">
        <f t="shared" si="2"/>
        <v/>
      </c>
      <c r="K113" s="735">
        <f>E113</f>
        <v>0</v>
      </c>
    </row>
    <row r="114" spans="1:11" ht="12.75" customHeight="1" x14ac:dyDescent="0.25">
      <c r="A114" s="518" t="s">
        <v>1289</v>
      </c>
      <c r="B114" s="169"/>
      <c r="C114" s="648">
        <f t="shared" ref="C114:H114" si="37">SUM(C115:C116)</f>
        <v>0</v>
      </c>
      <c r="D114" s="649">
        <f t="shared" si="37"/>
        <v>0</v>
      </c>
      <c r="E114" s="408">
        <f t="shared" si="37"/>
        <v>0</v>
      </c>
      <c r="F114" s="408">
        <f t="shared" si="37"/>
        <v>0</v>
      </c>
      <c r="G114" s="408">
        <f t="shared" si="37"/>
        <v>0</v>
      </c>
      <c r="H114" s="408">
        <f t="shared" si="37"/>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E115/12*4</f>
        <v>0</v>
      </c>
      <c r="I115" s="44">
        <f t="shared" si="1"/>
        <v>0</v>
      </c>
      <c r="J115" s="124" t="str">
        <f t="shared" si="2"/>
        <v/>
      </c>
      <c r="K115" s="735">
        <f>E115</f>
        <v>0</v>
      </c>
    </row>
    <row r="116" spans="1:11" ht="12.75" customHeight="1" x14ac:dyDescent="0.25">
      <c r="A116" s="574" t="s">
        <v>1288</v>
      </c>
      <c r="B116" s="169"/>
      <c r="C116" s="748">
        <v>0</v>
      </c>
      <c r="D116" s="753">
        <v>0</v>
      </c>
      <c r="E116" s="733">
        <v>0</v>
      </c>
      <c r="F116" s="733">
        <v>0</v>
      </c>
      <c r="G116" s="733">
        <v>0</v>
      </c>
      <c r="H116" s="733">
        <f>E116/12*4</f>
        <v>0</v>
      </c>
      <c r="I116" s="44">
        <f>H116-G116</f>
        <v>0</v>
      </c>
      <c r="J116" s="124" t="str">
        <f>IF(I116=0,"",I116/H116)</f>
        <v/>
      </c>
      <c r="K116" s="735">
        <f>E116</f>
        <v>0</v>
      </c>
    </row>
    <row r="117" spans="1:11" ht="12.75" customHeight="1" x14ac:dyDescent="0.25">
      <c r="A117" s="940" t="s">
        <v>674</v>
      </c>
      <c r="B117" s="169"/>
      <c r="C117" s="576">
        <f t="shared" ref="C117:H117" si="38">+C118+C130</f>
        <v>40934988.5</v>
      </c>
      <c r="D117" s="577">
        <f t="shared" si="38"/>
        <v>58826095</v>
      </c>
      <c r="E117" s="578">
        <f t="shared" si="38"/>
        <v>58826095</v>
      </c>
      <c r="F117" s="578">
        <f t="shared" si="38"/>
        <v>1756758</v>
      </c>
      <c r="G117" s="578">
        <f t="shared" si="38"/>
        <v>50105941.140000001</v>
      </c>
      <c r="H117" s="578">
        <f t="shared" si="38"/>
        <v>49021745.833333328</v>
      </c>
      <c r="I117" s="578">
        <f t="shared" si="1"/>
        <v>-1084195.3066666722</v>
      </c>
      <c r="J117" s="579">
        <f t="shared" si="2"/>
        <v>-2.2116619639634533E-2</v>
      </c>
      <c r="K117" s="580">
        <f>+K118+K130</f>
        <v>58826095</v>
      </c>
    </row>
    <row r="118" spans="1:11" ht="12.75" customHeight="1" x14ac:dyDescent="0.25">
      <c r="A118" s="518" t="s">
        <v>1290</v>
      </c>
      <c r="B118" s="169"/>
      <c r="C118" s="648">
        <f t="shared" ref="C118:H118" si="39">SUM(C119:C129)</f>
        <v>40934988.5</v>
      </c>
      <c r="D118" s="649">
        <f t="shared" si="39"/>
        <v>58826095</v>
      </c>
      <c r="E118" s="408">
        <f t="shared" si="39"/>
        <v>58826095</v>
      </c>
      <c r="F118" s="408">
        <f t="shared" si="39"/>
        <v>1756758</v>
      </c>
      <c r="G118" s="408">
        <f t="shared" si="39"/>
        <v>50105941.140000001</v>
      </c>
      <c r="H118" s="408">
        <f t="shared" si="39"/>
        <v>49021745.833333328</v>
      </c>
      <c r="I118" s="258">
        <f t="shared" si="1"/>
        <v>-1084195.3066666722</v>
      </c>
      <c r="J118" s="575">
        <f t="shared" si="2"/>
        <v>-2.2116619639634533E-2</v>
      </c>
      <c r="K118" s="642">
        <f>SUM(K119:K129)</f>
        <v>58826095</v>
      </c>
    </row>
    <row r="119" spans="1:11" ht="12.75" customHeight="1" x14ac:dyDescent="0.25">
      <c r="A119" s="574" t="s">
        <v>1291</v>
      </c>
      <c r="B119" s="169"/>
      <c r="C119" s="748">
        <v>40934988.5</v>
      </c>
      <c r="D119" s="753">
        <v>58826095</v>
      </c>
      <c r="E119" s="733">
        <v>58826095</v>
      </c>
      <c r="F119" s="733">
        <v>1756758</v>
      </c>
      <c r="G119" s="733">
        <f>48349183.14+1756758</f>
        <v>50105941.140000001</v>
      </c>
      <c r="H119" s="733">
        <f>E119/12*10</f>
        <v>49021745.833333328</v>
      </c>
      <c r="I119" s="44">
        <f t="shared" si="1"/>
        <v>-1084195.3066666722</v>
      </c>
      <c r="J119" s="124">
        <f t="shared" si="2"/>
        <v>-2.2116619639634533E-2</v>
      </c>
      <c r="K119" s="735">
        <f t="shared" ref="K119:K129" si="40">E119</f>
        <v>58826095</v>
      </c>
    </row>
    <row r="120" spans="1:11" ht="12.75" customHeight="1" x14ac:dyDescent="0.25">
      <c r="A120" s="574" t="s">
        <v>1292</v>
      </c>
      <c r="B120" s="169"/>
      <c r="C120" s="748">
        <v>0</v>
      </c>
      <c r="D120" s="753">
        <v>0</v>
      </c>
      <c r="E120" s="733">
        <v>0</v>
      </c>
      <c r="F120" s="733">
        <v>0</v>
      </c>
      <c r="G120" s="733">
        <v>0</v>
      </c>
      <c r="H120" s="1001">
        <f t="shared" ref="H120:H129" si="41">E120/12*7</f>
        <v>0</v>
      </c>
      <c r="I120" s="44">
        <f t="shared" si="1"/>
        <v>0</v>
      </c>
      <c r="J120" s="124" t="str">
        <f t="shared" si="2"/>
        <v/>
      </c>
      <c r="K120" s="735">
        <f t="shared" si="40"/>
        <v>0</v>
      </c>
    </row>
    <row r="121" spans="1:11" ht="12.75" customHeight="1" x14ac:dyDescent="0.25">
      <c r="A121" s="574" t="s">
        <v>1293</v>
      </c>
      <c r="B121" s="169"/>
      <c r="C121" s="748">
        <v>0</v>
      </c>
      <c r="D121" s="753">
        <v>0</v>
      </c>
      <c r="E121" s="733">
        <v>0</v>
      </c>
      <c r="F121" s="733">
        <v>0</v>
      </c>
      <c r="G121" s="733">
        <v>0</v>
      </c>
      <c r="H121" s="1001">
        <f t="shared" si="41"/>
        <v>0</v>
      </c>
      <c r="I121" s="44">
        <f t="shared" si="1"/>
        <v>0</v>
      </c>
      <c r="J121" s="124" t="str">
        <f t="shared" si="2"/>
        <v/>
      </c>
      <c r="K121" s="735">
        <f t="shared" si="40"/>
        <v>0</v>
      </c>
    </row>
    <row r="122" spans="1:11" ht="12.75" customHeight="1" x14ac:dyDescent="0.25">
      <c r="A122" s="574" t="s">
        <v>1294</v>
      </c>
      <c r="B122" s="169"/>
      <c r="C122" s="748">
        <v>0</v>
      </c>
      <c r="D122" s="753">
        <v>0</v>
      </c>
      <c r="E122" s="733">
        <v>0</v>
      </c>
      <c r="F122" s="733">
        <v>0</v>
      </c>
      <c r="G122" s="733">
        <v>0</v>
      </c>
      <c r="H122" s="1001">
        <f t="shared" si="41"/>
        <v>0</v>
      </c>
      <c r="I122" s="44">
        <f t="shared" si="1"/>
        <v>0</v>
      </c>
      <c r="J122" s="124" t="str">
        <f t="shared" si="2"/>
        <v/>
      </c>
      <c r="K122" s="735">
        <f t="shared" si="40"/>
        <v>0</v>
      </c>
    </row>
    <row r="123" spans="1:11" ht="12.75" customHeight="1" x14ac:dyDescent="0.25">
      <c r="A123" s="574" t="s">
        <v>1295</v>
      </c>
      <c r="B123" s="169"/>
      <c r="C123" s="748">
        <v>0</v>
      </c>
      <c r="D123" s="753">
        <v>0</v>
      </c>
      <c r="E123" s="733">
        <v>0</v>
      </c>
      <c r="F123" s="733">
        <v>0</v>
      </c>
      <c r="G123" s="733">
        <v>0</v>
      </c>
      <c r="H123" s="1001">
        <f t="shared" si="41"/>
        <v>0</v>
      </c>
      <c r="I123" s="44">
        <f t="shared" si="1"/>
        <v>0</v>
      </c>
      <c r="J123" s="124" t="str">
        <f t="shared" si="2"/>
        <v/>
      </c>
      <c r="K123" s="735">
        <f t="shared" si="40"/>
        <v>0</v>
      </c>
    </row>
    <row r="124" spans="1:11" ht="12.75" customHeight="1" x14ac:dyDescent="0.25">
      <c r="A124" s="574" t="s">
        <v>1296</v>
      </c>
      <c r="B124" s="169"/>
      <c r="C124" s="748">
        <v>0</v>
      </c>
      <c r="D124" s="753">
        <v>0</v>
      </c>
      <c r="E124" s="733">
        <v>0</v>
      </c>
      <c r="F124" s="733">
        <v>0</v>
      </c>
      <c r="G124" s="733">
        <v>0</v>
      </c>
      <c r="H124" s="1001">
        <f t="shared" si="41"/>
        <v>0</v>
      </c>
      <c r="I124" s="44">
        <f t="shared" si="1"/>
        <v>0</v>
      </c>
      <c r="J124" s="124" t="str">
        <f t="shared" si="2"/>
        <v/>
      </c>
      <c r="K124" s="735">
        <f t="shared" si="40"/>
        <v>0</v>
      </c>
    </row>
    <row r="125" spans="1:11" ht="12.75" customHeight="1" x14ac:dyDescent="0.25">
      <c r="A125" s="574" t="s">
        <v>1297</v>
      </c>
      <c r="B125" s="169"/>
      <c r="C125" s="748">
        <v>0</v>
      </c>
      <c r="D125" s="753">
        <v>0</v>
      </c>
      <c r="E125" s="733">
        <v>0</v>
      </c>
      <c r="F125" s="733">
        <v>0</v>
      </c>
      <c r="G125" s="733">
        <v>0</v>
      </c>
      <c r="H125" s="1001">
        <f t="shared" si="41"/>
        <v>0</v>
      </c>
      <c r="I125" s="44">
        <f t="shared" si="1"/>
        <v>0</v>
      </c>
      <c r="J125" s="124" t="str">
        <f t="shared" si="2"/>
        <v/>
      </c>
      <c r="K125" s="735">
        <f t="shared" si="40"/>
        <v>0</v>
      </c>
    </row>
    <row r="126" spans="1:11" ht="12.75" customHeight="1" x14ac:dyDescent="0.25">
      <c r="A126" s="574" t="s">
        <v>1298</v>
      </c>
      <c r="B126" s="169"/>
      <c r="C126" s="748">
        <v>0</v>
      </c>
      <c r="D126" s="753">
        <v>0</v>
      </c>
      <c r="E126" s="733">
        <v>0</v>
      </c>
      <c r="F126" s="733">
        <v>0</v>
      </c>
      <c r="G126" s="733">
        <v>0</v>
      </c>
      <c r="H126" s="1001">
        <f t="shared" si="41"/>
        <v>0</v>
      </c>
      <c r="I126" s="44">
        <f t="shared" si="1"/>
        <v>0</v>
      </c>
      <c r="J126" s="124" t="str">
        <f t="shared" si="2"/>
        <v/>
      </c>
      <c r="K126" s="735">
        <f t="shared" si="40"/>
        <v>0</v>
      </c>
    </row>
    <row r="127" spans="1:11" ht="12.75" customHeight="1" x14ac:dyDescent="0.25">
      <c r="A127" s="574" t="s">
        <v>1299</v>
      </c>
      <c r="B127" s="169"/>
      <c r="C127" s="748">
        <v>0</v>
      </c>
      <c r="D127" s="753">
        <v>0</v>
      </c>
      <c r="E127" s="733">
        <v>0</v>
      </c>
      <c r="F127" s="733">
        <v>0</v>
      </c>
      <c r="G127" s="733">
        <v>0</v>
      </c>
      <c r="H127" s="1001">
        <f t="shared" si="41"/>
        <v>0</v>
      </c>
      <c r="I127" s="44">
        <f t="shared" si="1"/>
        <v>0</v>
      </c>
      <c r="J127" s="124" t="str">
        <f t="shared" si="2"/>
        <v/>
      </c>
      <c r="K127" s="735">
        <f t="shared" si="40"/>
        <v>0</v>
      </c>
    </row>
    <row r="128" spans="1:11" ht="12.75" customHeight="1" x14ac:dyDescent="0.25">
      <c r="A128" s="574" t="s">
        <v>1300</v>
      </c>
      <c r="B128" s="169"/>
      <c r="C128" s="748">
        <v>0</v>
      </c>
      <c r="D128" s="753">
        <v>0</v>
      </c>
      <c r="E128" s="733">
        <v>0</v>
      </c>
      <c r="F128" s="733">
        <v>0</v>
      </c>
      <c r="G128" s="733">
        <v>0</v>
      </c>
      <c r="H128" s="1001">
        <f t="shared" si="41"/>
        <v>0</v>
      </c>
      <c r="I128" s="44">
        <f t="shared" si="1"/>
        <v>0</v>
      </c>
      <c r="J128" s="124" t="str">
        <f t="shared" si="2"/>
        <v/>
      </c>
      <c r="K128" s="735">
        <f t="shared" si="40"/>
        <v>0</v>
      </c>
    </row>
    <row r="129" spans="1:11" ht="12.75" customHeight="1" x14ac:dyDescent="0.25">
      <c r="A129" s="574" t="s">
        <v>1211</v>
      </c>
      <c r="B129" s="169"/>
      <c r="C129" s="748">
        <v>0</v>
      </c>
      <c r="D129" s="753">
        <v>0</v>
      </c>
      <c r="E129" s="733">
        <v>0</v>
      </c>
      <c r="F129" s="733">
        <v>0</v>
      </c>
      <c r="G129" s="733">
        <v>0</v>
      </c>
      <c r="H129" s="1001">
        <f t="shared" si="41"/>
        <v>0</v>
      </c>
      <c r="I129" s="44">
        <f t="shared" si="1"/>
        <v>0</v>
      </c>
      <c r="J129" s="124" t="str">
        <f t="shared" si="2"/>
        <v/>
      </c>
      <c r="K129" s="735">
        <f t="shared" si="40"/>
        <v>0</v>
      </c>
    </row>
    <row r="130" spans="1:11" ht="12.75" customHeight="1" x14ac:dyDescent="0.25">
      <c r="A130" s="518" t="s">
        <v>713</v>
      </c>
      <c r="B130" s="169"/>
      <c r="C130" s="648">
        <f t="shared" ref="C130:H130" si="42">SUM(C131:C133)</f>
        <v>0</v>
      </c>
      <c r="D130" s="649">
        <f t="shared" si="42"/>
        <v>0</v>
      </c>
      <c r="E130" s="408">
        <f t="shared" si="42"/>
        <v>0</v>
      </c>
      <c r="F130" s="408">
        <f t="shared" si="42"/>
        <v>0</v>
      </c>
      <c r="G130" s="408">
        <f t="shared" si="42"/>
        <v>0</v>
      </c>
      <c r="H130" s="408">
        <f t="shared" si="42"/>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3">SUM(C136:C136)</f>
        <v>0</v>
      </c>
      <c r="D135" s="577">
        <f t="shared" si="43"/>
        <v>0</v>
      </c>
      <c r="E135" s="578">
        <f t="shared" si="43"/>
        <v>0</v>
      </c>
      <c r="F135" s="578">
        <f t="shared" si="43"/>
        <v>0</v>
      </c>
      <c r="G135" s="578">
        <f t="shared" si="43"/>
        <v>0</v>
      </c>
      <c r="H135" s="578">
        <f t="shared" si="43"/>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E136/12*4</f>
        <v>0</v>
      </c>
      <c r="I136" s="44">
        <f>H136-G136</f>
        <v>0</v>
      </c>
      <c r="J136" s="124" t="str">
        <f t="shared" si="2"/>
        <v/>
      </c>
      <c r="K136" s="735">
        <f>E136</f>
        <v>0</v>
      </c>
    </row>
    <row r="137" spans="1:11" ht="5.0999999999999996" customHeight="1" x14ac:dyDescent="0.25">
      <c r="A137" s="548"/>
      <c r="B137" s="169"/>
      <c r="C137" s="134"/>
      <c r="D137" s="258"/>
      <c r="E137" s="44"/>
      <c r="F137" s="44"/>
      <c r="G137" s="44"/>
      <c r="H137" s="44"/>
      <c r="I137" s="44"/>
      <c r="J137" s="124" t="str">
        <f t="shared" ref="J137:J146" si="44">IF(I137=0,"",I137/H137)</f>
        <v/>
      </c>
      <c r="K137" s="144"/>
    </row>
    <row r="138" spans="1:11" s="100" customFormat="1" ht="12.75" customHeight="1" x14ac:dyDescent="0.25">
      <c r="A138" s="549" t="s">
        <v>1304</v>
      </c>
      <c r="B138" s="171"/>
      <c r="C138" s="941">
        <f t="shared" ref="C138:H138" si="45">SUM(C139:C140)</f>
        <v>12383875.050000001</v>
      </c>
      <c r="D138" s="942">
        <f t="shared" si="45"/>
        <v>10500000</v>
      </c>
      <c r="E138" s="943">
        <f t="shared" si="45"/>
        <v>10500000</v>
      </c>
      <c r="F138" s="943">
        <f t="shared" si="45"/>
        <v>0</v>
      </c>
      <c r="G138" s="943">
        <f t="shared" si="45"/>
        <v>6059681.04</v>
      </c>
      <c r="H138" s="943">
        <f t="shared" si="45"/>
        <v>8750000</v>
      </c>
      <c r="I138" s="943">
        <f t="shared" ref="I138:I146" si="46">H138-G138</f>
        <v>2690318.96</v>
      </c>
      <c r="J138" s="324">
        <f t="shared" si="44"/>
        <v>0.30746502399999998</v>
      </c>
      <c r="K138" s="944">
        <f>SUM(K139:K140)</f>
        <v>10500000</v>
      </c>
    </row>
    <row r="139" spans="1:11" ht="12.75" customHeight="1" x14ac:dyDescent="0.25">
      <c r="A139" s="517" t="s">
        <v>1305</v>
      </c>
      <c r="B139" s="169"/>
      <c r="C139" s="748">
        <v>0</v>
      </c>
      <c r="D139" s="753">
        <v>0</v>
      </c>
      <c r="E139" s="733">
        <v>0</v>
      </c>
      <c r="F139" s="733">
        <v>0</v>
      </c>
      <c r="G139" s="733">
        <v>0</v>
      </c>
      <c r="H139" s="733">
        <f>E139/12*4</f>
        <v>0</v>
      </c>
      <c r="I139" s="44">
        <f t="shared" si="46"/>
        <v>0</v>
      </c>
      <c r="J139" s="124" t="str">
        <f t="shared" si="44"/>
        <v/>
      </c>
      <c r="K139" s="735">
        <f>E139</f>
        <v>0</v>
      </c>
    </row>
    <row r="140" spans="1:11" ht="12.75" customHeight="1" x14ac:dyDescent="0.25">
      <c r="A140" s="517" t="s">
        <v>1306</v>
      </c>
      <c r="B140" s="169"/>
      <c r="C140" s="648">
        <f t="shared" ref="C140:H140" si="47">SUM(C141:C146)</f>
        <v>12383875.050000001</v>
      </c>
      <c r="D140" s="649">
        <f t="shared" si="47"/>
        <v>10500000</v>
      </c>
      <c r="E140" s="408">
        <f t="shared" si="47"/>
        <v>10500000</v>
      </c>
      <c r="F140" s="408">
        <f t="shared" si="47"/>
        <v>0</v>
      </c>
      <c r="G140" s="408">
        <f t="shared" si="47"/>
        <v>6059681.04</v>
      </c>
      <c r="H140" s="408">
        <f t="shared" si="47"/>
        <v>8750000</v>
      </c>
      <c r="I140" s="258">
        <f t="shared" si="46"/>
        <v>2690318.96</v>
      </c>
      <c r="J140" s="575">
        <f t="shared" si="44"/>
        <v>0.30746502399999998</v>
      </c>
      <c r="K140" s="642">
        <f>SUM(K141:K146)</f>
        <v>10500000</v>
      </c>
    </row>
    <row r="141" spans="1:11" ht="12.75" customHeight="1" x14ac:dyDescent="0.25">
      <c r="A141" s="574" t="s">
        <v>1307</v>
      </c>
      <c r="B141" s="169"/>
      <c r="C141" s="748">
        <v>0</v>
      </c>
      <c r="D141" s="753">
        <v>0</v>
      </c>
      <c r="E141" s="733">
        <v>0</v>
      </c>
      <c r="F141" s="733">
        <v>0</v>
      </c>
      <c r="G141" s="733">
        <v>0</v>
      </c>
      <c r="H141" s="733">
        <f t="shared" ref="H141:H146" si="48">E141/12*9</f>
        <v>0</v>
      </c>
      <c r="I141" s="44">
        <f t="shared" si="46"/>
        <v>0</v>
      </c>
      <c r="J141" s="124" t="str">
        <f t="shared" si="44"/>
        <v/>
      </c>
      <c r="K141" s="735">
        <f t="shared" ref="K141:K146" si="49">E141</f>
        <v>0</v>
      </c>
    </row>
    <row r="142" spans="1:11" ht="12.75" customHeight="1" x14ac:dyDescent="0.25">
      <c r="A142" s="574" t="s">
        <v>1308</v>
      </c>
      <c r="B142" s="169"/>
      <c r="C142" s="748">
        <v>0</v>
      </c>
      <c r="D142" s="753">
        <v>0</v>
      </c>
      <c r="E142" s="733">
        <v>0</v>
      </c>
      <c r="F142" s="733">
        <v>0</v>
      </c>
      <c r="G142" s="733">
        <v>0</v>
      </c>
      <c r="H142" s="733">
        <f t="shared" si="48"/>
        <v>0</v>
      </c>
      <c r="I142" s="44">
        <f t="shared" si="46"/>
        <v>0</v>
      </c>
      <c r="J142" s="124" t="str">
        <f t="shared" si="44"/>
        <v/>
      </c>
      <c r="K142" s="735">
        <f t="shared" si="49"/>
        <v>0</v>
      </c>
    </row>
    <row r="143" spans="1:11" ht="12.75" customHeight="1" x14ac:dyDescent="0.25">
      <c r="A143" s="574" t="s">
        <v>1309</v>
      </c>
      <c r="B143" s="169"/>
      <c r="C143" s="748">
        <v>0</v>
      </c>
      <c r="D143" s="753">
        <v>0</v>
      </c>
      <c r="E143" s="733">
        <v>0</v>
      </c>
      <c r="F143" s="733">
        <v>0</v>
      </c>
      <c r="G143" s="733">
        <v>0</v>
      </c>
      <c r="H143" s="733">
        <f t="shared" si="48"/>
        <v>0</v>
      </c>
      <c r="I143" s="44">
        <f t="shared" si="46"/>
        <v>0</v>
      </c>
      <c r="J143" s="124" t="str">
        <f t="shared" si="44"/>
        <v/>
      </c>
      <c r="K143" s="735">
        <f t="shared" si="49"/>
        <v>0</v>
      </c>
    </row>
    <row r="144" spans="1:11" ht="12.75" customHeight="1" x14ac:dyDescent="0.25">
      <c r="A144" s="574" t="s">
        <v>1310</v>
      </c>
      <c r="B144" s="169"/>
      <c r="C144" s="748">
        <v>0</v>
      </c>
      <c r="D144" s="753">
        <v>10500000</v>
      </c>
      <c r="E144" s="733">
        <v>10500000</v>
      </c>
      <c r="F144" s="733">
        <v>0</v>
      </c>
      <c r="G144" s="733">
        <v>6059681.04</v>
      </c>
      <c r="H144" s="733">
        <f>E144/12*10</f>
        <v>8750000</v>
      </c>
      <c r="I144" s="44">
        <f t="shared" si="46"/>
        <v>2690318.96</v>
      </c>
      <c r="J144" s="124">
        <f t="shared" si="44"/>
        <v>0.30746502399999998</v>
      </c>
      <c r="K144" s="735">
        <f t="shared" si="49"/>
        <v>10500000</v>
      </c>
    </row>
    <row r="145" spans="1:12" ht="12.75" customHeight="1" x14ac:dyDescent="0.25">
      <c r="A145" s="574" t="s">
        <v>1311</v>
      </c>
      <c r="B145" s="169"/>
      <c r="C145" s="748">
        <v>0</v>
      </c>
      <c r="D145" s="753">
        <v>0</v>
      </c>
      <c r="E145" s="733">
        <v>0</v>
      </c>
      <c r="F145" s="733">
        <v>0</v>
      </c>
      <c r="G145" s="733">
        <v>0</v>
      </c>
      <c r="H145" s="733">
        <f t="shared" si="48"/>
        <v>0</v>
      </c>
      <c r="I145" s="44">
        <f t="shared" si="46"/>
        <v>0</v>
      </c>
      <c r="J145" s="124" t="str">
        <f t="shared" si="44"/>
        <v/>
      </c>
      <c r="K145" s="735">
        <f t="shared" si="49"/>
        <v>0</v>
      </c>
    </row>
    <row r="146" spans="1:12" ht="12.75" customHeight="1" x14ac:dyDescent="0.25">
      <c r="A146" s="574" t="s">
        <v>1312</v>
      </c>
      <c r="B146" s="169"/>
      <c r="C146" s="748">
        <v>12383875.050000001</v>
      </c>
      <c r="D146" s="753">
        <v>0</v>
      </c>
      <c r="E146" s="733">
        <v>0</v>
      </c>
      <c r="F146" s="733">
        <v>0</v>
      </c>
      <c r="G146" s="733">
        <v>0</v>
      </c>
      <c r="H146" s="733">
        <f t="shared" si="48"/>
        <v>0</v>
      </c>
      <c r="I146" s="44">
        <f t="shared" si="46"/>
        <v>0</v>
      </c>
      <c r="J146" s="124" t="str">
        <f t="shared" si="44"/>
        <v/>
      </c>
      <c r="K146" s="735">
        <f t="shared" si="49"/>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50">SUM(C149:C149)</f>
        <v>4372851.26</v>
      </c>
      <c r="D148" s="577">
        <f t="shared" si="50"/>
        <v>4000000</v>
      </c>
      <c r="E148" s="578">
        <f t="shared" si="50"/>
        <v>4000000</v>
      </c>
      <c r="F148" s="578">
        <f t="shared" si="50"/>
        <v>0</v>
      </c>
      <c r="G148" s="578">
        <f t="shared" si="50"/>
        <v>18336233.660000004</v>
      </c>
      <c r="H148" s="578">
        <f t="shared" si="50"/>
        <v>3333333.333333333</v>
      </c>
      <c r="I148" s="578">
        <f>H148-G148</f>
        <v>-15002900.326666672</v>
      </c>
      <c r="J148" s="324">
        <f>IF(I148=0,"",I148/H148)</f>
        <v>-4.5008700980000018</v>
      </c>
      <c r="K148" s="580">
        <f>SUM(K149)</f>
        <v>4000000</v>
      </c>
    </row>
    <row r="149" spans="1:12" ht="12.75" customHeight="1" x14ac:dyDescent="0.25">
      <c r="A149" s="518" t="s">
        <v>1313</v>
      </c>
      <c r="B149" s="169"/>
      <c r="C149" s="748">
        <v>4372851.26</v>
      </c>
      <c r="D149" s="753">
        <v>4000000</v>
      </c>
      <c r="E149" s="733">
        <v>4000000</v>
      </c>
      <c r="F149" s="733">
        <v>0</v>
      </c>
      <c r="G149" s="733">
        <v>18336233.660000004</v>
      </c>
      <c r="H149" s="733">
        <f>E149/12*10</f>
        <v>3333333.333333333</v>
      </c>
      <c r="I149" s="44">
        <f>H149-G149</f>
        <v>-15002900.326666672</v>
      </c>
      <c r="J149" s="124">
        <f>IF(I149=0,"",I149/H149)</f>
        <v>-4.5008700980000018</v>
      </c>
      <c r="K149" s="735">
        <f>E149</f>
        <v>4000000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1">SUM(C152:C152)</f>
        <v>11410550.189999999</v>
      </c>
      <c r="D151" s="577">
        <f t="shared" si="51"/>
        <v>8778700</v>
      </c>
      <c r="E151" s="578">
        <f t="shared" si="51"/>
        <v>8778700</v>
      </c>
      <c r="F151" s="578">
        <f t="shared" si="51"/>
        <v>0</v>
      </c>
      <c r="G151" s="578">
        <f t="shared" si="51"/>
        <v>8469434.3399999999</v>
      </c>
      <c r="H151" s="578">
        <f t="shared" si="51"/>
        <v>7315583.333333334</v>
      </c>
      <c r="I151" s="578">
        <f>H151-G151</f>
        <v>-1153851.0066666659</v>
      </c>
      <c r="J151" s="324">
        <f>IF(I151=0,"",I151/H151)</f>
        <v>-0.15772508549101791</v>
      </c>
      <c r="K151" s="580">
        <f>SUM(K152)</f>
        <v>8778700</v>
      </c>
    </row>
    <row r="152" spans="1:12" ht="12.75" customHeight="1" x14ac:dyDescent="0.25">
      <c r="A152" s="518" t="s">
        <v>1314</v>
      </c>
      <c r="B152" s="169"/>
      <c r="C152" s="748">
        <v>11410550.189999999</v>
      </c>
      <c r="D152" s="753">
        <v>8778700</v>
      </c>
      <c r="E152" s="733">
        <v>8778700</v>
      </c>
      <c r="F152" s="733">
        <v>0</v>
      </c>
      <c r="G152" s="733">
        <v>8469434.3399999999</v>
      </c>
      <c r="H152" s="733">
        <f>E152/12*10</f>
        <v>7315583.333333334</v>
      </c>
      <c r="I152" s="44">
        <f>H152-G152</f>
        <v>-1153851.0066666659</v>
      </c>
      <c r="J152" s="124">
        <f>IF(I152=0,"",I152/H152)</f>
        <v>-0.15772508549101791</v>
      </c>
      <c r="K152" s="735">
        <f>E152</f>
        <v>8778700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2">SUM(C155:C155)</f>
        <v>301802.28999999998</v>
      </c>
      <c r="D154" s="577">
        <f t="shared" si="52"/>
        <v>2837</v>
      </c>
      <c r="E154" s="578">
        <f t="shared" si="52"/>
        <v>2837</v>
      </c>
      <c r="F154" s="578">
        <f t="shared" si="52"/>
        <v>0</v>
      </c>
      <c r="G154" s="578">
        <f t="shared" si="52"/>
        <v>0</v>
      </c>
      <c r="H154" s="578">
        <f t="shared" si="52"/>
        <v>2364.1666666666665</v>
      </c>
      <c r="I154" s="578">
        <f>H154-G154</f>
        <v>2364.1666666666665</v>
      </c>
      <c r="J154" s="324">
        <f>IF(I154=0,"",I154/H154)</f>
        <v>1</v>
      </c>
      <c r="K154" s="580">
        <f>SUM(K155)</f>
        <v>2837</v>
      </c>
    </row>
    <row r="155" spans="1:12" ht="12.75" customHeight="1" x14ac:dyDescent="0.25">
      <c r="A155" s="518" t="s">
        <v>1315</v>
      </c>
      <c r="B155" s="169"/>
      <c r="C155" s="748">
        <v>301802.28999999998</v>
      </c>
      <c r="D155" s="753">
        <v>2837</v>
      </c>
      <c r="E155" s="733">
        <v>2837</v>
      </c>
      <c r="F155" s="733">
        <v>0</v>
      </c>
      <c r="G155" s="733">
        <v>0</v>
      </c>
      <c r="H155" s="1001">
        <f>E155/12*10</f>
        <v>2364.1666666666665</v>
      </c>
      <c r="I155" s="44">
        <f>H155-G155</f>
        <v>2364.1666666666665</v>
      </c>
      <c r="J155" s="124">
        <f>IF(I155=0,"",I155/H155)</f>
        <v>1</v>
      </c>
      <c r="K155" s="735">
        <f>E155</f>
        <v>2837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3">SUM(C158:C158)</f>
        <v>22989422.439999998</v>
      </c>
      <c r="D157" s="577">
        <f t="shared" si="53"/>
        <v>39359056</v>
      </c>
      <c r="E157" s="578">
        <f t="shared" si="53"/>
        <v>39359056</v>
      </c>
      <c r="F157" s="578">
        <f t="shared" si="53"/>
        <v>0</v>
      </c>
      <c r="G157" s="578">
        <f t="shared" si="53"/>
        <v>15665394.67</v>
      </c>
      <c r="H157" s="578">
        <f t="shared" si="53"/>
        <v>32799213.333333336</v>
      </c>
      <c r="I157" s="578">
        <f>H157-G157</f>
        <v>17133818.663333334</v>
      </c>
      <c r="J157" s="324">
        <f>IF(I157=0,"",I157/H157)</f>
        <v>0.52238504897068672</v>
      </c>
      <c r="K157" s="580">
        <f>SUM(K158)</f>
        <v>39359056</v>
      </c>
    </row>
    <row r="158" spans="1:12" ht="12.75" customHeight="1" x14ac:dyDescent="0.25">
      <c r="A158" s="518" t="s">
        <v>1316</v>
      </c>
      <c r="B158" s="169"/>
      <c r="C158" s="748">
        <v>22989422.439999998</v>
      </c>
      <c r="D158" s="753">
        <v>39359056</v>
      </c>
      <c r="E158" s="733">
        <v>39359056</v>
      </c>
      <c r="F158" s="733">
        <v>0</v>
      </c>
      <c r="G158" s="733">
        <v>15665394.67</v>
      </c>
      <c r="H158" s="733">
        <f>E158/12*10</f>
        <v>32799213.333333336</v>
      </c>
      <c r="I158" s="44">
        <f>H158-G158</f>
        <v>17133818.663333334</v>
      </c>
      <c r="J158" s="124">
        <f>IF(I158=0,"",I158/H158)</f>
        <v>0.52238504897068672</v>
      </c>
      <c r="K158" s="735">
        <f>E158</f>
        <v>39359056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4">SUM(C161:C161)</f>
        <v>0</v>
      </c>
      <c r="D160" s="577">
        <f t="shared" si="54"/>
        <v>0</v>
      </c>
      <c r="E160" s="578">
        <f t="shared" si="54"/>
        <v>0</v>
      </c>
      <c r="F160" s="578">
        <f t="shared" si="54"/>
        <v>0</v>
      </c>
      <c r="G160" s="578">
        <f t="shared" si="54"/>
        <v>0</v>
      </c>
      <c r="H160" s="578">
        <f t="shared" si="54"/>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55">SUM(C164:C164)</f>
        <v>0</v>
      </c>
      <c r="D163" s="577">
        <f t="shared" si="55"/>
        <v>0</v>
      </c>
      <c r="E163" s="578">
        <f t="shared" si="55"/>
        <v>0</v>
      </c>
      <c r="F163" s="578">
        <f t="shared" si="55"/>
        <v>0</v>
      </c>
      <c r="G163" s="578">
        <f t="shared" si="55"/>
        <v>0</v>
      </c>
      <c r="H163" s="578">
        <f t="shared" si="55"/>
        <v>0</v>
      </c>
      <c r="I163" s="578">
        <f>H163-G163</f>
        <v>0</v>
      </c>
      <c r="J163" s="324" t="str">
        <f>IF(I163=0,"",I163/H163)</f>
        <v/>
      </c>
      <c r="K163" s="580">
        <f>SUM(K164)</f>
        <v>0</v>
      </c>
    </row>
    <row r="164" spans="1:11" ht="12.75" customHeight="1" x14ac:dyDescent="0.25">
      <c r="A164" s="518" t="s">
        <v>1317</v>
      </c>
      <c r="B164" s="169"/>
      <c r="C164" s="748">
        <v>0</v>
      </c>
      <c r="D164" s="753"/>
      <c r="E164" s="733">
        <v>0</v>
      </c>
      <c r="F164" s="733">
        <v>0</v>
      </c>
      <c r="G164" s="733">
        <v>0</v>
      </c>
      <c r="H164" s="733">
        <f>E164/12*3</f>
        <v>0</v>
      </c>
      <c r="I164" s="44">
        <f>H164-G164</f>
        <v>0</v>
      </c>
      <c r="J164" s="124" t="str">
        <f>IF(I164=0,"",I164/H164)</f>
        <v/>
      </c>
      <c r="K164" s="1003">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886</v>
      </c>
      <c r="B166" s="236">
        <v>1</v>
      </c>
      <c r="C166" s="112">
        <f t="shared" ref="C166:H166" si="56">C7+C75+C103+C110+C117+C135+C138+C148+C151+C154+C157+C160+C163</f>
        <v>412507338.89000005</v>
      </c>
      <c r="D166" s="271">
        <f t="shared" si="56"/>
        <v>552545618</v>
      </c>
      <c r="E166" s="55">
        <f t="shared" si="56"/>
        <v>552545618</v>
      </c>
      <c r="F166" s="55">
        <f t="shared" si="56"/>
        <v>15583215</v>
      </c>
      <c r="G166" s="55">
        <f t="shared" si="56"/>
        <v>404088650.50000006</v>
      </c>
      <c r="H166" s="55">
        <f t="shared" si="56"/>
        <v>460454681.66666657</v>
      </c>
      <c r="I166" s="55">
        <f t="shared" si="1"/>
        <v>56366031.166666508</v>
      </c>
      <c r="J166" s="290">
        <f t="shared" si="2"/>
        <v>0.12241385180978817</v>
      </c>
      <c r="K166" s="235">
        <f>K7+K75+K103+K110+K117+K135+K138+K148+K151+K154+K157+K160+K163</f>
        <v>552545618</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indexed="42"/>
  </sheetPr>
  <dimension ref="A1:L204"/>
  <sheetViews>
    <sheetView showGridLines="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"&amp;S71Sd&amp; " - "&amp;Head57</f>
        <v>LIM354 Polokwane - Supporting Table SC13d Monthly Budget Statement - depreciation by asset class - M10 April</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1066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156739992</v>
      </c>
      <c r="D7" s="602">
        <f t="shared" si="0"/>
        <v>133005652</v>
      </c>
      <c r="E7" s="102">
        <f t="shared" si="0"/>
        <v>133005652</v>
      </c>
      <c r="F7" s="102">
        <f t="shared" si="0"/>
        <v>11083804.333333332</v>
      </c>
      <c r="G7" s="102">
        <f t="shared" si="0"/>
        <v>110838043.33333331</v>
      </c>
      <c r="H7" s="102">
        <f t="shared" si="0"/>
        <v>110838043.33333331</v>
      </c>
      <c r="I7" s="101">
        <f t="shared" ref="I7:I166" si="1">H7-G7</f>
        <v>0</v>
      </c>
      <c r="J7" s="579" t="str">
        <f t="shared" ref="J7:J166" si="2">IF(I7=0,"",I7/H7)</f>
        <v/>
      </c>
      <c r="K7" s="603">
        <f>K8+K13+K17+K27+K38+K45+K53+K63+K69</f>
        <v>133005652</v>
      </c>
    </row>
    <row r="8" spans="1:11" ht="12.75" customHeight="1" x14ac:dyDescent="0.25">
      <c r="A8" s="518" t="s">
        <v>1208</v>
      </c>
      <c r="B8" s="169"/>
      <c r="C8" s="677">
        <f t="shared" ref="C8:H8" si="3">SUM(C9:C12)</f>
        <v>88981992</v>
      </c>
      <c r="D8" s="609">
        <f t="shared" si="3"/>
        <v>65179942</v>
      </c>
      <c r="E8" s="608">
        <f t="shared" si="3"/>
        <v>65179942</v>
      </c>
      <c r="F8" s="608">
        <f t="shared" si="3"/>
        <v>5431661.833333333</v>
      </c>
      <c r="G8" s="608">
        <f t="shared" si="3"/>
        <v>54316618.333333328</v>
      </c>
      <c r="H8" s="608">
        <f t="shared" si="3"/>
        <v>54316618.333333328</v>
      </c>
      <c r="I8" s="258">
        <f t="shared" si="1"/>
        <v>0</v>
      </c>
      <c r="J8" s="575" t="str">
        <f t="shared" si="2"/>
        <v/>
      </c>
      <c r="K8" s="610">
        <f>SUM(K9:K12)</f>
        <v>65179942</v>
      </c>
    </row>
    <row r="9" spans="1:11" ht="12.75" customHeight="1" x14ac:dyDescent="0.25">
      <c r="A9" s="574" t="s">
        <v>168</v>
      </c>
      <c r="B9" s="169"/>
      <c r="C9" s="748">
        <v>0</v>
      </c>
      <c r="D9" s="745">
        <v>56504560</v>
      </c>
      <c r="E9" s="733">
        <v>56504560</v>
      </c>
      <c r="F9" s="733">
        <f>E9/12</f>
        <v>4708713.333333333</v>
      </c>
      <c r="G9" s="733">
        <f t="shared" ref="G9:G12" si="4">H9</f>
        <v>47087133.333333328</v>
      </c>
      <c r="H9" s="733">
        <f t="shared" ref="H9:H12" si="5">E9/12*10</f>
        <v>47087133.333333328</v>
      </c>
      <c r="I9" s="258">
        <f t="shared" si="1"/>
        <v>0</v>
      </c>
      <c r="J9" s="575" t="str">
        <f t="shared" si="2"/>
        <v/>
      </c>
      <c r="K9" s="735">
        <f>E9</f>
        <v>56504560</v>
      </c>
    </row>
    <row r="10" spans="1:11" ht="12.75" customHeight="1" x14ac:dyDescent="0.25">
      <c r="A10" s="574" t="s">
        <v>1209</v>
      </c>
      <c r="B10" s="169"/>
      <c r="C10" s="748">
        <v>87879996</v>
      </c>
      <c r="D10" s="745">
        <v>8037343</v>
      </c>
      <c r="E10" s="733">
        <v>8037343</v>
      </c>
      <c r="F10" s="733">
        <f t="shared" ref="F10:F11" si="6">E10/12</f>
        <v>669778.58333333337</v>
      </c>
      <c r="G10" s="733">
        <f t="shared" si="4"/>
        <v>6697785.833333334</v>
      </c>
      <c r="H10" s="733">
        <f t="shared" si="5"/>
        <v>6697785.833333334</v>
      </c>
      <c r="I10" s="258">
        <f t="shared" si="1"/>
        <v>0</v>
      </c>
      <c r="J10" s="575" t="str">
        <f t="shared" si="2"/>
        <v/>
      </c>
      <c r="K10" s="735">
        <f>E10</f>
        <v>8037343</v>
      </c>
    </row>
    <row r="11" spans="1:11" ht="12.75" customHeight="1" x14ac:dyDescent="0.25">
      <c r="A11" s="574" t="s">
        <v>1210</v>
      </c>
      <c r="B11" s="169"/>
      <c r="C11" s="748">
        <v>0</v>
      </c>
      <c r="D11" s="745">
        <v>638039</v>
      </c>
      <c r="E11" s="733">
        <v>638039</v>
      </c>
      <c r="F11" s="733">
        <f t="shared" si="6"/>
        <v>53169.916666666664</v>
      </c>
      <c r="G11" s="733">
        <f t="shared" si="4"/>
        <v>531699.16666666663</v>
      </c>
      <c r="H11" s="733">
        <f t="shared" si="5"/>
        <v>531699.16666666663</v>
      </c>
      <c r="I11" s="258">
        <f t="shared" si="1"/>
        <v>0</v>
      </c>
      <c r="J11" s="575" t="str">
        <f t="shared" si="2"/>
        <v/>
      </c>
      <c r="K11" s="735">
        <f>E11</f>
        <v>638039</v>
      </c>
    </row>
    <row r="12" spans="1:11" ht="12.75" customHeight="1" x14ac:dyDescent="0.25">
      <c r="A12" s="574" t="s">
        <v>1211</v>
      </c>
      <c r="B12" s="169"/>
      <c r="C12" s="748">
        <v>1101996</v>
      </c>
      <c r="D12" s="745">
        <v>0</v>
      </c>
      <c r="E12" s="733">
        <v>0</v>
      </c>
      <c r="F12" s="733">
        <f>E12/12</f>
        <v>0</v>
      </c>
      <c r="G12" s="733">
        <f t="shared" si="4"/>
        <v>0</v>
      </c>
      <c r="H12" s="1001">
        <f t="shared" si="5"/>
        <v>0</v>
      </c>
      <c r="I12" s="258">
        <f t="shared" si="1"/>
        <v>0</v>
      </c>
      <c r="J12" s="575" t="str">
        <f t="shared" si="2"/>
        <v/>
      </c>
      <c r="K12" s="1003"/>
    </row>
    <row r="13" spans="1:11" ht="12.75" customHeight="1" x14ac:dyDescent="0.25">
      <c r="A13" s="518" t="s">
        <v>1212</v>
      </c>
      <c r="B13" s="169"/>
      <c r="C13" s="648">
        <f t="shared" ref="C13:H13" si="7">SUM(C14:C16)</f>
        <v>9045000</v>
      </c>
      <c r="D13" s="649">
        <f t="shared" si="7"/>
        <v>8492469</v>
      </c>
      <c r="E13" s="408">
        <f t="shared" si="7"/>
        <v>8492469</v>
      </c>
      <c r="F13" s="408">
        <f t="shared" si="7"/>
        <v>707705.75</v>
      </c>
      <c r="G13" s="408">
        <f t="shared" si="7"/>
        <v>7077057.5</v>
      </c>
      <c r="H13" s="408">
        <f t="shared" si="7"/>
        <v>7077057.5</v>
      </c>
      <c r="I13" s="258">
        <f t="shared" si="1"/>
        <v>0</v>
      </c>
      <c r="J13" s="575" t="str">
        <f t="shared" si="2"/>
        <v/>
      </c>
      <c r="K13" s="642">
        <f>SUM(K14:K16)</f>
        <v>8492469</v>
      </c>
    </row>
    <row r="14" spans="1:11" ht="12.75" customHeight="1" x14ac:dyDescent="0.25">
      <c r="A14" s="574" t="s">
        <v>1213</v>
      </c>
      <c r="B14" s="169"/>
      <c r="C14" s="748">
        <v>0</v>
      </c>
      <c r="D14" s="745">
        <v>0</v>
      </c>
      <c r="E14" s="733">
        <v>0</v>
      </c>
      <c r="F14" s="733">
        <f t="shared" ref="F14:F16" si="8">E14/12</f>
        <v>0</v>
      </c>
      <c r="G14" s="733">
        <f t="shared" ref="G14:G16" si="9">H14</f>
        <v>0</v>
      </c>
      <c r="H14" s="733">
        <f t="shared" ref="H14:H16" si="10">E14/12*10</f>
        <v>0</v>
      </c>
      <c r="I14" s="258">
        <f t="shared" si="1"/>
        <v>0</v>
      </c>
      <c r="J14" s="575" t="str">
        <f t="shared" si="2"/>
        <v/>
      </c>
      <c r="K14" s="735">
        <v>0</v>
      </c>
    </row>
    <row r="15" spans="1:11" ht="12.75" customHeight="1" x14ac:dyDescent="0.25">
      <c r="A15" s="574" t="s">
        <v>1214</v>
      </c>
      <c r="B15" s="169"/>
      <c r="C15" s="748">
        <v>9045000</v>
      </c>
      <c r="D15" s="745">
        <v>8492469</v>
      </c>
      <c r="E15" s="733">
        <v>8492469</v>
      </c>
      <c r="F15" s="733">
        <f t="shared" si="8"/>
        <v>707705.75</v>
      </c>
      <c r="G15" s="733">
        <f t="shared" si="9"/>
        <v>7077057.5</v>
      </c>
      <c r="H15" s="733">
        <f t="shared" si="10"/>
        <v>7077057.5</v>
      </c>
      <c r="I15" s="258">
        <f t="shared" si="1"/>
        <v>0</v>
      </c>
      <c r="J15" s="575" t="str">
        <f t="shared" si="2"/>
        <v/>
      </c>
      <c r="K15" s="735">
        <f>E15</f>
        <v>8492469</v>
      </c>
    </row>
    <row r="16" spans="1:11" ht="12.75" customHeight="1" x14ac:dyDescent="0.25">
      <c r="A16" s="574" t="s">
        <v>1215</v>
      </c>
      <c r="B16" s="169"/>
      <c r="C16" s="748">
        <v>0</v>
      </c>
      <c r="D16" s="745">
        <v>0</v>
      </c>
      <c r="E16" s="733">
        <v>0</v>
      </c>
      <c r="F16" s="733">
        <f t="shared" si="8"/>
        <v>0</v>
      </c>
      <c r="G16" s="733">
        <f t="shared" si="9"/>
        <v>0</v>
      </c>
      <c r="H16" s="733">
        <f t="shared" si="10"/>
        <v>0</v>
      </c>
      <c r="I16" s="258">
        <f t="shared" si="1"/>
        <v>0</v>
      </c>
      <c r="J16" s="575" t="str">
        <f t="shared" si="2"/>
        <v/>
      </c>
      <c r="K16" s="735">
        <f>E16</f>
        <v>0</v>
      </c>
    </row>
    <row r="17" spans="1:11" ht="12.75" customHeight="1" x14ac:dyDescent="0.25">
      <c r="A17" s="518" t="s">
        <v>1216</v>
      </c>
      <c r="B17" s="169"/>
      <c r="C17" s="648">
        <f t="shared" ref="C17:H17" si="11">SUM(C18:C26)</f>
        <v>11277000</v>
      </c>
      <c r="D17" s="649">
        <f t="shared" si="11"/>
        <v>24186268</v>
      </c>
      <c r="E17" s="408">
        <f t="shared" si="11"/>
        <v>24186268</v>
      </c>
      <c r="F17" s="408">
        <f t="shared" si="11"/>
        <v>2015522.3333333333</v>
      </c>
      <c r="G17" s="408">
        <f t="shared" si="11"/>
        <v>20155223.333333332</v>
      </c>
      <c r="H17" s="408">
        <f t="shared" si="11"/>
        <v>20155223.333333332</v>
      </c>
      <c r="I17" s="258">
        <f t="shared" si="1"/>
        <v>0</v>
      </c>
      <c r="J17" s="575" t="str">
        <f t="shared" si="2"/>
        <v/>
      </c>
      <c r="K17" s="642">
        <f>SUM(K18:K26)</f>
        <v>24186268</v>
      </c>
    </row>
    <row r="18" spans="1:11" ht="12.75" customHeight="1" x14ac:dyDescent="0.25">
      <c r="A18" s="574" t="s">
        <v>1217</v>
      </c>
      <c r="B18" s="169"/>
      <c r="C18" s="748">
        <v>0</v>
      </c>
      <c r="D18" s="745">
        <v>0</v>
      </c>
      <c r="E18" s="733">
        <v>0</v>
      </c>
      <c r="F18" s="733">
        <f t="shared" ref="F18:F26" si="12">E18/12</f>
        <v>0</v>
      </c>
      <c r="G18" s="733">
        <f t="shared" ref="G18:G26" si="13">H18</f>
        <v>0</v>
      </c>
      <c r="H18" s="733">
        <f t="shared" ref="H18:H26" si="14">E18/12*10</f>
        <v>0</v>
      </c>
      <c r="I18" s="258">
        <f t="shared" si="1"/>
        <v>0</v>
      </c>
      <c r="J18" s="575" t="str">
        <f t="shared" si="2"/>
        <v/>
      </c>
      <c r="K18" s="1003">
        <v>0</v>
      </c>
    </row>
    <row r="19" spans="1:11" ht="12.75" customHeight="1" x14ac:dyDescent="0.25">
      <c r="A19" s="574" t="s">
        <v>1218</v>
      </c>
      <c r="B19" s="169"/>
      <c r="C19" s="748">
        <v>0</v>
      </c>
      <c r="D19" s="745">
        <v>5258165</v>
      </c>
      <c r="E19" s="733">
        <v>5258165</v>
      </c>
      <c r="F19" s="733">
        <f t="shared" si="12"/>
        <v>438180.41666666669</v>
      </c>
      <c r="G19" s="733">
        <f t="shared" si="13"/>
        <v>4381804.166666667</v>
      </c>
      <c r="H19" s="733">
        <f t="shared" si="14"/>
        <v>4381804.166666667</v>
      </c>
      <c r="I19" s="258">
        <f t="shared" si="1"/>
        <v>0</v>
      </c>
      <c r="J19" s="575" t="str">
        <f t="shared" si="2"/>
        <v/>
      </c>
      <c r="K19" s="735">
        <f t="shared" ref="K19:K26" si="15">E19</f>
        <v>5258165</v>
      </c>
    </row>
    <row r="20" spans="1:11" ht="12.75" customHeight="1" x14ac:dyDescent="0.25">
      <c r="A20" s="574" t="s">
        <v>1219</v>
      </c>
      <c r="B20" s="169"/>
      <c r="C20" s="748">
        <v>0</v>
      </c>
      <c r="D20" s="745">
        <v>0</v>
      </c>
      <c r="E20" s="733">
        <v>0</v>
      </c>
      <c r="F20" s="733">
        <f t="shared" si="12"/>
        <v>0</v>
      </c>
      <c r="G20" s="733">
        <f t="shared" si="13"/>
        <v>0</v>
      </c>
      <c r="H20" s="733">
        <f t="shared" si="14"/>
        <v>0</v>
      </c>
      <c r="I20" s="258">
        <f t="shared" si="1"/>
        <v>0</v>
      </c>
      <c r="J20" s="575" t="str">
        <f t="shared" si="2"/>
        <v/>
      </c>
      <c r="K20" s="735">
        <f t="shared" si="15"/>
        <v>0</v>
      </c>
    </row>
    <row r="21" spans="1:11" ht="12.75" customHeight="1" x14ac:dyDescent="0.25">
      <c r="A21" s="574" t="s">
        <v>1220</v>
      </c>
      <c r="B21" s="169"/>
      <c r="C21" s="748">
        <v>0</v>
      </c>
      <c r="D21" s="745">
        <v>0</v>
      </c>
      <c r="E21" s="733">
        <v>0</v>
      </c>
      <c r="F21" s="733">
        <f t="shared" si="12"/>
        <v>0</v>
      </c>
      <c r="G21" s="733">
        <f t="shared" si="13"/>
        <v>0</v>
      </c>
      <c r="H21" s="733">
        <f t="shared" si="14"/>
        <v>0</v>
      </c>
      <c r="I21" s="258">
        <f t="shared" si="1"/>
        <v>0</v>
      </c>
      <c r="J21" s="575" t="str">
        <f t="shared" si="2"/>
        <v/>
      </c>
      <c r="K21" s="735">
        <f t="shared" si="15"/>
        <v>0</v>
      </c>
    </row>
    <row r="22" spans="1:11" ht="12.75" customHeight="1" x14ac:dyDescent="0.25">
      <c r="A22" s="574" t="s">
        <v>1221</v>
      </c>
      <c r="B22" s="169"/>
      <c r="C22" s="748">
        <v>0</v>
      </c>
      <c r="D22" s="745">
        <v>0</v>
      </c>
      <c r="E22" s="733">
        <v>0</v>
      </c>
      <c r="F22" s="733">
        <f t="shared" si="12"/>
        <v>0</v>
      </c>
      <c r="G22" s="733">
        <f t="shared" si="13"/>
        <v>0</v>
      </c>
      <c r="H22" s="733">
        <f t="shared" si="14"/>
        <v>0</v>
      </c>
      <c r="I22" s="258">
        <f t="shared" si="1"/>
        <v>0</v>
      </c>
      <c r="J22" s="575" t="str">
        <f t="shared" si="2"/>
        <v/>
      </c>
      <c r="K22" s="735">
        <f t="shared" si="15"/>
        <v>0</v>
      </c>
    </row>
    <row r="23" spans="1:11" ht="12.75" customHeight="1" x14ac:dyDescent="0.25">
      <c r="A23" s="574" t="s">
        <v>1222</v>
      </c>
      <c r="B23" s="169"/>
      <c r="C23" s="748">
        <v>0</v>
      </c>
      <c r="D23" s="745">
        <v>0</v>
      </c>
      <c r="E23" s="733">
        <v>0</v>
      </c>
      <c r="F23" s="733">
        <f t="shared" si="12"/>
        <v>0</v>
      </c>
      <c r="G23" s="733">
        <f t="shared" si="13"/>
        <v>0</v>
      </c>
      <c r="H23" s="733">
        <f t="shared" si="14"/>
        <v>0</v>
      </c>
      <c r="I23" s="258">
        <f t="shared" si="1"/>
        <v>0</v>
      </c>
      <c r="J23" s="575" t="str">
        <f t="shared" si="2"/>
        <v/>
      </c>
      <c r="K23" s="735">
        <f t="shared" si="15"/>
        <v>0</v>
      </c>
    </row>
    <row r="24" spans="1:11" ht="12.75" customHeight="1" x14ac:dyDescent="0.25">
      <c r="A24" s="574" t="s">
        <v>1223</v>
      </c>
      <c r="B24" s="169"/>
      <c r="C24" s="748">
        <v>0</v>
      </c>
      <c r="D24" s="745">
        <v>12925381</v>
      </c>
      <c r="E24" s="733">
        <v>12925381</v>
      </c>
      <c r="F24" s="733">
        <f t="shared" si="12"/>
        <v>1077115.0833333333</v>
      </c>
      <c r="G24" s="733">
        <f t="shared" si="13"/>
        <v>10771150.833333332</v>
      </c>
      <c r="H24" s="733">
        <f t="shared" si="14"/>
        <v>10771150.833333332</v>
      </c>
      <c r="I24" s="258">
        <f t="shared" si="1"/>
        <v>0</v>
      </c>
      <c r="J24" s="575" t="str">
        <f t="shared" si="2"/>
        <v/>
      </c>
      <c r="K24" s="735">
        <f t="shared" si="15"/>
        <v>12925381</v>
      </c>
    </row>
    <row r="25" spans="1:11" ht="12.75" customHeight="1" x14ac:dyDescent="0.25">
      <c r="A25" s="574" t="s">
        <v>1224</v>
      </c>
      <c r="B25" s="169"/>
      <c r="C25" s="748">
        <v>0</v>
      </c>
      <c r="D25" s="745">
        <v>6002722</v>
      </c>
      <c r="E25" s="733">
        <v>6002722</v>
      </c>
      <c r="F25" s="733">
        <f t="shared" si="12"/>
        <v>500226.83333333331</v>
      </c>
      <c r="G25" s="733">
        <f t="shared" si="13"/>
        <v>5002268.333333333</v>
      </c>
      <c r="H25" s="733">
        <f t="shared" si="14"/>
        <v>5002268.333333333</v>
      </c>
      <c r="I25" s="258">
        <f t="shared" si="1"/>
        <v>0</v>
      </c>
      <c r="J25" s="575" t="str">
        <f t="shared" si="2"/>
        <v/>
      </c>
      <c r="K25" s="735">
        <f t="shared" si="15"/>
        <v>6002722</v>
      </c>
    </row>
    <row r="26" spans="1:11" ht="12.75" customHeight="1" x14ac:dyDescent="0.25">
      <c r="A26" s="574" t="s">
        <v>1211</v>
      </c>
      <c r="B26" s="169"/>
      <c r="C26" s="748">
        <v>11277000</v>
      </c>
      <c r="D26" s="745">
        <v>0</v>
      </c>
      <c r="E26" s="733">
        <v>0</v>
      </c>
      <c r="F26" s="733">
        <f t="shared" si="12"/>
        <v>0</v>
      </c>
      <c r="G26" s="733">
        <f t="shared" si="13"/>
        <v>0</v>
      </c>
      <c r="H26" s="733">
        <f t="shared" si="14"/>
        <v>0</v>
      </c>
      <c r="I26" s="258">
        <f t="shared" si="1"/>
        <v>0</v>
      </c>
      <c r="J26" s="575" t="str">
        <f t="shared" si="2"/>
        <v/>
      </c>
      <c r="K26" s="735">
        <f t="shared" si="15"/>
        <v>0</v>
      </c>
    </row>
    <row r="27" spans="1:11" ht="12.75" customHeight="1" x14ac:dyDescent="0.25">
      <c r="A27" s="517" t="s">
        <v>1225</v>
      </c>
      <c r="B27" s="169"/>
      <c r="C27" s="648">
        <f t="shared" ref="C27:H27" si="16">SUM(C28:C37)</f>
        <v>0</v>
      </c>
      <c r="D27" s="649">
        <f t="shared" si="16"/>
        <v>24661841</v>
      </c>
      <c r="E27" s="408">
        <f t="shared" si="16"/>
        <v>24661841</v>
      </c>
      <c r="F27" s="408">
        <f t="shared" si="16"/>
        <v>2055153.4166666665</v>
      </c>
      <c r="G27" s="408">
        <f t="shared" si="16"/>
        <v>20551534.166666664</v>
      </c>
      <c r="H27" s="408">
        <f t="shared" si="16"/>
        <v>20551534.166666664</v>
      </c>
      <c r="I27" s="258">
        <f t="shared" si="1"/>
        <v>0</v>
      </c>
      <c r="J27" s="575" t="str">
        <f t="shared" si="2"/>
        <v/>
      </c>
      <c r="K27" s="642">
        <f>SUM(K28:K37)</f>
        <v>24661841</v>
      </c>
    </row>
    <row r="28" spans="1:11" ht="12.75" customHeight="1" x14ac:dyDescent="0.25">
      <c r="A28" s="574" t="s">
        <v>1226</v>
      </c>
      <c r="B28" s="169"/>
      <c r="C28" s="1005">
        <v>0</v>
      </c>
      <c r="D28" s="745">
        <v>674621</v>
      </c>
      <c r="E28" s="733">
        <v>674621</v>
      </c>
      <c r="F28" s="733">
        <f t="shared" ref="F28:F37" si="17">E28/12</f>
        <v>56218.416666666664</v>
      </c>
      <c r="G28" s="733">
        <f t="shared" ref="G28:G37" si="18">H28</f>
        <v>562184.16666666663</v>
      </c>
      <c r="H28" s="733">
        <f t="shared" ref="H28:H37" si="19">E28/12*10</f>
        <v>562184.16666666663</v>
      </c>
      <c r="I28" s="258">
        <f t="shared" si="1"/>
        <v>0</v>
      </c>
      <c r="J28" s="575" t="str">
        <f t="shared" si="2"/>
        <v/>
      </c>
      <c r="K28" s="735">
        <f t="shared" ref="K28:K37" si="20">E28</f>
        <v>674621</v>
      </c>
    </row>
    <row r="29" spans="1:11" ht="12.75" customHeight="1" x14ac:dyDescent="0.25">
      <c r="A29" s="574" t="s">
        <v>1227</v>
      </c>
      <c r="B29" s="169"/>
      <c r="C29" s="748">
        <v>0</v>
      </c>
      <c r="D29" s="745">
        <v>1859241</v>
      </c>
      <c r="E29" s="733">
        <v>1859241</v>
      </c>
      <c r="F29" s="733">
        <f t="shared" si="17"/>
        <v>154936.75</v>
      </c>
      <c r="G29" s="733">
        <f t="shared" si="18"/>
        <v>1549367.5</v>
      </c>
      <c r="H29" s="733">
        <f t="shared" si="19"/>
        <v>1549367.5</v>
      </c>
      <c r="I29" s="258">
        <f t="shared" si="1"/>
        <v>0</v>
      </c>
      <c r="J29" s="575" t="str">
        <f t="shared" si="2"/>
        <v/>
      </c>
      <c r="K29" s="735">
        <f t="shared" si="20"/>
        <v>1859241</v>
      </c>
    </row>
    <row r="30" spans="1:11" ht="12.75" customHeight="1" x14ac:dyDescent="0.25">
      <c r="A30" s="574" t="s">
        <v>1228</v>
      </c>
      <c r="B30" s="169"/>
      <c r="C30" s="748">
        <v>0</v>
      </c>
      <c r="D30" s="745">
        <v>4907406</v>
      </c>
      <c r="E30" s="733">
        <v>4907406</v>
      </c>
      <c r="F30" s="733">
        <f t="shared" si="17"/>
        <v>408950.5</v>
      </c>
      <c r="G30" s="733">
        <f t="shared" si="18"/>
        <v>4089505</v>
      </c>
      <c r="H30" s="733">
        <f t="shared" si="19"/>
        <v>4089505</v>
      </c>
      <c r="I30" s="258">
        <f t="shared" si="1"/>
        <v>0</v>
      </c>
      <c r="J30" s="575" t="str">
        <f t="shared" si="2"/>
        <v/>
      </c>
      <c r="K30" s="735">
        <f t="shared" si="20"/>
        <v>4907406</v>
      </c>
    </row>
    <row r="31" spans="1:11" ht="12.75" customHeight="1" x14ac:dyDescent="0.25">
      <c r="A31" s="574" t="s">
        <v>1229</v>
      </c>
      <c r="B31" s="169"/>
      <c r="C31" s="748">
        <v>0</v>
      </c>
      <c r="D31" s="745">
        <v>703671</v>
      </c>
      <c r="E31" s="733">
        <v>703671</v>
      </c>
      <c r="F31" s="733">
        <f t="shared" si="17"/>
        <v>58639.25</v>
      </c>
      <c r="G31" s="733">
        <f t="shared" si="18"/>
        <v>586392.5</v>
      </c>
      <c r="H31" s="733">
        <f t="shared" si="19"/>
        <v>586392.5</v>
      </c>
      <c r="I31" s="258">
        <f t="shared" si="1"/>
        <v>0</v>
      </c>
      <c r="J31" s="575" t="str">
        <f t="shared" si="2"/>
        <v/>
      </c>
      <c r="K31" s="735">
        <f t="shared" si="20"/>
        <v>703671</v>
      </c>
    </row>
    <row r="32" spans="1:11" ht="12.75" customHeight="1" x14ac:dyDescent="0.25">
      <c r="A32" s="574" t="s">
        <v>1230</v>
      </c>
      <c r="B32" s="169"/>
      <c r="C32" s="748">
        <v>0</v>
      </c>
      <c r="D32" s="745">
        <v>839241</v>
      </c>
      <c r="E32" s="733">
        <v>839241</v>
      </c>
      <c r="F32" s="733">
        <f t="shared" si="17"/>
        <v>69936.75</v>
      </c>
      <c r="G32" s="733">
        <f t="shared" si="18"/>
        <v>699367.5</v>
      </c>
      <c r="H32" s="733">
        <f t="shared" si="19"/>
        <v>699367.5</v>
      </c>
      <c r="I32" s="258">
        <f t="shared" si="1"/>
        <v>0</v>
      </c>
      <c r="J32" s="575" t="str">
        <f t="shared" si="2"/>
        <v/>
      </c>
      <c r="K32" s="735">
        <f t="shared" si="20"/>
        <v>839241</v>
      </c>
    </row>
    <row r="33" spans="1:11" ht="12.75" customHeight="1" x14ac:dyDescent="0.25">
      <c r="A33" s="574" t="s">
        <v>1231</v>
      </c>
      <c r="B33" s="169"/>
      <c r="C33" s="748">
        <v>0</v>
      </c>
      <c r="D33" s="745">
        <v>3459178</v>
      </c>
      <c r="E33" s="733">
        <v>3459178</v>
      </c>
      <c r="F33" s="733">
        <f t="shared" si="17"/>
        <v>288264.83333333331</v>
      </c>
      <c r="G33" s="733">
        <f t="shared" si="18"/>
        <v>2882648.333333333</v>
      </c>
      <c r="H33" s="733">
        <f t="shared" si="19"/>
        <v>2882648.333333333</v>
      </c>
      <c r="I33" s="258">
        <f t="shared" si="1"/>
        <v>0</v>
      </c>
      <c r="J33" s="575" t="str">
        <f t="shared" si="2"/>
        <v/>
      </c>
      <c r="K33" s="735">
        <f t="shared" si="20"/>
        <v>3459178</v>
      </c>
    </row>
    <row r="34" spans="1:11" ht="12.75" customHeight="1" x14ac:dyDescent="0.25">
      <c r="A34" s="574" t="s">
        <v>1232</v>
      </c>
      <c r="B34" s="169"/>
      <c r="C34" s="748">
        <v>0</v>
      </c>
      <c r="D34" s="745">
        <v>11765507</v>
      </c>
      <c r="E34" s="733">
        <v>11765507</v>
      </c>
      <c r="F34" s="733">
        <f t="shared" si="17"/>
        <v>980458.91666666663</v>
      </c>
      <c r="G34" s="733">
        <f t="shared" si="18"/>
        <v>9804589.166666666</v>
      </c>
      <c r="H34" s="733">
        <f t="shared" si="19"/>
        <v>9804589.166666666</v>
      </c>
      <c r="I34" s="258">
        <f t="shared" si="1"/>
        <v>0</v>
      </c>
      <c r="J34" s="575" t="str">
        <f t="shared" si="2"/>
        <v/>
      </c>
      <c r="K34" s="735">
        <f t="shared" si="20"/>
        <v>11765507</v>
      </c>
    </row>
    <row r="35" spans="1:11" ht="12.75" customHeight="1" x14ac:dyDescent="0.25">
      <c r="A35" s="574" t="s">
        <v>1233</v>
      </c>
      <c r="B35" s="169"/>
      <c r="C35" s="748">
        <v>0</v>
      </c>
      <c r="D35" s="745">
        <v>444368</v>
      </c>
      <c r="E35" s="733">
        <v>444368</v>
      </c>
      <c r="F35" s="733">
        <f t="shared" si="17"/>
        <v>37030.666666666664</v>
      </c>
      <c r="G35" s="733">
        <f t="shared" si="18"/>
        <v>370306.66666666663</v>
      </c>
      <c r="H35" s="733">
        <f t="shared" si="19"/>
        <v>370306.66666666663</v>
      </c>
      <c r="I35" s="258">
        <f t="shared" si="1"/>
        <v>0</v>
      </c>
      <c r="J35" s="575" t="str">
        <f t="shared" si="2"/>
        <v/>
      </c>
      <c r="K35" s="735">
        <f t="shared" si="20"/>
        <v>444368</v>
      </c>
    </row>
    <row r="36" spans="1:11" ht="12.75" customHeight="1" x14ac:dyDescent="0.25">
      <c r="A36" s="574" t="s">
        <v>1234</v>
      </c>
      <c r="B36" s="169"/>
      <c r="C36" s="748">
        <v>0</v>
      </c>
      <c r="D36" s="745">
        <v>8608</v>
      </c>
      <c r="E36" s="733">
        <v>8608</v>
      </c>
      <c r="F36" s="733">
        <f t="shared" si="17"/>
        <v>717.33333333333337</v>
      </c>
      <c r="G36" s="733">
        <f t="shared" si="18"/>
        <v>7173.3333333333339</v>
      </c>
      <c r="H36" s="733">
        <f t="shared" si="19"/>
        <v>7173.3333333333339</v>
      </c>
      <c r="I36" s="258">
        <f t="shared" si="1"/>
        <v>0</v>
      </c>
      <c r="J36" s="575" t="str">
        <f t="shared" si="2"/>
        <v/>
      </c>
      <c r="K36" s="735">
        <f t="shared" si="20"/>
        <v>8608</v>
      </c>
    </row>
    <row r="37" spans="1:11" ht="12.75" customHeight="1" x14ac:dyDescent="0.25">
      <c r="A37" s="574" t="s">
        <v>1211</v>
      </c>
      <c r="B37" s="169"/>
      <c r="C37" s="748">
        <v>0</v>
      </c>
      <c r="D37" s="745">
        <v>0</v>
      </c>
      <c r="E37" s="733">
        <v>0</v>
      </c>
      <c r="F37" s="733">
        <f t="shared" si="17"/>
        <v>0</v>
      </c>
      <c r="G37" s="733">
        <f t="shared" si="18"/>
        <v>0</v>
      </c>
      <c r="H37" s="733">
        <f t="shared" si="19"/>
        <v>0</v>
      </c>
      <c r="I37" s="258">
        <f t="shared" si="1"/>
        <v>0</v>
      </c>
      <c r="J37" s="575" t="str">
        <f t="shared" si="2"/>
        <v/>
      </c>
      <c r="K37" s="735">
        <f t="shared" si="20"/>
        <v>0</v>
      </c>
    </row>
    <row r="38" spans="1:11" ht="12.75" customHeight="1" x14ac:dyDescent="0.25">
      <c r="A38" s="517" t="s">
        <v>1235</v>
      </c>
      <c r="B38" s="169"/>
      <c r="C38" s="648">
        <f t="shared" ref="C38:H38" si="21">SUM(C39:C44)</f>
        <v>7965000</v>
      </c>
      <c r="D38" s="649">
        <f t="shared" si="21"/>
        <v>7478926</v>
      </c>
      <c r="E38" s="408">
        <f t="shared" si="21"/>
        <v>7478926</v>
      </c>
      <c r="F38" s="408">
        <f t="shared" si="21"/>
        <v>623243.83333333337</v>
      </c>
      <c r="G38" s="408">
        <f t="shared" si="21"/>
        <v>6232438.333333334</v>
      </c>
      <c r="H38" s="408">
        <f t="shared" si="21"/>
        <v>6232438.333333334</v>
      </c>
      <c r="I38" s="258">
        <f t="shared" si="1"/>
        <v>0</v>
      </c>
      <c r="J38" s="575" t="str">
        <f t="shared" si="2"/>
        <v/>
      </c>
      <c r="K38" s="642">
        <f>SUM(K39:K44)</f>
        <v>7478926</v>
      </c>
    </row>
    <row r="39" spans="1:11" ht="12.75" customHeight="1" x14ac:dyDescent="0.25">
      <c r="A39" s="574" t="s">
        <v>1236</v>
      </c>
      <c r="B39" s="169"/>
      <c r="C39" s="1005">
        <v>0</v>
      </c>
      <c r="D39" s="745">
        <v>327089</v>
      </c>
      <c r="E39" s="733">
        <v>327089</v>
      </c>
      <c r="F39" s="733">
        <f t="shared" ref="F39:F44" si="22">E39/12</f>
        <v>27257.416666666668</v>
      </c>
      <c r="G39" s="733">
        <f t="shared" ref="G39:G44" si="23">H39</f>
        <v>272574.16666666669</v>
      </c>
      <c r="H39" s="733">
        <f t="shared" ref="H39:H44" si="24">E39/12*10</f>
        <v>272574.16666666669</v>
      </c>
      <c r="I39" s="258">
        <f t="shared" si="1"/>
        <v>0</v>
      </c>
      <c r="J39" s="575" t="str">
        <f t="shared" si="2"/>
        <v/>
      </c>
      <c r="K39" s="735">
        <f t="shared" ref="K39:K44" si="25">E39</f>
        <v>327089</v>
      </c>
    </row>
    <row r="40" spans="1:11" ht="12.75" customHeight="1" x14ac:dyDescent="0.25">
      <c r="A40" s="574" t="s">
        <v>135</v>
      </c>
      <c r="B40" s="169"/>
      <c r="C40" s="748">
        <v>0</v>
      </c>
      <c r="D40" s="745">
        <v>2420887</v>
      </c>
      <c r="E40" s="733">
        <v>2420887</v>
      </c>
      <c r="F40" s="733">
        <f t="shared" si="22"/>
        <v>201740.58333333334</v>
      </c>
      <c r="G40" s="733">
        <f t="shared" si="23"/>
        <v>2017405.8333333335</v>
      </c>
      <c r="H40" s="733">
        <f t="shared" si="24"/>
        <v>2017405.8333333335</v>
      </c>
      <c r="I40" s="258">
        <f t="shared" si="1"/>
        <v>0</v>
      </c>
      <c r="J40" s="575" t="str">
        <f t="shared" si="2"/>
        <v/>
      </c>
      <c r="K40" s="735">
        <f t="shared" si="25"/>
        <v>2420887</v>
      </c>
    </row>
    <row r="41" spans="1:11" ht="12.75" customHeight="1" x14ac:dyDescent="0.25">
      <c r="A41" s="574" t="s">
        <v>1237</v>
      </c>
      <c r="B41" s="169"/>
      <c r="C41" s="748">
        <v>0</v>
      </c>
      <c r="D41" s="745">
        <v>3491456</v>
      </c>
      <c r="E41" s="733">
        <v>3491456</v>
      </c>
      <c r="F41" s="733">
        <f t="shared" si="22"/>
        <v>290954.66666666669</v>
      </c>
      <c r="G41" s="733">
        <f t="shared" si="23"/>
        <v>2909546.666666667</v>
      </c>
      <c r="H41" s="733">
        <f t="shared" si="24"/>
        <v>2909546.666666667</v>
      </c>
      <c r="I41" s="258">
        <f t="shared" si="1"/>
        <v>0</v>
      </c>
      <c r="J41" s="575" t="str">
        <f t="shared" si="2"/>
        <v/>
      </c>
      <c r="K41" s="735">
        <f t="shared" si="25"/>
        <v>3491456</v>
      </c>
    </row>
    <row r="42" spans="1:11" ht="12.75" customHeight="1" x14ac:dyDescent="0.25">
      <c r="A42" s="574" t="s">
        <v>1238</v>
      </c>
      <c r="B42" s="169"/>
      <c r="C42" s="748">
        <v>0</v>
      </c>
      <c r="D42" s="745">
        <v>1239494</v>
      </c>
      <c r="E42" s="733">
        <v>1239494</v>
      </c>
      <c r="F42" s="733">
        <f t="shared" si="22"/>
        <v>103291.16666666667</v>
      </c>
      <c r="G42" s="733">
        <f t="shared" si="23"/>
        <v>1032911.6666666667</v>
      </c>
      <c r="H42" s="733">
        <f t="shared" si="24"/>
        <v>1032911.6666666667</v>
      </c>
      <c r="I42" s="258">
        <f t="shared" si="1"/>
        <v>0</v>
      </c>
      <c r="J42" s="575" t="str">
        <f t="shared" si="2"/>
        <v/>
      </c>
      <c r="K42" s="735">
        <f t="shared" si="25"/>
        <v>1239494</v>
      </c>
    </row>
    <row r="43" spans="1:11" ht="12.75" customHeight="1" x14ac:dyDescent="0.25">
      <c r="A43" s="574" t="s">
        <v>1239</v>
      </c>
      <c r="B43" s="169"/>
      <c r="C43" s="748">
        <v>0</v>
      </c>
      <c r="D43" s="745">
        <v>0</v>
      </c>
      <c r="E43" s="733">
        <v>0</v>
      </c>
      <c r="F43" s="733">
        <f t="shared" si="22"/>
        <v>0</v>
      </c>
      <c r="G43" s="733">
        <f t="shared" si="23"/>
        <v>0</v>
      </c>
      <c r="H43" s="733">
        <f t="shared" si="24"/>
        <v>0</v>
      </c>
      <c r="I43" s="258">
        <f t="shared" si="1"/>
        <v>0</v>
      </c>
      <c r="J43" s="575" t="str">
        <f t="shared" si="2"/>
        <v/>
      </c>
      <c r="K43" s="735">
        <f t="shared" si="25"/>
        <v>0</v>
      </c>
    </row>
    <row r="44" spans="1:11" ht="12.75" customHeight="1" x14ac:dyDescent="0.25">
      <c r="A44" s="574" t="s">
        <v>1211</v>
      </c>
      <c r="B44" s="169"/>
      <c r="C44" s="748">
        <v>7965000</v>
      </c>
      <c r="D44" s="745">
        <v>0</v>
      </c>
      <c r="E44" s="733">
        <v>0</v>
      </c>
      <c r="F44" s="733">
        <f t="shared" si="22"/>
        <v>0</v>
      </c>
      <c r="G44" s="733">
        <f t="shared" si="23"/>
        <v>0</v>
      </c>
      <c r="H44" s="733">
        <f t="shared" si="24"/>
        <v>0</v>
      </c>
      <c r="I44" s="258">
        <f t="shared" si="1"/>
        <v>0</v>
      </c>
      <c r="J44" s="575" t="str">
        <f t="shared" si="2"/>
        <v/>
      </c>
      <c r="K44" s="735">
        <f t="shared" si="25"/>
        <v>0</v>
      </c>
    </row>
    <row r="45" spans="1:11" ht="12.75" customHeight="1" x14ac:dyDescent="0.25">
      <c r="A45" s="517" t="s">
        <v>1240</v>
      </c>
      <c r="B45" s="169"/>
      <c r="C45" s="648">
        <f t="shared" ref="C45:H45" si="26">SUM(C46:C52)</f>
        <v>38718996</v>
      </c>
      <c r="D45" s="649">
        <f t="shared" si="26"/>
        <v>2300381</v>
      </c>
      <c r="E45" s="408">
        <f t="shared" si="26"/>
        <v>2300381</v>
      </c>
      <c r="F45" s="408">
        <f t="shared" si="26"/>
        <v>191698.41666666666</v>
      </c>
      <c r="G45" s="408">
        <f t="shared" si="26"/>
        <v>1916984.1666666667</v>
      </c>
      <c r="H45" s="408">
        <f t="shared" si="26"/>
        <v>1916984.1666666667</v>
      </c>
      <c r="I45" s="258">
        <f t="shared" si="1"/>
        <v>0</v>
      </c>
      <c r="J45" s="575" t="str">
        <f t="shared" si="2"/>
        <v/>
      </c>
      <c r="K45" s="642">
        <f>SUM(K46:K52)</f>
        <v>2300381</v>
      </c>
    </row>
    <row r="46" spans="1:11" ht="12.75" customHeight="1" x14ac:dyDescent="0.25">
      <c r="A46" s="574" t="s">
        <v>1241</v>
      </c>
      <c r="B46" s="169"/>
      <c r="C46" s="748">
        <v>0</v>
      </c>
      <c r="D46" s="745">
        <v>2249811</v>
      </c>
      <c r="E46" s="733">
        <v>2249811</v>
      </c>
      <c r="F46" s="733">
        <f t="shared" ref="F46:F52" si="27">E46/12</f>
        <v>187484.25</v>
      </c>
      <c r="G46" s="733">
        <f t="shared" ref="G46:G48" si="28">H46</f>
        <v>1874842.5</v>
      </c>
      <c r="H46" s="733">
        <f t="shared" ref="H46:H52" si="29">E46/12*10</f>
        <v>1874842.5</v>
      </c>
      <c r="I46" s="258">
        <f t="shared" si="1"/>
        <v>0</v>
      </c>
      <c r="J46" s="575" t="str">
        <f t="shared" si="2"/>
        <v/>
      </c>
      <c r="K46" s="735">
        <f t="shared" ref="K46:K52" si="30">E46</f>
        <v>2249811</v>
      </c>
    </row>
    <row r="47" spans="1:11" ht="12.75" customHeight="1" x14ac:dyDescent="0.25">
      <c r="A47" s="574" t="s">
        <v>1242</v>
      </c>
      <c r="B47" s="169"/>
      <c r="C47" s="748">
        <v>38718996</v>
      </c>
      <c r="D47" s="745">
        <v>50570</v>
      </c>
      <c r="E47" s="733">
        <v>50570</v>
      </c>
      <c r="F47" s="733">
        <f t="shared" si="27"/>
        <v>4214.166666666667</v>
      </c>
      <c r="G47" s="733">
        <f t="shared" si="28"/>
        <v>42141.666666666672</v>
      </c>
      <c r="H47" s="733">
        <f t="shared" si="29"/>
        <v>42141.666666666672</v>
      </c>
      <c r="I47" s="258">
        <f t="shared" si="1"/>
        <v>0</v>
      </c>
      <c r="J47" s="575" t="str">
        <f t="shared" si="2"/>
        <v/>
      </c>
      <c r="K47" s="735">
        <f t="shared" si="30"/>
        <v>50570</v>
      </c>
    </row>
    <row r="48" spans="1:11" ht="12.75" customHeight="1" x14ac:dyDescent="0.25">
      <c r="A48" s="574" t="s">
        <v>1243</v>
      </c>
      <c r="B48" s="169"/>
      <c r="C48" s="748">
        <v>0</v>
      </c>
      <c r="D48" s="745">
        <v>0</v>
      </c>
      <c r="E48" s="733">
        <v>0</v>
      </c>
      <c r="F48" s="733">
        <f t="shared" si="27"/>
        <v>0</v>
      </c>
      <c r="G48" s="733">
        <f t="shared" si="28"/>
        <v>0</v>
      </c>
      <c r="H48" s="1001">
        <f t="shared" si="29"/>
        <v>0</v>
      </c>
      <c r="I48" s="258">
        <f t="shared" si="1"/>
        <v>0</v>
      </c>
      <c r="J48" s="575" t="str">
        <f t="shared" si="2"/>
        <v/>
      </c>
      <c r="K48" s="735">
        <f t="shared" si="30"/>
        <v>0</v>
      </c>
    </row>
    <row r="49" spans="1:11" ht="12.75" customHeight="1" x14ac:dyDescent="0.25">
      <c r="A49" s="574" t="s">
        <v>1244</v>
      </c>
      <c r="B49" s="169"/>
      <c r="C49" s="1005">
        <v>0</v>
      </c>
      <c r="D49" s="745">
        <v>0</v>
      </c>
      <c r="E49" s="733">
        <v>0</v>
      </c>
      <c r="F49" s="733">
        <f t="shared" si="27"/>
        <v>0</v>
      </c>
      <c r="G49" s="733">
        <f t="shared" ref="G49:G52" si="31">H49</f>
        <v>0</v>
      </c>
      <c r="H49" s="1001">
        <f t="shared" si="29"/>
        <v>0</v>
      </c>
      <c r="I49" s="258">
        <f t="shared" si="1"/>
        <v>0</v>
      </c>
      <c r="J49" s="575" t="str">
        <f t="shared" si="2"/>
        <v/>
      </c>
      <c r="K49" s="735">
        <f t="shared" si="30"/>
        <v>0</v>
      </c>
    </row>
    <row r="50" spans="1:11" ht="12.75" customHeight="1" x14ac:dyDescent="0.25">
      <c r="A50" s="574" t="s">
        <v>1245</v>
      </c>
      <c r="B50" s="169"/>
      <c r="C50" s="748">
        <v>0</v>
      </c>
      <c r="D50" s="745">
        <v>0</v>
      </c>
      <c r="E50" s="733">
        <v>0</v>
      </c>
      <c r="F50" s="733">
        <f t="shared" si="27"/>
        <v>0</v>
      </c>
      <c r="G50" s="733">
        <f t="shared" si="31"/>
        <v>0</v>
      </c>
      <c r="H50" s="1001">
        <f t="shared" si="29"/>
        <v>0</v>
      </c>
      <c r="I50" s="258">
        <f t="shared" si="1"/>
        <v>0</v>
      </c>
      <c r="J50" s="575" t="str">
        <f t="shared" si="2"/>
        <v/>
      </c>
      <c r="K50" s="735">
        <f t="shared" si="30"/>
        <v>0</v>
      </c>
    </row>
    <row r="51" spans="1:11" ht="12.75" customHeight="1" x14ac:dyDescent="0.25">
      <c r="A51" s="574" t="s">
        <v>1246</v>
      </c>
      <c r="B51" s="169"/>
      <c r="C51" s="748">
        <v>0</v>
      </c>
      <c r="D51" s="745">
        <v>0</v>
      </c>
      <c r="E51" s="733">
        <v>0</v>
      </c>
      <c r="F51" s="733">
        <f t="shared" si="27"/>
        <v>0</v>
      </c>
      <c r="G51" s="733">
        <f t="shared" si="31"/>
        <v>0</v>
      </c>
      <c r="H51" s="1001">
        <f t="shared" si="29"/>
        <v>0</v>
      </c>
      <c r="I51" s="258">
        <f t="shared" si="1"/>
        <v>0</v>
      </c>
      <c r="J51" s="575" t="str">
        <f t="shared" si="2"/>
        <v/>
      </c>
      <c r="K51" s="735">
        <f t="shared" si="30"/>
        <v>0</v>
      </c>
    </row>
    <row r="52" spans="1:11" ht="12.75" customHeight="1" x14ac:dyDescent="0.25">
      <c r="A52" s="574" t="s">
        <v>1211</v>
      </c>
      <c r="B52" s="169"/>
      <c r="C52" s="748">
        <v>0</v>
      </c>
      <c r="D52" s="745">
        <v>0</v>
      </c>
      <c r="E52" s="733">
        <v>0</v>
      </c>
      <c r="F52" s="733">
        <f t="shared" si="27"/>
        <v>0</v>
      </c>
      <c r="G52" s="733">
        <f t="shared" si="31"/>
        <v>0</v>
      </c>
      <c r="H52" s="733">
        <f t="shared" si="29"/>
        <v>0</v>
      </c>
      <c r="I52" s="258">
        <f t="shared" si="1"/>
        <v>0</v>
      </c>
      <c r="J52" s="575" t="str">
        <f t="shared" si="2"/>
        <v/>
      </c>
      <c r="K52" s="735">
        <f t="shared" si="30"/>
        <v>0</v>
      </c>
    </row>
    <row r="53" spans="1:11" ht="12.75" customHeight="1" x14ac:dyDescent="0.25">
      <c r="A53" s="518" t="s">
        <v>1247</v>
      </c>
      <c r="B53" s="169"/>
      <c r="C53" s="648">
        <f t="shared" ref="C53:H53" si="32">SUM(C54:C62)</f>
        <v>0</v>
      </c>
      <c r="D53" s="649">
        <f t="shared" si="32"/>
        <v>0</v>
      </c>
      <c r="E53" s="408">
        <f t="shared" si="32"/>
        <v>0</v>
      </c>
      <c r="F53" s="408">
        <f t="shared" si="32"/>
        <v>0</v>
      </c>
      <c r="G53" s="408">
        <f t="shared" si="32"/>
        <v>0</v>
      </c>
      <c r="H53" s="408">
        <f t="shared" si="32"/>
        <v>0</v>
      </c>
      <c r="I53" s="258">
        <f t="shared" si="1"/>
        <v>0</v>
      </c>
      <c r="J53" s="575" t="str">
        <f t="shared" si="2"/>
        <v/>
      </c>
      <c r="K53" s="642">
        <f>SUM(K54:K62)</f>
        <v>0</v>
      </c>
    </row>
    <row r="54" spans="1:11" ht="12.75" customHeight="1" x14ac:dyDescent="0.25">
      <c r="A54" s="574" t="s">
        <v>1248</v>
      </c>
      <c r="B54" s="169"/>
      <c r="C54" s="748">
        <v>0</v>
      </c>
      <c r="D54" s="745">
        <v>0</v>
      </c>
      <c r="E54" s="733">
        <v>0</v>
      </c>
      <c r="F54" s="733">
        <f t="shared" ref="F54:F62" si="33">E54/12</f>
        <v>0</v>
      </c>
      <c r="G54" s="733">
        <f t="shared" ref="G54:G62" si="34">H54</f>
        <v>0</v>
      </c>
      <c r="H54" s="733">
        <f t="shared" ref="H54:H62" si="35">E54/12*7</f>
        <v>0</v>
      </c>
      <c r="I54" s="258">
        <f t="shared" si="1"/>
        <v>0</v>
      </c>
      <c r="J54" s="575" t="str">
        <f t="shared" si="2"/>
        <v/>
      </c>
      <c r="K54" s="735">
        <f t="shared" ref="K54:K62" si="36">E54</f>
        <v>0</v>
      </c>
    </row>
    <row r="55" spans="1:11" ht="12.75" customHeight="1" x14ac:dyDescent="0.25">
      <c r="A55" s="574" t="s">
        <v>1249</v>
      </c>
      <c r="B55" s="169"/>
      <c r="C55" s="748">
        <v>0</v>
      </c>
      <c r="D55" s="745">
        <v>0</v>
      </c>
      <c r="E55" s="733">
        <v>0</v>
      </c>
      <c r="F55" s="733">
        <f t="shared" si="33"/>
        <v>0</v>
      </c>
      <c r="G55" s="733">
        <f t="shared" si="34"/>
        <v>0</v>
      </c>
      <c r="H55" s="733">
        <f t="shared" si="35"/>
        <v>0</v>
      </c>
      <c r="I55" s="258">
        <f t="shared" si="1"/>
        <v>0</v>
      </c>
      <c r="J55" s="575" t="str">
        <f t="shared" si="2"/>
        <v/>
      </c>
      <c r="K55" s="735">
        <f t="shared" si="36"/>
        <v>0</v>
      </c>
    </row>
    <row r="56" spans="1:11" ht="12.75" customHeight="1" x14ac:dyDescent="0.25">
      <c r="A56" s="574" t="s">
        <v>1250</v>
      </c>
      <c r="B56" s="169"/>
      <c r="C56" s="748">
        <v>0</v>
      </c>
      <c r="D56" s="745">
        <v>0</v>
      </c>
      <c r="E56" s="733">
        <v>0</v>
      </c>
      <c r="F56" s="733">
        <f t="shared" si="33"/>
        <v>0</v>
      </c>
      <c r="G56" s="733">
        <f t="shared" si="34"/>
        <v>0</v>
      </c>
      <c r="H56" s="733">
        <f t="shared" si="35"/>
        <v>0</v>
      </c>
      <c r="I56" s="258">
        <f t="shared" si="1"/>
        <v>0</v>
      </c>
      <c r="J56" s="575" t="str">
        <f t="shared" si="2"/>
        <v/>
      </c>
      <c r="K56" s="735">
        <f t="shared" si="36"/>
        <v>0</v>
      </c>
    </row>
    <row r="57" spans="1:11" ht="12.75" customHeight="1" x14ac:dyDescent="0.25">
      <c r="A57" s="574" t="s">
        <v>1213</v>
      </c>
      <c r="B57" s="169"/>
      <c r="C57" s="748">
        <v>0</v>
      </c>
      <c r="D57" s="745">
        <v>0</v>
      </c>
      <c r="E57" s="733">
        <v>0</v>
      </c>
      <c r="F57" s="733">
        <f t="shared" si="33"/>
        <v>0</v>
      </c>
      <c r="G57" s="733">
        <f t="shared" si="34"/>
        <v>0</v>
      </c>
      <c r="H57" s="733">
        <f t="shared" si="35"/>
        <v>0</v>
      </c>
      <c r="I57" s="258">
        <f t="shared" si="1"/>
        <v>0</v>
      </c>
      <c r="J57" s="575" t="str">
        <f t="shared" si="2"/>
        <v/>
      </c>
      <c r="K57" s="735">
        <f t="shared" si="36"/>
        <v>0</v>
      </c>
    </row>
    <row r="58" spans="1:11" ht="12.75" customHeight="1" x14ac:dyDescent="0.25">
      <c r="A58" s="574" t="s">
        <v>1214</v>
      </c>
      <c r="B58" s="169"/>
      <c r="C58" s="748">
        <v>0</v>
      </c>
      <c r="D58" s="745">
        <v>0</v>
      </c>
      <c r="E58" s="733">
        <v>0</v>
      </c>
      <c r="F58" s="733">
        <f t="shared" si="33"/>
        <v>0</v>
      </c>
      <c r="G58" s="733">
        <f t="shared" si="34"/>
        <v>0</v>
      </c>
      <c r="H58" s="733">
        <f t="shared" si="35"/>
        <v>0</v>
      </c>
      <c r="I58" s="258">
        <f t="shared" si="1"/>
        <v>0</v>
      </c>
      <c r="J58" s="575" t="str">
        <f t="shared" si="2"/>
        <v/>
      </c>
      <c r="K58" s="735">
        <f t="shared" si="36"/>
        <v>0</v>
      </c>
    </row>
    <row r="59" spans="1:11" ht="12.75" customHeight="1" x14ac:dyDescent="0.25">
      <c r="A59" s="574" t="s">
        <v>1215</v>
      </c>
      <c r="B59" s="169"/>
      <c r="C59" s="748">
        <v>0</v>
      </c>
      <c r="D59" s="745">
        <v>0</v>
      </c>
      <c r="E59" s="733">
        <v>0</v>
      </c>
      <c r="F59" s="733">
        <f t="shared" si="33"/>
        <v>0</v>
      </c>
      <c r="G59" s="733">
        <f t="shared" si="34"/>
        <v>0</v>
      </c>
      <c r="H59" s="733">
        <f t="shared" si="35"/>
        <v>0</v>
      </c>
      <c r="I59" s="258">
        <f t="shared" si="1"/>
        <v>0</v>
      </c>
      <c r="J59" s="575" t="str">
        <f t="shared" si="2"/>
        <v/>
      </c>
      <c r="K59" s="735">
        <f t="shared" si="36"/>
        <v>0</v>
      </c>
    </row>
    <row r="60" spans="1:11" ht="12.75" customHeight="1" x14ac:dyDescent="0.25">
      <c r="A60" s="574" t="s">
        <v>1221</v>
      </c>
      <c r="B60" s="169"/>
      <c r="C60" s="748">
        <v>0</v>
      </c>
      <c r="D60" s="745">
        <v>0</v>
      </c>
      <c r="E60" s="733">
        <v>0</v>
      </c>
      <c r="F60" s="733">
        <f t="shared" si="33"/>
        <v>0</v>
      </c>
      <c r="G60" s="733">
        <f t="shared" si="34"/>
        <v>0</v>
      </c>
      <c r="H60" s="733">
        <f t="shared" si="35"/>
        <v>0</v>
      </c>
      <c r="I60" s="258">
        <f t="shared" si="1"/>
        <v>0</v>
      </c>
      <c r="J60" s="575" t="str">
        <f t="shared" si="2"/>
        <v/>
      </c>
      <c r="K60" s="735">
        <f t="shared" si="36"/>
        <v>0</v>
      </c>
    </row>
    <row r="61" spans="1:11" ht="12.75" customHeight="1" x14ac:dyDescent="0.25">
      <c r="A61" s="574" t="s">
        <v>1224</v>
      </c>
      <c r="B61" s="169"/>
      <c r="C61" s="748">
        <v>0</v>
      </c>
      <c r="D61" s="745">
        <v>0</v>
      </c>
      <c r="E61" s="733">
        <v>0</v>
      </c>
      <c r="F61" s="733">
        <f t="shared" si="33"/>
        <v>0</v>
      </c>
      <c r="G61" s="733">
        <f t="shared" si="34"/>
        <v>0</v>
      </c>
      <c r="H61" s="733">
        <f t="shared" si="35"/>
        <v>0</v>
      </c>
      <c r="I61" s="258">
        <f t="shared" si="1"/>
        <v>0</v>
      </c>
      <c r="J61" s="575" t="str">
        <f t="shared" si="2"/>
        <v/>
      </c>
      <c r="K61" s="735">
        <f t="shared" si="36"/>
        <v>0</v>
      </c>
    </row>
    <row r="62" spans="1:11" ht="12.75" customHeight="1" x14ac:dyDescent="0.25">
      <c r="A62" s="574" t="s">
        <v>1211</v>
      </c>
      <c r="B62" s="169"/>
      <c r="C62" s="748">
        <v>0</v>
      </c>
      <c r="D62" s="745">
        <v>0</v>
      </c>
      <c r="E62" s="733">
        <v>0</v>
      </c>
      <c r="F62" s="733">
        <f t="shared" si="33"/>
        <v>0</v>
      </c>
      <c r="G62" s="733">
        <f t="shared" si="34"/>
        <v>0</v>
      </c>
      <c r="H62" s="733">
        <f t="shared" si="35"/>
        <v>0</v>
      </c>
      <c r="I62" s="258">
        <f t="shared" si="1"/>
        <v>0</v>
      </c>
      <c r="J62" s="575" t="str">
        <f t="shared" si="2"/>
        <v/>
      </c>
      <c r="K62" s="735">
        <f t="shared" si="36"/>
        <v>0</v>
      </c>
    </row>
    <row r="63" spans="1:11" ht="12.75" customHeight="1" x14ac:dyDescent="0.25">
      <c r="A63" s="517" t="s">
        <v>1251</v>
      </c>
      <c r="B63" s="169"/>
      <c r="C63" s="648">
        <f t="shared" ref="C63:H63" si="37">SUM(C64:C68)</f>
        <v>0</v>
      </c>
      <c r="D63" s="649">
        <f t="shared" si="37"/>
        <v>0</v>
      </c>
      <c r="E63" s="408">
        <f t="shared" si="37"/>
        <v>0</v>
      </c>
      <c r="F63" s="408">
        <f t="shared" si="37"/>
        <v>0</v>
      </c>
      <c r="G63" s="408">
        <f t="shared" si="37"/>
        <v>0</v>
      </c>
      <c r="H63" s="408">
        <f t="shared" si="37"/>
        <v>0</v>
      </c>
      <c r="I63" s="258">
        <f t="shared" si="1"/>
        <v>0</v>
      </c>
      <c r="J63" s="575" t="str">
        <f t="shared" si="2"/>
        <v/>
      </c>
      <c r="K63" s="642">
        <f>SUM(K64:K68)</f>
        <v>0</v>
      </c>
    </row>
    <row r="64" spans="1:11" ht="12.75" customHeight="1" x14ac:dyDescent="0.25">
      <c r="A64" s="574" t="s">
        <v>1252</v>
      </c>
      <c r="B64" s="169"/>
      <c r="C64" s="748">
        <v>0</v>
      </c>
      <c r="D64" s="745">
        <v>0</v>
      </c>
      <c r="E64" s="733">
        <v>0</v>
      </c>
      <c r="F64" s="733">
        <f>E64/12</f>
        <v>0</v>
      </c>
      <c r="G64" s="733">
        <f>H64</f>
        <v>0</v>
      </c>
      <c r="H64" s="733">
        <f t="shared" ref="H64:H68" si="38">E64/12*7</f>
        <v>0</v>
      </c>
      <c r="I64" s="258">
        <f t="shared" si="1"/>
        <v>0</v>
      </c>
      <c r="J64" s="575" t="str">
        <f t="shared" si="2"/>
        <v/>
      </c>
      <c r="K64" s="735">
        <f>E64</f>
        <v>0</v>
      </c>
    </row>
    <row r="65" spans="1:11" ht="12.75" customHeight="1" x14ac:dyDescent="0.25">
      <c r="A65" s="574" t="s">
        <v>1253</v>
      </c>
      <c r="B65" s="169"/>
      <c r="C65" s="748">
        <v>0</v>
      </c>
      <c r="D65" s="745">
        <v>0</v>
      </c>
      <c r="E65" s="733">
        <v>0</v>
      </c>
      <c r="F65" s="733">
        <f>E65/12</f>
        <v>0</v>
      </c>
      <c r="G65" s="733">
        <f>H65</f>
        <v>0</v>
      </c>
      <c r="H65" s="733">
        <f t="shared" si="38"/>
        <v>0</v>
      </c>
      <c r="I65" s="258">
        <f t="shared" si="1"/>
        <v>0</v>
      </c>
      <c r="J65" s="575" t="str">
        <f t="shared" si="2"/>
        <v/>
      </c>
      <c r="K65" s="735">
        <f>E65</f>
        <v>0</v>
      </c>
    </row>
    <row r="66" spans="1:11" ht="12.75" customHeight="1" x14ac:dyDescent="0.25">
      <c r="A66" s="574" t="s">
        <v>1254</v>
      </c>
      <c r="B66" s="169"/>
      <c r="C66" s="748">
        <v>0</v>
      </c>
      <c r="D66" s="745">
        <v>0</v>
      </c>
      <c r="E66" s="733">
        <v>0</v>
      </c>
      <c r="F66" s="733">
        <f>E66/12</f>
        <v>0</v>
      </c>
      <c r="G66" s="733">
        <f>H66</f>
        <v>0</v>
      </c>
      <c r="H66" s="733">
        <f t="shared" si="38"/>
        <v>0</v>
      </c>
      <c r="I66" s="258">
        <f t="shared" si="1"/>
        <v>0</v>
      </c>
      <c r="J66" s="575" t="str">
        <f t="shared" si="2"/>
        <v/>
      </c>
      <c r="K66" s="735">
        <f>E66</f>
        <v>0</v>
      </c>
    </row>
    <row r="67" spans="1:11" ht="12.75" customHeight="1" x14ac:dyDescent="0.25">
      <c r="A67" s="574" t="s">
        <v>1255</v>
      </c>
      <c r="B67" s="169"/>
      <c r="C67" s="748"/>
      <c r="D67" s="745"/>
      <c r="E67" s="733"/>
      <c r="F67" s="733">
        <f>E67/12</f>
        <v>0</v>
      </c>
      <c r="G67" s="733">
        <f>H67</f>
        <v>0</v>
      </c>
      <c r="H67" s="733">
        <f t="shared" si="38"/>
        <v>0</v>
      </c>
      <c r="I67" s="258">
        <f t="shared" si="1"/>
        <v>0</v>
      </c>
      <c r="J67" s="575" t="str">
        <f t="shared" si="2"/>
        <v/>
      </c>
      <c r="K67" s="735">
        <f>E67</f>
        <v>0</v>
      </c>
    </row>
    <row r="68" spans="1:11" ht="12.75" customHeight="1" x14ac:dyDescent="0.25">
      <c r="A68" s="574" t="s">
        <v>1211</v>
      </c>
      <c r="B68" s="169"/>
      <c r="C68" s="748"/>
      <c r="D68" s="745"/>
      <c r="E68" s="733"/>
      <c r="F68" s="733">
        <f>E68/12</f>
        <v>0</v>
      </c>
      <c r="G68" s="733">
        <f>H68</f>
        <v>0</v>
      </c>
      <c r="H68" s="733">
        <f t="shared" si="38"/>
        <v>0</v>
      </c>
      <c r="I68" s="258">
        <f t="shared" si="1"/>
        <v>0</v>
      </c>
      <c r="J68" s="575" t="str">
        <f t="shared" si="2"/>
        <v/>
      </c>
      <c r="K68" s="735">
        <f>E68</f>
        <v>0</v>
      </c>
    </row>
    <row r="69" spans="1:11" ht="12.75" customHeight="1" x14ac:dyDescent="0.25">
      <c r="A69" s="518" t="s">
        <v>1256</v>
      </c>
      <c r="B69" s="169"/>
      <c r="C69" s="648">
        <f t="shared" ref="C69:H69" si="39">SUM(C70:C73)</f>
        <v>752004</v>
      </c>
      <c r="D69" s="649">
        <f t="shared" si="39"/>
        <v>705825</v>
      </c>
      <c r="E69" s="408">
        <f t="shared" si="39"/>
        <v>705825</v>
      </c>
      <c r="F69" s="408">
        <f t="shared" si="39"/>
        <v>58818.75</v>
      </c>
      <c r="G69" s="408">
        <f t="shared" si="39"/>
        <v>588187.5</v>
      </c>
      <c r="H69" s="408">
        <f t="shared" si="39"/>
        <v>588187.5</v>
      </c>
      <c r="I69" s="258">
        <f t="shared" si="1"/>
        <v>0</v>
      </c>
      <c r="J69" s="575" t="str">
        <f t="shared" si="2"/>
        <v/>
      </c>
      <c r="K69" s="642">
        <f>SUM(K70:K73)</f>
        <v>705825</v>
      </c>
    </row>
    <row r="70" spans="1:11" ht="12.75" customHeight="1" x14ac:dyDescent="0.25">
      <c r="A70" s="574" t="s">
        <v>1257</v>
      </c>
      <c r="B70" s="169"/>
      <c r="C70" s="748">
        <v>0</v>
      </c>
      <c r="D70" s="745">
        <v>211963</v>
      </c>
      <c r="E70" s="733">
        <v>211963</v>
      </c>
      <c r="F70" s="733">
        <f t="shared" ref="F70:F73" si="40">E70/12</f>
        <v>17663.583333333332</v>
      </c>
      <c r="G70" s="733">
        <f>H70</f>
        <v>176635.83333333331</v>
      </c>
      <c r="H70" s="733">
        <f t="shared" ref="H70:H73" si="41">E70/12*10</f>
        <v>176635.83333333331</v>
      </c>
      <c r="I70" s="258">
        <f t="shared" si="1"/>
        <v>0</v>
      </c>
      <c r="J70" s="575" t="str">
        <f t="shared" si="2"/>
        <v/>
      </c>
      <c r="K70" s="735">
        <f>E70</f>
        <v>211963</v>
      </c>
    </row>
    <row r="71" spans="1:11" ht="12.75" customHeight="1" x14ac:dyDescent="0.25">
      <c r="A71" s="574" t="s">
        <v>1258</v>
      </c>
      <c r="B71" s="169"/>
      <c r="C71" s="748">
        <v>0</v>
      </c>
      <c r="D71" s="745">
        <v>459431</v>
      </c>
      <c r="E71" s="733">
        <v>459431</v>
      </c>
      <c r="F71" s="733">
        <f t="shared" si="40"/>
        <v>38285.916666666664</v>
      </c>
      <c r="G71" s="733">
        <f t="shared" ref="G71:G73" si="42">H71</f>
        <v>382859.16666666663</v>
      </c>
      <c r="H71" s="733">
        <f t="shared" si="41"/>
        <v>382859.16666666663</v>
      </c>
      <c r="I71" s="258">
        <f t="shared" si="1"/>
        <v>0</v>
      </c>
      <c r="J71" s="575" t="str">
        <f t="shared" si="2"/>
        <v/>
      </c>
      <c r="K71" s="735">
        <f>E71</f>
        <v>459431</v>
      </c>
    </row>
    <row r="72" spans="1:11" ht="12.75" customHeight="1" x14ac:dyDescent="0.25">
      <c r="A72" s="574" t="s">
        <v>1259</v>
      </c>
      <c r="B72" s="169"/>
      <c r="C72" s="748">
        <v>0</v>
      </c>
      <c r="D72" s="745">
        <v>10760</v>
      </c>
      <c r="E72" s="733">
        <v>10760</v>
      </c>
      <c r="F72" s="733">
        <f t="shared" si="40"/>
        <v>896.66666666666663</v>
      </c>
      <c r="G72" s="733">
        <f t="shared" si="42"/>
        <v>8966.6666666666661</v>
      </c>
      <c r="H72" s="733">
        <f t="shared" si="41"/>
        <v>8966.6666666666661</v>
      </c>
      <c r="I72" s="258">
        <f t="shared" si="1"/>
        <v>0</v>
      </c>
      <c r="J72" s="575" t="str">
        <f t="shared" si="2"/>
        <v/>
      </c>
      <c r="K72" s="735">
        <f>E72</f>
        <v>10760</v>
      </c>
    </row>
    <row r="73" spans="1:11" ht="12.75" customHeight="1" x14ac:dyDescent="0.25">
      <c r="A73" s="574" t="s">
        <v>1211</v>
      </c>
      <c r="B73" s="169"/>
      <c r="C73" s="748">
        <v>752004</v>
      </c>
      <c r="D73" s="745">
        <v>23671</v>
      </c>
      <c r="E73" s="733">
        <v>23671</v>
      </c>
      <c r="F73" s="733">
        <f t="shared" si="40"/>
        <v>1972.5833333333333</v>
      </c>
      <c r="G73" s="733">
        <f t="shared" si="42"/>
        <v>19725.833333333332</v>
      </c>
      <c r="H73" s="733">
        <f t="shared" si="41"/>
        <v>19725.833333333332</v>
      </c>
      <c r="I73" s="258">
        <f t="shared" si="1"/>
        <v>0</v>
      </c>
      <c r="J73" s="575" t="str">
        <f t="shared" si="2"/>
        <v/>
      </c>
      <c r="K73" s="735">
        <f>E73</f>
        <v>23671</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43">+C76+C99</f>
        <v>3582012</v>
      </c>
      <c r="D75" s="577">
        <f t="shared" si="43"/>
        <v>53506970</v>
      </c>
      <c r="E75" s="578">
        <f t="shared" si="43"/>
        <v>53506970</v>
      </c>
      <c r="F75" s="578">
        <f t="shared" si="43"/>
        <v>4458914.166666666</v>
      </c>
      <c r="G75" s="578">
        <f t="shared" si="43"/>
        <v>44589141.666666664</v>
      </c>
      <c r="H75" s="578">
        <f t="shared" si="43"/>
        <v>44589141.666666664</v>
      </c>
      <c r="I75" s="578">
        <f t="shared" si="1"/>
        <v>0</v>
      </c>
      <c r="J75" s="579" t="str">
        <f t="shared" si="2"/>
        <v/>
      </c>
      <c r="K75" s="580">
        <f>+K76+K99</f>
        <v>53506970</v>
      </c>
    </row>
    <row r="76" spans="1:11" ht="12.75" customHeight="1" x14ac:dyDescent="0.25">
      <c r="A76" s="518" t="s">
        <v>1260</v>
      </c>
      <c r="B76" s="169"/>
      <c r="C76" s="648">
        <f t="shared" ref="C76:H76" si="44">SUM(C77:C98)</f>
        <v>3582012</v>
      </c>
      <c r="D76" s="649">
        <f t="shared" si="44"/>
        <v>26855702</v>
      </c>
      <c r="E76" s="408">
        <f t="shared" si="44"/>
        <v>26855702</v>
      </c>
      <c r="F76" s="408">
        <f t="shared" si="44"/>
        <v>2237975.1666666665</v>
      </c>
      <c r="G76" s="408">
        <f t="shared" si="44"/>
        <v>22379751.666666664</v>
      </c>
      <c r="H76" s="408">
        <f t="shared" si="44"/>
        <v>22379751.666666664</v>
      </c>
      <c r="I76" s="258">
        <f t="shared" si="1"/>
        <v>0</v>
      </c>
      <c r="J76" s="575" t="str">
        <f t="shared" si="2"/>
        <v/>
      </c>
      <c r="K76" s="642">
        <f>SUM(K77:K98)</f>
        <v>26855702</v>
      </c>
    </row>
    <row r="77" spans="1:11" ht="12.75" customHeight="1" x14ac:dyDescent="0.25">
      <c r="A77" s="574" t="s">
        <v>1261</v>
      </c>
      <c r="B77" s="169"/>
      <c r="C77" s="748">
        <v>0</v>
      </c>
      <c r="D77" s="753">
        <v>792975</v>
      </c>
      <c r="E77" s="733">
        <v>792975</v>
      </c>
      <c r="F77" s="733">
        <f t="shared" ref="F77:F98" si="45">E77/12</f>
        <v>66081.25</v>
      </c>
      <c r="G77" s="733">
        <f t="shared" ref="G77:G98" si="46">H77</f>
        <v>660812.5</v>
      </c>
      <c r="H77" s="733">
        <f t="shared" ref="H77:H98" si="47">E77/12*10</f>
        <v>660812.5</v>
      </c>
      <c r="I77" s="44">
        <f t="shared" si="1"/>
        <v>0</v>
      </c>
      <c r="J77" s="124" t="str">
        <f t="shared" si="2"/>
        <v/>
      </c>
      <c r="K77" s="735">
        <f t="shared" ref="K77:K98" si="48">E77</f>
        <v>792975</v>
      </c>
    </row>
    <row r="78" spans="1:11" ht="12.75" customHeight="1" x14ac:dyDescent="0.25">
      <c r="A78" s="574" t="s">
        <v>1262</v>
      </c>
      <c r="B78" s="169"/>
      <c r="C78" s="748">
        <v>845004</v>
      </c>
      <c r="D78" s="753">
        <v>26899</v>
      </c>
      <c r="E78" s="733">
        <v>26899</v>
      </c>
      <c r="F78" s="733">
        <f t="shared" si="45"/>
        <v>2241.5833333333335</v>
      </c>
      <c r="G78" s="733">
        <f t="shared" si="46"/>
        <v>22415.833333333336</v>
      </c>
      <c r="H78" s="733">
        <f t="shared" si="47"/>
        <v>22415.833333333336</v>
      </c>
      <c r="I78" s="44">
        <f t="shared" si="1"/>
        <v>0</v>
      </c>
      <c r="J78" s="124" t="str">
        <f t="shared" si="2"/>
        <v/>
      </c>
      <c r="K78" s="735">
        <f t="shared" si="48"/>
        <v>26899</v>
      </c>
    </row>
    <row r="79" spans="1:11" ht="12.75" customHeight="1" x14ac:dyDescent="0.25">
      <c r="A79" s="574" t="s">
        <v>1263</v>
      </c>
      <c r="B79" s="169"/>
      <c r="C79" s="748">
        <v>0</v>
      </c>
      <c r="D79" s="753">
        <v>0</v>
      </c>
      <c r="E79" s="733">
        <v>0</v>
      </c>
      <c r="F79" s="733">
        <f t="shared" si="45"/>
        <v>0</v>
      </c>
      <c r="G79" s="733">
        <f t="shared" si="46"/>
        <v>0</v>
      </c>
      <c r="H79" s="733">
        <f t="shared" si="47"/>
        <v>0</v>
      </c>
      <c r="I79" s="44">
        <f t="shared" si="1"/>
        <v>0</v>
      </c>
      <c r="J79" s="124" t="str">
        <f t="shared" si="2"/>
        <v/>
      </c>
      <c r="K79" s="735">
        <f t="shared" si="48"/>
        <v>0</v>
      </c>
    </row>
    <row r="80" spans="1:11" ht="12.75" customHeight="1" x14ac:dyDescent="0.25">
      <c r="A80" s="574" t="s">
        <v>1264</v>
      </c>
      <c r="B80" s="169"/>
      <c r="C80" s="748">
        <v>65004</v>
      </c>
      <c r="D80" s="753">
        <v>60254</v>
      </c>
      <c r="E80" s="733">
        <v>60254</v>
      </c>
      <c r="F80" s="733">
        <f t="shared" si="45"/>
        <v>5021.166666666667</v>
      </c>
      <c r="G80" s="733">
        <f t="shared" si="46"/>
        <v>50211.666666666672</v>
      </c>
      <c r="H80" s="733">
        <f t="shared" si="47"/>
        <v>50211.666666666672</v>
      </c>
      <c r="I80" s="44">
        <f t="shared" si="1"/>
        <v>0</v>
      </c>
      <c r="J80" s="124" t="str">
        <f t="shared" si="2"/>
        <v/>
      </c>
      <c r="K80" s="735">
        <f t="shared" si="48"/>
        <v>60254</v>
      </c>
    </row>
    <row r="81" spans="1:11" ht="12.75" customHeight="1" x14ac:dyDescent="0.25">
      <c r="A81" s="574" t="s">
        <v>1265</v>
      </c>
      <c r="B81" s="169"/>
      <c r="C81" s="748">
        <v>794004</v>
      </c>
      <c r="D81" s="753">
        <v>745633</v>
      </c>
      <c r="E81" s="733">
        <v>745633</v>
      </c>
      <c r="F81" s="733">
        <f t="shared" si="45"/>
        <v>62136.083333333336</v>
      </c>
      <c r="G81" s="733">
        <f t="shared" si="46"/>
        <v>621360.83333333337</v>
      </c>
      <c r="H81" s="733">
        <f t="shared" si="47"/>
        <v>621360.83333333337</v>
      </c>
      <c r="I81" s="44">
        <f t="shared" si="1"/>
        <v>0</v>
      </c>
      <c r="J81" s="124" t="str">
        <f t="shared" si="2"/>
        <v/>
      </c>
      <c r="K81" s="735">
        <f t="shared" si="48"/>
        <v>745633</v>
      </c>
    </row>
    <row r="82" spans="1:11" ht="12.75" customHeight="1" x14ac:dyDescent="0.25">
      <c r="A82" s="574" t="s">
        <v>1266</v>
      </c>
      <c r="B82" s="169"/>
      <c r="C82" s="748">
        <v>138000</v>
      </c>
      <c r="D82" s="753">
        <v>130190</v>
      </c>
      <c r="E82" s="733">
        <v>130190</v>
      </c>
      <c r="F82" s="733">
        <f t="shared" si="45"/>
        <v>10849.166666666666</v>
      </c>
      <c r="G82" s="733">
        <f t="shared" si="46"/>
        <v>108491.66666666666</v>
      </c>
      <c r="H82" s="733">
        <f t="shared" si="47"/>
        <v>108491.66666666666</v>
      </c>
      <c r="I82" s="44">
        <f t="shared" si="1"/>
        <v>0</v>
      </c>
      <c r="J82" s="124" t="str">
        <f t="shared" si="2"/>
        <v/>
      </c>
      <c r="K82" s="735">
        <f t="shared" si="48"/>
        <v>130190</v>
      </c>
    </row>
    <row r="83" spans="1:11" ht="12.75" customHeight="1" x14ac:dyDescent="0.25">
      <c r="A83" s="574" t="s">
        <v>1267</v>
      </c>
      <c r="B83" s="169"/>
      <c r="C83" s="748">
        <v>0</v>
      </c>
      <c r="D83" s="753">
        <v>1882912</v>
      </c>
      <c r="E83" s="733">
        <v>1882912</v>
      </c>
      <c r="F83" s="733">
        <f t="shared" si="45"/>
        <v>156909.33333333334</v>
      </c>
      <c r="G83" s="733">
        <f t="shared" si="46"/>
        <v>1569093.3333333335</v>
      </c>
      <c r="H83" s="733">
        <f t="shared" si="47"/>
        <v>1569093.3333333335</v>
      </c>
      <c r="I83" s="44">
        <f t="shared" si="1"/>
        <v>0</v>
      </c>
      <c r="J83" s="124" t="str">
        <f t="shared" si="2"/>
        <v/>
      </c>
      <c r="K83" s="735">
        <f t="shared" si="48"/>
        <v>1882912</v>
      </c>
    </row>
    <row r="84" spans="1:11" ht="12.75" customHeight="1" x14ac:dyDescent="0.25">
      <c r="A84" s="574" t="s">
        <v>1268</v>
      </c>
      <c r="B84" s="169"/>
      <c r="C84" s="1005">
        <v>0</v>
      </c>
      <c r="D84" s="753">
        <v>0</v>
      </c>
      <c r="E84" s="733">
        <v>0</v>
      </c>
      <c r="F84" s="733">
        <f t="shared" si="45"/>
        <v>0</v>
      </c>
      <c r="G84" s="733">
        <f t="shared" si="46"/>
        <v>0</v>
      </c>
      <c r="H84" s="1001">
        <f t="shared" si="47"/>
        <v>0</v>
      </c>
      <c r="I84" s="44">
        <f t="shared" si="1"/>
        <v>0</v>
      </c>
      <c r="J84" s="124" t="str">
        <f t="shared" si="2"/>
        <v/>
      </c>
      <c r="K84" s="735">
        <f t="shared" si="48"/>
        <v>0</v>
      </c>
    </row>
    <row r="85" spans="1:11" ht="12.75" customHeight="1" x14ac:dyDescent="0.25">
      <c r="A85" s="574" t="s">
        <v>1144</v>
      </c>
      <c r="B85" s="169"/>
      <c r="C85" s="748">
        <v>0</v>
      </c>
      <c r="D85" s="753">
        <v>0</v>
      </c>
      <c r="E85" s="733">
        <v>0</v>
      </c>
      <c r="F85" s="733">
        <f t="shared" si="45"/>
        <v>0</v>
      </c>
      <c r="G85" s="733">
        <f t="shared" si="46"/>
        <v>0</v>
      </c>
      <c r="H85" s="1001">
        <f t="shared" si="47"/>
        <v>0</v>
      </c>
      <c r="I85" s="44">
        <f t="shared" si="1"/>
        <v>0</v>
      </c>
      <c r="J85" s="124" t="str">
        <f t="shared" si="2"/>
        <v/>
      </c>
      <c r="K85" s="735">
        <f t="shared" si="48"/>
        <v>0</v>
      </c>
    </row>
    <row r="86" spans="1:11" ht="12.75" customHeight="1" x14ac:dyDescent="0.25">
      <c r="A86" s="574" t="s">
        <v>555</v>
      </c>
      <c r="B86" s="169"/>
      <c r="C86" s="748">
        <v>0</v>
      </c>
      <c r="D86" s="753">
        <v>0</v>
      </c>
      <c r="E86" s="733">
        <v>0</v>
      </c>
      <c r="F86" s="733">
        <f t="shared" si="45"/>
        <v>0</v>
      </c>
      <c r="G86" s="733">
        <f t="shared" si="46"/>
        <v>0</v>
      </c>
      <c r="H86" s="1001">
        <f t="shared" si="47"/>
        <v>0</v>
      </c>
      <c r="I86" s="44">
        <f t="shared" si="1"/>
        <v>0</v>
      </c>
      <c r="J86" s="124" t="str">
        <f t="shared" si="2"/>
        <v/>
      </c>
      <c r="K86" s="735">
        <f t="shared" si="48"/>
        <v>0</v>
      </c>
    </row>
    <row r="87" spans="1:11" ht="12.75" customHeight="1" x14ac:dyDescent="0.25">
      <c r="A87" s="574" t="s">
        <v>1269</v>
      </c>
      <c r="B87" s="169"/>
      <c r="C87" s="748">
        <v>281004</v>
      </c>
      <c r="D87" s="753">
        <v>263608</v>
      </c>
      <c r="E87" s="733">
        <v>263608</v>
      </c>
      <c r="F87" s="733">
        <f t="shared" si="45"/>
        <v>21967.333333333332</v>
      </c>
      <c r="G87" s="733">
        <f t="shared" si="46"/>
        <v>219673.33333333331</v>
      </c>
      <c r="H87" s="733">
        <f t="shared" si="47"/>
        <v>219673.33333333331</v>
      </c>
      <c r="I87" s="44">
        <f t="shared" si="1"/>
        <v>0</v>
      </c>
      <c r="J87" s="124" t="str">
        <f t="shared" si="2"/>
        <v/>
      </c>
      <c r="K87" s="735">
        <f t="shared" si="48"/>
        <v>263608</v>
      </c>
    </row>
    <row r="88" spans="1:11" ht="12.75" customHeight="1" x14ac:dyDescent="0.25">
      <c r="A88" s="574" t="s">
        <v>166</v>
      </c>
      <c r="B88" s="169"/>
      <c r="C88" s="748">
        <v>0</v>
      </c>
      <c r="D88" s="753">
        <v>0</v>
      </c>
      <c r="E88" s="733">
        <v>0</v>
      </c>
      <c r="F88" s="733">
        <f t="shared" si="45"/>
        <v>0</v>
      </c>
      <c r="G88" s="733">
        <f t="shared" si="46"/>
        <v>0</v>
      </c>
      <c r="H88" s="733">
        <f t="shared" si="47"/>
        <v>0</v>
      </c>
      <c r="I88" s="44">
        <f t="shared" si="1"/>
        <v>0</v>
      </c>
      <c r="J88" s="124" t="str">
        <f t="shared" si="2"/>
        <v/>
      </c>
      <c r="K88" s="735">
        <f t="shared" si="48"/>
        <v>0</v>
      </c>
    </row>
    <row r="89" spans="1:11" ht="12.75" customHeight="1" x14ac:dyDescent="0.25">
      <c r="A89" s="574" t="s">
        <v>1270</v>
      </c>
      <c r="B89" s="169"/>
      <c r="C89" s="748">
        <v>0</v>
      </c>
      <c r="D89" s="753">
        <v>0</v>
      </c>
      <c r="E89" s="733">
        <v>0</v>
      </c>
      <c r="F89" s="733">
        <f t="shared" si="45"/>
        <v>0</v>
      </c>
      <c r="G89" s="733">
        <f t="shared" si="46"/>
        <v>0</v>
      </c>
      <c r="H89" s="733">
        <f t="shared" si="47"/>
        <v>0</v>
      </c>
      <c r="I89" s="44">
        <f t="shared" si="1"/>
        <v>0</v>
      </c>
      <c r="J89" s="124" t="str">
        <f t="shared" si="2"/>
        <v/>
      </c>
      <c r="K89" s="735">
        <f t="shared" si="48"/>
        <v>0</v>
      </c>
    </row>
    <row r="90" spans="1:11" ht="12.75" customHeight="1" x14ac:dyDescent="0.25">
      <c r="A90" s="574" t="s">
        <v>1271</v>
      </c>
      <c r="B90" s="169"/>
      <c r="C90" s="748">
        <v>1431000</v>
      </c>
      <c r="D90" s="753">
        <v>1343861</v>
      </c>
      <c r="E90" s="733">
        <v>1343861</v>
      </c>
      <c r="F90" s="733">
        <f t="shared" si="45"/>
        <v>111988.41666666667</v>
      </c>
      <c r="G90" s="733">
        <f t="shared" si="46"/>
        <v>1119884.1666666667</v>
      </c>
      <c r="H90" s="733">
        <f t="shared" si="47"/>
        <v>1119884.1666666667</v>
      </c>
      <c r="I90" s="44">
        <f t="shared" si="1"/>
        <v>0</v>
      </c>
      <c r="J90" s="124" t="str">
        <f t="shared" si="2"/>
        <v/>
      </c>
      <c r="K90" s="735">
        <f t="shared" si="48"/>
        <v>1343861</v>
      </c>
    </row>
    <row r="91" spans="1:11" ht="12.75" customHeight="1" x14ac:dyDescent="0.25">
      <c r="A91" s="574" t="s">
        <v>1272</v>
      </c>
      <c r="B91" s="169"/>
      <c r="C91" s="748">
        <v>0</v>
      </c>
      <c r="D91" s="753">
        <v>0</v>
      </c>
      <c r="E91" s="733">
        <v>0</v>
      </c>
      <c r="F91" s="733">
        <f t="shared" si="45"/>
        <v>0</v>
      </c>
      <c r="G91" s="733">
        <f t="shared" si="46"/>
        <v>0</v>
      </c>
      <c r="H91" s="733">
        <f t="shared" si="47"/>
        <v>0</v>
      </c>
      <c r="I91" s="44">
        <f t="shared" si="1"/>
        <v>0</v>
      </c>
      <c r="J91" s="124" t="str">
        <f t="shared" si="2"/>
        <v/>
      </c>
      <c r="K91" s="735">
        <f t="shared" si="48"/>
        <v>0</v>
      </c>
    </row>
    <row r="92" spans="1:11" ht="12.75" customHeight="1" x14ac:dyDescent="0.25">
      <c r="A92" s="574" t="s">
        <v>1273</v>
      </c>
      <c r="B92" s="169"/>
      <c r="C92" s="748">
        <v>27996</v>
      </c>
      <c r="D92" s="753">
        <v>0</v>
      </c>
      <c r="E92" s="733">
        <v>0</v>
      </c>
      <c r="F92" s="733">
        <f t="shared" si="45"/>
        <v>0</v>
      </c>
      <c r="G92" s="733">
        <f t="shared" si="46"/>
        <v>0</v>
      </c>
      <c r="H92" s="733">
        <f t="shared" si="47"/>
        <v>0</v>
      </c>
      <c r="I92" s="44">
        <f t="shared" si="1"/>
        <v>0</v>
      </c>
      <c r="J92" s="124" t="str">
        <f t="shared" si="2"/>
        <v/>
      </c>
      <c r="K92" s="735">
        <f t="shared" si="48"/>
        <v>0</v>
      </c>
    </row>
    <row r="93" spans="1:11" ht="12.75" customHeight="1" x14ac:dyDescent="0.25">
      <c r="A93" s="574" t="s">
        <v>441</v>
      </c>
      <c r="B93" s="169"/>
      <c r="C93" s="748">
        <v>0</v>
      </c>
      <c r="D93" s="753">
        <v>264684</v>
      </c>
      <c r="E93" s="733">
        <v>264684</v>
      </c>
      <c r="F93" s="733">
        <f t="shared" si="45"/>
        <v>22057</v>
      </c>
      <c r="G93" s="733">
        <f t="shared" si="46"/>
        <v>220570</v>
      </c>
      <c r="H93" s="733">
        <f t="shared" si="47"/>
        <v>220570</v>
      </c>
      <c r="I93" s="44">
        <f t="shared" si="1"/>
        <v>0</v>
      </c>
      <c r="J93" s="124" t="str">
        <f t="shared" si="2"/>
        <v/>
      </c>
      <c r="K93" s="735">
        <f t="shared" si="48"/>
        <v>264684</v>
      </c>
    </row>
    <row r="94" spans="1:11" ht="12.75" customHeight="1" x14ac:dyDescent="0.25">
      <c r="A94" s="574" t="s">
        <v>1274</v>
      </c>
      <c r="B94" s="169"/>
      <c r="C94" s="748">
        <v>0</v>
      </c>
      <c r="D94" s="753">
        <v>0</v>
      </c>
      <c r="E94" s="733">
        <v>0</v>
      </c>
      <c r="F94" s="733">
        <f t="shared" si="45"/>
        <v>0</v>
      </c>
      <c r="G94" s="733">
        <f t="shared" si="46"/>
        <v>0</v>
      </c>
      <c r="H94" s="733">
        <f t="shared" si="47"/>
        <v>0</v>
      </c>
      <c r="I94" s="44">
        <f t="shared" si="1"/>
        <v>0</v>
      </c>
      <c r="J94" s="124" t="str">
        <f t="shared" si="2"/>
        <v/>
      </c>
      <c r="K94" s="735">
        <f t="shared" si="48"/>
        <v>0</v>
      </c>
    </row>
    <row r="95" spans="1:11" ht="12.75" customHeight="1" x14ac:dyDescent="0.25">
      <c r="A95" s="574" t="s">
        <v>440</v>
      </c>
      <c r="B95" s="169"/>
      <c r="C95" s="748">
        <v>0</v>
      </c>
      <c r="D95" s="753">
        <v>0</v>
      </c>
      <c r="E95" s="733">
        <v>0</v>
      </c>
      <c r="F95" s="733">
        <f t="shared" si="45"/>
        <v>0</v>
      </c>
      <c r="G95" s="733">
        <f t="shared" si="46"/>
        <v>0</v>
      </c>
      <c r="H95" s="733">
        <f t="shared" si="47"/>
        <v>0</v>
      </c>
      <c r="I95" s="44">
        <f t="shared" si="1"/>
        <v>0</v>
      </c>
      <c r="J95" s="124" t="str">
        <f t="shared" si="2"/>
        <v/>
      </c>
      <c r="K95" s="735">
        <f t="shared" si="48"/>
        <v>0</v>
      </c>
    </row>
    <row r="96" spans="1:11" ht="12.75" customHeight="1" x14ac:dyDescent="0.25">
      <c r="A96" s="574" t="s">
        <v>1275</v>
      </c>
      <c r="B96" s="169"/>
      <c r="C96" s="748">
        <v>0</v>
      </c>
      <c r="D96" s="753">
        <v>883355</v>
      </c>
      <c r="E96" s="733">
        <v>883355</v>
      </c>
      <c r="F96" s="733">
        <f t="shared" si="45"/>
        <v>73612.916666666672</v>
      </c>
      <c r="G96" s="733">
        <f t="shared" si="46"/>
        <v>736129.16666666674</v>
      </c>
      <c r="H96" s="733">
        <f t="shared" si="47"/>
        <v>736129.16666666674</v>
      </c>
      <c r="I96" s="44">
        <f t="shared" si="1"/>
        <v>0</v>
      </c>
      <c r="J96" s="124" t="str">
        <f t="shared" si="2"/>
        <v/>
      </c>
      <c r="K96" s="735">
        <f t="shared" si="48"/>
        <v>883355</v>
      </c>
    </row>
    <row r="97" spans="1:11" ht="12.75" customHeight="1" x14ac:dyDescent="0.25">
      <c r="A97" s="574" t="s">
        <v>1276</v>
      </c>
      <c r="B97" s="169"/>
      <c r="C97" s="748">
        <v>0</v>
      </c>
      <c r="D97" s="753">
        <v>1035064</v>
      </c>
      <c r="E97" s="733">
        <v>1035064</v>
      </c>
      <c r="F97" s="733">
        <f t="shared" si="45"/>
        <v>86255.333333333328</v>
      </c>
      <c r="G97" s="733">
        <f t="shared" si="46"/>
        <v>862553.33333333326</v>
      </c>
      <c r="H97" s="733">
        <f t="shared" si="47"/>
        <v>862553.33333333326</v>
      </c>
      <c r="I97" s="44">
        <f t="shared" si="1"/>
        <v>0</v>
      </c>
      <c r="J97" s="124" t="str">
        <f t="shared" si="2"/>
        <v/>
      </c>
      <c r="K97" s="735">
        <f t="shared" si="48"/>
        <v>1035064</v>
      </c>
    </row>
    <row r="98" spans="1:11" ht="12.75" customHeight="1" x14ac:dyDescent="0.25">
      <c r="A98" s="574" t="s">
        <v>1211</v>
      </c>
      <c r="B98" s="169"/>
      <c r="C98" s="748">
        <v>0</v>
      </c>
      <c r="D98" s="753">
        <v>19426267</v>
      </c>
      <c r="E98" s="733">
        <v>19426267</v>
      </c>
      <c r="F98" s="733">
        <f t="shared" si="45"/>
        <v>1618855.5833333333</v>
      </c>
      <c r="G98" s="733">
        <f t="shared" si="46"/>
        <v>16188555.833333332</v>
      </c>
      <c r="H98" s="733">
        <f t="shared" si="47"/>
        <v>16188555.833333332</v>
      </c>
      <c r="I98" s="44">
        <f t="shared" si="1"/>
        <v>0</v>
      </c>
      <c r="J98" s="124" t="str">
        <f t="shared" si="2"/>
        <v/>
      </c>
      <c r="K98" s="735">
        <f t="shared" si="48"/>
        <v>19426267</v>
      </c>
    </row>
    <row r="99" spans="1:11" ht="12.75" customHeight="1" x14ac:dyDescent="0.25">
      <c r="A99" s="518" t="s">
        <v>1277</v>
      </c>
      <c r="B99" s="169"/>
      <c r="C99" s="648">
        <f t="shared" ref="C99:H99" si="49">SUM(C100:C102)</f>
        <v>0</v>
      </c>
      <c r="D99" s="649">
        <f t="shared" si="49"/>
        <v>26651268</v>
      </c>
      <c r="E99" s="408">
        <f t="shared" si="49"/>
        <v>26651268</v>
      </c>
      <c r="F99" s="408">
        <f t="shared" si="49"/>
        <v>2220939</v>
      </c>
      <c r="G99" s="408">
        <f t="shared" si="49"/>
        <v>22209390</v>
      </c>
      <c r="H99" s="408">
        <f t="shared" si="49"/>
        <v>22209390</v>
      </c>
      <c r="I99" s="258">
        <f t="shared" si="1"/>
        <v>0</v>
      </c>
      <c r="J99" s="575" t="str">
        <f t="shared" si="2"/>
        <v/>
      </c>
      <c r="K99" s="642">
        <f>SUM(K100:K102)</f>
        <v>26651268</v>
      </c>
    </row>
    <row r="100" spans="1:11" ht="12.75" customHeight="1" x14ac:dyDescent="0.25">
      <c r="A100" s="574" t="s">
        <v>1278</v>
      </c>
      <c r="B100" s="169"/>
      <c r="C100" s="748">
        <v>0</v>
      </c>
      <c r="D100" s="753">
        <v>1688165</v>
      </c>
      <c r="E100" s="733">
        <v>1688165</v>
      </c>
      <c r="F100" s="733">
        <f t="shared" ref="F100:F102" si="50">E100/12</f>
        <v>140680.41666666666</v>
      </c>
      <c r="G100" s="733">
        <f t="shared" ref="G100:G101" si="51">H100</f>
        <v>1406804.1666666665</v>
      </c>
      <c r="H100" s="733">
        <f t="shared" ref="H100:H102" si="52">E100/12*10</f>
        <v>1406804.1666666665</v>
      </c>
      <c r="I100" s="44">
        <f t="shared" si="1"/>
        <v>0</v>
      </c>
      <c r="J100" s="124" t="str">
        <f t="shared" si="2"/>
        <v/>
      </c>
      <c r="K100" s="735">
        <f>E100</f>
        <v>1688165</v>
      </c>
    </row>
    <row r="101" spans="1:11" ht="12.75" customHeight="1" x14ac:dyDescent="0.25">
      <c r="A101" s="574" t="s">
        <v>1279</v>
      </c>
      <c r="B101" s="169"/>
      <c r="C101" s="748">
        <v>0</v>
      </c>
      <c r="D101" s="753">
        <v>24963103</v>
      </c>
      <c r="E101" s="733">
        <v>24963103</v>
      </c>
      <c r="F101" s="733">
        <f t="shared" si="50"/>
        <v>2080258.5833333333</v>
      </c>
      <c r="G101" s="733">
        <f t="shared" si="51"/>
        <v>20802585.833333332</v>
      </c>
      <c r="H101" s="733">
        <f t="shared" si="52"/>
        <v>20802585.833333332</v>
      </c>
      <c r="I101" s="44">
        <f>H101-G101</f>
        <v>0</v>
      </c>
      <c r="J101" s="124" t="str">
        <f>IF(I101=0,"",I101/H101)</f>
        <v/>
      </c>
      <c r="K101" s="735">
        <f>E101</f>
        <v>24963103</v>
      </c>
    </row>
    <row r="102" spans="1:11" ht="12.75" customHeight="1" x14ac:dyDescent="0.25">
      <c r="A102" s="574" t="s">
        <v>1211</v>
      </c>
      <c r="B102" s="169"/>
      <c r="C102" s="748">
        <v>0</v>
      </c>
      <c r="D102" s="753">
        <v>0</v>
      </c>
      <c r="E102" s="733">
        <v>0</v>
      </c>
      <c r="F102" s="733">
        <f t="shared" si="50"/>
        <v>0</v>
      </c>
      <c r="G102" s="733">
        <f>H102</f>
        <v>0</v>
      </c>
      <c r="H102" s="733">
        <f t="shared" si="52"/>
        <v>0</v>
      </c>
      <c r="I102" s="44">
        <f t="shared" si="1"/>
        <v>0</v>
      </c>
      <c r="J102" s="124" t="str">
        <f t="shared" si="2"/>
        <v/>
      </c>
      <c r="K102" s="735">
        <f>E102</f>
        <v>0</v>
      </c>
    </row>
    <row r="103" spans="1:11" ht="12.75" customHeight="1" x14ac:dyDescent="0.25">
      <c r="A103" s="549" t="s">
        <v>672</v>
      </c>
      <c r="B103" s="169"/>
      <c r="C103" s="249">
        <f t="shared" ref="C103:H103" si="53">SUM(C104:C108)</f>
        <v>2004996</v>
      </c>
      <c r="D103" s="264">
        <f t="shared" si="53"/>
        <v>0</v>
      </c>
      <c r="E103" s="99">
        <f t="shared" si="53"/>
        <v>0</v>
      </c>
      <c r="F103" s="99">
        <f t="shared" si="53"/>
        <v>0</v>
      </c>
      <c r="G103" s="99">
        <f t="shared" si="53"/>
        <v>0</v>
      </c>
      <c r="H103" s="99">
        <f t="shared" si="53"/>
        <v>0</v>
      </c>
      <c r="I103" s="99">
        <f t="shared" si="1"/>
        <v>0</v>
      </c>
      <c r="J103" s="324" t="str">
        <f t="shared" si="2"/>
        <v/>
      </c>
      <c r="K103" s="195">
        <f>SUM(K104:K108)</f>
        <v>0</v>
      </c>
    </row>
    <row r="104" spans="1:11" ht="12.75" customHeight="1" x14ac:dyDescent="0.25">
      <c r="A104" s="518" t="s">
        <v>1281</v>
      </c>
      <c r="B104" s="169"/>
      <c r="C104" s="786"/>
      <c r="D104" s="753">
        <v>0</v>
      </c>
      <c r="E104" s="733"/>
      <c r="F104" s="733">
        <f>E104/12</f>
        <v>0</v>
      </c>
      <c r="G104" s="733">
        <f>H104</f>
        <v>0</v>
      </c>
      <c r="H104" s="733">
        <f t="shared" ref="H104:H108" si="54">E104/12*7</f>
        <v>0</v>
      </c>
      <c r="I104" s="44">
        <f t="shared" si="1"/>
        <v>0</v>
      </c>
      <c r="J104" s="124" t="str">
        <f t="shared" si="2"/>
        <v/>
      </c>
      <c r="K104" s="735"/>
    </row>
    <row r="105" spans="1:11" ht="12.75" customHeight="1" x14ac:dyDescent="0.25">
      <c r="A105" s="517" t="s">
        <v>1282</v>
      </c>
      <c r="B105" s="169"/>
      <c r="C105" s="786"/>
      <c r="D105" s="753">
        <v>0</v>
      </c>
      <c r="E105" s="733"/>
      <c r="F105" s="733">
        <f>E105/12</f>
        <v>0</v>
      </c>
      <c r="G105" s="733">
        <f>H105</f>
        <v>0</v>
      </c>
      <c r="H105" s="733">
        <f t="shared" si="54"/>
        <v>0</v>
      </c>
      <c r="I105" s="44">
        <f t="shared" si="1"/>
        <v>0</v>
      </c>
      <c r="J105" s="124" t="str">
        <f t="shared" si="2"/>
        <v/>
      </c>
      <c r="K105" s="735"/>
    </row>
    <row r="106" spans="1:11" ht="12.75" customHeight="1" x14ac:dyDescent="0.25">
      <c r="A106" s="518" t="s">
        <v>1283</v>
      </c>
      <c r="B106" s="169"/>
      <c r="C106" s="786">
        <v>2004996</v>
      </c>
      <c r="D106" s="753">
        <v>0</v>
      </c>
      <c r="E106" s="733"/>
      <c r="F106" s="733">
        <f>E106/12</f>
        <v>0</v>
      </c>
      <c r="G106" s="733">
        <f>H106</f>
        <v>0</v>
      </c>
      <c r="H106" s="733">
        <f t="shared" si="54"/>
        <v>0</v>
      </c>
      <c r="I106" s="44">
        <f t="shared" si="1"/>
        <v>0</v>
      </c>
      <c r="J106" s="124" t="str">
        <f t="shared" si="2"/>
        <v/>
      </c>
      <c r="K106" s="735"/>
    </row>
    <row r="107" spans="1:11" ht="12.75" customHeight="1" x14ac:dyDescent="0.25">
      <c r="A107" s="518" t="s">
        <v>1284</v>
      </c>
      <c r="B107" s="169"/>
      <c r="C107" s="786"/>
      <c r="D107" s="753">
        <v>0</v>
      </c>
      <c r="E107" s="733"/>
      <c r="F107" s="733">
        <f>E107/12</f>
        <v>0</v>
      </c>
      <c r="G107" s="733">
        <f>H107</f>
        <v>0</v>
      </c>
      <c r="H107" s="733">
        <f t="shared" si="54"/>
        <v>0</v>
      </c>
      <c r="I107" s="44">
        <f t="shared" si="1"/>
        <v>0</v>
      </c>
      <c r="J107" s="124" t="str">
        <f t="shared" si="2"/>
        <v/>
      </c>
      <c r="K107" s="735"/>
    </row>
    <row r="108" spans="1:11" ht="12.75" customHeight="1" x14ac:dyDescent="0.25">
      <c r="A108" s="517" t="s">
        <v>1285</v>
      </c>
      <c r="B108" s="169"/>
      <c r="C108" s="786"/>
      <c r="D108" s="753">
        <v>0</v>
      </c>
      <c r="E108" s="733"/>
      <c r="F108" s="733">
        <f>E108/12</f>
        <v>0</v>
      </c>
      <c r="G108" s="733">
        <f>H108</f>
        <v>0</v>
      </c>
      <c r="H108" s="733">
        <f t="shared" si="54"/>
        <v>0</v>
      </c>
      <c r="I108" s="44">
        <f t="shared" si="1"/>
        <v>0</v>
      </c>
      <c r="J108" s="124" t="str">
        <f t="shared" si="2"/>
        <v/>
      </c>
      <c r="K108" s="735"/>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55">+C111+C114</f>
        <v>0</v>
      </c>
      <c r="D110" s="577">
        <f t="shared" si="55"/>
        <v>0</v>
      </c>
      <c r="E110" s="578">
        <f t="shared" si="55"/>
        <v>0</v>
      </c>
      <c r="F110" s="578">
        <f t="shared" si="55"/>
        <v>0</v>
      </c>
      <c r="G110" s="578">
        <f t="shared" si="55"/>
        <v>0</v>
      </c>
      <c r="H110" s="578">
        <f t="shared" si="55"/>
        <v>0</v>
      </c>
      <c r="I110" s="99">
        <f t="shared" si="1"/>
        <v>0</v>
      </c>
      <c r="J110" s="324" t="str">
        <f t="shared" si="2"/>
        <v/>
      </c>
      <c r="K110" s="580">
        <f>+K111+K114</f>
        <v>0</v>
      </c>
    </row>
    <row r="111" spans="1:11" ht="12.75" customHeight="1" x14ac:dyDescent="0.25">
      <c r="A111" s="518" t="s">
        <v>1286</v>
      </c>
      <c r="B111" s="169"/>
      <c r="C111" s="648">
        <f t="shared" ref="C111:H111" si="56">SUM(C112:C113)</f>
        <v>0</v>
      </c>
      <c r="D111" s="649">
        <f t="shared" si="56"/>
        <v>0</v>
      </c>
      <c r="E111" s="408">
        <f t="shared" si="56"/>
        <v>0</v>
      </c>
      <c r="F111" s="408">
        <f t="shared" si="56"/>
        <v>0</v>
      </c>
      <c r="G111" s="408">
        <f t="shared" si="56"/>
        <v>0</v>
      </c>
      <c r="H111" s="408">
        <f t="shared" si="56"/>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 t="shared" ref="H112:H113" si="57">E112/12*7</f>
        <v>0</v>
      </c>
      <c r="I112" s="44">
        <f t="shared" si="1"/>
        <v>0</v>
      </c>
      <c r="J112" s="124" t="str">
        <f t="shared" si="2"/>
        <v/>
      </c>
      <c r="K112" s="735">
        <v>0</v>
      </c>
    </row>
    <row r="113" spans="1:11" ht="12.75" customHeight="1" x14ac:dyDescent="0.25">
      <c r="A113" s="574" t="s">
        <v>1288</v>
      </c>
      <c r="B113" s="169"/>
      <c r="C113" s="748">
        <v>0</v>
      </c>
      <c r="D113" s="753">
        <v>0</v>
      </c>
      <c r="E113" s="733">
        <v>0</v>
      </c>
      <c r="F113" s="733">
        <v>0</v>
      </c>
      <c r="G113" s="733">
        <v>0</v>
      </c>
      <c r="H113" s="733">
        <f t="shared" si="57"/>
        <v>0</v>
      </c>
      <c r="I113" s="44">
        <f t="shared" si="1"/>
        <v>0</v>
      </c>
      <c r="J113" s="124" t="str">
        <f t="shared" si="2"/>
        <v/>
      </c>
      <c r="K113" s="735">
        <v>0</v>
      </c>
    </row>
    <row r="114" spans="1:11" ht="12.75" customHeight="1" x14ac:dyDescent="0.25">
      <c r="A114" s="518" t="s">
        <v>1289</v>
      </c>
      <c r="B114" s="169"/>
      <c r="C114" s="648">
        <f t="shared" ref="C114:H114" si="58">SUM(C115:C116)</f>
        <v>0</v>
      </c>
      <c r="D114" s="649">
        <f t="shared" si="58"/>
        <v>0</v>
      </c>
      <c r="E114" s="408">
        <f t="shared" si="58"/>
        <v>0</v>
      </c>
      <c r="F114" s="408">
        <f t="shared" si="58"/>
        <v>0</v>
      </c>
      <c r="G114" s="408">
        <f t="shared" si="58"/>
        <v>0</v>
      </c>
      <c r="H114" s="408">
        <f t="shared" si="58"/>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59">E115/12*7</f>
        <v>0</v>
      </c>
      <c r="I115" s="44">
        <f t="shared" si="1"/>
        <v>0</v>
      </c>
      <c r="J115" s="124" t="str">
        <f t="shared" si="2"/>
        <v/>
      </c>
      <c r="K115" s="735">
        <v>0</v>
      </c>
    </row>
    <row r="116" spans="1:11" ht="12.75" customHeight="1" x14ac:dyDescent="0.25">
      <c r="A116" s="574" t="s">
        <v>1288</v>
      </c>
      <c r="B116" s="169"/>
      <c r="C116" s="748">
        <v>0</v>
      </c>
      <c r="D116" s="753">
        <v>0</v>
      </c>
      <c r="E116" s="733">
        <v>0</v>
      </c>
      <c r="F116" s="733">
        <v>0</v>
      </c>
      <c r="G116" s="733">
        <v>0</v>
      </c>
      <c r="H116" s="733">
        <f t="shared" si="59"/>
        <v>0</v>
      </c>
      <c r="I116" s="44">
        <f>H116-G116</f>
        <v>0</v>
      </c>
      <c r="J116" s="124" t="str">
        <f>IF(I116=0,"",I116/H116)</f>
        <v/>
      </c>
      <c r="K116" s="735">
        <v>0</v>
      </c>
    </row>
    <row r="117" spans="1:11" ht="12.75" customHeight="1" x14ac:dyDescent="0.25">
      <c r="A117" s="940" t="s">
        <v>674</v>
      </c>
      <c r="B117" s="169"/>
      <c r="C117" s="576">
        <f t="shared" ref="C117:H117" si="60">+C118+C130</f>
        <v>35062992</v>
      </c>
      <c r="D117" s="577">
        <f t="shared" si="60"/>
        <v>31131525</v>
      </c>
      <c r="E117" s="578">
        <f t="shared" si="60"/>
        <v>31131525</v>
      </c>
      <c r="F117" s="578">
        <f t="shared" si="60"/>
        <v>2594293.75</v>
      </c>
      <c r="G117" s="578">
        <f t="shared" si="60"/>
        <v>25942937.499999996</v>
      </c>
      <c r="H117" s="578">
        <f t="shared" si="60"/>
        <v>25942937.499999996</v>
      </c>
      <c r="I117" s="578">
        <f t="shared" si="1"/>
        <v>0</v>
      </c>
      <c r="J117" s="579" t="str">
        <f t="shared" si="2"/>
        <v/>
      </c>
      <c r="K117" s="580">
        <f>+K118+K130</f>
        <v>31131525</v>
      </c>
    </row>
    <row r="118" spans="1:11" ht="12.75" customHeight="1" x14ac:dyDescent="0.25">
      <c r="A118" s="518" t="s">
        <v>1290</v>
      </c>
      <c r="B118" s="169"/>
      <c r="C118" s="648">
        <f t="shared" ref="C118:H118" si="61">SUM(C119:C129)</f>
        <v>0</v>
      </c>
      <c r="D118" s="649">
        <f t="shared" si="61"/>
        <v>30906650</v>
      </c>
      <c r="E118" s="408">
        <f t="shared" si="61"/>
        <v>30906650</v>
      </c>
      <c r="F118" s="408">
        <f t="shared" si="61"/>
        <v>2575554.1666666665</v>
      </c>
      <c r="G118" s="408">
        <f t="shared" si="61"/>
        <v>25755541.666666664</v>
      </c>
      <c r="H118" s="408">
        <f t="shared" si="61"/>
        <v>25755541.666666664</v>
      </c>
      <c r="I118" s="258">
        <f t="shared" si="1"/>
        <v>0</v>
      </c>
      <c r="J118" s="575" t="str">
        <f t="shared" si="2"/>
        <v/>
      </c>
      <c r="K118" s="642">
        <f>SUM(K119:K129)</f>
        <v>30906650</v>
      </c>
    </row>
    <row r="119" spans="1:11" ht="12.75" customHeight="1" x14ac:dyDescent="0.25">
      <c r="A119" s="574" t="s">
        <v>1291</v>
      </c>
      <c r="B119" s="169"/>
      <c r="C119" s="748">
        <v>0</v>
      </c>
      <c r="D119" s="753">
        <v>4871899</v>
      </c>
      <c r="E119" s="733">
        <v>4871899</v>
      </c>
      <c r="F119" s="733">
        <f t="shared" ref="F119:F129" si="62">E119/12</f>
        <v>405991.58333333331</v>
      </c>
      <c r="G119" s="733">
        <f>H119</f>
        <v>4059915.833333333</v>
      </c>
      <c r="H119" s="733">
        <f t="shared" ref="H119:H129" si="63">E119/12*10</f>
        <v>4059915.833333333</v>
      </c>
      <c r="I119" s="44">
        <f t="shared" si="1"/>
        <v>0</v>
      </c>
      <c r="J119" s="124" t="str">
        <f t="shared" si="2"/>
        <v/>
      </c>
      <c r="K119" s="735">
        <f t="shared" ref="K119:K129" si="64">E119</f>
        <v>4871899</v>
      </c>
    </row>
    <row r="120" spans="1:11" ht="12.75" customHeight="1" x14ac:dyDescent="0.25">
      <c r="A120" s="574" t="s">
        <v>1292</v>
      </c>
      <c r="B120" s="169"/>
      <c r="C120" s="748">
        <v>0</v>
      </c>
      <c r="D120" s="753">
        <v>356140</v>
      </c>
      <c r="E120" s="733">
        <v>356140</v>
      </c>
      <c r="F120" s="733">
        <f t="shared" si="62"/>
        <v>29678.333333333332</v>
      </c>
      <c r="G120" s="733">
        <f t="shared" ref="G120:G129" si="65">H120</f>
        <v>296783.33333333331</v>
      </c>
      <c r="H120" s="733">
        <f t="shared" si="63"/>
        <v>296783.33333333331</v>
      </c>
      <c r="I120" s="44">
        <f t="shared" si="1"/>
        <v>0</v>
      </c>
      <c r="J120" s="124" t="str">
        <f t="shared" si="2"/>
        <v/>
      </c>
      <c r="K120" s="735">
        <f t="shared" si="64"/>
        <v>356140</v>
      </c>
    </row>
    <row r="121" spans="1:11" ht="12.75" customHeight="1" x14ac:dyDescent="0.25">
      <c r="A121" s="574" t="s">
        <v>1293</v>
      </c>
      <c r="B121" s="169"/>
      <c r="C121" s="748">
        <v>0</v>
      </c>
      <c r="D121" s="753">
        <v>0</v>
      </c>
      <c r="E121" s="733">
        <v>0</v>
      </c>
      <c r="F121" s="733">
        <f t="shared" si="62"/>
        <v>0</v>
      </c>
      <c r="G121" s="733">
        <f t="shared" si="65"/>
        <v>0</v>
      </c>
      <c r="H121" s="733">
        <f t="shared" si="63"/>
        <v>0</v>
      </c>
      <c r="I121" s="44">
        <f t="shared" si="1"/>
        <v>0</v>
      </c>
      <c r="J121" s="124" t="str">
        <f t="shared" si="2"/>
        <v/>
      </c>
      <c r="K121" s="735">
        <f t="shared" si="64"/>
        <v>0</v>
      </c>
    </row>
    <row r="122" spans="1:11" ht="12.75" customHeight="1" x14ac:dyDescent="0.25">
      <c r="A122" s="574" t="s">
        <v>1294</v>
      </c>
      <c r="B122" s="169"/>
      <c r="C122" s="748">
        <v>0</v>
      </c>
      <c r="D122" s="753">
        <v>402406</v>
      </c>
      <c r="E122" s="733">
        <v>402406</v>
      </c>
      <c r="F122" s="733">
        <f t="shared" si="62"/>
        <v>33533.833333333336</v>
      </c>
      <c r="G122" s="733">
        <f t="shared" si="65"/>
        <v>335338.33333333337</v>
      </c>
      <c r="H122" s="733">
        <f t="shared" si="63"/>
        <v>335338.33333333337</v>
      </c>
      <c r="I122" s="44">
        <f t="shared" si="1"/>
        <v>0</v>
      </c>
      <c r="J122" s="124" t="str">
        <f t="shared" si="2"/>
        <v/>
      </c>
      <c r="K122" s="735">
        <f t="shared" si="64"/>
        <v>402406</v>
      </c>
    </row>
    <row r="123" spans="1:11" ht="12.75" customHeight="1" x14ac:dyDescent="0.25">
      <c r="A123" s="574" t="s">
        <v>1295</v>
      </c>
      <c r="B123" s="169"/>
      <c r="C123" s="748">
        <v>0</v>
      </c>
      <c r="D123" s="753">
        <v>1041520</v>
      </c>
      <c r="E123" s="733">
        <v>1041520</v>
      </c>
      <c r="F123" s="733">
        <f t="shared" si="62"/>
        <v>86793.333333333328</v>
      </c>
      <c r="G123" s="733">
        <f t="shared" si="65"/>
        <v>867933.33333333326</v>
      </c>
      <c r="H123" s="733">
        <f t="shared" si="63"/>
        <v>867933.33333333326</v>
      </c>
      <c r="I123" s="44">
        <f t="shared" si="1"/>
        <v>0</v>
      </c>
      <c r="J123" s="124" t="str">
        <f t="shared" si="2"/>
        <v/>
      </c>
      <c r="K123" s="735">
        <f t="shared" si="64"/>
        <v>1041520</v>
      </c>
    </row>
    <row r="124" spans="1:11" ht="12.75" customHeight="1" x14ac:dyDescent="0.25">
      <c r="A124" s="574" t="s">
        <v>1296</v>
      </c>
      <c r="B124" s="169"/>
      <c r="C124" s="748">
        <v>0</v>
      </c>
      <c r="D124" s="753">
        <v>0</v>
      </c>
      <c r="E124" s="733">
        <v>0</v>
      </c>
      <c r="F124" s="733">
        <f t="shared" si="62"/>
        <v>0</v>
      </c>
      <c r="G124" s="733">
        <f t="shared" si="65"/>
        <v>0</v>
      </c>
      <c r="H124" s="733">
        <f t="shared" si="63"/>
        <v>0</v>
      </c>
      <c r="I124" s="44">
        <f t="shared" si="1"/>
        <v>0</v>
      </c>
      <c r="J124" s="124" t="str">
        <f t="shared" si="2"/>
        <v/>
      </c>
      <c r="K124" s="735">
        <f t="shared" si="64"/>
        <v>0</v>
      </c>
    </row>
    <row r="125" spans="1:11" ht="12.75" customHeight="1" x14ac:dyDescent="0.25">
      <c r="A125" s="574" t="s">
        <v>1297</v>
      </c>
      <c r="B125" s="169"/>
      <c r="C125" s="748">
        <v>0</v>
      </c>
      <c r="D125" s="753">
        <v>0</v>
      </c>
      <c r="E125" s="733">
        <v>0</v>
      </c>
      <c r="F125" s="733">
        <f t="shared" si="62"/>
        <v>0</v>
      </c>
      <c r="G125" s="733">
        <f t="shared" si="65"/>
        <v>0</v>
      </c>
      <c r="H125" s="733">
        <f t="shared" si="63"/>
        <v>0</v>
      </c>
      <c r="I125" s="44">
        <f t="shared" si="1"/>
        <v>0</v>
      </c>
      <c r="J125" s="124" t="str">
        <f t="shared" si="2"/>
        <v/>
      </c>
      <c r="K125" s="735">
        <f t="shared" si="64"/>
        <v>0</v>
      </c>
    </row>
    <row r="126" spans="1:11" ht="12.75" customHeight="1" x14ac:dyDescent="0.25">
      <c r="A126" s="574" t="s">
        <v>1298</v>
      </c>
      <c r="B126" s="169"/>
      <c r="C126" s="748">
        <v>0</v>
      </c>
      <c r="D126" s="753">
        <v>0</v>
      </c>
      <c r="E126" s="733">
        <v>0</v>
      </c>
      <c r="F126" s="733">
        <f t="shared" si="62"/>
        <v>0</v>
      </c>
      <c r="G126" s="733">
        <f t="shared" si="65"/>
        <v>0</v>
      </c>
      <c r="H126" s="733">
        <f t="shared" si="63"/>
        <v>0</v>
      </c>
      <c r="I126" s="44">
        <f t="shared" si="1"/>
        <v>0</v>
      </c>
      <c r="J126" s="124" t="str">
        <f t="shared" si="2"/>
        <v/>
      </c>
      <c r="K126" s="735">
        <f t="shared" si="64"/>
        <v>0</v>
      </c>
    </row>
    <row r="127" spans="1:11" ht="12.75" customHeight="1" x14ac:dyDescent="0.25">
      <c r="A127" s="574" t="s">
        <v>1299</v>
      </c>
      <c r="B127" s="169"/>
      <c r="C127" s="748">
        <v>0</v>
      </c>
      <c r="D127" s="753">
        <v>0</v>
      </c>
      <c r="E127" s="733">
        <v>0</v>
      </c>
      <c r="F127" s="733">
        <f t="shared" si="62"/>
        <v>0</v>
      </c>
      <c r="G127" s="733">
        <f t="shared" si="65"/>
        <v>0</v>
      </c>
      <c r="H127" s="733">
        <f t="shared" si="63"/>
        <v>0</v>
      </c>
      <c r="I127" s="44">
        <f t="shared" si="1"/>
        <v>0</v>
      </c>
      <c r="J127" s="124" t="str">
        <f t="shared" si="2"/>
        <v/>
      </c>
      <c r="K127" s="735">
        <f t="shared" si="64"/>
        <v>0</v>
      </c>
    </row>
    <row r="128" spans="1:11" ht="12.75" customHeight="1" x14ac:dyDescent="0.25">
      <c r="A128" s="574" t="s">
        <v>1300</v>
      </c>
      <c r="B128" s="169"/>
      <c r="C128" s="748">
        <v>0</v>
      </c>
      <c r="D128" s="753">
        <v>0</v>
      </c>
      <c r="E128" s="733">
        <v>0</v>
      </c>
      <c r="F128" s="733">
        <f t="shared" si="62"/>
        <v>0</v>
      </c>
      <c r="G128" s="733">
        <f t="shared" si="65"/>
        <v>0</v>
      </c>
      <c r="H128" s="733">
        <f t="shared" si="63"/>
        <v>0</v>
      </c>
      <c r="I128" s="44">
        <f t="shared" si="1"/>
        <v>0</v>
      </c>
      <c r="J128" s="124" t="str">
        <f t="shared" si="2"/>
        <v/>
      </c>
      <c r="K128" s="735">
        <f t="shared" si="64"/>
        <v>0</v>
      </c>
    </row>
    <row r="129" spans="1:11" ht="12.75" customHeight="1" x14ac:dyDescent="0.25">
      <c r="A129" s="574" t="s">
        <v>1211</v>
      </c>
      <c r="B129" s="169"/>
      <c r="C129" s="748">
        <v>0</v>
      </c>
      <c r="D129" s="753">
        <v>24234685</v>
      </c>
      <c r="E129" s="733">
        <v>24234685</v>
      </c>
      <c r="F129" s="733">
        <f t="shared" si="62"/>
        <v>2019557.0833333333</v>
      </c>
      <c r="G129" s="733">
        <f t="shared" si="65"/>
        <v>20195570.833333332</v>
      </c>
      <c r="H129" s="733">
        <f t="shared" si="63"/>
        <v>20195570.833333332</v>
      </c>
      <c r="I129" s="44">
        <f t="shared" si="1"/>
        <v>0</v>
      </c>
      <c r="J129" s="124" t="str">
        <f t="shared" si="2"/>
        <v/>
      </c>
      <c r="K129" s="735">
        <f t="shared" si="64"/>
        <v>24234685</v>
      </c>
    </row>
    <row r="130" spans="1:11" ht="12.75" customHeight="1" x14ac:dyDescent="0.25">
      <c r="A130" s="518" t="s">
        <v>713</v>
      </c>
      <c r="B130" s="169"/>
      <c r="C130" s="648">
        <f t="shared" ref="C130:H130" si="66">SUM(C131:C133)</f>
        <v>35062992</v>
      </c>
      <c r="D130" s="649">
        <f t="shared" si="66"/>
        <v>224875</v>
      </c>
      <c r="E130" s="408">
        <f t="shared" si="66"/>
        <v>224875</v>
      </c>
      <c r="F130" s="408">
        <f t="shared" si="66"/>
        <v>18739.583333333332</v>
      </c>
      <c r="G130" s="408">
        <f t="shared" si="66"/>
        <v>187395.83333333331</v>
      </c>
      <c r="H130" s="408">
        <f t="shared" si="66"/>
        <v>187395.83333333331</v>
      </c>
      <c r="I130" s="258">
        <f t="shared" si="1"/>
        <v>0</v>
      </c>
      <c r="J130" s="575" t="str">
        <f t="shared" si="2"/>
        <v/>
      </c>
      <c r="K130" s="642">
        <f>SUM(K131:K133)</f>
        <v>224875</v>
      </c>
    </row>
    <row r="131" spans="1:11" ht="12.75" customHeight="1" x14ac:dyDescent="0.25">
      <c r="A131" s="574" t="s">
        <v>1301</v>
      </c>
      <c r="B131" s="169"/>
      <c r="C131" s="748">
        <v>0</v>
      </c>
      <c r="D131" s="753">
        <v>142026</v>
      </c>
      <c r="E131" s="733">
        <v>142026</v>
      </c>
      <c r="F131" s="733">
        <f t="shared" ref="F131:F133" si="67">E131/12</f>
        <v>11835.5</v>
      </c>
      <c r="G131" s="733">
        <f>H131</f>
        <v>118355</v>
      </c>
      <c r="H131" s="733">
        <f t="shared" ref="H131:H133" si="68">E131/12*10</f>
        <v>118355</v>
      </c>
      <c r="I131" s="44">
        <f t="shared" si="1"/>
        <v>0</v>
      </c>
      <c r="J131" s="124" t="str">
        <f t="shared" si="2"/>
        <v/>
      </c>
      <c r="K131" s="735">
        <f>E131</f>
        <v>142026</v>
      </c>
    </row>
    <row r="132" spans="1:11" ht="12.75" customHeight="1" x14ac:dyDescent="0.25">
      <c r="A132" s="574" t="s">
        <v>1302</v>
      </c>
      <c r="B132" s="169"/>
      <c r="C132" s="748">
        <v>0</v>
      </c>
      <c r="D132" s="753">
        <v>82849</v>
      </c>
      <c r="E132" s="733">
        <v>82849</v>
      </c>
      <c r="F132" s="733">
        <f t="shared" si="67"/>
        <v>6904.083333333333</v>
      </c>
      <c r="G132" s="733">
        <f>H132</f>
        <v>69040.833333333328</v>
      </c>
      <c r="H132" s="733">
        <f t="shared" si="68"/>
        <v>69040.833333333328</v>
      </c>
      <c r="I132" s="44">
        <f t="shared" si="1"/>
        <v>0</v>
      </c>
      <c r="J132" s="124" t="str">
        <f t="shared" si="2"/>
        <v/>
      </c>
      <c r="K132" s="735">
        <f>E132</f>
        <v>82849</v>
      </c>
    </row>
    <row r="133" spans="1:11" ht="12.75" customHeight="1" x14ac:dyDescent="0.25">
      <c r="A133" s="574" t="s">
        <v>1211</v>
      </c>
      <c r="B133" s="169"/>
      <c r="C133" s="748">
        <v>35062992</v>
      </c>
      <c r="D133" s="753">
        <v>0</v>
      </c>
      <c r="E133" s="733">
        <v>0</v>
      </c>
      <c r="F133" s="733">
        <f t="shared" si="67"/>
        <v>0</v>
      </c>
      <c r="G133" s="733">
        <f>H133</f>
        <v>0</v>
      </c>
      <c r="H133" s="733">
        <f t="shared" si="68"/>
        <v>0</v>
      </c>
      <c r="I133" s="44">
        <f t="shared" si="1"/>
        <v>0</v>
      </c>
      <c r="J133" s="124" t="str">
        <f t="shared" si="2"/>
        <v/>
      </c>
      <c r="K133" s="735">
        <f>E133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69">SUM(C136:C136)</f>
        <v>0</v>
      </c>
      <c r="D135" s="577">
        <f t="shared" si="69"/>
        <v>0</v>
      </c>
      <c r="E135" s="578">
        <f t="shared" si="69"/>
        <v>0</v>
      </c>
      <c r="F135" s="578">
        <f t="shared" si="69"/>
        <v>0</v>
      </c>
      <c r="G135" s="578">
        <f t="shared" si="69"/>
        <v>0</v>
      </c>
      <c r="H135" s="578">
        <f t="shared" si="69"/>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70">IF(I137=0,"",I137/H137)</f>
        <v/>
      </c>
      <c r="K137" s="144"/>
    </row>
    <row r="138" spans="1:11" s="100" customFormat="1" ht="12.75" customHeight="1" x14ac:dyDescent="0.25">
      <c r="A138" s="549" t="s">
        <v>1304</v>
      </c>
      <c r="B138" s="171"/>
      <c r="C138" s="941">
        <f t="shared" ref="C138:H138" si="71">SUM(C139:C140)</f>
        <v>0</v>
      </c>
      <c r="D138" s="942">
        <f t="shared" si="71"/>
        <v>0</v>
      </c>
      <c r="E138" s="943">
        <f t="shared" si="71"/>
        <v>0</v>
      </c>
      <c r="F138" s="943">
        <f t="shared" si="71"/>
        <v>0</v>
      </c>
      <c r="G138" s="943">
        <f t="shared" si="71"/>
        <v>0</v>
      </c>
      <c r="H138" s="943">
        <f t="shared" si="71"/>
        <v>0</v>
      </c>
      <c r="I138" s="943">
        <f t="shared" ref="I138:I146" si="72">H138-G138</f>
        <v>0</v>
      </c>
      <c r="J138" s="324" t="str">
        <f t="shared" si="70"/>
        <v/>
      </c>
      <c r="K138" s="944">
        <f>SUM(K139:K140)</f>
        <v>0</v>
      </c>
    </row>
    <row r="139" spans="1:11" ht="12.75" customHeight="1" x14ac:dyDescent="0.25">
      <c r="A139" s="517" t="s">
        <v>1305</v>
      </c>
      <c r="B139" s="169"/>
      <c r="C139" s="748"/>
      <c r="D139" s="753"/>
      <c r="E139" s="733"/>
      <c r="F139" s="733"/>
      <c r="G139" s="733"/>
      <c r="H139" s="733">
        <f>E139/12*7</f>
        <v>0</v>
      </c>
      <c r="I139" s="44">
        <f t="shared" si="72"/>
        <v>0</v>
      </c>
      <c r="J139" s="124" t="str">
        <f t="shared" si="70"/>
        <v/>
      </c>
      <c r="K139" s="735"/>
    </row>
    <row r="140" spans="1:11" ht="12.75" customHeight="1" x14ac:dyDescent="0.25">
      <c r="A140" s="517" t="s">
        <v>1306</v>
      </c>
      <c r="B140" s="169"/>
      <c r="C140" s="648">
        <f t="shared" ref="C140:H140" si="73">SUM(C141:C146)</f>
        <v>0</v>
      </c>
      <c r="D140" s="649">
        <f t="shared" si="73"/>
        <v>0</v>
      </c>
      <c r="E140" s="408">
        <f t="shared" si="73"/>
        <v>0</v>
      </c>
      <c r="F140" s="408">
        <f t="shared" si="73"/>
        <v>0</v>
      </c>
      <c r="G140" s="408">
        <f t="shared" si="73"/>
        <v>0</v>
      </c>
      <c r="H140" s="408">
        <f t="shared" si="73"/>
        <v>0</v>
      </c>
      <c r="I140" s="258">
        <f t="shared" si="72"/>
        <v>0</v>
      </c>
      <c r="J140" s="575" t="str">
        <f t="shared" si="70"/>
        <v/>
      </c>
      <c r="K140" s="642">
        <f>SUM(K141:K146)</f>
        <v>0</v>
      </c>
    </row>
    <row r="141" spans="1:11" ht="12.75" customHeight="1" x14ac:dyDescent="0.25">
      <c r="A141" s="574" t="s">
        <v>1307</v>
      </c>
      <c r="B141" s="169"/>
      <c r="C141" s="748">
        <v>0</v>
      </c>
      <c r="D141" s="753">
        <v>0</v>
      </c>
      <c r="E141" s="733">
        <v>0</v>
      </c>
      <c r="F141" s="733">
        <v>0</v>
      </c>
      <c r="G141" s="733">
        <v>0</v>
      </c>
      <c r="H141" s="733">
        <f t="shared" ref="H141:H146" si="74">E141/12*7</f>
        <v>0</v>
      </c>
      <c r="I141" s="44">
        <f t="shared" si="72"/>
        <v>0</v>
      </c>
      <c r="J141" s="124" t="str">
        <f t="shared" si="70"/>
        <v/>
      </c>
      <c r="K141" s="735">
        <f t="shared" ref="K141:K146" si="75">E141</f>
        <v>0</v>
      </c>
    </row>
    <row r="142" spans="1:11" ht="12.75" customHeight="1" x14ac:dyDescent="0.25">
      <c r="A142" s="574" t="s">
        <v>1308</v>
      </c>
      <c r="B142" s="169"/>
      <c r="C142" s="748">
        <v>0</v>
      </c>
      <c r="D142" s="753">
        <v>0</v>
      </c>
      <c r="E142" s="733">
        <v>0</v>
      </c>
      <c r="F142" s="733">
        <v>0</v>
      </c>
      <c r="G142" s="733">
        <v>0</v>
      </c>
      <c r="H142" s="733">
        <f t="shared" si="74"/>
        <v>0</v>
      </c>
      <c r="I142" s="44">
        <f t="shared" si="72"/>
        <v>0</v>
      </c>
      <c r="J142" s="124" t="str">
        <f t="shared" si="70"/>
        <v/>
      </c>
      <c r="K142" s="735">
        <f t="shared" si="75"/>
        <v>0</v>
      </c>
    </row>
    <row r="143" spans="1:11" ht="12.75" customHeight="1" x14ac:dyDescent="0.25">
      <c r="A143" s="574" t="s">
        <v>1309</v>
      </c>
      <c r="B143" s="169"/>
      <c r="C143" s="748">
        <v>0</v>
      </c>
      <c r="D143" s="753">
        <v>0</v>
      </c>
      <c r="E143" s="733">
        <v>0</v>
      </c>
      <c r="F143" s="733">
        <v>0</v>
      </c>
      <c r="G143" s="733">
        <v>0</v>
      </c>
      <c r="H143" s="733">
        <f t="shared" si="74"/>
        <v>0</v>
      </c>
      <c r="I143" s="44">
        <f t="shared" si="72"/>
        <v>0</v>
      </c>
      <c r="J143" s="124" t="str">
        <f t="shared" si="70"/>
        <v/>
      </c>
      <c r="K143" s="735">
        <f t="shared" si="75"/>
        <v>0</v>
      </c>
    </row>
    <row r="144" spans="1:11" ht="12.75" customHeight="1" x14ac:dyDescent="0.25">
      <c r="A144" s="574" t="s">
        <v>1310</v>
      </c>
      <c r="B144" s="169"/>
      <c r="C144" s="748">
        <v>0</v>
      </c>
      <c r="D144" s="753">
        <v>0</v>
      </c>
      <c r="E144" s="733">
        <v>0</v>
      </c>
      <c r="F144" s="733">
        <v>0</v>
      </c>
      <c r="G144" s="733">
        <v>0</v>
      </c>
      <c r="H144" s="733">
        <f t="shared" si="74"/>
        <v>0</v>
      </c>
      <c r="I144" s="44">
        <f t="shared" si="72"/>
        <v>0</v>
      </c>
      <c r="J144" s="124" t="str">
        <f t="shared" si="70"/>
        <v/>
      </c>
      <c r="K144" s="735">
        <f t="shared" si="75"/>
        <v>0</v>
      </c>
    </row>
    <row r="145" spans="1:12" ht="12.75" customHeight="1" x14ac:dyDescent="0.25">
      <c r="A145" s="574" t="s">
        <v>1311</v>
      </c>
      <c r="B145" s="169"/>
      <c r="C145" s="748">
        <v>0</v>
      </c>
      <c r="D145" s="753">
        <v>0</v>
      </c>
      <c r="E145" s="733">
        <v>0</v>
      </c>
      <c r="F145" s="733">
        <v>0</v>
      </c>
      <c r="G145" s="733">
        <v>0</v>
      </c>
      <c r="H145" s="733">
        <f t="shared" si="74"/>
        <v>0</v>
      </c>
      <c r="I145" s="44">
        <f t="shared" si="72"/>
        <v>0</v>
      </c>
      <c r="J145" s="124" t="str">
        <f t="shared" si="70"/>
        <v/>
      </c>
      <c r="K145" s="735">
        <f t="shared" si="75"/>
        <v>0</v>
      </c>
    </row>
    <row r="146" spans="1:12" ht="12.75" customHeight="1" x14ac:dyDescent="0.25">
      <c r="A146" s="574" t="s">
        <v>1312</v>
      </c>
      <c r="B146" s="169"/>
      <c r="C146" s="748">
        <v>0</v>
      </c>
      <c r="D146" s="753">
        <v>0</v>
      </c>
      <c r="E146" s="733">
        <v>0</v>
      </c>
      <c r="F146" s="733">
        <v>0</v>
      </c>
      <c r="G146" s="733">
        <v>0</v>
      </c>
      <c r="H146" s="733">
        <f t="shared" si="74"/>
        <v>0</v>
      </c>
      <c r="I146" s="44">
        <f t="shared" si="72"/>
        <v>0</v>
      </c>
      <c r="J146" s="124" t="str">
        <f t="shared" si="70"/>
        <v/>
      </c>
      <c r="K146" s="735">
        <f t="shared" si="75"/>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76">SUM(C149:C149)</f>
        <v>2210964</v>
      </c>
      <c r="D148" s="577">
        <f t="shared" si="76"/>
        <v>2336963</v>
      </c>
      <c r="E148" s="578">
        <f t="shared" si="76"/>
        <v>2336963</v>
      </c>
      <c r="F148" s="578">
        <f t="shared" si="76"/>
        <v>194746.91666666666</v>
      </c>
      <c r="G148" s="578">
        <f t="shared" si="76"/>
        <v>1947469.1666666665</v>
      </c>
      <c r="H148" s="578">
        <f t="shared" si="76"/>
        <v>1947469.1666666665</v>
      </c>
      <c r="I148" s="578">
        <f>H148-G148</f>
        <v>0</v>
      </c>
      <c r="J148" s="324" t="str">
        <f>IF(I148=0,"",I148/H148)</f>
        <v/>
      </c>
      <c r="K148" s="580">
        <f>SUM(K149)</f>
        <v>2336963</v>
      </c>
    </row>
    <row r="149" spans="1:12" ht="12.75" customHeight="1" x14ac:dyDescent="0.25">
      <c r="A149" s="518" t="s">
        <v>1313</v>
      </c>
      <c r="B149" s="169"/>
      <c r="C149" s="748">
        <v>2210964</v>
      </c>
      <c r="D149" s="753">
        <v>2336963</v>
      </c>
      <c r="E149" s="733">
        <f>D149</f>
        <v>2336963</v>
      </c>
      <c r="F149" s="733">
        <f t="shared" ref="F149" si="77">E149/12</f>
        <v>194746.91666666666</v>
      </c>
      <c r="G149" s="733">
        <f>H149</f>
        <v>1947469.1666666665</v>
      </c>
      <c r="H149" s="733">
        <f>E149/12*10</f>
        <v>1947469.1666666665</v>
      </c>
      <c r="I149" s="44">
        <f>H149-G149</f>
        <v>0</v>
      </c>
      <c r="J149" s="124" t="str">
        <f>IF(I149=0,"",I149/H149)</f>
        <v/>
      </c>
      <c r="K149" s="735">
        <f>E149</f>
        <v>2336963</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78">SUM(C152:C152)</f>
        <v>8460024</v>
      </c>
      <c r="D151" s="577">
        <f t="shared" si="78"/>
        <v>7063608</v>
      </c>
      <c r="E151" s="578">
        <f t="shared" si="78"/>
        <v>7063608</v>
      </c>
      <c r="F151" s="578">
        <f t="shared" si="78"/>
        <v>588634</v>
      </c>
      <c r="G151" s="578">
        <f t="shared" si="78"/>
        <v>5886340</v>
      </c>
      <c r="H151" s="578">
        <f t="shared" si="78"/>
        <v>5886340</v>
      </c>
      <c r="I151" s="578">
        <f>H151-G151</f>
        <v>0</v>
      </c>
      <c r="J151" s="324" t="str">
        <f>IF(I151=0,"",I151/H151)</f>
        <v/>
      </c>
      <c r="K151" s="580">
        <f>SUM(K152)</f>
        <v>7063608</v>
      </c>
    </row>
    <row r="152" spans="1:12" ht="12.75" customHeight="1" x14ac:dyDescent="0.25">
      <c r="A152" s="518" t="s">
        <v>1314</v>
      </c>
      <c r="B152" s="169"/>
      <c r="C152" s="748">
        <v>8460024</v>
      </c>
      <c r="D152" s="753">
        <v>7063608</v>
      </c>
      <c r="E152" s="733">
        <f>D152</f>
        <v>7063608</v>
      </c>
      <c r="F152" s="733">
        <f t="shared" ref="F152" si="79">E152/12</f>
        <v>588634</v>
      </c>
      <c r="G152" s="733">
        <f>H152</f>
        <v>5886340</v>
      </c>
      <c r="H152" s="733">
        <f>E152/12*10</f>
        <v>5886340</v>
      </c>
      <c r="I152" s="44">
        <f>H152-G152</f>
        <v>0</v>
      </c>
      <c r="J152" s="124" t="str">
        <f>IF(I152=0,"",I152/H152)</f>
        <v/>
      </c>
      <c r="K152" s="735">
        <f>E152</f>
        <v>7063608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80">SUM(C155:C155)</f>
        <v>3285000</v>
      </c>
      <c r="D154" s="577">
        <f t="shared" si="80"/>
        <v>3556013</v>
      </c>
      <c r="E154" s="578">
        <f t="shared" si="80"/>
        <v>3556013</v>
      </c>
      <c r="F154" s="578">
        <f t="shared" si="80"/>
        <v>296334.41666666669</v>
      </c>
      <c r="G154" s="578">
        <f t="shared" si="80"/>
        <v>2963344.166666667</v>
      </c>
      <c r="H154" s="578">
        <f t="shared" si="80"/>
        <v>2963344.166666667</v>
      </c>
      <c r="I154" s="578">
        <f>H154-G154</f>
        <v>0</v>
      </c>
      <c r="J154" s="324" t="str">
        <f>IF(I154=0,"",I154/H154)</f>
        <v/>
      </c>
      <c r="K154" s="580">
        <f>SUM(K155)</f>
        <v>3556013</v>
      </c>
    </row>
    <row r="155" spans="1:12" ht="12.75" customHeight="1" x14ac:dyDescent="0.25">
      <c r="A155" s="518" t="s">
        <v>1315</v>
      </c>
      <c r="B155" s="169"/>
      <c r="C155" s="748">
        <v>3285000</v>
      </c>
      <c r="D155" s="753">
        <v>3556013</v>
      </c>
      <c r="E155" s="733">
        <f>D155</f>
        <v>3556013</v>
      </c>
      <c r="F155" s="733">
        <f t="shared" ref="F155" si="81">E155/12</f>
        <v>296334.41666666669</v>
      </c>
      <c r="G155" s="733">
        <f>H155</f>
        <v>2963344.166666667</v>
      </c>
      <c r="H155" s="733">
        <f>E155/12*10</f>
        <v>2963344.166666667</v>
      </c>
      <c r="I155" s="44">
        <f>H155-G155</f>
        <v>0</v>
      </c>
      <c r="J155" s="124" t="str">
        <f>IF(I155=0,"",I155/H155)</f>
        <v/>
      </c>
      <c r="K155" s="735">
        <f>E155</f>
        <v>3556013</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82">SUM(C158:C158)</f>
        <v>25654008</v>
      </c>
      <c r="D157" s="577">
        <f t="shared" si="82"/>
        <v>24399269</v>
      </c>
      <c r="E157" s="578">
        <f t="shared" si="82"/>
        <v>24399269</v>
      </c>
      <c r="F157" s="578">
        <f t="shared" si="82"/>
        <v>2033272.4166666667</v>
      </c>
      <c r="G157" s="578">
        <f t="shared" si="82"/>
        <v>20332724.166666668</v>
      </c>
      <c r="H157" s="578">
        <f t="shared" si="82"/>
        <v>20332724.166666668</v>
      </c>
      <c r="I157" s="578">
        <f>H157-G157</f>
        <v>0</v>
      </c>
      <c r="J157" s="324" t="str">
        <f>IF(I157=0,"",I157/H157)</f>
        <v/>
      </c>
      <c r="K157" s="580">
        <f>SUM(K158)</f>
        <v>24399269</v>
      </c>
    </row>
    <row r="158" spans="1:12" ht="12.75" customHeight="1" x14ac:dyDescent="0.25">
      <c r="A158" s="518" t="s">
        <v>1316</v>
      </c>
      <c r="B158" s="169"/>
      <c r="C158" s="748">
        <v>25654008</v>
      </c>
      <c r="D158" s="753">
        <v>24399269</v>
      </c>
      <c r="E158" s="733">
        <f>D158</f>
        <v>24399269</v>
      </c>
      <c r="F158" s="733">
        <f t="shared" ref="F158" si="83">E158/12</f>
        <v>2033272.4166666667</v>
      </c>
      <c r="G158" s="733">
        <f>H158</f>
        <v>20332724.166666668</v>
      </c>
      <c r="H158" s="733">
        <f>E158/12*10</f>
        <v>20332724.166666668</v>
      </c>
      <c r="I158" s="44">
        <f>H158-G158</f>
        <v>0</v>
      </c>
      <c r="J158" s="124" t="str">
        <f>IF(I158=0,"",I158/H158)</f>
        <v/>
      </c>
      <c r="K158" s="735">
        <f>E158</f>
        <v>24399269</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84">SUM(C161:C161)</f>
        <v>0</v>
      </c>
      <c r="D160" s="577">
        <f t="shared" si="84"/>
        <v>0</v>
      </c>
      <c r="E160" s="578">
        <f t="shared" si="84"/>
        <v>0</v>
      </c>
      <c r="F160" s="578">
        <f t="shared" si="84"/>
        <v>0</v>
      </c>
      <c r="G160" s="578">
        <f t="shared" si="84"/>
        <v>0</v>
      </c>
      <c r="H160" s="578">
        <f t="shared" si="84"/>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85">SUM(C164:C164)</f>
        <v>0</v>
      </c>
      <c r="D163" s="577">
        <f t="shared" si="85"/>
        <v>0</v>
      </c>
      <c r="E163" s="578">
        <f t="shared" si="85"/>
        <v>0</v>
      </c>
      <c r="F163" s="578">
        <f t="shared" si="85"/>
        <v>0</v>
      </c>
      <c r="G163" s="578">
        <f t="shared" si="85"/>
        <v>0</v>
      </c>
      <c r="H163" s="578">
        <f t="shared" si="85"/>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735">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1067</v>
      </c>
      <c r="B166" s="236">
        <v>1</v>
      </c>
      <c r="C166" s="112">
        <f t="shared" ref="C166:H166" si="86">C7+C75+C103+C110+C117+C135+C138+C148+C151+C154+C157+C160+C163</f>
        <v>236999988</v>
      </c>
      <c r="D166" s="271">
        <f t="shared" si="86"/>
        <v>255000000</v>
      </c>
      <c r="E166" s="55">
        <f t="shared" si="86"/>
        <v>255000000</v>
      </c>
      <c r="F166" s="55">
        <f t="shared" si="86"/>
        <v>21250000.000000004</v>
      </c>
      <c r="G166" s="55">
        <f t="shared" si="86"/>
        <v>212499999.99999994</v>
      </c>
      <c r="H166" s="55">
        <f t="shared" si="86"/>
        <v>212499999.99999994</v>
      </c>
      <c r="I166" s="55">
        <f t="shared" si="1"/>
        <v>0</v>
      </c>
      <c r="J166" s="290" t="str">
        <f t="shared" si="2"/>
        <v/>
      </c>
      <c r="K166" s="235">
        <f>K7+K75+K103+K110+K117+K135+K138+K148+K151+K154+K157+K160+K163</f>
        <v>255000000</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L206"/>
  <sheetViews>
    <sheetView showGridLines="0" workbookViewId="0">
      <pane xSplit="2" ySplit="4" topLeftCell="C136" activePane="bottomRight" state="frozen"/>
      <selection pane="topRight"/>
      <selection pane="bottomLeft"/>
      <selection pane="bottomRight" activeCell="G166" sqref="G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67" t="str">
        <f>muni&amp; " - "&amp;S71Se&amp; " - "&amp;Head57</f>
        <v>LIM354 Polokwane - Supporting Table SC13e Monthly Budget Statement - capital expenditure on upgrading of existing assets by asset class - M10 April</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5.5"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1319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330528426.34533334</v>
      </c>
      <c r="D7" s="602">
        <f t="shared" si="0"/>
        <v>331197620</v>
      </c>
      <c r="E7" s="102">
        <f t="shared" si="0"/>
        <v>259036461</v>
      </c>
      <c r="F7" s="102">
        <f t="shared" si="0"/>
        <v>13076623.975499999</v>
      </c>
      <c r="G7" s="102">
        <f t="shared" si="0"/>
        <v>163848582.56024995</v>
      </c>
      <c r="H7" s="102">
        <f t="shared" si="0"/>
        <v>215863717.5</v>
      </c>
      <c r="I7" s="101">
        <f t="shared" ref="I7:I133" si="1">H7-G7</f>
        <v>52015134.939750046</v>
      </c>
      <c r="J7" s="579">
        <f t="shared" ref="J7:J136" si="2">IF(I7=0,"",I7/H7)</f>
        <v>0.24096284239962673</v>
      </c>
      <c r="K7" s="603">
        <f>K8+K13+K17+K27+K38+K45+K53+K63+K69</f>
        <v>259036461</v>
      </c>
    </row>
    <row r="8" spans="1:11" ht="12.75" customHeight="1" x14ac:dyDescent="0.25">
      <c r="A8" s="518" t="s">
        <v>1208</v>
      </c>
      <c r="B8" s="169"/>
      <c r="C8" s="677">
        <f t="shared" ref="C8:H8" si="3">SUM(C9:C12)</f>
        <v>144532451.08750001</v>
      </c>
      <c r="D8" s="609">
        <f t="shared" si="3"/>
        <v>157040620</v>
      </c>
      <c r="E8" s="608">
        <f t="shared" si="3"/>
        <v>133277494</v>
      </c>
      <c r="F8" s="608">
        <f t="shared" si="3"/>
        <v>3043324.9249999998</v>
      </c>
      <c r="G8" s="608">
        <f t="shared" si="3"/>
        <v>70022612.833900005</v>
      </c>
      <c r="H8" s="608">
        <f t="shared" si="3"/>
        <v>111064578.33333334</v>
      </c>
      <c r="I8" s="258">
        <f t="shared" si="1"/>
        <v>41041965.499433339</v>
      </c>
      <c r="J8" s="575">
        <f t="shared" si="2"/>
        <v>0.36953244783639166</v>
      </c>
      <c r="K8" s="610">
        <f>SUM(K9:K12)</f>
        <v>133277494</v>
      </c>
    </row>
    <row r="9" spans="1:11" ht="12.75" customHeight="1" x14ac:dyDescent="0.25">
      <c r="A9" s="574" t="s">
        <v>168</v>
      </c>
      <c r="B9" s="169"/>
      <c r="C9" s="748">
        <v>0</v>
      </c>
      <c r="D9" s="745">
        <v>31593677</v>
      </c>
      <c r="E9" s="733">
        <v>47665585</v>
      </c>
      <c r="F9" s="733">
        <v>775861.88650000002</v>
      </c>
      <c r="G9" s="733">
        <v>55454838.282899998</v>
      </c>
      <c r="H9" s="733">
        <f>E9/12*10</f>
        <v>39721320.833333336</v>
      </c>
      <c r="I9" s="258">
        <f t="shared" si="1"/>
        <v>-15733517.449566662</v>
      </c>
      <c r="J9" s="575">
        <f t="shared" si="2"/>
        <v>-0.39609753954514548</v>
      </c>
      <c r="K9" s="735">
        <f>E9</f>
        <v>47665585</v>
      </c>
    </row>
    <row r="10" spans="1:11" ht="12.75" customHeight="1" x14ac:dyDescent="0.25">
      <c r="A10" s="574" t="s">
        <v>1209</v>
      </c>
      <c r="B10" s="169"/>
      <c r="C10" s="748">
        <v>144532451.08750001</v>
      </c>
      <c r="D10" s="745">
        <v>125446943</v>
      </c>
      <c r="E10" s="733">
        <v>85611909</v>
      </c>
      <c r="F10" s="733">
        <v>2267463.0384999998</v>
      </c>
      <c r="G10" s="733">
        <v>14567774.550999999</v>
      </c>
      <c r="H10" s="733">
        <f>E10/12*10</f>
        <v>71343257.5</v>
      </c>
      <c r="I10" s="258">
        <f t="shared" si="1"/>
        <v>56775482.949000001</v>
      </c>
      <c r="J10" s="575">
        <f t="shared" si="2"/>
        <v>0.79580726950966596</v>
      </c>
      <c r="K10" s="735">
        <f>E10</f>
        <v>85611909</v>
      </c>
    </row>
    <row r="11" spans="1:11" ht="12.75" customHeight="1" x14ac:dyDescent="0.25">
      <c r="A11" s="574" t="s">
        <v>1210</v>
      </c>
      <c r="B11" s="169"/>
      <c r="C11" s="748">
        <v>0</v>
      </c>
      <c r="D11" s="745">
        <v>0</v>
      </c>
      <c r="E11" s="733">
        <v>0</v>
      </c>
      <c r="F11" s="733">
        <v>0</v>
      </c>
      <c r="G11" s="733">
        <v>0</v>
      </c>
      <c r="H11" s="733">
        <f>E11/12*8</f>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E12/12*8</f>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f>E14/12*7</f>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f>E15/12*7</f>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f>E16/12*7</f>
        <v>0</v>
      </c>
      <c r="I16" s="258">
        <f t="shared" si="1"/>
        <v>0</v>
      </c>
      <c r="J16" s="575" t="str">
        <f t="shared" si="2"/>
        <v/>
      </c>
      <c r="K16" s="735">
        <f>E16</f>
        <v>0</v>
      </c>
    </row>
    <row r="17" spans="1:11" ht="12.75" customHeight="1" x14ac:dyDescent="0.25">
      <c r="A17" s="518" t="s">
        <v>1216</v>
      </c>
      <c r="B17" s="169"/>
      <c r="C17" s="648">
        <f t="shared" ref="C17:H17" si="5">SUM(C18:C26)</f>
        <v>5882908.3635</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1217</v>
      </c>
      <c r="B18" s="169"/>
      <c r="C18" s="748">
        <v>0</v>
      </c>
      <c r="D18" s="745">
        <v>0</v>
      </c>
      <c r="E18" s="733">
        <v>0</v>
      </c>
      <c r="F18" s="733">
        <v>0</v>
      </c>
      <c r="G18" s="733">
        <v>0</v>
      </c>
      <c r="H18" s="733">
        <f t="shared" ref="H18:H26" si="6">E18/12*8</f>
        <v>0</v>
      </c>
      <c r="I18" s="258">
        <f t="shared" si="1"/>
        <v>0</v>
      </c>
      <c r="J18" s="575" t="str">
        <f t="shared" si="2"/>
        <v/>
      </c>
      <c r="K18" s="735">
        <f t="shared" ref="K18:K26" si="7">E18</f>
        <v>0</v>
      </c>
    </row>
    <row r="19" spans="1:11" ht="12.75" customHeight="1" x14ac:dyDescent="0.25">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5">
      <c r="A20" s="574" t="s">
        <v>1219</v>
      </c>
      <c r="B20" s="169"/>
      <c r="C20" s="748">
        <v>0</v>
      </c>
      <c r="D20" s="745">
        <v>0</v>
      </c>
      <c r="E20" s="733">
        <v>0</v>
      </c>
      <c r="F20" s="733">
        <v>0</v>
      </c>
      <c r="G20" s="733">
        <v>0</v>
      </c>
      <c r="H20" s="733">
        <f t="shared" si="6"/>
        <v>0</v>
      </c>
      <c r="I20" s="258">
        <f t="shared" si="1"/>
        <v>0</v>
      </c>
      <c r="J20" s="575" t="str">
        <f t="shared" si="2"/>
        <v/>
      </c>
      <c r="K20" s="735">
        <f t="shared" si="7"/>
        <v>0</v>
      </c>
    </row>
    <row r="21" spans="1:11" ht="12.75" customHeight="1" x14ac:dyDescent="0.25">
      <c r="A21" s="574" t="s">
        <v>1220</v>
      </c>
      <c r="B21" s="169"/>
      <c r="C21" s="748">
        <v>5882908.3635</v>
      </c>
      <c r="D21" s="745">
        <v>0</v>
      </c>
      <c r="E21" s="733">
        <v>0</v>
      </c>
      <c r="F21" s="733">
        <v>0</v>
      </c>
      <c r="G21" s="733">
        <v>0</v>
      </c>
      <c r="H21" s="733">
        <f t="shared" si="6"/>
        <v>0</v>
      </c>
      <c r="I21" s="258">
        <f t="shared" si="1"/>
        <v>0</v>
      </c>
      <c r="J21" s="575" t="str">
        <f t="shared" si="2"/>
        <v/>
      </c>
      <c r="K21" s="735">
        <f t="shared" si="7"/>
        <v>0</v>
      </c>
    </row>
    <row r="22" spans="1:11" ht="12.75" customHeight="1" x14ac:dyDescent="0.25">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5">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5">
      <c r="A24" s="574" t="s">
        <v>1223</v>
      </c>
      <c r="B24" s="169"/>
      <c r="C24" s="748">
        <v>0</v>
      </c>
      <c r="D24" s="745">
        <v>0</v>
      </c>
      <c r="E24" s="733">
        <v>0</v>
      </c>
      <c r="F24" s="733">
        <v>0</v>
      </c>
      <c r="G24" s="733">
        <v>0</v>
      </c>
      <c r="H24" s="733">
        <f t="shared" si="6"/>
        <v>0</v>
      </c>
      <c r="I24" s="258">
        <f t="shared" si="1"/>
        <v>0</v>
      </c>
      <c r="J24" s="575" t="str">
        <f t="shared" si="2"/>
        <v/>
      </c>
      <c r="K24" s="735">
        <f t="shared" si="7"/>
        <v>0</v>
      </c>
    </row>
    <row r="25" spans="1:11" ht="12.75" customHeight="1" x14ac:dyDescent="0.25">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5">
      <c r="A26" s="574" t="s">
        <v>1211</v>
      </c>
      <c r="B26" s="169"/>
      <c r="C26" s="748">
        <v>0</v>
      </c>
      <c r="D26" s="745">
        <v>0</v>
      </c>
      <c r="E26" s="733">
        <v>0</v>
      </c>
      <c r="F26" s="733">
        <v>0</v>
      </c>
      <c r="G26" s="733">
        <v>0</v>
      </c>
      <c r="H26" s="733">
        <f t="shared" si="6"/>
        <v>0</v>
      </c>
      <c r="I26" s="258">
        <f t="shared" si="1"/>
        <v>0</v>
      </c>
      <c r="J26" s="575" t="str">
        <f t="shared" si="2"/>
        <v/>
      </c>
      <c r="K26" s="735">
        <f t="shared" si="7"/>
        <v>0</v>
      </c>
    </row>
    <row r="27" spans="1:11" ht="12.75" customHeight="1" x14ac:dyDescent="0.25">
      <c r="A27" s="517" t="s">
        <v>1225</v>
      </c>
      <c r="B27" s="169"/>
      <c r="C27" s="648">
        <f t="shared" ref="C27:H27" si="8">SUM(C28:C37)</f>
        <v>30359133.245000001</v>
      </c>
      <c r="D27" s="649">
        <f t="shared" si="8"/>
        <v>20000000</v>
      </c>
      <c r="E27" s="408">
        <f t="shared" si="8"/>
        <v>9000000</v>
      </c>
      <c r="F27" s="408">
        <f t="shared" si="8"/>
        <v>10033299.0505</v>
      </c>
      <c r="G27" s="408">
        <f t="shared" si="8"/>
        <v>0</v>
      </c>
      <c r="H27" s="408">
        <f t="shared" si="8"/>
        <v>7500000</v>
      </c>
      <c r="I27" s="258">
        <f t="shared" si="1"/>
        <v>7500000</v>
      </c>
      <c r="J27" s="575">
        <f t="shared" si="2"/>
        <v>1</v>
      </c>
      <c r="K27" s="642">
        <f>SUM(K28:K37)</f>
        <v>9000000</v>
      </c>
    </row>
    <row r="28" spans="1:11" ht="12.75" customHeight="1" x14ac:dyDescent="0.25">
      <c r="A28" s="574" t="s">
        <v>1226</v>
      </c>
      <c r="B28" s="169"/>
      <c r="C28" s="748">
        <v>0</v>
      </c>
      <c r="D28" s="745">
        <v>0</v>
      </c>
      <c r="E28" s="733">
        <v>0</v>
      </c>
      <c r="F28" s="733">
        <v>0</v>
      </c>
      <c r="G28" s="733">
        <v>0</v>
      </c>
      <c r="H28" s="733">
        <f>E28/12*10</f>
        <v>0</v>
      </c>
      <c r="I28" s="258">
        <f t="shared" si="1"/>
        <v>0</v>
      </c>
      <c r="J28" s="575" t="str">
        <f t="shared" si="2"/>
        <v/>
      </c>
      <c r="K28" s="735">
        <f t="shared" ref="K28:K37" si="9">E28</f>
        <v>0</v>
      </c>
    </row>
    <row r="29" spans="1:11" ht="12.75" customHeight="1" x14ac:dyDescent="0.25">
      <c r="A29" s="574" t="s">
        <v>1227</v>
      </c>
      <c r="B29" s="169"/>
      <c r="C29" s="748">
        <v>0</v>
      </c>
      <c r="D29" s="745">
        <v>0</v>
      </c>
      <c r="E29" s="733">
        <v>0</v>
      </c>
      <c r="F29" s="733">
        <v>0</v>
      </c>
      <c r="G29" s="733">
        <v>0</v>
      </c>
      <c r="H29" s="733">
        <f t="shared" ref="H29:H37" si="10">E29/12*10</f>
        <v>0</v>
      </c>
      <c r="I29" s="258">
        <f t="shared" si="1"/>
        <v>0</v>
      </c>
      <c r="J29" s="575" t="str">
        <f t="shared" si="2"/>
        <v/>
      </c>
      <c r="K29" s="735">
        <f t="shared" si="9"/>
        <v>0</v>
      </c>
    </row>
    <row r="30" spans="1:11" ht="12.75" customHeight="1" x14ac:dyDescent="0.25">
      <c r="A30" s="574" t="s">
        <v>1228</v>
      </c>
      <c r="B30" s="169"/>
      <c r="C30" s="748">
        <v>0</v>
      </c>
      <c r="D30" s="745">
        <v>0</v>
      </c>
      <c r="E30" s="733">
        <v>0</v>
      </c>
      <c r="F30" s="733">
        <v>0</v>
      </c>
      <c r="G30" s="733">
        <v>0</v>
      </c>
      <c r="H30" s="733">
        <f t="shared" si="10"/>
        <v>0</v>
      </c>
      <c r="I30" s="258">
        <f t="shared" si="1"/>
        <v>0</v>
      </c>
      <c r="J30" s="575" t="str">
        <f t="shared" si="2"/>
        <v/>
      </c>
      <c r="K30" s="735">
        <f t="shared" si="9"/>
        <v>0</v>
      </c>
    </row>
    <row r="31" spans="1:11" ht="12.75" customHeight="1" x14ac:dyDescent="0.25">
      <c r="A31" s="574" t="s">
        <v>1229</v>
      </c>
      <c r="B31" s="169"/>
      <c r="C31" s="748">
        <v>0</v>
      </c>
      <c r="D31" s="745">
        <v>0</v>
      </c>
      <c r="E31" s="733">
        <v>0</v>
      </c>
      <c r="F31" s="733">
        <v>0</v>
      </c>
      <c r="G31" s="733">
        <v>0</v>
      </c>
      <c r="H31" s="733">
        <f t="shared" si="10"/>
        <v>0</v>
      </c>
      <c r="I31" s="258">
        <f t="shared" si="1"/>
        <v>0</v>
      </c>
      <c r="J31" s="575" t="str">
        <f t="shared" si="2"/>
        <v/>
      </c>
      <c r="K31" s="735">
        <f t="shared" si="9"/>
        <v>0</v>
      </c>
    </row>
    <row r="32" spans="1:11" ht="12.75" customHeight="1" x14ac:dyDescent="0.25">
      <c r="A32" s="574" t="s">
        <v>1230</v>
      </c>
      <c r="B32" s="169"/>
      <c r="C32" s="748">
        <v>0</v>
      </c>
      <c r="D32" s="745">
        <v>10000000</v>
      </c>
      <c r="E32" s="733">
        <v>4000000</v>
      </c>
      <c r="F32" s="733">
        <v>10033299.0505</v>
      </c>
      <c r="G32" s="733">
        <v>0</v>
      </c>
      <c r="H32" s="733">
        <f t="shared" si="10"/>
        <v>3333333.333333333</v>
      </c>
      <c r="I32" s="258">
        <f t="shared" si="1"/>
        <v>3333333.333333333</v>
      </c>
      <c r="J32" s="575">
        <f t="shared" si="2"/>
        <v>1</v>
      </c>
      <c r="K32" s="735">
        <f t="shared" si="9"/>
        <v>4000000</v>
      </c>
    </row>
    <row r="33" spans="1:11" ht="12.75" customHeight="1" x14ac:dyDescent="0.25">
      <c r="A33" s="574" t="s">
        <v>1231</v>
      </c>
      <c r="B33" s="169"/>
      <c r="C33" s="748">
        <v>13445566.5845</v>
      </c>
      <c r="D33" s="745">
        <v>5000000</v>
      </c>
      <c r="E33" s="733">
        <v>-1E-26</v>
      </c>
      <c r="F33" s="733">
        <v>0</v>
      </c>
      <c r="G33" s="733">
        <v>0</v>
      </c>
      <c r="H33" s="733">
        <f t="shared" si="10"/>
        <v>-8.3333333333333327E-27</v>
      </c>
      <c r="I33" s="258">
        <f t="shared" si="1"/>
        <v>-8.3333333333333327E-27</v>
      </c>
      <c r="J33" s="575">
        <f t="shared" si="2"/>
        <v>1</v>
      </c>
      <c r="K33" s="735">
        <f t="shared" si="9"/>
        <v>-1E-26</v>
      </c>
    </row>
    <row r="34" spans="1:11" ht="12.75" customHeight="1" x14ac:dyDescent="0.25">
      <c r="A34" s="574" t="s">
        <v>1232</v>
      </c>
      <c r="B34" s="169"/>
      <c r="C34" s="748">
        <v>16913566.660500001</v>
      </c>
      <c r="D34" s="745">
        <v>5000000</v>
      </c>
      <c r="E34" s="733">
        <v>5000000</v>
      </c>
      <c r="F34" s="733">
        <v>0</v>
      </c>
      <c r="G34" s="733">
        <v>0</v>
      </c>
      <c r="H34" s="733">
        <f t="shared" si="10"/>
        <v>4166666.666666667</v>
      </c>
      <c r="I34" s="258">
        <f t="shared" si="1"/>
        <v>4166666.666666667</v>
      </c>
      <c r="J34" s="575">
        <f t="shared" si="2"/>
        <v>1</v>
      </c>
      <c r="K34" s="735">
        <f t="shared" si="9"/>
        <v>5000000</v>
      </c>
    </row>
    <row r="35" spans="1:11" ht="12.75" customHeight="1" x14ac:dyDescent="0.25">
      <c r="A35" s="574" t="s">
        <v>1233</v>
      </c>
      <c r="B35" s="169"/>
      <c r="C35" s="748">
        <v>0</v>
      </c>
      <c r="D35" s="745">
        <v>0</v>
      </c>
      <c r="E35" s="733">
        <v>0</v>
      </c>
      <c r="F35" s="733">
        <v>0</v>
      </c>
      <c r="G35" s="733">
        <v>0</v>
      </c>
      <c r="H35" s="733">
        <f t="shared" si="10"/>
        <v>0</v>
      </c>
      <c r="I35" s="258">
        <f t="shared" si="1"/>
        <v>0</v>
      </c>
      <c r="J35" s="575" t="str">
        <f t="shared" si="2"/>
        <v/>
      </c>
      <c r="K35" s="735">
        <f t="shared" si="9"/>
        <v>0</v>
      </c>
    </row>
    <row r="36" spans="1:11" ht="12.75" customHeight="1" x14ac:dyDescent="0.25">
      <c r="A36" s="574" t="s">
        <v>1234</v>
      </c>
      <c r="B36" s="169"/>
      <c r="C36" s="748">
        <v>0</v>
      </c>
      <c r="D36" s="745">
        <v>0</v>
      </c>
      <c r="E36" s="733">
        <v>0</v>
      </c>
      <c r="F36" s="733">
        <v>0</v>
      </c>
      <c r="G36" s="733">
        <v>0</v>
      </c>
      <c r="H36" s="733">
        <f t="shared" si="10"/>
        <v>0</v>
      </c>
      <c r="I36" s="258">
        <f t="shared" si="1"/>
        <v>0</v>
      </c>
      <c r="J36" s="575" t="str">
        <f t="shared" si="2"/>
        <v/>
      </c>
      <c r="K36" s="735">
        <f t="shared" si="9"/>
        <v>0</v>
      </c>
    </row>
    <row r="37" spans="1:11" ht="12.75" customHeight="1" x14ac:dyDescent="0.25">
      <c r="A37" s="574" t="s">
        <v>1211</v>
      </c>
      <c r="B37" s="169"/>
      <c r="C37" s="748">
        <v>0</v>
      </c>
      <c r="D37" s="745">
        <v>0</v>
      </c>
      <c r="E37" s="733">
        <v>0</v>
      </c>
      <c r="F37" s="733">
        <v>0</v>
      </c>
      <c r="G37" s="733">
        <v>0</v>
      </c>
      <c r="H37" s="733">
        <f t="shared" si="10"/>
        <v>0</v>
      </c>
      <c r="I37" s="258">
        <f t="shared" si="1"/>
        <v>0</v>
      </c>
      <c r="J37" s="575" t="str">
        <f t="shared" si="2"/>
        <v/>
      </c>
      <c r="K37" s="735">
        <f t="shared" si="9"/>
        <v>0</v>
      </c>
    </row>
    <row r="38" spans="1:11" ht="12.75" customHeight="1" x14ac:dyDescent="0.25">
      <c r="A38" s="517" t="s">
        <v>1235</v>
      </c>
      <c r="B38" s="169"/>
      <c r="C38" s="648">
        <f t="shared" ref="C38:H38" si="11">SUM(C39:C44)</f>
        <v>138771220.49683335</v>
      </c>
      <c r="D38" s="649">
        <f t="shared" si="11"/>
        <v>154157000</v>
      </c>
      <c r="E38" s="408">
        <f t="shared" si="11"/>
        <v>115102053</v>
      </c>
      <c r="F38" s="408">
        <f t="shared" si="11"/>
        <v>0</v>
      </c>
      <c r="G38" s="408">
        <f t="shared" si="11"/>
        <v>93825969.72634995</v>
      </c>
      <c r="H38" s="408">
        <f t="shared" si="11"/>
        <v>95918377.5</v>
      </c>
      <c r="I38" s="258">
        <f t="shared" si="1"/>
        <v>2092407.7736500502</v>
      </c>
      <c r="J38" s="575">
        <f t="shared" si="2"/>
        <v>2.1814461714076118E-2</v>
      </c>
      <c r="K38" s="642">
        <f>SUM(K39:K44)</f>
        <v>115102053</v>
      </c>
    </row>
    <row r="39" spans="1:11" ht="12.75" customHeight="1" x14ac:dyDescent="0.25">
      <c r="A39" s="574" t="s">
        <v>1236</v>
      </c>
      <c r="B39" s="169"/>
      <c r="C39" s="748">
        <v>0</v>
      </c>
      <c r="D39" s="745">
        <v>0</v>
      </c>
      <c r="E39" s="733">
        <v>0</v>
      </c>
      <c r="F39" s="733">
        <v>0</v>
      </c>
      <c r="G39" s="733">
        <v>0</v>
      </c>
      <c r="H39" s="733">
        <f t="shared" ref="H39:H44" si="12">E39/12*10</f>
        <v>0</v>
      </c>
      <c r="I39" s="258">
        <f t="shared" si="1"/>
        <v>0</v>
      </c>
      <c r="J39" s="575" t="str">
        <f t="shared" si="2"/>
        <v/>
      </c>
      <c r="K39" s="735">
        <f t="shared" ref="K39:K44" si="13">E39</f>
        <v>0</v>
      </c>
    </row>
    <row r="40" spans="1:11" ht="12.75" customHeight="1" x14ac:dyDescent="0.25">
      <c r="A40" s="574" t="s">
        <v>135</v>
      </c>
      <c r="B40" s="169"/>
      <c r="C40" s="748">
        <v>0</v>
      </c>
      <c r="D40" s="745">
        <v>0</v>
      </c>
      <c r="E40" s="733">
        <v>0</v>
      </c>
      <c r="F40" s="733">
        <v>0</v>
      </c>
      <c r="G40" s="733">
        <v>0</v>
      </c>
      <c r="H40" s="733">
        <f t="shared" si="12"/>
        <v>0</v>
      </c>
      <c r="I40" s="258">
        <f t="shared" si="1"/>
        <v>0</v>
      </c>
      <c r="J40" s="575" t="str">
        <f t="shared" si="2"/>
        <v/>
      </c>
      <c r="K40" s="735">
        <f t="shared" si="13"/>
        <v>0</v>
      </c>
    </row>
    <row r="41" spans="1:11" ht="12.75" customHeight="1" x14ac:dyDescent="0.25">
      <c r="A41" s="574" t="s">
        <v>1237</v>
      </c>
      <c r="B41" s="169"/>
      <c r="C41" s="748">
        <v>138771220.49683335</v>
      </c>
      <c r="D41" s="745">
        <v>154157000</v>
      </c>
      <c r="E41" s="733">
        <v>115102053</v>
      </c>
      <c r="F41" s="733">
        <v>0</v>
      </c>
      <c r="G41" s="733">
        <v>93825969.72634995</v>
      </c>
      <c r="H41" s="733">
        <f t="shared" si="12"/>
        <v>95918377.5</v>
      </c>
      <c r="I41" s="258">
        <f t="shared" si="1"/>
        <v>2092407.7736500502</v>
      </c>
      <c r="J41" s="575">
        <f t="shared" si="2"/>
        <v>2.1814461714076118E-2</v>
      </c>
      <c r="K41" s="735">
        <f t="shared" si="13"/>
        <v>115102053</v>
      </c>
    </row>
    <row r="42" spans="1:11" ht="12.75" customHeight="1" x14ac:dyDescent="0.25">
      <c r="A42" s="574" t="s">
        <v>1238</v>
      </c>
      <c r="B42" s="169"/>
      <c r="C42" s="748">
        <v>0</v>
      </c>
      <c r="D42" s="745">
        <v>0</v>
      </c>
      <c r="E42" s="733">
        <v>0</v>
      </c>
      <c r="F42" s="733">
        <v>0</v>
      </c>
      <c r="G42" s="733">
        <v>0</v>
      </c>
      <c r="H42" s="733">
        <f t="shared" si="12"/>
        <v>0</v>
      </c>
      <c r="I42" s="258">
        <f t="shared" si="1"/>
        <v>0</v>
      </c>
      <c r="J42" s="575" t="str">
        <f t="shared" si="2"/>
        <v/>
      </c>
      <c r="K42" s="735">
        <f t="shared" si="13"/>
        <v>0</v>
      </c>
    </row>
    <row r="43" spans="1:11" ht="12.75" customHeight="1" x14ac:dyDescent="0.25">
      <c r="A43" s="574" t="s">
        <v>1239</v>
      </c>
      <c r="B43" s="169"/>
      <c r="C43" s="748">
        <v>0</v>
      </c>
      <c r="D43" s="745">
        <v>0</v>
      </c>
      <c r="E43" s="733">
        <v>0</v>
      </c>
      <c r="F43" s="733">
        <v>0</v>
      </c>
      <c r="G43" s="733">
        <v>0</v>
      </c>
      <c r="H43" s="733">
        <f t="shared" si="12"/>
        <v>0</v>
      </c>
      <c r="I43" s="258">
        <f t="shared" si="1"/>
        <v>0</v>
      </c>
      <c r="J43" s="575" t="str">
        <f t="shared" si="2"/>
        <v/>
      </c>
      <c r="K43" s="735">
        <f t="shared" si="13"/>
        <v>0</v>
      </c>
    </row>
    <row r="44" spans="1:11" ht="12.75" customHeight="1" x14ac:dyDescent="0.25">
      <c r="A44" s="574" t="s">
        <v>1211</v>
      </c>
      <c r="B44" s="169"/>
      <c r="C44" s="748">
        <v>0</v>
      </c>
      <c r="D44" s="745">
        <v>0</v>
      </c>
      <c r="E44" s="733">
        <v>0</v>
      </c>
      <c r="F44" s="733">
        <v>0</v>
      </c>
      <c r="G44" s="733">
        <v>0</v>
      </c>
      <c r="H44" s="733">
        <f t="shared" si="12"/>
        <v>0</v>
      </c>
      <c r="I44" s="258">
        <f t="shared" si="1"/>
        <v>0</v>
      </c>
      <c r="J44" s="575" t="str">
        <f t="shared" si="2"/>
        <v/>
      </c>
      <c r="K44" s="735">
        <f t="shared" si="13"/>
        <v>0</v>
      </c>
    </row>
    <row r="45" spans="1:11" ht="12.75" customHeight="1" x14ac:dyDescent="0.25">
      <c r="A45" s="517" t="s">
        <v>1240</v>
      </c>
      <c r="B45" s="169"/>
      <c r="C45" s="648">
        <f t="shared" ref="C45:H45" si="14">SUM(C46:C52)</f>
        <v>754447.93199999991</v>
      </c>
      <c r="D45" s="649">
        <f t="shared" si="14"/>
        <v>0</v>
      </c>
      <c r="E45" s="408">
        <f t="shared" si="14"/>
        <v>1656914</v>
      </c>
      <c r="F45" s="408">
        <f t="shared" si="14"/>
        <v>0</v>
      </c>
      <c r="G45" s="408">
        <f t="shared" si="14"/>
        <v>0</v>
      </c>
      <c r="H45" s="408">
        <f t="shared" si="14"/>
        <v>1380761.6666666665</v>
      </c>
      <c r="I45" s="258">
        <f t="shared" si="1"/>
        <v>1380761.6666666665</v>
      </c>
      <c r="J45" s="575">
        <f t="shared" si="2"/>
        <v>1</v>
      </c>
      <c r="K45" s="642">
        <f>SUM(K46:K52)</f>
        <v>1656914</v>
      </c>
    </row>
    <row r="46" spans="1:11" ht="12.75" customHeight="1" x14ac:dyDescent="0.25">
      <c r="A46" s="574" t="s">
        <v>1241</v>
      </c>
      <c r="B46" s="169"/>
      <c r="C46" s="748">
        <v>754447.93199999991</v>
      </c>
      <c r="D46" s="745">
        <v>0</v>
      </c>
      <c r="E46" s="733">
        <v>0</v>
      </c>
      <c r="F46" s="733">
        <v>0</v>
      </c>
      <c r="G46" s="733">
        <v>0</v>
      </c>
      <c r="H46" s="733">
        <f>E46/12*10</f>
        <v>0</v>
      </c>
      <c r="I46" s="258">
        <f t="shared" si="1"/>
        <v>0</v>
      </c>
      <c r="J46" s="575" t="str">
        <f t="shared" si="2"/>
        <v/>
      </c>
      <c r="K46" s="735">
        <f t="shared" ref="K46:K52" si="15">E46</f>
        <v>0</v>
      </c>
    </row>
    <row r="47" spans="1:11" ht="12.75" customHeight="1" x14ac:dyDescent="0.25">
      <c r="A47" s="574" t="s">
        <v>1242</v>
      </c>
      <c r="B47" s="169"/>
      <c r="C47" s="748">
        <v>0</v>
      </c>
      <c r="D47" s="745">
        <v>0</v>
      </c>
      <c r="E47" s="733">
        <v>1656914</v>
      </c>
      <c r="F47" s="733">
        <v>0</v>
      </c>
      <c r="G47" s="733">
        <v>0</v>
      </c>
      <c r="H47" s="733">
        <f>E47/12*10</f>
        <v>1380761.6666666665</v>
      </c>
      <c r="I47" s="258">
        <f t="shared" si="1"/>
        <v>1380761.6666666665</v>
      </c>
      <c r="J47" s="575">
        <f t="shared" si="2"/>
        <v>1</v>
      </c>
      <c r="K47" s="735">
        <f t="shared" si="15"/>
        <v>1656914</v>
      </c>
    </row>
    <row r="48" spans="1:11" ht="12.75" customHeight="1" x14ac:dyDescent="0.25">
      <c r="A48" s="574" t="s">
        <v>1243</v>
      </c>
      <c r="B48" s="169"/>
      <c r="C48" s="748">
        <v>0</v>
      </c>
      <c r="D48" s="745">
        <v>0</v>
      </c>
      <c r="E48" s="733">
        <v>0</v>
      </c>
      <c r="F48" s="733">
        <v>0</v>
      </c>
      <c r="G48" s="733">
        <v>0</v>
      </c>
      <c r="H48" s="733">
        <f t="shared" ref="H48:H73" si="16">E48/12*10</f>
        <v>0</v>
      </c>
      <c r="I48" s="258">
        <f t="shared" si="1"/>
        <v>0</v>
      </c>
      <c r="J48" s="575" t="str">
        <f t="shared" si="2"/>
        <v/>
      </c>
      <c r="K48" s="735">
        <f t="shared" si="15"/>
        <v>0</v>
      </c>
    </row>
    <row r="49" spans="1:11" ht="12.75" customHeight="1" x14ac:dyDescent="0.25">
      <c r="A49" s="574" t="s">
        <v>1244</v>
      </c>
      <c r="B49" s="169"/>
      <c r="C49" s="748">
        <v>0</v>
      </c>
      <c r="D49" s="745">
        <v>0</v>
      </c>
      <c r="E49" s="733">
        <v>0</v>
      </c>
      <c r="F49" s="733">
        <v>0</v>
      </c>
      <c r="G49" s="733">
        <v>0</v>
      </c>
      <c r="H49" s="733">
        <f t="shared" si="16"/>
        <v>0</v>
      </c>
      <c r="I49" s="258">
        <f t="shared" si="1"/>
        <v>0</v>
      </c>
      <c r="J49" s="575" t="str">
        <f t="shared" si="2"/>
        <v/>
      </c>
      <c r="K49" s="735">
        <f t="shared" si="15"/>
        <v>0</v>
      </c>
    </row>
    <row r="50" spans="1:11" ht="12.75" customHeight="1" x14ac:dyDescent="0.25">
      <c r="A50" s="574" t="s">
        <v>1245</v>
      </c>
      <c r="B50" s="169"/>
      <c r="C50" s="748">
        <v>0</v>
      </c>
      <c r="D50" s="745">
        <v>0</v>
      </c>
      <c r="E50" s="733">
        <v>0</v>
      </c>
      <c r="F50" s="733">
        <v>0</v>
      </c>
      <c r="G50" s="733">
        <v>0</v>
      </c>
      <c r="H50" s="733">
        <f t="shared" si="16"/>
        <v>0</v>
      </c>
      <c r="I50" s="258">
        <f t="shared" si="1"/>
        <v>0</v>
      </c>
      <c r="J50" s="575" t="str">
        <f t="shared" si="2"/>
        <v/>
      </c>
      <c r="K50" s="735">
        <f t="shared" si="15"/>
        <v>0</v>
      </c>
    </row>
    <row r="51" spans="1:11" ht="12.75" customHeight="1" x14ac:dyDescent="0.25">
      <c r="A51" s="574" t="s">
        <v>1246</v>
      </c>
      <c r="B51" s="169"/>
      <c r="C51" s="748">
        <v>0</v>
      </c>
      <c r="D51" s="745">
        <v>0</v>
      </c>
      <c r="E51" s="733">
        <v>0</v>
      </c>
      <c r="F51" s="733">
        <v>0</v>
      </c>
      <c r="G51" s="733">
        <v>0</v>
      </c>
      <c r="H51" s="733">
        <f t="shared" si="16"/>
        <v>0</v>
      </c>
      <c r="I51" s="258">
        <f t="shared" si="1"/>
        <v>0</v>
      </c>
      <c r="J51" s="575" t="str">
        <f t="shared" si="2"/>
        <v/>
      </c>
      <c r="K51" s="735">
        <f t="shared" si="15"/>
        <v>0</v>
      </c>
    </row>
    <row r="52" spans="1:11" ht="12.75" customHeight="1" x14ac:dyDescent="0.25">
      <c r="A52" s="574" t="s">
        <v>1211</v>
      </c>
      <c r="B52" s="169"/>
      <c r="C52" s="748">
        <v>0</v>
      </c>
      <c r="D52" s="745">
        <v>0</v>
      </c>
      <c r="E52" s="733">
        <v>0</v>
      </c>
      <c r="F52" s="733">
        <v>0</v>
      </c>
      <c r="G52" s="733">
        <v>0</v>
      </c>
      <c r="H52" s="733">
        <f t="shared" si="16"/>
        <v>0</v>
      </c>
      <c r="I52" s="258">
        <f t="shared" si="1"/>
        <v>0</v>
      </c>
      <c r="J52" s="575" t="str">
        <f t="shared" si="2"/>
        <v/>
      </c>
      <c r="K52" s="735">
        <f t="shared" si="15"/>
        <v>0</v>
      </c>
    </row>
    <row r="53" spans="1:11" ht="12.75" customHeight="1" x14ac:dyDescent="0.25">
      <c r="A53" s="518" t="s">
        <v>1247</v>
      </c>
      <c r="B53" s="169"/>
      <c r="C53" s="648">
        <f t="shared" ref="C53:H53" si="17">SUM(C54:C62)</f>
        <v>0</v>
      </c>
      <c r="D53" s="649">
        <f t="shared" si="17"/>
        <v>0</v>
      </c>
      <c r="E53" s="408">
        <f t="shared" si="17"/>
        <v>0</v>
      </c>
      <c r="F53" s="408">
        <f t="shared" si="17"/>
        <v>0</v>
      </c>
      <c r="G53" s="408">
        <f t="shared" si="17"/>
        <v>0</v>
      </c>
      <c r="H53" s="408">
        <f t="shared" si="17"/>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 t="shared" si="16"/>
        <v>0</v>
      </c>
      <c r="I54" s="258">
        <f t="shared" si="1"/>
        <v>0</v>
      </c>
      <c r="J54" s="575" t="str">
        <f t="shared" si="2"/>
        <v/>
      </c>
      <c r="K54" s="735">
        <f t="shared" ref="K54:K62" si="18">E54</f>
        <v>0</v>
      </c>
    </row>
    <row r="55" spans="1:11" ht="12.75" customHeight="1" x14ac:dyDescent="0.25">
      <c r="A55" s="574" t="s">
        <v>1249</v>
      </c>
      <c r="B55" s="169"/>
      <c r="C55" s="748">
        <v>0</v>
      </c>
      <c r="D55" s="745">
        <v>0</v>
      </c>
      <c r="E55" s="733">
        <v>0</v>
      </c>
      <c r="F55" s="733">
        <v>0</v>
      </c>
      <c r="G55" s="733">
        <v>0</v>
      </c>
      <c r="H55" s="733">
        <f t="shared" si="16"/>
        <v>0</v>
      </c>
      <c r="I55" s="258">
        <f t="shared" si="1"/>
        <v>0</v>
      </c>
      <c r="J55" s="575" t="str">
        <f t="shared" si="2"/>
        <v/>
      </c>
      <c r="K55" s="735">
        <f t="shared" si="18"/>
        <v>0</v>
      </c>
    </row>
    <row r="56" spans="1:11" ht="12.75" customHeight="1" x14ac:dyDescent="0.25">
      <c r="A56" s="574" t="s">
        <v>1250</v>
      </c>
      <c r="B56" s="169"/>
      <c r="C56" s="748">
        <v>0</v>
      </c>
      <c r="D56" s="745">
        <v>0</v>
      </c>
      <c r="E56" s="733">
        <v>0</v>
      </c>
      <c r="F56" s="733">
        <v>0</v>
      </c>
      <c r="G56" s="733">
        <v>0</v>
      </c>
      <c r="H56" s="733">
        <f t="shared" si="16"/>
        <v>0</v>
      </c>
      <c r="I56" s="258">
        <f t="shared" si="1"/>
        <v>0</v>
      </c>
      <c r="J56" s="575" t="str">
        <f t="shared" si="2"/>
        <v/>
      </c>
      <c r="K56" s="735">
        <f t="shared" si="18"/>
        <v>0</v>
      </c>
    </row>
    <row r="57" spans="1:11" ht="12.75" customHeight="1" x14ac:dyDescent="0.25">
      <c r="A57" s="574" t="s">
        <v>1213</v>
      </c>
      <c r="B57" s="169"/>
      <c r="C57" s="748">
        <v>0</v>
      </c>
      <c r="D57" s="745">
        <v>0</v>
      </c>
      <c r="E57" s="733">
        <v>0</v>
      </c>
      <c r="F57" s="733">
        <v>0</v>
      </c>
      <c r="G57" s="733">
        <v>0</v>
      </c>
      <c r="H57" s="733">
        <f t="shared" si="16"/>
        <v>0</v>
      </c>
      <c r="I57" s="258">
        <f t="shared" si="1"/>
        <v>0</v>
      </c>
      <c r="J57" s="575" t="str">
        <f t="shared" si="2"/>
        <v/>
      </c>
      <c r="K57" s="735">
        <f t="shared" si="18"/>
        <v>0</v>
      </c>
    </row>
    <row r="58" spans="1:11" ht="12.75" customHeight="1" x14ac:dyDescent="0.25">
      <c r="A58" s="574" t="s">
        <v>1214</v>
      </c>
      <c r="B58" s="169"/>
      <c r="C58" s="748">
        <v>0</v>
      </c>
      <c r="D58" s="745">
        <v>0</v>
      </c>
      <c r="E58" s="733">
        <v>0</v>
      </c>
      <c r="F58" s="733">
        <v>0</v>
      </c>
      <c r="G58" s="733">
        <v>0</v>
      </c>
      <c r="H58" s="733">
        <f t="shared" si="16"/>
        <v>0</v>
      </c>
      <c r="I58" s="258">
        <f t="shared" si="1"/>
        <v>0</v>
      </c>
      <c r="J58" s="575" t="str">
        <f t="shared" si="2"/>
        <v/>
      </c>
      <c r="K58" s="735">
        <f t="shared" si="18"/>
        <v>0</v>
      </c>
    </row>
    <row r="59" spans="1:11" ht="12.75" customHeight="1" x14ac:dyDescent="0.25">
      <c r="A59" s="574" t="s">
        <v>1215</v>
      </c>
      <c r="B59" s="169"/>
      <c r="C59" s="748">
        <v>0</v>
      </c>
      <c r="D59" s="745">
        <v>0</v>
      </c>
      <c r="E59" s="733">
        <v>0</v>
      </c>
      <c r="F59" s="733">
        <v>0</v>
      </c>
      <c r="G59" s="733">
        <v>0</v>
      </c>
      <c r="H59" s="733">
        <f t="shared" si="16"/>
        <v>0</v>
      </c>
      <c r="I59" s="258">
        <f t="shared" si="1"/>
        <v>0</v>
      </c>
      <c r="J59" s="575" t="str">
        <f t="shared" si="2"/>
        <v/>
      </c>
      <c r="K59" s="735">
        <f t="shared" si="18"/>
        <v>0</v>
      </c>
    </row>
    <row r="60" spans="1:11" ht="12.75" customHeight="1" x14ac:dyDescent="0.25">
      <c r="A60" s="574" t="s">
        <v>1221</v>
      </c>
      <c r="B60" s="169"/>
      <c r="C60" s="748">
        <v>0</v>
      </c>
      <c r="D60" s="745">
        <v>0</v>
      </c>
      <c r="E60" s="733">
        <v>0</v>
      </c>
      <c r="F60" s="733">
        <v>0</v>
      </c>
      <c r="G60" s="733">
        <v>0</v>
      </c>
      <c r="H60" s="733">
        <f t="shared" si="16"/>
        <v>0</v>
      </c>
      <c r="I60" s="258">
        <f t="shared" si="1"/>
        <v>0</v>
      </c>
      <c r="J60" s="575" t="str">
        <f t="shared" si="2"/>
        <v/>
      </c>
      <c r="K60" s="735">
        <f t="shared" si="18"/>
        <v>0</v>
      </c>
    </row>
    <row r="61" spans="1:11" ht="12.75" customHeight="1" x14ac:dyDescent="0.25">
      <c r="A61" s="574" t="s">
        <v>1224</v>
      </c>
      <c r="B61" s="169"/>
      <c r="C61" s="748">
        <v>0</v>
      </c>
      <c r="D61" s="745">
        <v>0</v>
      </c>
      <c r="E61" s="733">
        <v>0</v>
      </c>
      <c r="F61" s="733">
        <v>0</v>
      </c>
      <c r="G61" s="733">
        <v>0</v>
      </c>
      <c r="H61" s="733">
        <f t="shared" si="16"/>
        <v>0</v>
      </c>
      <c r="I61" s="258">
        <f t="shared" si="1"/>
        <v>0</v>
      </c>
      <c r="J61" s="575" t="str">
        <f t="shared" si="2"/>
        <v/>
      </c>
      <c r="K61" s="735">
        <f t="shared" si="18"/>
        <v>0</v>
      </c>
    </row>
    <row r="62" spans="1:11" ht="12.75" customHeight="1" x14ac:dyDescent="0.25">
      <c r="A62" s="574" t="s">
        <v>1211</v>
      </c>
      <c r="B62" s="169"/>
      <c r="C62" s="748">
        <v>0</v>
      </c>
      <c r="D62" s="745">
        <v>0</v>
      </c>
      <c r="E62" s="733">
        <v>0</v>
      </c>
      <c r="F62" s="733">
        <v>0</v>
      </c>
      <c r="G62" s="733">
        <v>0</v>
      </c>
      <c r="H62" s="733">
        <f t="shared" si="16"/>
        <v>0</v>
      </c>
      <c r="I62" s="258">
        <f t="shared" si="1"/>
        <v>0</v>
      </c>
      <c r="J62" s="575" t="str">
        <f t="shared" si="2"/>
        <v/>
      </c>
      <c r="K62" s="735">
        <f t="shared" si="18"/>
        <v>0</v>
      </c>
    </row>
    <row r="63" spans="1:11" ht="12.75" customHeight="1" x14ac:dyDescent="0.25">
      <c r="A63" s="517" t="s">
        <v>1251</v>
      </c>
      <c r="B63" s="169"/>
      <c r="C63" s="648">
        <f t="shared" ref="C63:H63" si="19">SUM(C64:C68)</f>
        <v>0</v>
      </c>
      <c r="D63" s="649">
        <f t="shared" si="19"/>
        <v>0</v>
      </c>
      <c r="E63" s="408">
        <f t="shared" si="19"/>
        <v>0</v>
      </c>
      <c r="F63" s="408">
        <f t="shared" si="19"/>
        <v>0</v>
      </c>
      <c r="G63" s="408">
        <f t="shared" si="19"/>
        <v>0</v>
      </c>
      <c r="H63" s="408">
        <f t="shared" si="19"/>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 t="shared" si="16"/>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si="16"/>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16"/>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16"/>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16"/>
        <v>0</v>
      </c>
      <c r="I68" s="258">
        <f t="shared" si="1"/>
        <v>0</v>
      </c>
      <c r="J68" s="575" t="str">
        <f t="shared" si="2"/>
        <v/>
      </c>
      <c r="K68" s="735">
        <f>E68</f>
        <v>0</v>
      </c>
    </row>
    <row r="69" spans="1:11" ht="12.75" customHeight="1" x14ac:dyDescent="0.25">
      <c r="A69" s="518" t="s">
        <v>1256</v>
      </c>
      <c r="B69" s="169"/>
      <c r="C69" s="648">
        <f t="shared" ref="C69:H69" si="20">SUM(C70:C73)</f>
        <v>10228265.2205</v>
      </c>
      <c r="D69" s="649">
        <f t="shared" si="20"/>
        <v>0</v>
      </c>
      <c r="E69" s="408">
        <f t="shared" si="20"/>
        <v>0</v>
      </c>
      <c r="F69" s="408">
        <f t="shared" si="20"/>
        <v>0</v>
      </c>
      <c r="G69" s="408">
        <f t="shared" si="20"/>
        <v>0</v>
      </c>
      <c r="H69" s="408">
        <f t="shared" si="20"/>
        <v>0</v>
      </c>
      <c r="I69" s="258">
        <f t="shared" si="1"/>
        <v>0</v>
      </c>
      <c r="J69" s="575" t="str">
        <f t="shared" si="2"/>
        <v/>
      </c>
      <c r="K69" s="642">
        <f>SUM(K70:K73)</f>
        <v>0</v>
      </c>
    </row>
    <row r="70" spans="1:11" ht="12.75" customHeight="1" x14ac:dyDescent="0.25">
      <c r="A70" s="574" t="s">
        <v>1257</v>
      </c>
      <c r="B70" s="169"/>
      <c r="C70" s="748">
        <v>10228265.2205</v>
      </c>
      <c r="D70" s="745">
        <v>0</v>
      </c>
      <c r="E70" s="733">
        <v>0</v>
      </c>
      <c r="F70" s="733">
        <v>0</v>
      </c>
      <c r="G70" s="733">
        <v>0</v>
      </c>
      <c r="H70" s="733">
        <f t="shared" si="16"/>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si="16"/>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16"/>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16"/>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1">+C76+C99</f>
        <v>6151394.8499999996</v>
      </c>
      <c r="D75" s="577">
        <f t="shared" si="21"/>
        <v>11300000</v>
      </c>
      <c r="E75" s="578">
        <f t="shared" si="21"/>
        <v>24296160</v>
      </c>
      <c r="F75" s="578">
        <f t="shared" si="21"/>
        <v>5038164.7874999996</v>
      </c>
      <c r="G75" s="578">
        <f t="shared" si="21"/>
        <v>25842411.7881</v>
      </c>
      <c r="H75" s="578">
        <f t="shared" si="21"/>
        <v>20246800</v>
      </c>
      <c r="I75" s="578">
        <f t="shared" si="1"/>
        <v>-5595611.7881000005</v>
      </c>
      <c r="J75" s="579">
        <f t="shared" si="2"/>
        <v>-0.27637018136693209</v>
      </c>
      <c r="K75" s="580">
        <f>+K76+K99</f>
        <v>24296160</v>
      </c>
    </row>
    <row r="76" spans="1:11" ht="12.75" customHeight="1" x14ac:dyDescent="0.25">
      <c r="A76" s="518" t="s">
        <v>1260</v>
      </c>
      <c r="B76" s="169"/>
      <c r="C76" s="648">
        <f t="shared" ref="C76:H76" si="22">SUM(C77:C98)</f>
        <v>4070029.4</v>
      </c>
      <c r="D76" s="649">
        <f t="shared" si="22"/>
        <v>300000</v>
      </c>
      <c r="E76" s="408">
        <f t="shared" si="22"/>
        <v>1400000</v>
      </c>
      <c r="F76" s="408">
        <f t="shared" si="22"/>
        <v>3127062.29</v>
      </c>
      <c r="G76" s="408">
        <f t="shared" si="22"/>
        <v>6641515.4035999998</v>
      </c>
      <c r="H76" s="408">
        <f t="shared" si="22"/>
        <v>1166666.6666666667</v>
      </c>
      <c r="I76" s="258">
        <f t="shared" si="1"/>
        <v>-5474848.7369333329</v>
      </c>
      <c r="J76" s="575">
        <f t="shared" si="2"/>
        <v>-4.6927274887999992</v>
      </c>
      <c r="K76" s="642">
        <f>SUM(K77:K98)</f>
        <v>1400000</v>
      </c>
    </row>
    <row r="77" spans="1:11" ht="12.75" customHeight="1" x14ac:dyDescent="0.25">
      <c r="A77" s="574" t="s">
        <v>1261</v>
      </c>
      <c r="B77" s="169"/>
      <c r="C77" s="748">
        <v>0</v>
      </c>
      <c r="D77" s="753">
        <v>0</v>
      </c>
      <c r="E77" s="733">
        <v>0</v>
      </c>
      <c r="F77" s="733">
        <v>0</v>
      </c>
      <c r="G77" s="733">
        <v>0</v>
      </c>
      <c r="H77" s="733">
        <f t="shared" ref="H77:H98" si="23">E77/12*10</f>
        <v>0</v>
      </c>
      <c r="I77" s="44">
        <f t="shared" si="1"/>
        <v>0</v>
      </c>
      <c r="J77" s="124" t="str">
        <f t="shared" si="2"/>
        <v/>
      </c>
      <c r="K77" s="735">
        <f t="shared" ref="K77:K98" si="24">E77</f>
        <v>0</v>
      </c>
    </row>
    <row r="78" spans="1:11" ht="12.75" customHeight="1" x14ac:dyDescent="0.25">
      <c r="A78" s="574" t="s">
        <v>1262</v>
      </c>
      <c r="B78" s="169"/>
      <c r="C78" s="748">
        <v>0</v>
      </c>
      <c r="D78" s="753">
        <v>0</v>
      </c>
      <c r="E78" s="733">
        <v>0</v>
      </c>
      <c r="F78" s="733">
        <v>0</v>
      </c>
      <c r="G78" s="733">
        <v>0</v>
      </c>
      <c r="H78" s="733">
        <f t="shared" si="23"/>
        <v>0</v>
      </c>
      <c r="I78" s="44">
        <f t="shared" si="1"/>
        <v>0</v>
      </c>
      <c r="J78" s="124" t="str">
        <f t="shared" si="2"/>
        <v/>
      </c>
      <c r="K78" s="735">
        <f t="shared" si="24"/>
        <v>0</v>
      </c>
    </row>
    <row r="79" spans="1:11" ht="12.75" customHeight="1" x14ac:dyDescent="0.25">
      <c r="A79" s="574" t="s">
        <v>1263</v>
      </c>
      <c r="B79" s="169"/>
      <c r="C79" s="748">
        <v>0</v>
      </c>
      <c r="D79" s="753">
        <v>0</v>
      </c>
      <c r="E79" s="733">
        <v>0</v>
      </c>
      <c r="F79" s="733">
        <v>0</v>
      </c>
      <c r="G79" s="733">
        <v>0</v>
      </c>
      <c r="H79" s="733">
        <f t="shared" si="23"/>
        <v>0</v>
      </c>
      <c r="I79" s="44">
        <f t="shared" si="1"/>
        <v>0</v>
      </c>
      <c r="J79" s="124" t="str">
        <f t="shared" si="2"/>
        <v/>
      </c>
      <c r="K79" s="735">
        <f t="shared" si="24"/>
        <v>0</v>
      </c>
    </row>
    <row r="80" spans="1:11" ht="12.75" customHeight="1" x14ac:dyDescent="0.25">
      <c r="A80" s="574" t="s">
        <v>1264</v>
      </c>
      <c r="B80" s="169"/>
      <c r="C80" s="748">
        <v>0</v>
      </c>
      <c r="D80" s="753">
        <v>0</v>
      </c>
      <c r="E80" s="733">
        <v>0</v>
      </c>
      <c r="F80" s="733">
        <v>0</v>
      </c>
      <c r="G80" s="733">
        <v>0</v>
      </c>
      <c r="H80" s="733">
        <f t="shared" si="23"/>
        <v>0</v>
      </c>
      <c r="I80" s="44">
        <f t="shared" si="1"/>
        <v>0</v>
      </c>
      <c r="J80" s="124" t="str">
        <f t="shared" si="2"/>
        <v/>
      </c>
      <c r="K80" s="735">
        <f t="shared" si="24"/>
        <v>0</v>
      </c>
    </row>
    <row r="81" spans="1:11" ht="12.75" customHeight="1" x14ac:dyDescent="0.25">
      <c r="A81" s="574" t="s">
        <v>1265</v>
      </c>
      <c r="B81" s="169"/>
      <c r="C81" s="748">
        <v>0</v>
      </c>
      <c r="D81" s="753">
        <v>0</v>
      </c>
      <c r="E81" s="733">
        <v>0</v>
      </c>
      <c r="F81" s="733">
        <v>0</v>
      </c>
      <c r="G81" s="733">
        <v>0</v>
      </c>
      <c r="H81" s="733">
        <f t="shared" si="23"/>
        <v>0</v>
      </c>
      <c r="I81" s="44">
        <f t="shared" si="1"/>
        <v>0</v>
      </c>
      <c r="J81" s="124" t="str">
        <f t="shared" si="2"/>
        <v/>
      </c>
      <c r="K81" s="735">
        <f t="shared" si="24"/>
        <v>0</v>
      </c>
    </row>
    <row r="82" spans="1:11" ht="12.75" customHeight="1" x14ac:dyDescent="0.25">
      <c r="A82" s="574" t="s">
        <v>1266</v>
      </c>
      <c r="B82" s="169"/>
      <c r="C82" s="748">
        <v>0</v>
      </c>
      <c r="D82" s="753">
        <v>0</v>
      </c>
      <c r="E82" s="733">
        <v>0</v>
      </c>
      <c r="F82" s="733">
        <v>0</v>
      </c>
      <c r="G82" s="733">
        <v>0</v>
      </c>
      <c r="H82" s="733">
        <f t="shared" si="23"/>
        <v>0</v>
      </c>
      <c r="I82" s="44">
        <f t="shared" si="1"/>
        <v>0</v>
      </c>
      <c r="J82" s="124" t="str">
        <f t="shared" si="2"/>
        <v/>
      </c>
      <c r="K82" s="735">
        <f t="shared" si="24"/>
        <v>0</v>
      </c>
    </row>
    <row r="83" spans="1:11" ht="12.75" customHeight="1" x14ac:dyDescent="0.25">
      <c r="A83" s="574" t="s">
        <v>1267</v>
      </c>
      <c r="B83" s="169"/>
      <c r="C83" s="748">
        <v>0</v>
      </c>
      <c r="D83" s="753">
        <v>0</v>
      </c>
      <c r="E83" s="733">
        <v>0</v>
      </c>
      <c r="F83" s="733">
        <v>0</v>
      </c>
      <c r="G83" s="733">
        <v>0</v>
      </c>
      <c r="H83" s="733">
        <f t="shared" si="23"/>
        <v>0</v>
      </c>
      <c r="I83" s="44">
        <f t="shared" si="1"/>
        <v>0</v>
      </c>
      <c r="J83" s="124" t="str">
        <f t="shared" si="2"/>
        <v/>
      </c>
      <c r="K83" s="735">
        <f t="shared" si="24"/>
        <v>0</v>
      </c>
    </row>
    <row r="84" spans="1:11" ht="12.75" customHeight="1" x14ac:dyDescent="0.25">
      <c r="A84" s="574" t="s">
        <v>1268</v>
      </c>
      <c r="B84" s="169"/>
      <c r="C84" s="748">
        <v>0</v>
      </c>
      <c r="D84" s="753">
        <v>0</v>
      </c>
      <c r="E84" s="733">
        <v>0</v>
      </c>
      <c r="F84" s="733">
        <v>0</v>
      </c>
      <c r="G84" s="733">
        <v>0</v>
      </c>
      <c r="H84" s="733">
        <f t="shared" si="23"/>
        <v>0</v>
      </c>
      <c r="I84" s="44">
        <f t="shared" si="1"/>
        <v>0</v>
      </c>
      <c r="J84" s="124" t="str">
        <f t="shared" si="2"/>
        <v/>
      </c>
      <c r="K84" s="735">
        <f t="shared" si="24"/>
        <v>0</v>
      </c>
    </row>
    <row r="85" spans="1:11" ht="12.75" customHeight="1" x14ac:dyDescent="0.25">
      <c r="A85" s="574" t="s">
        <v>1144</v>
      </c>
      <c r="B85" s="169"/>
      <c r="C85" s="748">
        <v>0</v>
      </c>
      <c r="D85" s="753">
        <v>0</v>
      </c>
      <c r="E85" s="733">
        <v>0</v>
      </c>
      <c r="F85" s="733">
        <v>0</v>
      </c>
      <c r="G85" s="733">
        <v>0</v>
      </c>
      <c r="H85" s="733">
        <f t="shared" si="23"/>
        <v>0</v>
      </c>
      <c r="I85" s="44">
        <f t="shared" si="1"/>
        <v>0</v>
      </c>
      <c r="J85" s="124" t="str">
        <f t="shared" si="2"/>
        <v/>
      </c>
      <c r="K85" s="735">
        <f t="shared" si="24"/>
        <v>0</v>
      </c>
    </row>
    <row r="86" spans="1:11" ht="12.75" customHeight="1" x14ac:dyDescent="0.25">
      <c r="A86" s="574" t="s">
        <v>555</v>
      </c>
      <c r="B86" s="169"/>
      <c r="C86" s="748">
        <v>0</v>
      </c>
      <c r="D86" s="753">
        <v>0</v>
      </c>
      <c r="E86" s="733">
        <v>0</v>
      </c>
      <c r="F86" s="733">
        <v>0</v>
      </c>
      <c r="G86" s="733">
        <v>0</v>
      </c>
      <c r="H86" s="733">
        <f t="shared" si="23"/>
        <v>0</v>
      </c>
      <c r="I86" s="44">
        <f t="shared" si="1"/>
        <v>0</v>
      </c>
      <c r="J86" s="124" t="str">
        <f t="shared" si="2"/>
        <v/>
      </c>
      <c r="K86" s="735">
        <f t="shared" si="24"/>
        <v>0</v>
      </c>
    </row>
    <row r="87" spans="1:11" ht="12.75" customHeight="1" x14ac:dyDescent="0.25">
      <c r="A87" s="574" t="s">
        <v>1269</v>
      </c>
      <c r="B87" s="169"/>
      <c r="C87" s="748">
        <v>0</v>
      </c>
      <c r="D87" s="753">
        <v>0</v>
      </c>
      <c r="E87" s="733">
        <v>0</v>
      </c>
      <c r="F87" s="733">
        <v>0</v>
      </c>
      <c r="G87" s="733">
        <v>0</v>
      </c>
      <c r="H87" s="733">
        <f t="shared" si="23"/>
        <v>0</v>
      </c>
      <c r="I87" s="44">
        <f t="shared" si="1"/>
        <v>0</v>
      </c>
      <c r="J87" s="124" t="str">
        <f t="shared" si="2"/>
        <v/>
      </c>
      <c r="K87" s="735">
        <f t="shared" si="24"/>
        <v>0</v>
      </c>
    </row>
    <row r="88" spans="1:11" ht="12.75" customHeight="1" x14ac:dyDescent="0.25">
      <c r="A88" s="574" t="s">
        <v>166</v>
      </c>
      <c r="B88" s="169"/>
      <c r="C88" s="748">
        <v>0</v>
      </c>
      <c r="D88" s="753">
        <v>0</v>
      </c>
      <c r="E88" s="733">
        <v>0</v>
      </c>
      <c r="F88" s="733">
        <v>0</v>
      </c>
      <c r="G88" s="733">
        <v>0</v>
      </c>
      <c r="H88" s="733">
        <f t="shared" si="23"/>
        <v>0</v>
      </c>
      <c r="I88" s="44">
        <f t="shared" si="1"/>
        <v>0</v>
      </c>
      <c r="J88" s="124" t="str">
        <f t="shared" si="2"/>
        <v/>
      </c>
      <c r="K88" s="735">
        <f t="shared" si="24"/>
        <v>0</v>
      </c>
    </row>
    <row r="89" spans="1:11" ht="12.75" customHeight="1" x14ac:dyDescent="0.25">
      <c r="A89" s="574" t="s">
        <v>1270</v>
      </c>
      <c r="B89" s="169"/>
      <c r="C89" s="748">
        <v>0</v>
      </c>
      <c r="D89" s="753">
        <v>0</v>
      </c>
      <c r="E89" s="733">
        <v>0</v>
      </c>
      <c r="F89" s="733">
        <v>0</v>
      </c>
      <c r="G89" s="733">
        <v>0</v>
      </c>
      <c r="H89" s="733">
        <f t="shared" si="23"/>
        <v>0</v>
      </c>
      <c r="I89" s="44">
        <f t="shared" si="1"/>
        <v>0</v>
      </c>
      <c r="J89" s="124" t="str">
        <f t="shared" si="2"/>
        <v/>
      </c>
      <c r="K89" s="735">
        <f t="shared" si="24"/>
        <v>0</v>
      </c>
    </row>
    <row r="90" spans="1:11" ht="12.75" customHeight="1" x14ac:dyDescent="0.25">
      <c r="A90" s="574" t="s">
        <v>1271</v>
      </c>
      <c r="B90" s="169"/>
      <c r="C90" s="748">
        <v>0</v>
      </c>
      <c r="D90" s="753">
        <v>0</v>
      </c>
      <c r="E90" s="733">
        <v>0</v>
      </c>
      <c r="F90" s="733">
        <v>0</v>
      </c>
      <c r="G90" s="733">
        <v>0</v>
      </c>
      <c r="H90" s="733">
        <f t="shared" si="23"/>
        <v>0</v>
      </c>
      <c r="I90" s="44">
        <f t="shared" si="1"/>
        <v>0</v>
      </c>
      <c r="J90" s="124" t="str">
        <f t="shared" si="2"/>
        <v/>
      </c>
      <c r="K90" s="735">
        <f t="shared" si="24"/>
        <v>0</v>
      </c>
    </row>
    <row r="91" spans="1:11" ht="12.75" customHeight="1" x14ac:dyDescent="0.25">
      <c r="A91" s="574" t="s">
        <v>1272</v>
      </c>
      <c r="B91" s="169"/>
      <c r="C91" s="748">
        <v>0</v>
      </c>
      <c r="D91" s="753">
        <v>300000</v>
      </c>
      <c r="E91" s="733">
        <v>0</v>
      </c>
      <c r="F91" s="733">
        <v>0</v>
      </c>
      <c r="G91" s="733">
        <v>0</v>
      </c>
      <c r="H91" s="733">
        <f t="shared" si="23"/>
        <v>0</v>
      </c>
      <c r="I91" s="44">
        <f t="shared" si="1"/>
        <v>0</v>
      </c>
      <c r="J91" s="124" t="str">
        <f t="shared" si="2"/>
        <v/>
      </c>
      <c r="K91" s="735">
        <f t="shared" si="24"/>
        <v>0</v>
      </c>
    </row>
    <row r="92" spans="1:11" ht="12.75" customHeight="1" x14ac:dyDescent="0.25">
      <c r="A92" s="574" t="s">
        <v>1273</v>
      </c>
      <c r="B92" s="169"/>
      <c r="C92" s="748">
        <v>0</v>
      </c>
      <c r="D92" s="753">
        <v>0</v>
      </c>
      <c r="E92" s="733">
        <v>0</v>
      </c>
      <c r="F92" s="733">
        <v>0</v>
      </c>
      <c r="G92" s="733">
        <v>0</v>
      </c>
      <c r="H92" s="733">
        <f t="shared" si="23"/>
        <v>0</v>
      </c>
      <c r="I92" s="44">
        <f t="shared" si="1"/>
        <v>0</v>
      </c>
      <c r="J92" s="124" t="str">
        <f t="shared" si="2"/>
        <v/>
      </c>
      <c r="K92" s="735">
        <f t="shared" si="24"/>
        <v>0</v>
      </c>
    </row>
    <row r="93" spans="1:11" ht="12.75" customHeight="1" x14ac:dyDescent="0.25">
      <c r="A93" s="574" t="s">
        <v>441</v>
      </c>
      <c r="B93" s="169"/>
      <c r="C93" s="748">
        <v>0</v>
      </c>
      <c r="D93" s="753">
        <v>0</v>
      </c>
      <c r="E93" s="733">
        <v>0</v>
      </c>
      <c r="F93" s="733">
        <v>0</v>
      </c>
      <c r="G93" s="733">
        <v>0</v>
      </c>
      <c r="H93" s="733">
        <f t="shared" si="23"/>
        <v>0</v>
      </c>
      <c r="I93" s="44">
        <f t="shared" si="1"/>
        <v>0</v>
      </c>
      <c r="J93" s="124" t="str">
        <f t="shared" si="2"/>
        <v/>
      </c>
      <c r="K93" s="735">
        <f t="shared" si="24"/>
        <v>0</v>
      </c>
    </row>
    <row r="94" spans="1:11" ht="12.75" customHeight="1" x14ac:dyDescent="0.25">
      <c r="A94" s="574" t="s">
        <v>1274</v>
      </c>
      <c r="B94" s="169"/>
      <c r="C94" s="748">
        <v>0</v>
      </c>
      <c r="D94" s="753">
        <v>0</v>
      </c>
      <c r="E94" s="733">
        <v>0</v>
      </c>
      <c r="F94" s="733">
        <v>0</v>
      </c>
      <c r="G94" s="733">
        <v>0</v>
      </c>
      <c r="H94" s="733">
        <f t="shared" si="23"/>
        <v>0</v>
      </c>
      <c r="I94" s="44">
        <f t="shared" si="1"/>
        <v>0</v>
      </c>
      <c r="J94" s="124" t="str">
        <f t="shared" si="2"/>
        <v/>
      </c>
      <c r="K94" s="735">
        <f t="shared" si="24"/>
        <v>0</v>
      </c>
    </row>
    <row r="95" spans="1:11" ht="12.75" customHeight="1" x14ac:dyDescent="0.25">
      <c r="A95" s="574" t="s">
        <v>440</v>
      </c>
      <c r="B95" s="169"/>
      <c r="C95" s="748">
        <v>0</v>
      </c>
      <c r="D95" s="753">
        <v>0</v>
      </c>
      <c r="E95" s="733">
        <v>0</v>
      </c>
      <c r="F95" s="733">
        <v>0</v>
      </c>
      <c r="G95" s="733">
        <v>0</v>
      </c>
      <c r="H95" s="733">
        <f t="shared" si="23"/>
        <v>0</v>
      </c>
      <c r="I95" s="44">
        <f t="shared" si="1"/>
        <v>0</v>
      </c>
      <c r="J95" s="124" t="str">
        <f t="shared" si="2"/>
        <v/>
      </c>
      <c r="K95" s="735">
        <f t="shared" si="24"/>
        <v>0</v>
      </c>
    </row>
    <row r="96" spans="1:11" ht="12.75" customHeight="1" x14ac:dyDescent="0.25">
      <c r="A96" s="574" t="s">
        <v>1275</v>
      </c>
      <c r="B96" s="169"/>
      <c r="C96" s="748">
        <v>0</v>
      </c>
      <c r="D96" s="753">
        <v>0</v>
      </c>
      <c r="E96" s="733">
        <v>0</v>
      </c>
      <c r="F96" s="733">
        <v>0</v>
      </c>
      <c r="G96" s="733">
        <v>0</v>
      </c>
      <c r="H96" s="733">
        <f t="shared" si="23"/>
        <v>0</v>
      </c>
      <c r="I96" s="44">
        <f t="shared" si="1"/>
        <v>0</v>
      </c>
      <c r="J96" s="124" t="str">
        <f t="shared" si="2"/>
        <v/>
      </c>
      <c r="K96" s="735">
        <f t="shared" si="24"/>
        <v>0</v>
      </c>
    </row>
    <row r="97" spans="1:11" ht="12.75" customHeight="1" x14ac:dyDescent="0.25">
      <c r="A97" s="574" t="s">
        <v>1276</v>
      </c>
      <c r="B97" s="169"/>
      <c r="C97" s="748">
        <v>0</v>
      </c>
      <c r="D97" s="753">
        <v>0</v>
      </c>
      <c r="E97" s="733">
        <v>0</v>
      </c>
      <c r="F97" s="733">
        <v>3127062.29</v>
      </c>
      <c r="G97" s="733">
        <v>3127062.29</v>
      </c>
      <c r="H97" s="733">
        <f t="shared" si="23"/>
        <v>0</v>
      </c>
      <c r="I97" s="44">
        <f t="shared" si="1"/>
        <v>-3127062.29</v>
      </c>
      <c r="J97" s="124" t="e">
        <f t="shared" si="2"/>
        <v>#DIV/0!</v>
      </c>
      <c r="K97" s="735">
        <f t="shared" si="24"/>
        <v>0</v>
      </c>
    </row>
    <row r="98" spans="1:11" ht="12.75" customHeight="1" x14ac:dyDescent="0.25">
      <c r="A98" s="574" t="s">
        <v>1211</v>
      </c>
      <c r="B98" s="169"/>
      <c r="C98" s="748">
        <v>4070029.4</v>
      </c>
      <c r="D98" s="753">
        <v>0</v>
      </c>
      <c r="E98" s="733">
        <v>1400000</v>
      </c>
      <c r="F98" s="733">
        <v>0</v>
      </c>
      <c r="G98" s="733">
        <v>3514453.1135999998</v>
      </c>
      <c r="H98" s="733">
        <f t="shared" si="23"/>
        <v>1166666.6666666667</v>
      </c>
      <c r="I98" s="44">
        <f t="shared" si="1"/>
        <v>-2347786.4469333328</v>
      </c>
      <c r="J98" s="124">
        <f t="shared" si="2"/>
        <v>-2.0123883830857139</v>
      </c>
      <c r="K98" s="735">
        <f t="shared" si="24"/>
        <v>1400000</v>
      </c>
    </row>
    <row r="99" spans="1:11" ht="12.75" customHeight="1" x14ac:dyDescent="0.25">
      <c r="A99" s="518" t="s">
        <v>1277</v>
      </c>
      <c r="B99" s="169"/>
      <c r="C99" s="648">
        <f t="shared" ref="C99:H99" si="25">SUM(C100:C102)</f>
        <v>2081365.45</v>
      </c>
      <c r="D99" s="649">
        <f t="shared" si="25"/>
        <v>11000000</v>
      </c>
      <c r="E99" s="408">
        <f t="shared" si="25"/>
        <v>22896160</v>
      </c>
      <c r="F99" s="408">
        <f t="shared" si="25"/>
        <v>1911102.4975000001</v>
      </c>
      <c r="G99" s="408">
        <f t="shared" si="25"/>
        <v>19200896.384500001</v>
      </c>
      <c r="H99" s="408">
        <f t="shared" si="25"/>
        <v>19080133.333333332</v>
      </c>
      <c r="I99" s="258">
        <f t="shared" si="1"/>
        <v>-120763.05116666853</v>
      </c>
      <c r="J99" s="575">
        <f t="shared" si="2"/>
        <v>-6.3292561460088614E-3</v>
      </c>
      <c r="K99" s="642">
        <f>SUM(K100:K102)</f>
        <v>22896160</v>
      </c>
    </row>
    <row r="100" spans="1:11" ht="12.75" customHeight="1" x14ac:dyDescent="0.25">
      <c r="A100" s="574" t="s">
        <v>1278</v>
      </c>
      <c r="B100" s="169"/>
      <c r="C100" s="748">
        <v>0</v>
      </c>
      <c r="D100" s="753">
        <v>0</v>
      </c>
      <c r="E100" s="733">
        <v>0</v>
      </c>
      <c r="F100" s="733"/>
      <c r="G100" s="733"/>
      <c r="H100" s="733">
        <f t="shared" ref="H100:H102" si="26">E100/12*10</f>
        <v>0</v>
      </c>
      <c r="I100" s="44">
        <f t="shared" si="1"/>
        <v>0</v>
      </c>
      <c r="J100" s="124" t="str">
        <f t="shared" si="2"/>
        <v/>
      </c>
      <c r="K100" s="735">
        <f>E100</f>
        <v>0</v>
      </c>
    </row>
    <row r="101" spans="1:11" ht="12.75" customHeight="1" x14ac:dyDescent="0.25">
      <c r="A101" s="574" t="s">
        <v>1279</v>
      </c>
      <c r="B101" s="169"/>
      <c r="C101" s="748">
        <v>2081365.45</v>
      </c>
      <c r="D101" s="753">
        <v>11000000</v>
      </c>
      <c r="E101" s="733">
        <v>22896160</v>
      </c>
      <c r="F101" s="733">
        <v>1911102.4975000001</v>
      </c>
      <c r="G101" s="733">
        <v>19200896.384500001</v>
      </c>
      <c r="H101" s="733">
        <f t="shared" si="26"/>
        <v>19080133.333333332</v>
      </c>
      <c r="I101" s="44">
        <f>H101-G101</f>
        <v>-120763.05116666853</v>
      </c>
      <c r="J101" s="124">
        <f>IF(I101=0,"",I101/H101)</f>
        <v>-6.3292561460088614E-3</v>
      </c>
      <c r="K101" s="735">
        <f>E101</f>
        <v>22896160</v>
      </c>
    </row>
    <row r="102" spans="1:11" ht="12.75" customHeight="1" x14ac:dyDescent="0.25">
      <c r="A102" s="574" t="s">
        <v>1211</v>
      </c>
      <c r="B102" s="169"/>
      <c r="C102" s="748">
        <v>0</v>
      </c>
      <c r="D102" s="753">
        <v>0</v>
      </c>
      <c r="E102" s="733">
        <v>0</v>
      </c>
      <c r="F102" s="733">
        <v>0</v>
      </c>
      <c r="G102" s="733"/>
      <c r="H102" s="733">
        <f t="shared" si="26"/>
        <v>0</v>
      </c>
      <c r="I102" s="44">
        <f t="shared" si="1"/>
        <v>0</v>
      </c>
      <c r="J102" s="124" t="str">
        <f t="shared" si="2"/>
        <v/>
      </c>
      <c r="K102" s="735">
        <f>E102</f>
        <v>0</v>
      </c>
    </row>
    <row r="103" spans="1:11" ht="12.75" customHeight="1" x14ac:dyDescent="0.25">
      <c r="A103" s="549" t="s">
        <v>672</v>
      </c>
      <c r="B103" s="169"/>
      <c r="C103" s="249">
        <f t="shared" ref="C103:H103" si="27">SUM(C104:C108)</f>
        <v>0</v>
      </c>
      <c r="D103" s="264">
        <f t="shared" si="27"/>
        <v>0</v>
      </c>
      <c r="E103" s="99">
        <f t="shared" si="27"/>
        <v>0</v>
      </c>
      <c r="F103" s="99">
        <f t="shared" si="27"/>
        <v>0</v>
      </c>
      <c r="G103" s="99">
        <f t="shared" si="27"/>
        <v>0</v>
      </c>
      <c r="H103" s="99">
        <f t="shared" si="27"/>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28">E104/12*10</f>
        <v>0</v>
      </c>
      <c r="I104" s="44">
        <f t="shared" si="1"/>
        <v>0</v>
      </c>
      <c r="J104" s="124" t="str">
        <f t="shared" si="2"/>
        <v/>
      </c>
      <c r="K104" s="735">
        <f>E104</f>
        <v>0</v>
      </c>
    </row>
    <row r="105" spans="1:11" ht="12.75" customHeight="1" x14ac:dyDescent="0.25">
      <c r="A105" s="517" t="s">
        <v>1282</v>
      </c>
      <c r="B105" s="169"/>
      <c r="C105" s="786">
        <v>0</v>
      </c>
      <c r="D105" s="753">
        <v>0</v>
      </c>
      <c r="E105" s="733">
        <v>0</v>
      </c>
      <c r="F105" s="733">
        <v>0</v>
      </c>
      <c r="G105" s="733">
        <v>0</v>
      </c>
      <c r="H105" s="733">
        <f t="shared" si="28"/>
        <v>0</v>
      </c>
      <c r="I105" s="44">
        <f t="shared" si="1"/>
        <v>0</v>
      </c>
      <c r="J105" s="124" t="str">
        <f t="shared" si="2"/>
        <v/>
      </c>
      <c r="K105" s="735">
        <f>E105</f>
        <v>0</v>
      </c>
    </row>
    <row r="106" spans="1:11" ht="12.75" customHeight="1" x14ac:dyDescent="0.25">
      <c r="A106" s="518" t="s">
        <v>1283</v>
      </c>
      <c r="B106" s="169"/>
      <c r="C106" s="786">
        <v>0</v>
      </c>
      <c r="D106" s="753">
        <v>0</v>
      </c>
      <c r="E106" s="733">
        <v>0</v>
      </c>
      <c r="F106" s="733">
        <v>0</v>
      </c>
      <c r="G106" s="733">
        <v>0</v>
      </c>
      <c r="H106" s="733">
        <f t="shared" si="28"/>
        <v>0</v>
      </c>
      <c r="I106" s="44">
        <f t="shared" si="1"/>
        <v>0</v>
      </c>
      <c r="J106" s="124" t="str">
        <f t="shared" si="2"/>
        <v/>
      </c>
      <c r="K106" s="735">
        <f>E106</f>
        <v>0</v>
      </c>
    </row>
    <row r="107" spans="1:11" ht="12.75" customHeight="1" x14ac:dyDescent="0.25">
      <c r="A107" s="518" t="s">
        <v>1284</v>
      </c>
      <c r="B107" s="169"/>
      <c r="C107" s="786">
        <v>0</v>
      </c>
      <c r="D107" s="753">
        <v>0</v>
      </c>
      <c r="E107" s="733">
        <v>0</v>
      </c>
      <c r="F107" s="733">
        <v>0</v>
      </c>
      <c r="G107" s="733">
        <v>0</v>
      </c>
      <c r="H107" s="733">
        <f t="shared" si="28"/>
        <v>0</v>
      </c>
      <c r="I107" s="44">
        <f t="shared" si="1"/>
        <v>0</v>
      </c>
      <c r="J107" s="124" t="str">
        <f t="shared" si="2"/>
        <v/>
      </c>
      <c r="K107" s="735">
        <f>E107</f>
        <v>0</v>
      </c>
    </row>
    <row r="108" spans="1:11" ht="12.75" customHeight="1" x14ac:dyDescent="0.25">
      <c r="A108" s="517" t="s">
        <v>1285</v>
      </c>
      <c r="B108" s="169"/>
      <c r="C108" s="786">
        <v>0</v>
      </c>
      <c r="D108" s="753">
        <v>0</v>
      </c>
      <c r="E108" s="733">
        <v>0</v>
      </c>
      <c r="F108" s="733">
        <v>0</v>
      </c>
      <c r="G108" s="733">
        <v>0</v>
      </c>
      <c r="H108" s="733">
        <f t="shared" si="28"/>
        <v>0</v>
      </c>
      <c r="I108" s="44">
        <f t="shared" si="1"/>
        <v>0</v>
      </c>
      <c r="J108" s="124" t="str">
        <f t="shared" si="2"/>
        <v/>
      </c>
      <c r="K108" s="735">
        <f>E108</f>
        <v>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29">+C111+C114</f>
        <v>0</v>
      </c>
      <c r="D110" s="577">
        <f t="shared" si="29"/>
        <v>300000</v>
      </c>
      <c r="E110" s="578">
        <f t="shared" si="29"/>
        <v>150000</v>
      </c>
      <c r="F110" s="578">
        <f t="shared" si="29"/>
        <v>0</v>
      </c>
      <c r="G110" s="578">
        <f t="shared" si="29"/>
        <v>0</v>
      </c>
      <c r="H110" s="578">
        <f t="shared" si="29"/>
        <v>125000</v>
      </c>
      <c r="I110" s="99">
        <f t="shared" si="1"/>
        <v>125000</v>
      </c>
      <c r="J110" s="324">
        <f t="shared" si="2"/>
        <v>1</v>
      </c>
      <c r="K110" s="580">
        <f>+K111+K114</f>
        <v>150000</v>
      </c>
    </row>
    <row r="111" spans="1:11" ht="12.75" customHeight="1" x14ac:dyDescent="0.25">
      <c r="A111" s="518" t="s">
        <v>1286</v>
      </c>
      <c r="B111" s="169"/>
      <c r="C111" s="648">
        <f t="shared" ref="C111:H111" si="30">SUM(C112:C113)</f>
        <v>0</v>
      </c>
      <c r="D111" s="649">
        <f t="shared" si="30"/>
        <v>300000</v>
      </c>
      <c r="E111" s="408">
        <f t="shared" si="30"/>
        <v>150000</v>
      </c>
      <c r="F111" s="408">
        <f t="shared" si="30"/>
        <v>0</v>
      </c>
      <c r="G111" s="408">
        <f t="shared" si="30"/>
        <v>0</v>
      </c>
      <c r="H111" s="408">
        <f t="shared" si="30"/>
        <v>125000</v>
      </c>
      <c r="I111" s="258">
        <f t="shared" si="1"/>
        <v>125000</v>
      </c>
      <c r="J111" s="575">
        <f t="shared" si="2"/>
        <v>1</v>
      </c>
      <c r="K111" s="642">
        <f>SUM(K112:K113)</f>
        <v>150000</v>
      </c>
    </row>
    <row r="112" spans="1:11" ht="12.75" customHeight="1" x14ac:dyDescent="0.25">
      <c r="A112" s="574" t="s">
        <v>1287</v>
      </c>
      <c r="B112" s="169"/>
      <c r="C112" s="748">
        <v>0</v>
      </c>
      <c r="D112" s="753">
        <v>0</v>
      </c>
      <c r="E112" s="733">
        <v>0</v>
      </c>
      <c r="F112" s="733">
        <v>0</v>
      </c>
      <c r="G112" s="733">
        <v>0</v>
      </c>
      <c r="H112" s="733">
        <f t="shared" ref="H112:H113" si="31">E112/12*10</f>
        <v>0</v>
      </c>
      <c r="I112" s="44">
        <f t="shared" si="1"/>
        <v>0</v>
      </c>
      <c r="J112" s="124" t="str">
        <f t="shared" si="2"/>
        <v/>
      </c>
      <c r="K112" s="735">
        <f>E112</f>
        <v>0</v>
      </c>
    </row>
    <row r="113" spans="1:11" ht="12.75" customHeight="1" x14ac:dyDescent="0.25">
      <c r="A113" s="574" t="s">
        <v>1288</v>
      </c>
      <c r="B113" s="169"/>
      <c r="C113" s="748">
        <v>0</v>
      </c>
      <c r="D113" s="753">
        <v>300000</v>
      </c>
      <c r="E113" s="733">
        <v>150000</v>
      </c>
      <c r="F113" s="733">
        <v>0</v>
      </c>
      <c r="G113" s="733">
        <v>0</v>
      </c>
      <c r="H113" s="733">
        <f t="shared" si="31"/>
        <v>125000</v>
      </c>
      <c r="I113" s="44">
        <f t="shared" si="1"/>
        <v>125000</v>
      </c>
      <c r="J113" s="124">
        <f t="shared" si="2"/>
        <v>1</v>
      </c>
      <c r="K113" s="735">
        <f>E113</f>
        <v>150000</v>
      </c>
    </row>
    <row r="114" spans="1:11" ht="12.75" customHeight="1" x14ac:dyDescent="0.25">
      <c r="A114" s="518" t="s">
        <v>1289</v>
      </c>
      <c r="B114" s="169"/>
      <c r="C114" s="648">
        <f t="shared" ref="C114:H114" si="32">SUM(C115:C116)</f>
        <v>0</v>
      </c>
      <c r="D114" s="649">
        <f t="shared" si="32"/>
        <v>0</v>
      </c>
      <c r="E114" s="408">
        <f t="shared" si="32"/>
        <v>0</v>
      </c>
      <c r="F114" s="408">
        <f t="shared" si="32"/>
        <v>0</v>
      </c>
      <c r="G114" s="408">
        <f t="shared" si="32"/>
        <v>0</v>
      </c>
      <c r="H114" s="408">
        <f t="shared" si="32"/>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33">E115/12*10</f>
        <v>0</v>
      </c>
      <c r="I115" s="44">
        <f t="shared" si="1"/>
        <v>0</v>
      </c>
      <c r="J115" s="124" t="str">
        <f t="shared" si="2"/>
        <v/>
      </c>
      <c r="K115" s="735"/>
    </row>
    <row r="116" spans="1:11" ht="12.75" customHeight="1" x14ac:dyDescent="0.25">
      <c r="A116" s="574" t="s">
        <v>1288</v>
      </c>
      <c r="B116" s="169"/>
      <c r="C116" s="748">
        <v>0</v>
      </c>
      <c r="D116" s="753">
        <v>0</v>
      </c>
      <c r="E116" s="733">
        <v>0</v>
      </c>
      <c r="F116" s="733">
        <v>0</v>
      </c>
      <c r="G116" s="733">
        <v>0</v>
      </c>
      <c r="H116" s="733">
        <f t="shared" si="33"/>
        <v>0</v>
      </c>
      <c r="I116" s="44">
        <f>H116-G116</f>
        <v>0</v>
      </c>
      <c r="J116" s="124" t="str">
        <f>IF(I116=0,"",I116/H116)</f>
        <v/>
      </c>
      <c r="K116" s="735"/>
    </row>
    <row r="117" spans="1:11" ht="12.75" customHeight="1" x14ac:dyDescent="0.25">
      <c r="A117" s="940" t="s">
        <v>674</v>
      </c>
      <c r="B117" s="169"/>
      <c r="C117" s="576">
        <f t="shared" ref="C117:H117" si="34">+C118+C130</f>
        <v>215577.37849999999</v>
      </c>
      <c r="D117" s="577">
        <f t="shared" si="34"/>
        <v>2300000</v>
      </c>
      <c r="E117" s="578">
        <f t="shared" si="34"/>
        <v>6062017</v>
      </c>
      <c r="F117" s="578">
        <f t="shared" si="34"/>
        <v>0</v>
      </c>
      <c r="G117" s="578">
        <f t="shared" si="34"/>
        <v>851867.28399999999</v>
      </c>
      <c r="H117" s="578">
        <f t="shared" si="34"/>
        <v>5051680.833333333</v>
      </c>
      <c r="I117" s="578">
        <f t="shared" si="1"/>
        <v>4199813.549333333</v>
      </c>
      <c r="J117" s="579">
        <f t="shared" si="2"/>
        <v>0.83136953578322192</v>
      </c>
      <c r="K117" s="580">
        <f>+K118+K130</f>
        <v>6062017</v>
      </c>
    </row>
    <row r="118" spans="1:11" ht="12.75" customHeight="1" x14ac:dyDescent="0.25">
      <c r="A118" s="518" t="s">
        <v>1290</v>
      </c>
      <c r="B118" s="169"/>
      <c r="C118" s="648">
        <f t="shared" ref="C118:H118" si="35">SUM(C119:C129)</f>
        <v>215577.37849999999</v>
      </c>
      <c r="D118" s="649">
        <f t="shared" si="35"/>
        <v>2300000</v>
      </c>
      <c r="E118" s="408">
        <f t="shared" si="35"/>
        <v>6062017</v>
      </c>
      <c r="F118" s="408">
        <f t="shared" si="35"/>
        <v>0</v>
      </c>
      <c r="G118" s="408">
        <f t="shared" si="35"/>
        <v>851867.28399999999</v>
      </c>
      <c r="H118" s="408">
        <f t="shared" si="35"/>
        <v>5051680.833333333</v>
      </c>
      <c r="I118" s="258">
        <f t="shared" si="1"/>
        <v>4199813.549333333</v>
      </c>
      <c r="J118" s="575">
        <f t="shared" si="2"/>
        <v>0.83136953578322192</v>
      </c>
      <c r="K118" s="642">
        <f>SUM(K119:K129)</f>
        <v>6062017</v>
      </c>
    </row>
    <row r="119" spans="1:11" ht="12.75" customHeight="1" x14ac:dyDescent="0.25">
      <c r="A119" s="574" t="s">
        <v>1291</v>
      </c>
      <c r="B119" s="169"/>
      <c r="C119" s="748">
        <v>215577.37849999999</v>
      </c>
      <c r="D119" s="753">
        <v>2300000</v>
      </c>
      <c r="E119" s="733">
        <v>6062017</v>
      </c>
      <c r="F119" s="733">
        <v>0</v>
      </c>
      <c r="G119" s="733">
        <v>851867.28399999999</v>
      </c>
      <c r="H119" s="733">
        <f t="shared" ref="H119:H129" si="36">E119/12*10</f>
        <v>5051680.833333333</v>
      </c>
      <c r="I119" s="44">
        <f t="shared" si="1"/>
        <v>4199813.549333333</v>
      </c>
      <c r="J119" s="124">
        <f t="shared" si="2"/>
        <v>0.83136953578322192</v>
      </c>
      <c r="K119" s="735">
        <f t="shared" ref="K119:K129" si="37">E119</f>
        <v>6062017</v>
      </c>
    </row>
    <row r="120" spans="1:11" ht="12.75" customHeight="1" x14ac:dyDescent="0.25">
      <c r="A120" s="574" t="s">
        <v>1292</v>
      </c>
      <c r="B120" s="169"/>
      <c r="C120" s="748">
        <v>0</v>
      </c>
      <c r="D120" s="753">
        <v>0</v>
      </c>
      <c r="E120" s="733">
        <v>0</v>
      </c>
      <c r="F120" s="733">
        <v>0</v>
      </c>
      <c r="G120" s="733">
        <v>0</v>
      </c>
      <c r="H120" s="733">
        <f t="shared" si="36"/>
        <v>0</v>
      </c>
      <c r="I120" s="44">
        <f t="shared" si="1"/>
        <v>0</v>
      </c>
      <c r="J120" s="124" t="str">
        <f t="shared" si="2"/>
        <v/>
      </c>
      <c r="K120" s="735">
        <f t="shared" si="37"/>
        <v>0</v>
      </c>
    </row>
    <row r="121" spans="1:11" ht="12.75" customHeight="1" x14ac:dyDescent="0.25">
      <c r="A121" s="574" t="s">
        <v>1293</v>
      </c>
      <c r="B121" s="169"/>
      <c r="C121" s="748">
        <v>0</v>
      </c>
      <c r="D121" s="753">
        <v>0</v>
      </c>
      <c r="E121" s="733">
        <v>0</v>
      </c>
      <c r="F121" s="733">
        <v>0</v>
      </c>
      <c r="G121" s="733">
        <v>0</v>
      </c>
      <c r="H121" s="733">
        <f t="shared" si="36"/>
        <v>0</v>
      </c>
      <c r="I121" s="44">
        <f t="shared" si="1"/>
        <v>0</v>
      </c>
      <c r="J121" s="124" t="str">
        <f t="shared" si="2"/>
        <v/>
      </c>
      <c r="K121" s="735">
        <f t="shared" si="37"/>
        <v>0</v>
      </c>
    </row>
    <row r="122" spans="1:11" ht="12.75" customHeight="1" x14ac:dyDescent="0.25">
      <c r="A122" s="574" t="s">
        <v>1294</v>
      </c>
      <c r="B122" s="169"/>
      <c r="C122" s="748">
        <v>0</v>
      </c>
      <c r="D122" s="753">
        <v>0</v>
      </c>
      <c r="E122" s="733">
        <v>0</v>
      </c>
      <c r="F122" s="733">
        <v>0</v>
      </c>
      <c r="G122" s="733">
        <v>0</v>
      </c>
      <c r="H122" s="733">
        <f t="shared" si="36"/>
        <v>0</v>
      </c>
      <c r="I122" s="44">
        <f t="shared" si="1"/>
        <v>0</v>
      </c>
      <c r="J122" s="124" t="str">
        <f t="shared" si="2"/>
        <v/>
      </c>
      <c r="K122" s="735">
        <f t="shared" si="37"/>
        <v>0</v>
      </c>
    </row>
    <row r="123" spans="1:11" ht="12.75" customHeight="1" x14ac:dyDescent="0.25">
      <c r="A123" s="574" t="s">
        <v>1295</v>
      </c>
      <c r="B123" s="169"/>
      <c r="C123" s="748">
        <v>0</v>
      </c>
      <c r="D123" s="753">
        <v>0</v>
      </c>
      <c r="E123" s="733">
        <v>0</v>
      </c>
      <c r="F123" s="733">
        <v>0</v>
      </c>
      <c r="G123" s="733">
        <v>0</v>
      </c>
      <c r="H123" s="733">
        <f t="shared" si="36"/>
        <v>0</v>
      </c>
      <c r="I123" s="44">
        <f t="shared" si="1"/>
        <v>0</v>
      </c>
      <c r="J123" s="124" t="str">
        <f t="shared" si="2"/>
        <v/>
      </c>
      <c r="K123" s="735">
        <f t="shared" si="37"/>
        <v>0</v>
      </c>
    </row>
    <row r="124" spans="1:11" ht="12.75" customHeight="1" x14ac:dyDescent="0.25">
      <c r="A124" s="574" t="s">
        <v>1296</v>
      </c>
      <c r="B124" s="169"/>
      <c r="C124" s="748">
        <v>0</v>
      </c>
      <c r="D124" s="753">
        <v>0</v>
      </c>
      <c r="E124" s="733">
        <v>0</v>
      </c>
      <c r="F124" s="733">
        <v>0</v>
      </c>
      <c r="G124" s="733">
        <v>0</v>
      </c>
      <c r="H124" s="733">
        <f t="shared" si="36"/>
        <v>0</v>
      </c>
      <c r="I124" s="44">
        <f t="shared" si="1"/>
        <v>0</v>
      </c>
      <c r="J124" s="124" t="str">
        <f t="shared" si="2"/>
        <v/>
      </c>
      <c r="K124" s="735">
        <f t="shared" si="37"/>
        <v>0</v>
      </c>
    </row>
    <row r="125" spans="1:11" ht="12.75" customHeight="1" x14ac:dyDescent="0.25">
      <c r="A125" s="574" t="s">
        <v>1297</v>
      </c>
      <c r="B125" s="169"/>
      <c r="C125" s="748">
        <v>0</v>
      </c>
      <c r="D125" s="753">
        <v>0</v>
      </c>
      <c r="E125" s="733">
        <v>0</v>
      </c>
      <c r="F125" s="733">
        <v>0</v>
      </c>
      <c r="G125" s="733">
        <v>0</v>
      </c>
      <c r="H125" s="733">
        <f t="shared" si="36"/>
        <v>0</v>
      </c>
      <c r="I125" s="44">
        <f t="shared" si="1"/>
        <v>0</v>
      </c>
      <c r="J125" s="124" t="str">
        <f t="shared" si="2"/>
        <v/>
      </c>
      <c r="K125" s="735">
        <f t="shared" si="37"/>
        <v>0</v>
      </c>
    </row>
    <row r="126" spans="1:11" ht="12.75" customHeight="1" x14ac:dyDescent="0.25">
      <c r="A126" s="574" t="s">
        <v>1298</v>
      </c>
      <c r="B126" s="169"/>
      <c r="C126" s="748">
        <v>0</v>
      </c>
      <c r="D126" s="753">
        <v>0</v>
      </c>
      <c r="E126" s="733">
        <v>0</v>
      </c>
      <c r="F126" s="733">
        <v>0</v>
      </c>
      <c r="G126" s="733">
        <v>0</v>
      </c>
      <c r="H126" s="733">
        <f t="shared" si="36"/>
        <v>0</v>
      </c>
      <c r="I126" s="44">
        <f t="shared" si="1"/>
        <v>0</v>
      </c>
      <c r="J126" s="124" t="str">
        <f t="shared" si="2"/>
        <v/>
      </c>
      <c r="K126" s="735">
        <f t="shared" si="37"/>
        <v>0</v>
      </c>
    </row>
    <row r="127" spans="1:11" ht="12.75" customHeight="1" x14ac:dyDescent="0.25">
      <c r="A127" s="574" t="s">
        <v>1299</v>
      </c>
      <c r="B127" s="169"/>
      <c r="C127" s="748">
        <v>0</v>
      </c>
      <c r="D127" s="753">
        <v>0</v>
      </c>
      <c r="E127" s="733">
        <v>0</v>
      </c>
      <c r="F127" s="733">
        <v>0</v>
      </c>
      <c r="G127" s="733">
        <v>0</v>
      </c>
      <c r="H127" s="733">
        <f t="shared" si="36"/>
        <v>0</v>
      </c>
      <c r="I127" s="44">
        <f t="shared" si="1"/>
        <v>0</v>
      </c>
      <c r="J127" s="124" t="str">
        <f t="shared" si="2"/>
        <v/>
      </c>
      <c r="K127" s="735">
        <f t="shared" si="37"/>
        <v>0</v>
      </c>
    </row>
    <row r="128" spans="1:11" ht="12.75" customHeight="1" x14ac:dyDescent="0.25">
      <c r="A128" s="574" t="s">
        <v>1300</v>
      </c>
      <c r="B128" s="169"/>
      <c r="C128" s="748">
        <v>0</v>
      </c>
      <c r="D128" s="753">
        <v>0</v>
      </c>
      <c r="E128" s="733">
        <v>0</v>
      </c>
      <c r="F128" s="733">
        <v>0</v>
      </c>
      <c r="G128" s="733">
        <v>0</v>
      </c>
      <c r="H128" s="733">
        <f t="shared" si="36"/>
        <v>0</v>
      </c>
      <c r="I128" s="44">
        <f t="shared" si="1"/>
        <v>0</v>
      </c>
      <c r="J128" s="124" t="str">
        <f t="shared" si="2"/>
        <v/>
      </c>
      <c r="K128" s="735">
        <f t="shared" si="37"/>
        <v>0</v>
      </c>
    </row>
    <row r="129" spans="1:11" ht="12.75" customHeight="1" x14ac:dyDescent="0.25">
      <c r="A129" s="574" t="s">
        <v>1211</v>
      </c>
      <c r="B129" s="169"/>
      <c r="C129" s="748">
        <v>0</v>
      </c>
      <c r="D129" s="753">
        <v>0</v>
      </c>
      <c r="E129" s="733">
        <v>0</v>
      </c>
      <c r="F129" s="733">
        <v>0</v>
      </c>
      <c r="G129" s="733">
        <v>0</v>
      </c>
      <c r="H129" s="733">
        <f t="shared" si="36"/>
        <v>0</v>
      </c>
      <c r="I129" s="44">
        <f t="shared" si="1"/>
        <v>0</v>
      </c>
      <c r="J129" s="124" t="str">
        <f t="shared" si="2"/>
        <v/>
      </c>
      <c r="K129" s="735">
        <f t="shared" si="37"/>
        <v>0</v>
      </c>
    </row>
    <row r="130" spans="1:11" ht="12.75" customHeight="1" x14ac:dyDescent="0.25">
      <c r="A130" s="518" t="s">
        <v>713</v>
      </c>
      <c r="B130" s="169"/>
      <c r="C130" s="648">
        <f t="shared" ref="C130:H130" si="38">SUM(C131:C133)</f>
        <v>0</v>
      </c>
      <c r="D130" s="649">
        <f t="shared" si="38"/>
        <v>0</v>
      </c>
      <c r="E130" s="408">
        <f t="shared" si="38"/>
        <v>0</v>
      </c>
      <c r="F130" s="408">
        <f t="shared" si="38"/>
        <v>0</v>
      </c>
      <c r="G130" s="408">
        <f t="shared" si="38"/>
        <v>0</v>
      </c>
      <c r="H130" s="408">
        <f t="shared" si="38"/>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39">E131/12*7</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 t="shared" si="39"/>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 t="shared" si="39"/>
        <v>0</v>
      </c>
      <c r="I133" s="44">
        <f t="shared" si="1"/>
        <v>0</v>
      </c>
      <c r="J133" s="124" t="str">
        <f t="shared" si="2"/>
        <v/>
      </c>
      <c r="K133" s="735">
        <f>E133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0">SUM(C136:C136)</f>
        <v>0</v>
      </c>
      <c r="D135" s="577">
        <f t="shared" si="40"/>
        <v>0</v>
      </c>
      <c r="E135" s="578">
        <f t="shared" si="40"/>
        <v>0</v>
      </c>
      <c r="F135" s="578">
        <f t="shared" si="40"/>
        <v>0</v>
      </c>
      <c r="G135" s="578">
        <f t="shared" si="40"/>
        <v>0</v>
      </c>
      <c r="H135" s="578">
        <f t="shared" si="40"/>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E136/12*7</f>
        <v>0</v>
      </c>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41">IF(I137=0,"",I137/H137)</f>
        <v/>
      </c>
      <c r="K137" s="144"/>
    </row>
    <row r="138" spans="1:11" s="100" customFormat="1" ht="12.75" customHeight="1" x14ac:dyDescent="0.25">
      <c r="A138" s="549" t="s">
        <v>1304</v>
      </c>
      <c r="B138" s="171"/>
      <c r="C138" s="941">
        <f t="shared" ref="C138:H138" si="42">SUM(C139:C140)</f>
        <v>0</v>
      </c>
      <c r="D138" s="942">
        <f t="shared" si="42"/>
        <v>0</v>
      </c>
      <c r="E138" s="943">
        <f t="shared" si="42"/>
        <v>0</v>
      </c>
      <c r="F138" s="943">
        <f t="shared" si="42"/>
        <v>0</v>
      </c>
      <c r="G138" s="943">
        <f t="shared" si="42"/>
        <v>0</v>
      </c>
      <c r="H138" s="943">
        <f t="shared" si="42"/>
        <v>0</v>
      </c>
      <c r="I138" s="943">
        <f t="shared" ref="I138:I146" si="43">H138-G138</f>
        <v>0</v>
      </c>
      <c r="J138" s="324" t="str">
        <f t="shared" si="41"/>
        <v/>
      </c>
      <c r="K138" s="944">
        <f>SUM(K139:K140)</f>
        <v>0</v>
      </c>
    </row>
    <row r="139" spans="1:11" ht="12.75" customHeight="1" x14ac:dyDescent="0.25">
      <c r="A139" s="517" t="s">
        <v>1305</v>
      </c>
      <c r="B139" s="169"/>
      <c r="C139" s="748">
        <v>0</v>
      </c>
      <c r="D139" s="753">
        <v>0</v>
      </c>
      <c r="E139" s="733">
        <v>0</v>
      </c>
      <c r="F139" s="733">
        <v>0</v>
      </c>
      <c r="G139" s="733">
        <v>0</v>
      </c>
      <c r="H139" s="733">
        <f>E139/12*7</f>
        <v>0</v>
      </c>
      <c r="I139" s="44">
        <f t="shared" si="43"/>
        <v>0</v>
      </c>
      <c r="J139" s="124" t="str">
        <f t="shared" si="41"/>
        <v/>
      </c>
      <c r="K139" s="735"/>
    </row>
    <row r="140" spans="1:11" ht="12.75" customHeight="1" x14ac:dyDescent="0.25">
      <c r="A140" s="517" t="s">
        <v>1306</v>
      </c>
      <c r="B140" s="169"/>
      <c r="C140" s="648">
        <f t="shared" ref="C140:H140" si="44">SUM(C141:C146)</f>
        <v>0</v>
      </c>
      <c r="D140" s="649">
        <f t="shared" si="44"/>
        <v>0</v>
      </c>
      <c r="E140" s="408">
        <f t="shared" si="44"/>
        <v>0</v>
      </c>
      <c r="F140" s="408">
        <f t="shared" si="44"/>
        <v>0</v>
      </c>
      <c r="G140" s="408">
        <f t="shared" si="44"/>
        <v>0</v>
      </c>
      <c r="H140" s="408">
        <f t="shared" si="44"/>
        <v>0</v>
      </c>
      <c r="I140" s="258">
        <f t="shared" si="43"/>
        <v>0</v>
      </c>
      <c r="J140" s="575" t="str">
        <f t="shared" si="41"/>
        <v/>
      </c>
      <c r="K140" s="642">
        <f>SUM(K141:K146)</f>
        <v>0</v>
      </c>
    </row>
    <row r="141" spans="1:11" ht="12.75" customHeight="1" x14ac:dyDescent="0.25">
      <c r="A141" s="574" t="s">
        <v>1307</v>
      </c>
      <c r="B141" s="169"/>
      <c r="C141" s="748">
        <v>0</v>
      </c>
      <c r="D141" s="753">
        <v>0</v>
      </c>
      <c r="E141" s="733">
        <v>0</v>
      </c>
      <c r="F141" s="733">
        <v>0</v>
      </c>
      <c r="G141" s="733">
        <v>0</v>
      </c>
      <c r="H141" s="733">
        <f t="shared" ref="H141:H146" si="45">E141/12*7</f>
        <v>0</v>
      </c>
      <c r="I141" s="44">
        <f t="shared" si="43"/>
        <v>0</v>
      </c>
      <c r="J141" s="124" t="str">
        <f t="shared" si="41"/>
        <v/>
      </c>
      <c r="K141" s="735">
        <f t="shared" ref="K141:K146" si="46">E141</f>
        <v>0</v>
      </c>
    </row>
    <row r="142" spans="1:11" ht="12.75" customHeight="1" x14ac:dyDescent="0.25">
      <c r="A142" s="574" t="s">
        <v>1308</v>
      </c>
      <c r="B142" s="169"/>
      <c r="C142" s="748">
        <v>0</v>
      </c>
      <c r="D142" s="753">
        <v>0</v>
      </c>
      <c r="E142" s="733">
        <v>0</v>
      </c>
      <c r="F142" s="733">
        <v>0</v>
      </c>
      <c r="G142" s="733">
        <v>0</v>
      </c>
      <c r="H142" s="733">
        <f t="shared" si="45"/>
        <v>0</v>
      </c>
      <c r="I142" s="44">
        <f t="shared" si="43"/>
        <v>0</v>
      </c>
      <c r="J142" s="124" t="str">
        <f t="shared" si="41"/>
        <v/>
      </c>
      <c r="K142" s="735">
        <f t="shared" si="46"/>
        <v>0</v>
      </c>
    </row>
    <row r="143" spans="1:11" ht="12.75" customHeight="1" x14ac:dyDescent="0.25">
      <c r="A143" s="574" t="s">
        <v>1309</v>
      </c>
      <c r="B143" s="169"/>
      <c r="C143" s="748">
        <v>0</v>
      </c>
      <c r="D143" s="753">
        <v>0</v>
      </c>
      <c r="E143" s="733">
        <v>0</v>
      </c>
      <c r="F143" s="733">
        <v>0</v>
      </c>
      <c r="G143" s="733">
        <v>0</v>
      </c>
      <c r="H143" s="733">
        <f t="shared" si="45"/>
        <v>0</v>
      </c>
      <c r="I143" s="44">
        <f t="shared" si="43"/>
        <v>0</v>
      </c>
      <c r="J143" s="124" t="str">
        <f t="shared" si="41"/>
        <v/>
      </c>
      <c r="K143" s="735">
        <f t="shared" si="46"/>
        <v>0</v>
      </c>
    </row>
    <row r="144" spans="1:11" ht="12.75" customHeight="1" x14ac:dyDescent="0.25">
      <c r="A144" s="574" t="s">
        <v>1310</v>
      </c>
      <c r="B144" s="169"/>
      <c r="C144" s="748">
        <v>0</v>
      </c>
      <c r="D144" s="753">
        <v>0</v>
      </c>
      <c r="E144" s="733">
        <v>0</v>
      </c>
      <c r="F144" s="733">
        <v>0</v>
      </c>
      <c r="G144" s="733">
        <v>0</v>
      </c>
      <c r="H144" s="733">
        <f t="shared" si="45"/>
        <v>0</v>
      </c>
      <c r="I144" s="44">
        <f t="shared" si="43"/>
        <v>0</v>
      </c>
      <c r="J144" s="124" t="str">
        <f t="shared" si="41"/>
        <v/>
      </c>
      <c r="K144" s="735">
        <f t="shared" si="46"/>
        <v>0</v>
      </c>
    </row>
    <row r="145" spans="1:12" ht="12.75" customHeight="1" x14ac:dyDescent="0.25">
      <c r="A145" s="574" t="s">
        <v>1311</v>
      </c>
      <c r="B145" s="169"/>
      <c r="C145" s="748">
        <v>0</v>
      </c>
      <c r="D145" s="753">
        <v>0</v>
      </c>
      <c r="E145" s="733">
        <v>0</v>
      </c>
      <c r="F145" s="733">
        <v>0</v>
      </c>
      <c r="G145" s="733">
        <v>0</v>
      </c>
      <c r="H145" s="733">
        <f t="shared" si="45"/>
        <v>0</v>
      </c>
      <c r="I145" s="44">
        <f t="shared" si="43"/>
        <v>0</v>
      </c>
      <c r="J145" s="124" t="str">
        <f t="shared" si="41"/>
        <v/>
      </c>
      <c r="K145" s="735">
        <f t="shared" si="46"/>
        <v>0</v>
      </c>
    </row>
    <row r="146" spans="1:12" ht="12.75" customHeight="1" x14ac:dyDescent="0.25">
      <c r="A146" s="574" t="s">
        <v>1312</v>
      </c>
      <c r="B146" s="169"/>
      <c r="C146" s="748">
        <v>0</v>
      </c>
      <c r="D146" s="753">
        <v>0</v>
      </c>
      <c r="E146" s="733">
        <v>0</v>
      </c>
      <c r="F146" s="733">
        <v>0</v>
      </c>
      <c r="G146" s="733">
        <v>0</v>
      </c>
      <c r="H146" s="733">
        <f t="shared" si="45"/>
        <v>0</v>
      </c>
      <c r="I146" s="44">
        <f t="shared" si="43"/>
        <v>0</v>
      </c>
      <c r="J146" s="124" t="str">
        <f t="shared" si="41"/>
        <v/>
      </c>
      <c r="K146" s="735">
        <f t="shared" si="46"/>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47">SUM(C149:C149)</f>
        <v>0</v>
      </c>
      <c r="D148" s="577">
        <f t="shared" si="47"/>
        <v>0</v>
      </c>
      <c r="E148" s="578">
        <f t="shared" si="47"/>
        <v>0</v>
      </c>
      <c r="F148" s="578">
        <f t="shared" si="47"/>
        <v>0</v>
      </c>
      <c r="G148" s="578">
        <f t="shared" si="47"/>
        <v>0</v>
      </c>
      <c r="H148" s="578">
        <f t="shared" si="47"/>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48">SUM(C152:C152)</f>
        <v>0</v>
      </c>
      <c r="D151" s="577">
        <f t="shared" si="48"/>
        <v>0</v>
      </c>
      <c r="E151" s="578">
        <f t="shared" si="48"/>
        <v>0</v>
      </c>
      <c r="F151" s="578">
        <f t="shared" si="48"/>
        <v>0</v>
      </c>
      <c r="G151" s="578">
        <f t="shared" si="48"/>
        <v>0</v>
      </c>
      <c r="H151" s="578">
        <f t="shared" si="48"/>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49">SUM(C155:C155)</f>
        <v>0</v>
      </c>
      <c r="D154" s="577">
        <f t="shared" si="49"/>
        <v>0</v>
      </c>
      <c r="E154" s="578">
        <f t="shared" si="49"/>
        <v>0</v>
      </c>
      <c r="F154" s="578">
        <f t="shared" si="49"/>
        <v>0</v>
      </c>
      <c r="G154" s="578">
        <f t="shared" si="49"/>
        <v>0</v>
      </c>
      <c r="H154" s="578">
        <f t="shared" si="49"/>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0">SUM(C158:C158)</f>
        <v>0</v>
      </c>
      <c r="D157" s="577">
        <f t="shared" si="50"/>
        <v>0</v>
      </c>
      <c r="E157" s="578">
        <f t="shared" si="50"/>
        <v>0</v>
      </c>
      <c r="F157" s="578">
        <f t="shared" si="50"/>
        <v>0</v>
      </c>
      <c r="G157" s="578">
        <f t="shared" si="50"/>
        <v>0</v>
      </c>
      <c r="H157" s="578">
        <f t="shared" si="50"/>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1">SUM(C161:C161)</f>
        <v>0</v>
      </c>
      <c r="D160" s="577">
        <f t="shared" si="51"/>
        <v>0</v>
      </c>
      <c r="E160" s="578">
        <f t="shared" si="51"/>
        <v>0</v>
      </c>
      <c r="F160" s="578">
        <f t="shared" si="51"/>
        <v>0</v>
      </c>
      <c r="G160" s="578">
        <f t="shared" si="51"/>
        <v>0</v>
      </c>
      <c r="H160" s="578">
        <f t="shared" si="51"/>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0999999999999996"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52">SUM(C164:C164)</f>
        <v>0</v>
      </c>
      <c r="D163" s="577">
        <f t="shared" si="52"/>
        <v>0</v>
      </c>
      <c r="E163" s="578">
        <f t="shared" si="52"/>
        <v>0</v>
      </c>
      <c r="F163" s="578">
        <f t="shared" si="52"/>
        <v>0</v>
      </c>
      <c r="G163" s="578">
        <f t="shared" si="52"/>
        <v>0</v>
      </c>
      <c r="H163" s="578">
        <f t="shared" si="52"/>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1003">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1320</v>
      </c>
      <c r="B166" s="236">
        <v>1</v>
      </c>
      <c r="C166" s="112">
        <f t="shared" ref="C166:H166" si="53">C7+C75+C103+C110+C117+C135+C138+C148+C151+C154+C157+C160+C163</f>
        <v>336895398.57383335</v>
      </c>
      <c r="D166" s="271">
        <f t="shared" si="53"/>
        <v>345097620</v>
      </c>
      <c r="E166" s="55">
        <f t="shared" si="53"/>
        <v>289544638</v>
      </c>
      <c r="F166" s="55">
        <f t="shared" si="53"/>
        <v>18114788.762999997</v>
      </c>
      <c r="G166" s="55">
        <f t="shared" si="53"/>
        <v>190542861.63234997</v>
      </c>
      <c r="H166" s="55">
        <f t="shared" si="53"/>
        <v>241287198.33333334</v>
      </c>
      <c r="I166" s="55">
        <f>H166-G166</f>
        <v>50744336.700983375</v>
      </c>
      <c r="J166" s="290">
        <f>IF(I166=0,"",I166/H166)</f>
        <v>0.21030679228527122</v>
      </c>
      <c r="K166" s="235">
        <f>K7+K75+K103+K110+K117+K135+K138+K148+K151+K154+K157+K160+K163</f>
        <v>289544638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C166+SC13a!C166+SC13b!C166-'C5-Capex'!C40</f>
        <v>1.8689632415771484E-3</v>
      </c>
      <c r="D171" s="135">
        <f>D166+SC13a!D166+SC13b!D166-'C5-Capex'!D40</f>
        <v>0</v>
      </c>
      <c r="E171" s="135">
        <f>E166+SC13a!E166+SC13b!E166-'C5-Capex'!E40</f>
        <v>0.58036541938781738</v>
      </c>
      <c r="F171" s="135">
        <f>F166+SC13a!F166+SC13b!F166-'C5-Capex'!F40</f>
        <v>0</v>
      </c>
      <c r="G171" s="135">
        <f>G166+SC13a!G166+SC13b!G166-'C5-Capex'!G40</f>
        <v>1.0000109672546387E-2</v>
      </c>
      <c r="H171" s="135">
        <f>H166+SC13a!H166+SC13b!H166-'C5-Capex'!H40</f>
        <v>0.48363780975341797</v>
      </c>
      <c r="I171" s="135"/>
      <c r="J171" s="135"/>
      <c r="K171" s="135">
        <f>K166+SC13a!K166+SC13b!K166-'C5-Capex'!K40</f>
        <v>0.58036541938781738</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view="pageBreakPreview" topLeftCell="A82" zoomScale="60" zoomScaleNormal="100" workbookViewId="0">
      <selection activeCell="K121" sqref="K121:K125"/>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889</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94661917.304999992</v>
      </c>
      <c r="C3" s="43">
        <f>'SC12'!C6</f>
        <v>23146604.339670938</v>
      </c>
      <c r="D3" s="43">
        <f>'SC12'!D6</f>
        <v>23449713.353499997</v>
      </c>
      <c r="E3" s="45">
        <f>'SC12'!E6</f>
        <v>23449713.350000001</v>
      </c>
      <c r="F3" s="43"/>
      <c r="G3" s="43"/>
      <c r="H3" s="43"/>
      <c r="I3" s="43"/>
      <c r="J3" s="43"/>
      <c r="K3" s="43"/>
    </row>
    <row r="4" spans="1:11" x14ac:dyDescent="0.25">
      <c r="A4" s="42" t="str">
        <f>LEFT('SC12'!A7,3)</f>
        <v>Aug</v>
      </c>
      <c r="B4" s="43">
        <f>'SC12'!B7</f>
        <v>34997120.505000003</v>
      </c>
      <c r="C4" s="43">
        <f>'SC12'!C7</f>
        <v>31506119.635066863</v>
      </c>
      <c r="D4" s="43">
        <f>'SC12'!D7</f>
        <v>58840827.868799999</v>
      </c>
      <c r="E4" s="45">
        <f>'SC12'!E7</f>
        <v>58840827.869999997</v>
      </c>
      <c r="F4" s="43"/>
      <c r="G4" s="43"/>
      <c r="H4" s="43"/>
      <c r="I4" s="43"/>
      <c r="J4" s="43"/>
      <c r="K4" s="43"/>
    </row>
    <row r="5" spans="1:11" x14ac:dyDescent="0.25">
      <c r="A5" s="42" t="str">
        <f>LEFT('SC12'!A8,3)</f>
        <v>Sep</v>
      </c>
      <c r="B5" s="43">
        <f>'SC12'!B8</f>
        <v>63024484.609000005</v>
      </c>
      <c r="C5" s="43">
        <f>'SC12'!C8</f>
        <v>52101276.725069404</v>
      </c>
      <c r="D5" s="43">
        <f>'SC12'!D8</f>
        <v>69126894.334549993</v>
      </c>
      <c r="E5" s="45">
        <f>'SC12'!E8</f>
        <v>69126894.329999998</v>
      </c>
      <c r="F5" s="43"/>
      <c r="G5" s="43"/>
      <c r="H5" s="43"/>
      <c r="I5" s="43"/>
      <c r="J5" s="43"/>
      <c r="K5" s="43"/>
    </row>
    <row r="6" spans="1:11" x14ac:dyDescent="0.25">
      <c r="A6" s="42" t="str">
        <f>LEFT('SC12'!A9,3)</f>
        <v>Oct</v>
      </c>
      <c r="B6" s="43">
        <f>'SC12'!B9</f>
        <v>59349467.811999999</v>
      </c>
      <c r="C6" s="43">
        <f>'SC12'!C9</f>
        <v>69111701.558171481</v>
      </c>
      <c r="D6" s="43">
        <f>'SC12'!D9</f>
        <v>85314622.257499993</v>
      </c>
      <c r="E6" s="45">
        <f>'SC12'!E9</f>
        <v>85425681.670000002</v>
      </c>
      <c r="F6" s="43"/>
      <c r="G6" s="43"/>
      <c r="H6" s="43"/>
      <c r="I6" s="43"/>
      <c r="J6" s="43"/>
      <c r="K6" s="43"/>
    </row>
    <row r="7" spans="1:11" x14ac:dyDescent="0.25">
      <c r="A7" s="42" t="str">
        <f>LEFT('SC12'!A10,3)</f>
        <v>Nov</v>
      </c>
      <c r="B7" s="43">
        <f>'SC12'!B10</f>
        <v>127966561.36250001</v>
      </c>
      <c r="C7" s="43">
        <f>'SC12'!C10</f>
        <v>69234670.496426389</v>
      </c>
      <c r="D7" s="43">
        <f>'SC12'!D10</f>
        <v>48292769.820000008</v>
      </c>
      <c r="E7" s="45">
        <f>'SC12'!E10</f>
        <v>48292769.810000002</v>
      </c>
      <c r="F7" s="43"/>
      <c r="G7" s="43"/>
      <c r="H7" s="43"/>
      <c r="I7" s="43"/>
      <c r="J7" s="43"/>
      <c r="K7" s="43"/>
    </row>
    <row r="8" spans="1:11" x14ac:dyDescent="0.25">
      <c r="A8" s="42" t="str">
        <f>LEFT('SC12'!A11,3)</f>
        <v>Dec</v>
      </c>
      <c r="B8" s="43">
        <f>'SC12'!B11</f>
        <v>139558296.7895</v>
      </c>
      <c r="C8" s="43">
        <f>'SC12'!C11</f>
        <v>78739947.960586146</v>
      </c>
      <c r="D8" s="43">
        <f>'SC12'!D11</f>
        <v>95953914.122500002</v>
      </c>
      <c r="E8" s="45">
        <f>'SC12'!E11</f>
        <v>95978639.30250001</v>
      </c>
      <c r="F8" s="43"/>
      <c r="G8" s="43"/>
      <c r="H8" s="43"/>
      <c r="I8" s="43"/>
      <c r="J8" s="43"/>
      <c r="K8" s="43"/>
    </row>
    <row r="9" spans="1:11" x14ac:dyDescent="0.25">
      <c r="A9" s="42" t="str">
        <f>LEFT('SC12'!A12,3)</f>
        <v>Jan</v>
      </c>
      <c r="B9" s="43">
        <f>'SC12'!B12</f>
        <v>49120173.272500001</v>
      </c>
      <c r="C9" s="43">
        <f>'SC12'!C12</f>
        <v>78780743.314509556</v>
      </c>
      <c r="D9" s="43">
        <f>'SC12'!D12</f>
        <v>78780754.377229705</v>
      </c>
      <c r="E9" s="45">
        <f>'SC12'!E12</f>
        <v>6570769.858</v>
      </c>
      <c r="F9" s="43"/>
      <c r="G9" s="43"/>
      <c r="H9" s="43"/>
      <c r="I9" s="43"/>
      <c r="J9" s="43"/>
      <c r="K9" s="43"/>
    </row>
    <row r="10" spans="1:11" x14ac:dyDescent="0.25">
      <c r="A10" s="42" t="str">
        <f>LEFT('SC12'!A13,3)</f>
        <v>Feb</v>
      </c>
      <c r="B10" s="43">
        <f>'SC12'!B13</f>
        <v>85478228.192000002</v>
      </c>
      <c r="C10" s="43">
        <f>'SC12'!C13</f>
        <v>78780743.314509556</v>
      </c>
      <c r="D10" s="43">
        <f>'SC12'!D13</f>
        <v>78780743.314509556</v>
      </c>
      <c r="E10" s="45">
        <f>'SC12'!E13</f>
        <v>40968693.029000007</v>
      </c>
      <c r="F10" s="43"/>
      <c r="G10" s="43"/>
      <c r="H10" s="43"/>
      <c r="I10" s="43"/>
      <c r="J10" s="43"/>
      <c r="K10" s="43"/>
    </row>
    <row r="11" spans="1:11" x14ac:dyDescent="0.25">
      <c r="A11" s="42" t="str">
        <f>LEFT('SC12'!A14,3)</f>
        <v>Mar</v>
      </c>
      <c r="B11" s="43">
        <f>'SC12'!B14</f>
        <v>73737271.0035</v>
      </c>
      <c r="C11" s="43">
        <f>'SC12'!C14</f>
        <v>118994885.38277544</v>
      </c>
      <c r="D11" s="43">
        <f>'SC12'!D14</f>
        <v>118994902.98235315</v>
      </c>
      <c r="E11" s="45">
        <f>'SC12'!E14</f>
        <v>62477125.801999971</v>
      </c>
      <c r="F11" s="43"/>
      <c r="G11" s="43"/>
      <c r="H11" s="43"/>
      <c r="I11" s="43"/>
      <c r="J11" s="43"/>
      <c r="K11" s="43"/>
    </row>
    <row r="12" spans="1:11" x14ac:dyDescent="0.25">
      <c r="A12" s="42" t="str">
        <f>LEFT('SC12'!A15,3)</f>
        <v>Apr</v>
      </c>
      <c r="B12" s="43">
        <f>'SC12'!B15</f>
        <v>118845502.65249999</v>
      </c>
      <c r="C12" s="43">
        <f>'SC12'!C15</f>
        <v>135539662.90466559</v>
      </c>
      <c r="D12" s="43">
        <f>'SC12'!D15</f>
        <v>105539683.13322848</v>
      </c>
      <c r="E12" s="45">
        <f>'SC12'!E15</f>
        <v>111884524.236</v>
      </c>
      <c r="F12" s="43"/>
      <c r="G12" s="43"/>
      <c r="H12" s="43"/>
      <c r="I12" s="43"/>
      <c r="J12" s="43"/>
      <c r="K12" s="43"/>
    </row>
    <row r="13" spans="1:11" x14ac:dyDescent="0.25">
      <c r="A13" s="42" t="str">
        <f>LEFT('SC12'!A16,3)</f>
        <v>May</v>
      </c>
      <c r="B13" s="43">
        <f>'SC12'!B16</f>
        <v>56523169.679500006</v>
      </c>
      <c r="C13" s="43">
        <f>'SC12'!C16</f>
        <v>177230590.98495978</v>
      </c>
      <c r="D13" s="43">
        <f>'SC12'!D16</f>
        <v>127230617.56745179</v>
      </c>
      <c r="E13" s="45">
        <f>'SC12'!E16</f>
        <v>0</v>
      </c>
      <c r="F13" s="43"/>
      <c r="G13" s="43"/>
      <c r="H13" s="43"/>
      <c r="I13" s="43"/>
      <c r="J13" s="43"/>
      <c r="K13" s="43"/>
    </row>
    <row r="14" spans="1:11" x14ac:dyDescent="0.25">
      <c r="A14" s="91" t="str">
        <f>LEFT('SC12'!A17,3)</f>
        <v>Jun</v>
      </c>
      <c r="B14" s="356">
        <f>'SC12'!B17</f>
        <v>458444574.171</v>
      </c>
      <c r="C14" s="356">
        <f>'SC12'!C17</f>
        <v>288331735.38358885</v>
      </c>
      <c r="D14" s="356">
        <f>'SC12'!D17</f>
        <v>149575587.22984177</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889</v>
      </c>
      <c r="B27" s="358" t="str">
        <f>'SC12'!F3</f>
        <v>YearTD actual</v>
      </c>
      <c r="C27" s="358" t="str">
        <f>'SC12'!G3</f>
        <v>YearTD budget</v>
      </c>
      <c r="D27" s="272"/>
      <c r="E27" s="61"/>
      <c r="F27" s="61"/>
      <c r="G27" s="61"/>
      <c r="H27" s="61"/>
      <c r="I27" s="61"/>
      <c r="J27" s="67"/>
    </row>
    <row r="28" spans="1:10" x14ac:dyDescent="0.25">
      <c r="A28" s="360" t="str">
        <f>LEFT('SC12'!A6,3)</f>
        <v>Jul</v>
      </c>
      <c r="B28" s="361">
        <f>'SC12'!F6</f>
        <v>23449713.350000001</v>
      </c>
      <c r="C28" s="362">
        <f>'SC12'!G6</f>
        <v>23449713.353499997</v>
      </c>
      <c r="D28" s="43"/>
      <c r="E28" s="43"/>
      <c r="F28" s="43"/>
      <c r="G28" s="43"/>
      <c r="H28" s="43"/>
      <c r="I28" s="43"/>
    </row>
    <row r="29" spans="1:10" x14ac:dyDescent="0.25">
      <c r="A29" s="42" t="str">
        <f>LEFT('SC12'!A7,3)</f>
        <v>Aug</v>
      </c>
      <c r="B29" s="43">
        <f>'SC12'!F7</f>
        <v>82290541.219999999</v>
      </c>
      <c r="C29" s="45">
        <f>'SC12'!G7</f>
        <v>82290541.222299993</v>
      </c>
      <c r="D29" s="43"/>
      <c r="E29" s="43"/>
      <c r="F29" s="43"/>
      <c r="G29" s="43"/>
      <c r="H29" s="43"/>
      <c r="I29" s="43"/>
    </row>
    <row r="30" spans="1:10" x14ac:dyDescent="0.25">
      <c r="A30" s="42" t="str">
        <f>LEFT('SC12'!A8,3)</f>
        <v>Sep</v>
      </c>
      <c r="B30" s="43">
        <f>'SC12'!F8</f>
        <v>151417435.55000001</v>
      </c>
      <c r="C30" s="45">
        <f>'SC12'!G8</f>
        <v>151417435.55684999</v>
      </c>
      <c r="D30" s="43"/>
      <c r="E30" s="43"/>
      <c r="F30" s="43"/>
      <c r="G30" s="43"/>
      <c r="H30" s="43"/>
      <c r="I30" s="43"/>
    </row>
    <row r="31" spans="1:10" x14ac:dyDescent="0.25">
      <c r="A31" s="42" t="str">
        <f>LEFT('SC12'!A9,3)</f>
        <v>Oct</v>
      </c>
      <c r="B31" s="43">
        <f>'SC12'!F9</f>
        <v>236843117.22000003</v>
      </c>
      <c r="C31" s="45">
        <f>'SC12'!G9</f>
        <v>236732057.81434998</v>
      </c>
      <c r="D31" s="43"/>
      <c r="E31" s="43"/>
      <c r="F31" s="43"/>
      <c r="G31" s="43"/>
      <c r="H31" s="43"/>
      <c r="I31" s="43"/>
    </row>
    <row r="32" spans="1:10" x14ac:dyDescent="0.25">
      <c r="A32" s="42" t="str">
        <f>LEFT('SC12'!A10,3)</f>
        <v>Nov</v>
      </c>
      <c r="B32" s="43">
        <f>'SC12'!F10</f>
        <v>285135887.03000003</v>
      </c>
      <c r="C32" s="45">
        <f>'SC12'!G10</f>
        <v>285024827.63435</v>
      </c>
      <c r="D32" s="43"/>
      <c r="E32" s="43"/>
      <c r="F32" s="43"/>
      <c r="G32" s="43"/>
      <c r="H32" s="43"/>
      <c r="I32" s="43"/>
    </row>
    <row r="33" spans="1:9" x14ac:dyDescent="0.25">
      <c r="A33" s="42" t="str">
        <f>LEFT('SC12'!A11,3)</f>
        <v>Dec</v>
      </c>
      <c r="B33" s="43">
        <f>'SC12'!F11</f>
        <v>381114526.33250004</v>
      </c>
      <c r="C33" s="45">
        <f>'SC12'!G11</f>
        <v>380978741.75685</v>
      </c>
      <c r="D33" s="43"/>
      <c r="E33" s="43"/>
      <c r="F33" s="43"/>
      <c r="G33" s="43"/>
      <c r="H33" s="43"/>
      <c r="I33" s="43"/>
    </row>
    <row r="34" spans="1:9" x14ac:dyDescent="0.25">
      <c r="A34" s="42" t="str">
        <f>LEFT('SC12'!A12,3)</f>
        <v>Jan</v>
      </c>
      <c r="B34" s="43">
        <f>'SC12'!F12</f>
        <v>387685296.19050002</v>
      </c>
      <c r="C34" s="45">
        <f>'SC12'!G12</f>
        <v>459759496.13407969</v>
      </c>
      <c r="D34" s="43"/>
      <c r="E34" s="43"/>
      <c r="F34" s="43"/>
      <c r="G34" s="43"/>
      <c r="H34" s="43"/>
      <c r="I34" s="43"/>
    </row>
    <row r="35" spans="1:9" x14ac:dyDescent="0.25">
      <c r="A35" s="42" t="str">
        <f>LEFT('SC12'!A13,3)</f>
        <v>Feb</v>
      </c>
      <c r="B35" s="43">
        <f>'SC12'!F13</f>
        <v>428653989.21950001</v>
      </c>
      <c r="C35" s="45">
        <f>'SC12'!G13</f>
        <v>538540239.44858921</v>
      </c>
      <c r="D35" s="43"/>
      <c r="E35" s="43"/>
      <c r="F35" s="43"/>
      <c r="G35" s="43"/>
      <c r="H35" s="43"/>
      <c r="I35" s="43"/>
    </row>
    <row r="36" spans="1:9" x14ac:dyDescent="0.25">
      <c r="A36" s="42" t="str">
        <f>LEFT('SC12'!A14,3)</f>
        <v>Mar</v>
      </c>
      <c r="B36" s="43">
        <f>'SC12'!F14</f>
        <v>491131115.02149999</v>
      </c>
      <c r="C36" s="45">
        <f>'SC12'!G14</f>
        <v>657535142.4309423</v>
      </c>
      <c r="D36" s="43"/>
      <c r="E36" s="43"/>
      <c r="F36" s="43"/>
      <c r="G36" s="43"/>
      <c r="H36" s="43"/>
      <c r="I36" s="43"/>
    </row>
    <row r="37" spans="1:9" x14ac:dyDescent="0.25">
      <c r="A37" s="42" t="str">
        <f>LEFT('SC12'!A15,3)</f>
        <v>Apr</v>
      </c>
      <c r="B37" s="43">
        <f>'SC12'!F15</f>
        <v>603015639.25749993</v>
      </c>
      <c r="C37" s="45">
        <f>'SC12'!G15</f>
        <v>763074825.56417084</v>
      </c>
      <c r="D37" s="43"/>
      <c r="E37" s="43"/>
      <c r="F37" s="43"/>
      <c r="G37" s="43"/>
      <c r="H37" s="43"/>
      <c r="I37" s="43"/>
    </row>
    <row r="38" spans="1:9" x14ac:dyDescent="0.25">
      <c r="A38" s="42" t="str">
        <f>LEFT('SC12'!A16,3)</f>
        <v>May</v>
      </c>
      <c r="B38" s="43" t="str">
        <f>'SC12'!F16</f>
        <v/>
      </c>
      <c r="C38" s="45">
        <f>'SC12'!G16</f>
        <v>890305443.13162267</v>
      </c>
      <c r="D38" s="43"/>
      <c r="E38" s="43"/>
      <c r="F38" s="43"/>
      <c r="G38" s="43"/>
      <c r="H38" s="43"/>
      <c r="I38" s="43"/>
    </row>
    <row r="39" spans="1:9" x14ac:dyDescent="0.25">
      <c r="A39" s="91" t="str">
        <f>LEFT('SC12'!A17,3)</f>
        <v>Jun</v>
      </c>
      <c r="B39" s="356" t="str">
        <f>'SC12'!F17</f>
        <v/>
      </c>
      <c r="C39" s="357">
        <f>'SC12'!G17</f>
        <v>1039881030.3614645</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150513412</v>
      </c>
      <c r="C53" s="43">
        <f>'SC3'!D14</f>
        <v>65031828</v>
      </c>
      <c r="D53" s="43">
        <f>'SC3'!E14</f>
        <v>45087022</v>
      </c>
      <c r="E53" s="43">
        <f>'SC3'!F14</f>
        <v>41798329</v>
      </c>
      <c r="F53" s="43">
        <f>'SC3'!G14</f>
        <v>37595272</v>
      </c>
      <c r="G53" s="43">
        <f>'SC3'!H14</f>
        <v>40381341</v>
      </c>
      <c r="H53" s="43">
        <f>'SC3'!I14</f>
        <v>166492701</v>
      </c>
      <c r="I53" s="43">
        <f>'SC3'!J14</f>
        <v>1105146081</v>
      </c>
    </row>
    <row r="54" spans="1:9" x14ac:dyDescent="0.25">
      <c r="A54" s="61" t="str">
        <f>Head1</f>
        <v>2019/20</v>
      </c>
      <c r="B54" s="43">
        <f>'SC3'!C15</f>
        <v>239760428</v>
      </c>
      <c r="C54" s="43">
        <f>'SC3'!D15</f>
        <v>54373145</v>
      </c>
      <c r="D54" s="43">
        <f>'SC3'!E15</f>
        <v>46328929</v>
      </c>
      <c r="E54" s="43">
        <f>'SC3'!F15</f>
        <v>49397057</v>
      </c>
      <c r="F54" s="43">
        <f>'SC3'!G15</f>
        <v>40822122</v>
      </c>
      <c r="G54" s="43">
        <f>'SC3'!H15</f>
        <v>37589646</v>
      </c>
      <c r="H54" s="43">
        <f>'SC3'!I15</f>
        <v>157166681</v>
      </c>
      <c r="I54" s="43">
        <f>'SC3'!J15</f>
        <v>889720920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97591961.899999991</v>
      </c>
      <c r="C78" s="43">
        <f>'SC3'!K17</f>
        <v>100610270</v>
      </c>
      <c r="D78" s="43"/>
      <c r="E78" s="43"/>
      <c r="F78" s="43"/>
      <c r="G78" s="43"/>
      <c r="H78" s="43"/>
      <c r="I78" s="43"/>
      <c r="J78" s="43"/>
    </row>
    <row r="79" spans="1:10" x14ac:dyDescent="0.25">
      <c r="A79" s="61" t="str">
        <f>'SC3'!A18</f>
        <v>Commercial</v>
      </c>
      <c r="B79" s="43">
        <f>C79*0.97</f>
        <v>347401827.57999998</v>
      </c>
      <c r="C79" s="43">
        <f>'SC3'!K18</f>
        <v>358146214</v>
      </c>
      <c r="D79" s="43"/>
      <c r="E79" s="43"/>
      <c r="F79" s="43"/>
      <c r="G79" s="43"/>
      <c r="H79" s="43"/>
      <c r="I79" s="43"/>
      <c r="J79" s="43"/>
    </row>
    <row r="80" spans="1:10" x14ac:dyDescent="0.25">
      <c r="A80" s="61" t="str">
        <f>'SC3'!A19</f>
        <v>Households</v>
      </c>
      <c r="B80" s="43">
        <f>C80*0.97</f>
        <v>1157490816.9400001</v>
      </c>
      <c r="C80" s="43">
        <f>'SC3'!K19</f>
        <v>1193289502</v>
      </c>
    </row>
    <row r="81" spans="1:3" x14ac:dyDescent="0.25">
      <c r="A81" s="61" t="str">
        <f>'SC3'!A20</f>
        <v>Other</v>
      </c>
      <c r="B81" s="43">
        <f>C81*0.97</f>
        <v>0</v>
      </c>
      <c r="C81" s="43">
        <f>'SC3'!K20</f>
        <v>0</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52511767.140000001</v>
      </c>
      <c r="C103" s="405">
        <f>'SC4'!L7</f>
        <v>38164804.719999999</v>
      </c>
      <c r="D103" s="405">
        <f>'SC4'!L8</f>
        <v>0</v>
      </c>
      <c r="E103" s="405">
        <f>'SC4'!L9</f>
        <v>0</v>
      </c>
      <c r="F103" s="405">
        <f>'SC4'!L10</f>
        <v>0</v>
      </c>
      <c r="G103" s="405">
        <f>'SC4'!L11</f>
        <v>0</v>
      </c>
      <c r="H103" s="405">
        <f>'SC4'!L12</f>
        <v>56140946.219999999</v>
      </c>
      <c r="I103" s="405">
        <f>'SC4'!L13</f>
        <v>0</v>
      </c>
      <c r="J103" s="405">
        <f>'SC4'!L14</f>
        <v>0</v>
      </c>
    </row>
    <row r="104" spans="1:10" ht="0.75" customHeight="1" x14ac:dyDescent="0.25">
      <c r="A104" s="61" t="str">
        <f>A53</f>
        <v>Budget Year 2020/21</v>
      </c>
      <c r="B104" s="43">
        <f>'SC4'!K6</f>
        <v>61580531.810000002</v>
      </c>
      <c r="C104" s="43">
        <f>'SC4'!K7</f>
        <v>19963857.260000002</v>
      </c>
      <c r="D104" s="43">
        <f>'SC4'!K8</f>
        <v>0</v>
      </c>
      <c r="E104" s="43">
        <f>'SC4'!K9</f>
        <v>0</v>
      </c>
      <c r="F104" s="43">
        <f>'SC4'!K10</f>
        <v>0</v>
      </c>
      <c r="G104" s="43">
        <f>'SC4'!K11</f>
        <v>0</v>
      </c>
      <c r="H104" s="43">
        <f>'SC4'!K12</f>
        <v>22910412.830000002</v>
      </c>
      <c r="I104" s="43">
        <f>'SC4'!K13</f>
        <v>0</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scale="79" orientation="portrait" r:id="rId1"/>
  <headerFooter alignWithMargins="0"/>
  <colBreaks count="1" manualBreakCount="1">
    <brk id="9" max="1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852AE2-6EFB-4AB2-952A-3676C75992A6}">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156</vt:i4>
      </vt:variant>
    </vt:vector>
  </HeadingPairs>
  <TitlesOfParts>
    <vt:vector size="189"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Zinzi Mphahlele</cp:lastModifiedBy>
  <cp:lastPrinted>2016-12-13T05:59:10Z</cp:lastPrinted>
  <dcterms:created xsi:type="dcterms:W3CDTF">2004-04-07T16:19:08Z</dcterms:created>
  <dcterms:modified xsi:type="dcterms:W3CDTF">2021-05-15T02:57:15Z</dcterms:modified>
</cp:coreProperties>
</file>